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drawings/drawing3.xml" ContentType="application/vnd.openxmlformats-officedocument.drawing+xml"/>
  <Override PartName="/xl/ctrlProps/ctrlProp99.xml" ContentType="application/vnd.ms-excel.controlproperties+xml"/>
  <Override PartName="/xl/drawings/drawing4.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104.xml" ContentType="application/vnd.ms-excel.controlproperties+xml"/>
  <Override PartName="/xl/ctrlProps/ctrlProp105.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08.xml" ContentType="application/vnd.ms-excel.controlproperties+xml"/>
  <Override PartName="/xl/ctrlProps/ctrlProp10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3.xml" ContentType="application/vnd.ms-excel.controlproperties+xml"/>
  <Override PartName="/xl/ctrlProps/ctrlProp114.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17.xml" ContentType="application/vnd.ms-excel.controlproperties+xml"/>
  <Override PartName="/xl/ctrlProps/ctrlProp118.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19.xml" ContentType="application/vnd.ms-excel.controlproperties+xml"/>
  <Override PartName="/xl/ctrlProps/ctrlProp120.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21.xml" ContentType="application/vnd.ms-excel.controlproperties+xml"/>
  <Override PartName="/xl/ctrlProps/ctrlProp122.xml" ContentType="application/vnd.ms-excel.controlproperties+xml"/>
  <Override PartName="/xl/drawings/drawing15.xml" ContentType="application/vnd.openxmlformats-officedocument.drawing+xml"/>
  <Override PartName="/xl/ctrlProps/ctrlProp123.xml" ContentType="application/vnd.ms-excel.controlproperties+xml"/>
  <Override PartName="/xl/ctrlProps/ctrlProp124.xml" ContentType="application/vnd.ms-excel.controlproperties+xml"/>
  <Override PartName="/xl/comments12.xml" ContentType="application/vnd.openxmlformats-officedocument.spreadsheetml.comments+xml"/>
  <Override PartName="/xl/drawings/drawing16.xml" ContentType="application/vnd.openxmlformats-officedocument.drawing+xml"/>
  <Override PartName="/xl/ctrlProps/ctrlProp125.xml" ContentType="application/vnd.ms-excel.controlproperties+xml"/>
  <Override PartName="/xl/ctrlProps/ctrlProp126.xml" ContentType="application/vnd.ms-excel.controlproperties+xml"/>
  <Override PartName="/xl/comments13.xml" ContentType="application/vnd.openxmlformats-officedocument.spreadsheetml.comments+xml"/>
  <Override PartName="/xl/drawings/drawing17.xml" ContentType="application/vnd.openxmlformats-officedocument.drawing+xml"/>
  <Override PartName="/xl/ctrlProps/ctrlProp127.xml" ContentType="application/vnd.ms-excel.controlproperties+xml"/>
  <Override PartName="/xl/ctrlProps/ctrlProp128.xml" ContentType="application/vnd.ms-excel.controlproperties+xml"/>
  <Override PartName="/xl/comments14.xml" ContentType="application/vnd.openxmlformats-officedocument.spreadsheetml.comments+xml"/>
  <Override PartName="/xl/drawings/drawing18.xml" ContentType="application/vnd.openxmlformats-officedocument.drawing+xml"/>
  <Override PartName="/xl/ctrlProps/ctrlProp129.xml" ContentType="application/vnd.ms-excel.controlproperties+xml"/>
  <Override PartName="/xl/ctrlProps/ctrlProp130.xml" ContentType="application/vnd.ms-excel.controlproperties+xml"/>
  <Override PartName="/xl/drawings/drawing19.xml" ContentType="application/vnd.openxmlformats-officedocument.drawing+xml"/>
  <Override PartName="/xl/ctrlProps/ctrlProp131.xml" ContentType="application/vnd.ms-excel.controlproperties+xml"/>
  <Override PartName="/xl/ctrlProps/ctrlProp132.xml" ContentType="application/vnd.ms-excel.controlproperties+xml"/>
  <Override PartName="/xl/comments15.xml" ContentType="application/vnd.openxmlformats-officedocument.spreadsheetml.comments+xml"/>
  <Override PartName="/xl/drawings/drawing20.xml" ContentType="application/vnd.openxmlformats-officedocument.drawing+xml"/>
  <Override PartName="/xl/ctrlProps/ctrlProp133.xml" ContentType="application/vnd.ms-excel.controlproperties+xml"/>
  <Override PartName="/xl/ctrlProps/ctrlProp134.xml" ContentType="application/vnd.ms-excel.controlproperties+xml"/>
  <Override PartName="/xl/comments16.xml" ContentType="application/vnd.openxmlformats-officedocument.spreadsheetml.comments+xml"/>
  <Override PartName="/xl/drawings/drawing21.xml" ContentType="application/vnd.openxmlformats-officedocument.drawing+xml"/>
  <Override PartName="/xl/ctrlProps/ctrlProp135.xml" ContentType="application/vnd.ms-excel.controlproperties+xml"/>
  <Override PartName="/xl/ctrlProps/ctrlProp136.xml" ContentType="application/vnd.ms-excel.controlproperties+xml"/>
  <Override PartName="/xl/comments17.xml" ContentType="application/vnd.openxmlformats-officedocument.spreadsheetml.comments+xml"/>
  <Override PartName="/xl/drawings/drawing22.xml" ContentType="application/vnd.openxmlformats-officedocument.drawing+xml"/>
  <Override PartName="/xl/ctrlProps/ctrlProp137.xml" ContentType="application/vnd.ms-excel.controlproperties+xml"/>
  <Override PartName="/xl/ctrlProps/ctrlProp138.xml" ContentType="application/vnd.ms-excel.controlproperties+xml"/>
  <Override PartName="/xl/comments18.xml" ContentType="application/vnd.openxmlformats-officedocument.spreadsheetml.comments+xml"/>
  <Override PartName="/xl/drawings/drawing23.xml" ContentType="application/vnd.openxmlformats-officedocument.drawing+xml"/>
  <Override PartName="/xl/ctrlProps/ctrlProp139.xml" ContentType="application/vnd.ms-excel.controlproperties+xml"/>
  <Override PartName="/xl/ctrlProps/ctrlProp140.xml" ContentType="application/vnd.ms-excel.controlproperties+xml"/>
  <Override PartName="/xl/comments19.xml" ContentType="application/vnd.openxmlformats-officedocument.spreadsheetml.comments+xml"/>
  <Override PartName="/xl/drawings/drawing24.xml" ContentType="application/vnd.openxmlformats-officedocument.drawing+xml"/>
  <Override PartName="/xl/ctrlProps/ctrlProp141.xml" ContentType="application/vnd.ms-excel.controlproperties+xml"/>
  <Override PartName="/xl/ctrlProps/ctrlProp142.xml" ContentType="application/vnd.ms-excel.controlproperties+xml"/>
  <Override PartName="/xl/comments20.xml" ContentType="application/vnd.openxmlformats-officedocument.spreadsheetml.comments+xml"/>
  <Override PartName="/xl/drawings/drawing25.xml" ContentType="application/vnd.openxmlformats-officedocument.drawing+xml"/>
  <Override PartName="/xl/ctrlProps/ctrlProp143.xml" ContentType="application/vnd.ms-excel.controlproperties+xml"/>
  <Override PartName="/xl/ctrlProps/ctrlProp144.xml" ContentType="application/vnd.ms-excel.controlproperties+xml"/>
  <Override PartName="/xl/comments21.xml" ContentType="application/vnd.openxmlformats-officedocument.spreadsheetml.comments+xml"/>
  <Override PartName="/xl/drawings/drawing26.xml" ContentType="application/vnd.openxmlformats-officedocument.drawing+xml"/>
  <Override PartName="/xl/ctrlProps/ctrlProp145.xml" ContentType="application/vnd.ms-excel.controlproperties+xml"/>
  <Override PartName="/xl/ctrlProps/ctrlProp146.xml" ContentType="application/vnd.ms-excel.controlproperties+xml"/>
  <Override PartName="/xl/drawings/drawing27.xml" ContentType="application/vnd.openxmlformats-officedocument.drawing+xml"/>
  <Override PartName="/xl/ctrlProps/ctrlProp147.xml" ContentType="application/vnd.ms-excel.controlproperties+xml"/>
  <Override PartName="/xl/ctrlProps/ctrlProp148.xml" ContentType="application/vnd.ms-excel.controlproperties+xml"/>
  <Override PartName="/xl/drawings/drawing28.xml" ContentType="application/vnd.openxmlformats-officedocument.drawing+xml"/>
  <Override PartName="/xl/ctrlProps/ctrlProp149.xml" ContentType="application/vnd.ms-excel.controlproperties+xml"/>
  <Override PartName="/xl/ctrlProps/ctrlProp150.xml" ContentType="application/vnd.ms-excel.controlproperties+xml"/>
  <Override PartName="/xl/comments22.xml" ContentType="application/vnd.openxmlformats-officedocument.spreadsheetml.comments+xml"/>
  <Override PartName="/xl/drawings/drawing29.xml" ContentType="application/vnd.openxmlformats-officedocument.drawing+xml"/>
  <Override PartName="/xl/ctrlProps/ctrlProp151.xml" ContentType="application/vnd.ms-excel.controlproperties+xml"/>
  <Override PartName="/xl/ctrlProps/ctrlProp152.xml" ContentType="application/vnd.ms-excel.controlproperties+xml"/>
  <Override PartName="/xl/comments23.xml" ContentType="application/vnd.openxmlformats-officedocument.spreadsheetml.comments+xml"/>
  <Override PartName="/xl/drawings/drawing30.xml" ContentType="application/vnd.openxmlformats-officedocument.drawing+xml"/>
  <Override PartName="/xl/ctrlProps/ctrlProp153.xml" ContentType="application/vnd.ms-excel.controlproperties+xml"/>
  <Override PartName="/xl/ctrlProps/ctrlProp154.xml" ContentType="application/vnd.ms-excel.controlproperties+xml"/>
  <Override PartName="/xl/drawings/drawing31.xml" ContentType="application/vnd.openxmlformats-officedocument.drawing+xml"/>
  <Override PartName="/xl/ctrlProps/ctrlProp155.xml" ContentType="application/vnd.ms-excel.controlproperties+xml"/>
  <Override PartName="/xl/ctrlProps/ctrlProp156.xml" ContentType="application/vnd.ms-excel.controlproperties+xml"/>
  <Override PartName="/xl/comments24.xml" ContentType="application/vnd.openxmlformats-officedocument.spreadsheetml.comments+xml"/>
  <Override PartName="/xl/drawings/drawing32.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omments25.xml" ContentType="application/vnd.openxmlformats-officedocument.spreadsheetml.comments+xml"/>
  <Override PartName="/xl/drawings/drawing33.xml" ContentType="application/vnd.openxmlformats-officedocument.drawing+xml"/>
  <Override PartName="/xl/ctrlProps/ctrlProp159.xml" ContentType="application/vnd.ms-excel.controlproperties+xml"/>
  <Override PartName="/xl/ctrlProps/ctrlProp160.xml" ContentType="application/vnd.ms-excel.controlproperties+xml"/>
  <Override PartName="/xl/comments26.xml" ContentType="application/vnd.openxmlformats-officedocument.spreadsheetml.comments+xml"/>
  <Override PartName="/xl/drawings/drawing34.xml" ContentType="application/vnd.openxmlformats-officedocument.drawing+xml"/>
  <Override PartName="/xl/ctrlProps/ctrlProp161.xml" ContentType="application/vnd.ms-excel.controlproperties+xml"/>
  <Override PartName="/xl/ctrlProps/ctrlProp162.xml" ContentType="application/vnd.ms-excel.controlproperties+xml"/>
  <Override PartName="/xl/comments27.xml" ContentType="application/vnd.openxmlformats-officedocument.spreadsheetml.comments+xml"/>
  <Override PartName="/xl/drawings/drawing35.xml" ContentType="application/vnd.openxmlformats-officedocument.drawing+xml"/>
  <Override PartName="/xl/ctrlProps/ctrlProp163.xml" ContentType="application/vnd.ms-excel.controlproperties+xml"/>
  <Override PartName="/xl/ctrlProps/ctrlProp164.xml" ContentType="application/vnd.ms-excel.controlproperties+xml"/>
  <Override PartName="/xl/comments28.xml" ContentType="application/vnd.openxmlformats-officedocument.spreadsheetml.comments+xml"/>
  <Override PartName="/xl/drawings/drawing36.xml" ContentType="application/vnd.openxmlformats-officedocument.drawing+xml"/>
  <Override PartName="/xl/ctrlProps/ctrlProp165.xml" ContentType="application/vnd.ms-excel.controlproperties+xml"/>
  <Override PartName="/xl/ctrlProps/ctrlProp166.xml" ContentType="application/vnd.ms-excel.controlproperties+xml"/>
  <Override PartName="/xl/comments29.xml" ContentType="application/vnd.openxmlformats-officedocument.spreadsheetml.comments+xml"/>
  <Override PartName="/xl/drawings/drawing37.xml" ContentType="application/vnd.openxmlformats-officedocument.drawing+xml"/>
  <Override PartName="/xl/ctrlProps/ctrlProp167.xml" ContentType="application/vnd.ms-excel.controlproperties+xml"/>
  <Override PartName="/xl/ctrlProps/ctrlProp168.xml" ContentType="application/vnd.ms-excel.controlproperties+xml"/>
  <Override PartName="/xl/comments30.xml" ContentType="application/vnd.openxmlformats-officedocument.spreadsheetml.comments+xml"/>
  <Override PartName="/xl/drawings/drawing38.xml" ContentType="application/vnd.openxmlformats-officedocument.drawing+xml"/>
  <Override PartName="/xl/ctrlProps/ctrlProp169.xml" ContentType="application/vnd.ms-excel.controlproperties+xml"/>
  <Override PartName="/xl/ctrlProps/ctrlProp170.xml" ContentType="application/vnd.ms-excel.controlproperties+xml"/>
  <Override PartName="/xl/comments31.xml" ContentType="application/vnd.openxmlformats-officedocument.spreadsheetml.comments+xml"/>
  <Override PartName="/xl/drawings/drawing39.xml" ContentType="application/vnd.openxmlformats-officedocument.drawing+xml"/>
  <Override PartName="/xl/ctrlProps/ctrlProp171.xml" ContentType="application/vnd.ms-excel.controlproperties+xml"/>
  <Override PartName="/xl/ctrlProps/ctrlProp172.xml" ContentType="application/vnd.ms-excel.controlproperties+xml"/>
  <Override PartName="/xl/comments32.xml" ContentType="application/vnd.openxmlformats-officedocument.spreadsheetml.comments+xml"/>
  <Override PartName="/xl/drawings/drawing40.xml" ContentType="application/vnd.openxmlformats-officedocument.drawing+xml"/>
  <Override PartName="/xl/ctrlProps/ctrlProp173.xml" ContentType="application/vnd.ms-excel.controlproperties+xml"/>
  <Override PartName="/xl/ctrlProps/ctrlProp174.xml" ContentType="application/vnd.ms-excel.controlproperties+xml"/>
  <Override PartName="/xl/comments33.xml" ContentType="application/vnd.openxmlformats-officedocument.spreadsheetml.comments+xml"/>
  <Override PartName="/xl/drawings/drawing41.xml" ContentType="application/vnd.openxmlformats-officedocument.drawing+xml"/>
  <Override PartName="/xl/ctrlProps/ctrlProp175.xml" ContentType="application/vnd.ms-excel.controlproperties+xml"/>
  <Override PartName="/xl/ctrlProps/ctrlProp176.xml" ContentType="application/vnd.ms-excel.controlproperties+xml"/>
  <Override PartName="/xl/comments34.xml" ContentType="application/vnd.openxmlformats-officedocument.spreadsheetml.comments+xml"/>
  <Override PartName="/xl/drawings/drawing42.xml" ContentType="application/vnd.openxmlformats-officedocument.drawing+xml"/>
  <Override PartName="/xl/ctrlProps/ctrlProp177.xml" ContentType="application/vnd.ms-excel.controlproperties+xml"/>
  <Override PartName="/xl/ctrlProps/ctrlProp178.xml" ContentType="application/vnd.ms-excel.controlproperties+xml"/>
  <Override PartName="/xl/comments35.xml" ContentType="application/vnd.openxmlformats-officedocument.spreadsheetml.comments+xml"/>
  <Override PartName="/xl/drawings/drawing43.xml" ContentType="application/vnd.openxmlformats-officedocument.drawing+xml"/>
  <Override PartName="/xl/ctrlProps/ctrlProp179.xml" ContentType="application/vnd.ms-excel.controlproperties+xml"/>
  <Override PartName="/xl/ctrlProps/ctrlProp180.xml" ContentType="application/vnd.ms-excel.controlproperties+xml"/>
  <Override PartName="/xl/comments36.xml" ContentType="application/vnd.openxmlformats-officedocument.spreadsheetml.comments+xml"/>
  <Override PartName="/xl/drawings/drawing44.xml" ContentType="application/vnd.openxmlformats-officedocument.drawing+xml"/>
  <Override PartName="/xl/ctrlProps/ctrlProp181.xml" ContentType="application/vnd.ms-excel.controlproperties+xml"/>
  <Override PartName="/xl/ctrlProps/ctrlProp182.xml" ContentType="application/vnd.ms-excel.controlproperties+xml"/>
  <Override PartName="/xl/drawings/drawing45.xml" ContentType="application/vnd.openxmlformats-officedocument.drawing+xml"/>
  <Override PartName="/xl/ctrlProps/ctrlProp183.xml" ContentType="application/vnd.ms-excel.controlproperties+xml"/>
  <Override PartName="/xl/ctrlProps/ctrlProp184.xml" ContentType="application/vnd.ms-excel.controlproperties+xml"/>
  <Override PartName="/xl/comments37.xml" ContentType="application/vnd.openxmlformats-officedocument.spreadsheetml.comments+xml"/>
  <Override PartName="/xl/drawings/drawing46.xml" ContentType="application/vnd.openxmlformats-officedocument.drawing+xml"/>
  <Override PartName="/xl/ctrlProps/ctrlProp185.xml" ContentType="application/vnd.ms-excel.controlproperties+xml"/>
  <Override PartName="/xl/ctrlProps/ctrlProp186.xml" ContentType="application/vnd.ms-excel.controlproperties+xml"/>
  <Override PartName="/xl/comments38.xml" ContentType="application/vnd.openxmlformats-officedocument.spreadsheetml.comments+xml"/>
  <Override PartName="/xl/drawings/drawing47.xml" ContentType="application/vnd.openxmlformats-officedocument.drawing+xml"/>
  <Override PartName="/xl/ctrlProps/ctrlProp187.xml" ContentType="application/vnd.ms-excel.controlproperties+xml"/>
  <Override PartName="/xl/ctrlProps/ctrlProp188.xml" ContentType="application/vnd.ms-excel.controlproperties+xml"/>
  <Override PartName="/xl/comments39.xml" ContentType="application/vnd.openxmlformats-officedocument.spreadsheetml.comments+xml"/>
  <Override PartName="/xl/drawings/drawing48.xml" ContentType="application/vnd.openxmlformats-officedocument.drawing+xml"/>
  <Override PartName="/xl/ctrlProps/ctrlProp189.xml" ContentType="application/vnd.ms-excel.controlproperties+xml"/>
  <Override PartName="/xl/ctrlProps/ctrlProp190.xml" ContentType="application/vnd.ms-excel.controlproperties+xml"/>
  <Override PartName="/xl/comments40.xml" ContentType="application/vnd.openxmlformats-officedocument.spreadsheetml.comments+xml"/>
  <Override PartName="/xl/drawings/drawing49.xml" ContentType="application/vnd.openxmlformats-officedocument.drawing+xml"/>
  <Override PartName="/xl/ctrlProps/ctrlProp191.xml" ContentType="application/vnd.ms-excel.controlproperties+xml"/>
  <Override PartName="/xl/ctrlProps/ctrlProp192.xml" ContentType="application/vnd.ms-excel.controlproperties+xml"/>
  <Override PartName="/xl/comments41.xml" ContentType="application/vnd.openxmlformats-officedocument.spreadsheetml.comments+xml"/>
  <Override PartName="/xl/drawings/drawing50.xml" ContentType="application/vnd.openxmlformats-officedocument.drawing+xml"/>
  <Override PartName="/xl/ctrlProps/ctrlProp193.xml" ContentType="application/vnd.ms-excel.controlproperties+xml"/>
  <Override PartName="/xl/ctrlProps/ctrlProp194.xml" ContentType="application/vnd.ms-excel.controlproperties+xml"/>
  <Override PartName="/xl/comments42.xml" ContentType="application/vnd.openxmlformats-officedocument.spreadsheetml.comments+xml"/>
  <Override PartName="/xl/drawings/drawing51.xml" ContentType="application/vnd.openxmlformats-officedocument.drawing+xml"/>
  <Override PartName="/xl/ctrlProps/ctrlProp195.xml" ContentType="application/vnd.ms-excel.controlproperties+xml"/>
  <Override PartName="/xl/ctrlProps/ctrlProp196.xml" ContentType="application/vnd.ms-excel.controlproperties+xml"/>
  <Override PartName="/xl/comments43.xml" ContentType="application/vnd.openxmlformats-officedocument.spreadsheetml.comments+xml"/>
  <Override PartName="/xl/drawings/drawing52.xml" ContentType="application/vnd.openxmlformats-officedocument.drawing+xml"/>
  <Override PartName="/xl/ctrlProps/ctrlProp197.xml" ContentType="application/vnd.ms-excel.controlproperties+xml"/>
  <Override PartName="/xl/ctrlProps/ctrlProp198.xml" ContentType="application/vnd.ms-excel.controlproperties+xml"/>
  <Override PartName="/xl/comments44.xml" ContentType="application/vnd.openxmlformats-officedocument.spreadsheetml.comments+xml"/>
  <Override PartName="/xl/drawings/drawing53.xml" ContentType="application/vnd.openxmlformats-officedocument.drawing+xml"/>
  <Override PartName="/xl/ctrlProps/ctrlProp199.xml" ContentType="application/vnd.ms-excel.controlproperties+xml"/>
  <Override PartName="/xl/ctrlProps/ctrlProp200.xml" ContentType="application/vnd.ms-excel.controlproperties+xml"/>
  <Override PartName="/xl/comments45.xml" ContentType="application/vnd.openxmlformats-officedocument.spreadsheetml.comments+xml"/>
  <Override PartName="/xl/drawings/drawing54.xml" ContentType="application/vnd.openxmlformats-officedocument.drawing+xml"/>
  <Override PartName="/xl/ctrlProps/ctrlProp201.xml" ContentType="application/vnd.ms-excel.controlproperties+xml"/>
  <Override PartName="/xl/ctrlProps/ctrlProp202.xml" ContentType="application/vnd.ms-excel.controlproperties+xml"/>
  <Override PartName="/xl/comments46.xml" ContentType="application/vnd.openxmlformats-officedocument.spreadsheetml.comments+xml"/>
  <Override PartName="/xl/drawings/drawing55.xml" ContentType="application/vnd.openxmlformats-officedocument.drawing+xml"/>
  <Override PartName="/xl/ctrlProps/ctrlProp203.xml" ContentType="application/vnd.ms-excel.controlproperties+xml"/>
  <Override PartName="/xl/ctrlProps/ctrlProp204.xml" ContentType="application/vnd.ms-excel.controlproperties+xml"/>
  <Override PartName="/xl/drawings/drawing56.xml" ContentType="application/vnd.openxmlformats-officedocument.drawing+xml"/>
  <Override PartName="/xl/ctrlProps/ctrlProp205.xml" ContentType="application/vnd.ms-excel.controlproperties+xml"/>
  <Override PartName="/xl/ctrlProps/ctrlProp206.xml" ContentType="application/vnd.ms-excel.controlproperties+xml"/>
  <Override PartName="/xl/comments47.xml" ContentType="application/vnd.openxmlformats-officedocument.spreadsheetml.comments+xml"/>
  <Override PartName="/xl/drawings/drawing57.xml" ContentType="application/vnd.openxmlformats-officedocument.drawing+xml"/>
  <Override PartName="/xl/ctrlProps/ctrlProp207.xml" ContentType="application/vnd.ms-excel.controlproperties+xml"/>
  <Override PartName="/xl/ctrlProps/ctrlProp208.xml" ContentType="application/vnd.ms-excel.controlproperties+xml"/>
  <Override PartName="/xl/comments48.xml" ContentType="application/vnd.openxmlformats-officedocument.spreadsheetml.comments+xml"/>
  <Override PartName="/xl/drawings/drawing58.xml" ContentType="application/vnd.openxmlformats-officedocument.drawing+xml"/>
  <Override PartName="/xl/ctrlProps/ctrlProp209.xml" ContentType="application/vnd.ms-excel.controlproperties+xml"/>
  <Override PartName="/xl/ctrlProps/ctrlProp210.xml" ContentType="application/vnd.ms-excel.controlproperties+xml"/>
  <Override PartName="/xl/drawings/drawing59.xml" ContentType="application/vnd.openxmlformats-officedocument.drawing+xml"/>
  <Override PartName="/xl/ctrlProps/ctrlProp211.xml" ContentType="application/vnd.ms-excel.controlproperties+xml"/>
  <Override PartName="/xl/ctrlProps/ctrlProp212.xml" ContentType="application/vnd.ms-excel.controlproperties+xml"/>
  <Override PartName="/xl/comments49.xml" ContentType="application/vnd.openxmlformats-officedocument.spreadsheetml.comments+xml"/>
  <Override PartName="/xl/drawings/drawing60.xml" ContentType="application/vnd.openxmlformats-officedocument.drawing+xml"/>
  <Override PartName="/xl/ctrlProps/ctrlProp213.xml" ContentType="application/vnd.ms-excel.controlproperties+xml"/>
  <Override PartName="/xl/ctrlProps/ctrlProp214.xml" ContentType="application/vnd.ms-excel.controlproperties+xml"/>
  <Override PartName="/xl/comments50.xml" ContentType="application/vnd.openxmlformats-officedocument.spreadsheetml.comments+xml"/>
  <Override PartName="/xl/drawings/drawing61.xml" ContentType="application/vnd.openxmlformats-officedocument.drawing+xml"/>
  <Override PartName="/xl/ctrlProps/ctrlProp215.xml" ContentType="application/vnd.ms-excel.controlproperties+xml"/>
  <Override PartName="/xl/ctrlProps/ctrlProp216.xml" ContentType="application/vnd.ms-excel.controlproperties+xml"/>
  <Override PartName="/xl/drawings/drawing62.xml" ContentType="application/vnd.openxmlformats-officedocument.drawing+xml"/>
  <Override PartName="/xl/ctrlProps/ctrlProp217.xml" ContentType="application/vnd.ms-excel.controlproperties+xml"/>
  <Override PartName="/xl/ctrlProps/ctrlProp218.xml" ContentType="application/vnd.ms-excel.controlproperties+xml"/>
  <Override PartName="/xl/comments51.xml" ContentType="application/vnd.openxmlformats-officedocument.spreadsheetml.comments+xml"/>
  <Override PartName="/xl/drawings/drawing63.xml" ContentType="application/vnd.openxmlformats-officedocument.drawing+xml"/>
  <Override PartName="/xl/ctrlProps/ctrlProp219.xml" ContentType="application/vnd.ms-excel.controlproperties+xml"/>
  <Override PartName="/xl/ctrlProps/ctrlProp220.xml" ContentType="application/vnd.ms-excel.controlproperties+xml"/>
  <Override PartName="/xl/comments52.xml" ContentType="application/vnd.openxmlformats-officedocument.spreadsheetml.comments+xml"/>
  <Override PartName="/xl/drawings/drawing64.xml" ContentType="application/vnd.openxmlformats-officedocument.drawing+xml"/>
  <Override PartName="/xl/ctrlProps/ctrlProp221.xml" ContentType="application/vnd.ms-excel.controlproperties+xml"/>
  <Override PartName="/xl/ctrlProps/ctrlProp222.xml" ContentType="application/vnd.ms-excel.controlproperties+xml"/>
  <Override PartName="/xl/comments53.xml" ContentType="application/vnd.openxmlformats-officedocument.spreadsheetml.comments+xml"/>
  <Override PartName="/xl/drawings/drawing65.xml" ContentType="application/vnd.openxmlformats-officedocument.drawing+xml"/>
  <Override PartName="/xl/ctrlProps/ctrlProp223.xml" ContentType="application/vnd.ms-excel.controlproperties+xml"/>
  <Override PartName="/xl/ctrlProps/ctrlProp224.xml" ContentType="application/vnd.ms-excel.controlproperties+xml"/>
  <Override PartName="/xl/drawings/drawing66.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omments54.xml" ContentType="application/vnd.openxmlformats-officedocument.spreadsheetml.comments+xml"/>
  <Override PartName="/xl/drawings/drawing67.xml" ContentType="application/vnd.openxmlformats-officedocument.drawing+xml"/>
  <Override PartName="/xl/ctrlProps/ctrlProp227.xml" ContentType="application/vnd.ms-excel.controlproperties+xml"/>
  <Override PartName="/xl/ctrlProps/ctrlProp228.xml" ContentType="application/vnd.ms-excel.controlproperties+xml"/>
  <Override PartName="/xl/comments55.xml" ContentType="application/vnd.openxmlformats-officedocument.spreadsheetml.comments+xml"/>
  <Override PartName="/xl/drawings/drawing68.xml" ContentType="application/vnd.openxmlformats-officedocument.drawing+xml"/>
  <Override PartName="/xl/ctrlProps/ctrlProp229.xml" ContentType="application/vnd.ms-excel.controlproperties+xml"/>
  <Override PartName="/xl/ctrlProps/ctrlProp230.xml" ContentType="application/vnd.ms-excel.controlproperties+xml"/>
  <Override PartName="/xl/comments56.xml" ContentType="application/vnd.openxmlformats-officedocument.spreadsheetml.comments+xml"/>
  <Override PartName="/xl/drawings/drawing69.xml" ContentType="application/vnd.openxmlformats-officedocument.drawing+xml"/>
  <Override PartName="/xl/ctrlProps/ctrlProp231.xml" ContentType="application/vnd.ms-excel.controlproperties+xml"/>
  <Override PartName="/xl/ctrlProps/ctrlProp232.xml" ContentType="application/vnd.ms-excel.controlproperties+xml"/>
  <Override PartName="/xl/drawings/drawing70.xml" ContentType="application/vnd.openxmlformats-officedocument.drawing+xml"/>
  <Override PartName="/xl/ctrlProps/ctrlProp233.xml" ContentType="application/vnd.ms-excel.controlproperties+xml"/>
  <Override PartName="/xl/ctrlProps/ctrlProp234.xml" ContentType="application/vnd.ms-excel.controlproperties+xml"/>
  <Override PartName="/xl/comments57.xml" ContentType="application/vnd.openxmlformats-officedocument.spreadsheetml.comments+xml"/>
  <Override PartName="/xl/drawings/drawing71.xml" ContentType="application/vnd.openxmlformats-officedocument.drawing+xml"/>
  <Override PartName="/xl/ctrlProps/ctrlProp235.xml" ContentType="application/vnd.ms-excel.controlproperties+xml"/>
  <Override PartName="/xl/ctrlProps/ctrlProp236.xml" ContentType="application/vnd.ms-excel.controlproperties+xml"/>
  <Override PartName="/xl/comments58.xml" ContentType="application/vnd.openxmlformats-officedocument.spreadsheetml.comments+xml"/>
  <Override PartName="/xl/drawings/drawing72.xml" ContentType="application/vnd.openxmlformats-officedocument.drawing+xml"/>
  <Override PartName="/xl/ctrlProps/ctrlProp237.xml" ContentType="application/vnd.ms-excel.controlproperties+xml"/>
  <Override PartName="/xl/ctrlProps/ctrlProp238.xml" ContentType="application/vnd.ms-excel.controlproperties+xml"/>
  <Override PartName="/xl/drawings/drawing73.xml" ContentType="application/vnd.openxmlformats-officedocument.drawing+xml"/>
  <Override PartName="/xl/ctrlProps/ctrlProp239.xml" ContentType="application/vnd.ms-excel.controlproperties+xml"/>
  <Override PartName="/xl/ctrlProps/ctrlProp240.xml" ContentType="application/vnd.ms-excel.controlproperties+xml"/>
  <Override PartName="/xl/drawings/drawing74.xml" ContentType="application/vnd.openxmlformats-officedocument.drawing+xml"/>
  <Override PartName="/xl/ctrlProps/ctrlProp241.xml" ContentType="application/vnd.ms-excel.controlproperties+xml"/>
  <Override PartName="/xl/ctrlProps/ctrlProp242.xml" ContentType="application/vnd.ms-excel.controlproperties+xml"/>
  <Override PartName="/xl/comments59.xml" ContentType="application/vnd.openxmlformats-officedocument.spreadsheetml.comments+xml"/>
  <Override PartName="/xl/drawings/drawing75.xml" ContentType="application/vnd.openxmlformats-officedocument.drawing+xml"/>
  <Override PartName="/xl/ctrlProps/ctrlProp243.xml" ContentType="application/vnd.ms-excel.controlproperties+xml"/>
  <Override PartName="/xl/ctrlProps/ctrlProp244.xml" ContentType="application/vnd.ms-excel.controlproperties+xml"/>
  <Override PartName="/xl/comments60.xml" ContentType="application/vnd.openxmlformats-officedocument.spreadsheetml.comments+xml"/>
  <Override PartName="/xl/drawings/drawing76.xml" ContentType="application/vnd.openxmlformats-officedocument.drawing+xml"/>
  <Override PartName="/xl/ctrlProps/ctrlProp245.xml" ContentType="application/vnd.ms-excel.controlproperties+xml"/>
  <Override PartName="/xl/ctrlProps/ctrlProp246.xml" ContentType="application/vnd.ms-excel.controlproperties+xml"/>
  <Override PartName="/xl/comments61.xml" ContentType="application/vnd.openxmlformats-officedocument.spreadsheetml.comments+xml"/>
  <Override PartName="/xl/drawings/drawing77.xml" ContentType="application/vnd.openxmlformats-officedocument.drawing+xml"/>
  <Override PartName="/xl/ctrlProps/ctrlProp247.xml" ContentType="application/vnd.ms-excel.controlproperties+xml"/>
  <Override PartName="/xl/ctrlProps/ctrlProp248.xml" ContentType="application/vnd.ms-excel.controlproperties+xml"/>
  <Override PartName="/xl/comments62.xml" ContentType="application/vnd.openxmlformats-officedocument.spreadsheetml.comments+xml"/>
  <Override PartName="/xl/drawings/drawing78.xml" ContentType="application/vnd.openxmlformats-officedocument.drawing+xml"/>
  <Override PartName="/xl/ctrlProps/ctrlProp249.xml" ContentType="application/vnd.ms-excel.controlproperties+xml"/>
  <Override PartName="/xl/ctrlProps/ctrlProp250.xml" ContentType="application/vnd.ms-excel.controlproperties+xml"/>
  <Override PartName="/xl/comments63.xml" ContentType="application/vnd.openxmlformats-officedocument.spreadsheetml.comments+xml"/>
  <Override PartName="/xl/drawings/drawing79.xml" ContentType="application/vnd.openxmlformats-officedocument.drawing+xml"/>
  <Override PartName="/xl/ctrlProps/ctrlProp251.xml" ContentType="application/vnd.ms-excel.controlproperties+xml"/>
  <Override PartName="/xl/ctrlProps/ctrlProp252.xml" ContentType="application/vnd.ms-excel.controlproperties+xml"/>
  <Override PartName="/xl/drawings/drawing80.xml" ContentType="application/vnd.openxmlformats-officedocument.drawing+xml"/>
  <Override PartName="/xl/ctrlProps/ctrlProp253.xml" ContentType="application/vnd.ms-excel.controlproperties+xml"/>
  <Override PartName="/xl/ctrlProps/ctrlProp254.xml" ContentType="application/vnd.ms-excel.controlproperties+xml"/>
  <Override PartName="/xl/drawings/drawing81.xml" ContentType="application/vnd.openxmlformats-officedocument.drawing+xml"/>
  <Override PartName="/xl/ctrlProps/ctrlProp255.xml" ContentType="application/vnd.ms-excel.controlproperties+xml"/>
  <Override PartName="/xl/ctrlProps/ctrlProp256.xml" ContentType="application/vnd.ms-excel.controlproperties+xml"/>
  <Override PartName="/xl/comments64.xml" ContentType="application/vnd.openxmlformats-officedocument.spreadsheetml.comments+xml"/>
  <Override PartName="/xl/drawings/drawing82.xml" ContentType="application/vnd.openxmlformats-officedocument.drawing+xml"/>
  <Override PartName="/xl/ctrlProps/ctrlProp257.xml" ContentType="application/vnd.ms-excel.controlproperties+xml"/>
  <Override PartName="/xl/ctrlProps/ctrlProp258.xml" ContentType="application/vnd.ms-excel.controlproperties+xml"/>
  <Override PartName="/xl/comments65.xml" ContentType="application/vnd.openxmlformats-officedocument.spreadsheetml.comments+xml"/>
  <Override PartName="/xl/drawings/drawing83.xml" ContentType="application/vnd.openxmlformats-officedocument.drawing+xml"/>
  <Override PartName="/xl/ctrlProps/ctrlProp259.xml" ContentType="application/vnd.ms-excel.controlproperties+xml"/>
  <Override PartName="/xl/ctrlProps/ctrlProp260.xml" ContentType="application/vnd.ms-excel.controlproperties+xml"/>
  <Override PartName="/xl/drawings/drawing84.xml" ContentType="application/vnd.openxmlformats-officedocument.drawing+xml"/>
  <Override PartName="/xl/ctrlProps/ctrlProp261.xml" ContentType="application/vnd.ms-excel.controlproperties+xml"/>
  <Override PartName="/xl/ctrlProps/ctrlProp262.xml" ContentType="application/vnd.ms-excel.controlproperties+xml"/>
  <Override PartName="/xl/drawings/drawing85.xml" ContentType="application/vnd.openxmlformats-officedocument.drawing+xml"/>
  <Override PartName="/xl/ctrlProps/ctrlProp263.xml" ContentType="application/vnd.ms-excel.controlproperties+xml"/>
  <Override PartName="/xl/ctrlProps/ctrlProp264.xml" ContentType="application/vnd.ms-excel.controlproperties+xml"/>
  <Override PartName="/xl/drawings/drawing86.xml" ContentType="application/vnd.openxmlformats-officedocument.drawing+xml"/>
  <Override PartName="/xl/ctrlProps/ctrlProp265.xml" ContentType="application/vnd.ms-excel.controlproperties+xml"/>
  <Override PartName="/xl/ctrlProps/ctrlProp266.xml" ContentType="application/vnd.ms-excel.controlproperties+xml"/>
  <Override PartName="/xl/drawings/drawing87.xml" ContentType="application/vnd.openxmlformats-officedocument.drawing+xml"/>
  <Override PartName="/xl/ctrlProps/ctrlProp267.xml" ContentType="application/vnd.ms-excel.controlproperties+xml"/>
  <Override PartName="/xl/ctrlProps/ctrlProp268.xml" ContentType="application/vnd.ms-excel.controlproperties+xml"/>
  <Override PartName="/xl/drawings/drawing88.xml" ContentType="application/vnd.openxmlformats-officedocument.drawing+xml"/>
  <Override PartName="/xl/ctrlProps/ctrlProp269.xml" ContentType="application/vnd.ms-excel.controlproperties+xml"/>
  <Override PartName="/xl/comments66.xml" ContentType="application/vnd.openxmlformats-officedocument.spreadsheetml.comments+xml"/>
  <Override PartName="/xl/drawings/drawing89.xml" ContentType="application/vnd.openxmlformats-officedocument.drawing+xml"/>
  <Override PartName="/xl/ctrlProps/ctrlProp270.xml" ContentType="application/vnd.ms-excel.controlproperties+xml"/>
  <Override PartName="/xl/comments67.xml" ContentType="application/vnd.openxmlformats-officedocument.spreadsheetml.comments+xml"/>
  <Override PartName="/xl/drawings/drawing90.xml" ContentType="application/vnd.openxmlformats-officedocument.drawing+xml"/>
  <Override PartName="/xl/ctrlProps/ctrlProp271.xml" ContentType="application/vnd.ms-excel.controlproperties+xml"/>
  <Override PartName="/xl/comments68.xml" ContentType="application/vnd.openxmlformats-officedocument.spreadsheetml.comments+xml"/>
  <Override PartName="/xl/drawings/drawing91.xml" ContentType="application/vnd.openxmlformats-officedocument.drawing+xml"/>
  <Override PartName="/xl/ctrlProps/ctrlProp272.xml" ContentType="application/vnd.ms-excel.controlproperties+xml"/>
  <Override PartName="/xl/comments69.xml" ContentType="application/vnd.openxmlformats-officedocument.spreadsheetml.comments+xml"/>
  <Override PartName="/xl/comments7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Carlos\Desktop\"/>
    </mc:Choice>
  </mc:AlternateContent>
  <xr:revisionPtr revIDLastSave="0" documentId="13_ncr:1_{6284D761-A403-40A0-B798-87BD2D922F26}" xr6:coauthVersionLast="47" xr6:coauthVersionMax="47" xr10:uidLastSave="{00000000-0000-0000-0000-000000000000}"/>
  <bookViews>
    <workbookView xWindow="-120" yWindow="-120" windowWidth="24240" windowHeight="13020" tabRatio="601" firstSheet="84" activeTab="87" xr2:uid="{00000000-000D-0000-FFFF-FFFF00000000}"/>
  </bookViews>
  <sheets>
    <sheet name="X COBRAR B200" sheetId="30" r:id="rId1"/>
    <sheet name="SALDOS CONTRATOS" sheetId="70" r:id="rId2"/>
    <sheet name="CONTACTOS" sheetId="40" r:id="rId3"/>
    <sheet name="1. ALFA VIAJES" sheetId="28" r:id="rId4"/>
    <sheet name="2. ESSALUD ANDAHUAYLAS" sheetId="58" r:id="rId5"/>
    <sheet name="3. ESSALUD AREQUIPA" sheetId="4" r:id="rId6"/>
    <sheet name="4. ESSALUD AYP" sheetId="6" r:id="rId7"/>
    <sheet name="5. ESSALUD CAJAMARCA" sheetId="35" r:id="rId8"/>
    <sheet name="6. ESSALUD CHACHAPOYAS" sheetId="20" r:id="rId9"/>
    <sheet name="9. ESSALUD CUSCO" sheetId="1" r:id="rId10"/>
    <sheet name="7. ESSALUD CIX" sheetId="8" r:id="rId11"/>
    <sheet name="8. ESSALUD CHIMBOTE" sheetId="32" r:id="rId12"/>
    <sheet name="10. ESSALUD HCO" sheetId="37" r:id="rId13"/>
    <sheet name="11. ESSALUD JULIACA" sheetId="49" r:id="rId14"/>
    <sheet name="12. ESSALUD LORETO" sheetId="9" state="hidden" r:id="rId15"/>
    <sheet name="12. ESSALUD TINGO MARIA" sheetId="104" r:id="rId16"/>
    <sheet name="13. ESSALUD LORETO NVO CONTRATO" sheetId="61" r:id="rId17"/>
    <sheet name="14. ESSALUD MOYOBAMBA" sheetId="47" r:id="rId18"/>
    <sheet name="15. ESSALUD ORGANOS" sheetId="10" r:id="rId19"/>
    <sheet name="16. ESSALUD PIURA" sheetId="5" r:id="rId20"/>
    <sheet name="17. ESSALUD PUCALLPA" sheetId="23" state="hidden" r:id="rId21"/>
    <sheet name="18. ESSALUD TARAPOTO" sheetId="39" r:id="rId22"/>
    <sheet name="19. ESSALUD TRU" sheetId="21" r:id="rId23"/>
    <sheet name="20. ESSALUD YURIMAGUAS" sheetId="45" r:id="rId24"/>
    <sheet name="21. FENIX-" sheetId="41" r:id="rId25"/>
    <sheet name="22.HOSP.EMERGENCIAS PEDIATRICAS" sheetId="60" r:id="rId26"/>
    <sheet name="23. HOSP. REG AREQUIPA" sheetId="59" r:id="rId27"/>
    <sheet name="24. HOSP.HUNANUE TACNA" sheetId="56" r:id="rId28"/>
    <sheet name="25. HOSP. REG AYACUCHO" sheetId="50" r:id="rId29"/>
    <sheet name="26. HOSP. REG. EL CARMEN-HYO" sheetId="55" r:id="rId30"/>
    <sheet name="27. HOSP. REG HCVCA" sheetId="36" r:id="rId31"/>
    <sheet name="28. HOSP. REG LAMBAYEQUE" sheetId="34" r:id="rId32"/>
    <sheet name="29. HOSP LORETO" sheetId="12" r:id="rId33"/>
    <sheet name="30. HOSP.  PUNO MANUEL NB" sheetId="44" r:id="rId34"/>
    <sheet name="31. HOSP.REG. MOQUEGUA" sheetId="57" r:id="rId35"/>
    <sheet name="32. HOSP. REG TUMBES" sheetId="51" r:id="rId36"/>
    <sheet name="33. HOSP. REG PUCALLPA" sheetId="25" r:id="rId37"/>
    <sheet name="34. HOSP. REG TARAPOTO" sheetId="24" r:id="rId38"/>
    <sheet name="35. HOSP. SANTA ROSA PTO MALD" sheetId="53" r:id="rId39"/>
    <sheet name="36. HOSP. S REG ANDAHUAYLAS" sheetId="27" r:id="rId40"/>
    <sheet name="37. HOSP CHACHAPOYAS" sheetId="19" r:id="rId41"/>
    <sheet name="38. INCA AIR" sheetId="29" r:id="rId42"/>
    <sheet name="39. INSN" sheetId="52" r:id="rId43"/>
    <sheet name="40. MAPFRE PERU" sheetId="38" r:id="rId44"/>
    <sheet name="41. OGESS ALTOMAYO" sheetId="13" r:id="rId45"/>
    <sheet name="42. PROSEGUR" sheetId="42" r:id="rId46"/>
    <sheet name="43. REDESS EL COLLAO" sheetId="43" r:id="rId47"/>
    <sheet name="44. SALUDPOL" sheetId="15" r:id="rId48"/>
    <sheet name="45. ZARO" sheetId="33" r:id="rId49"/>
    <sheet name="46. SERV. GENERALES" sheetId="48" r:id="rId50"/>
    <sheet name="47. VIAJES PUCALLPA" sheetId="31" r:id="rId51"/>
    <sheet name="48. ESSALUD PCL" sheetId="68" r:id="rId52"/>
    <sheet name="49.RIMAC" sheetId="64" r:id="rId53"/>
    <sheet name="50.ESSALUD HUARAZ" sheetId="67" r:id="rId54"/>
    <sheet name="51.HOSP. ABANCAY" sheetId="69" r:id="rId55"/>
    <sheet name="52. ESSALUD PUNO" sheetId="71" r:id="rId56"/>
    <sheet name="53. HOSP REG HONORIOD " sheetId="72" r:id="rId57"/>
    <sheet name="54. SALUD TARMA " sheetId="73" r:id="rId58"/>
    <sheet name="55.HOSP. STA. ROSA PIURA" sheetId="74" r:id="rId59"/>
    <sheet name="56.HOSP. LAS MERCEDES" sheetId="75" r:id="rId60"/>
    <sheet name="57.OGESS HUALLAGA" sheetId="76" r:id="rId61"/>
    <sheet name="58.REPRESENTACIONES LACHO" sheetId="77" r:id="rId62"/>
    <sheet name="59.HOSP. GEN. JAEN" sheetId="78" r:id="rId63"/>
    <sheet name="60.HOSP. REG. HUANUCO" sheetId="79" r:id="rId64"/>
    <sheet name="61.HOSP. BELEN LAMBAYEQUE" sheetId="80" r:id="rId65"/>
    <sheet name="62.HOSP. DE APOYO II SULLANA" sheetId="81" r:id="rId66"/>
    <sheet name="63.ESSALUD TACNA" sheetId="82" r:id="rId67"/>
    <sheet name="64.LA POSITIVA SEGUROS" sheetId="83" r:id="rId68"/>
    <sheet name="65. SANITAS" sheetId="84" r:id="rId69"/>
    <sheet name="66.HOSP. REG. CAJAMARCA" sheetId="86" r:id="rId70"/>
    <sheet name="67.HOSP. BELEN TRUJILLO" sheetId="87" r:id="rId71"/>
    <sheet name="68.UE SALUD UTCUBAMBA" sheetId="88" r:id="rId72"/>
    <sheet name="69.HOSP. CHULUCANAS" sheetId="89" r:id="rId73"/>
    <sheet name="70.HOSP. BAGUA" sheetId="90" r:id="rId74"/>
    <sheet name="71.ESSALUD HUANCAVELICA" sheetId="91" r:id="rId75"/>
    <sheet name="72.HOSP SANTA GEMA" sheetId="92" r:id="rId76"/>
    <sheet name="73.IAFAS MGP" sheetId="93" r:id="rId77"/>
    <sheet name="74.HOSP. TINGO MARIA" sheetId="94" r:id="rId78"/>
    <sheet name="75.ESSALUD TUMBES" sheetId="95" r:id="rId79"/>
    <sheet name="76.HOSP. DOMINGO OLAVEGOYA JJA" sheetId="96" r:id="rId80"/>
    <sheet name="77.HOSP. ELEAZAR GUZMAN BARRON" sheetId="97" r:id="rId81"/>
    <sheet name="78.HOSP. REGIONAL CUSCO" sheetId="98" r:id="rId82"/>
    <sheet name="79.ESSALUD PTO. MALDONADO " sheetId="99" r:id="rId83"/>
    <sheet name="80.DIRESA LORETO" sheetId="101" r:id="rId84"/>
    <sheet name="81.ESSALUD MOQUEGUA" sheetId="108" r:id="rId85"/>
    <sheet name="82.HOSP. APOYO IQUITOS" sheetId="110" r:id="rId86"/>
    <sheet name="83.HOSP. MED TROPICAL-CHANCHAMA" sheetId="111" r:id="rId87"/>
    <sheet name="VUELOS B200 2026" sheetId="107" r:id="rId88"/>
    <sheet name="VUELOS B200 2025" sheetId="106" r:id="rId89"/>
    <sheet name="VUELOS B200 2024" sheetId="100" r:id="rId90"/>
    <sheet name="VUELOS B200 2023" sheetId="62" r:id="rId91"/>
    <sheet name="OTROS" sheetId="109" r:id="rId92"/>
  </sheets>
  <definedNames>
    <definedName name="_xlnm._FilterDatabase" localSheetId="3" hidden="1">'1. ALFA VIAJES'!$A$2:$W$79</definedName>
    <definedName name="_xlnm._FilterDatabase" localSheetId="12" hidden="1">'10. ESSALUD HCO'!$A$2:$V$95</definedName>
    <definedName name="_xlnm._FilterDatabase" localSheetId="13" hidden="1">'11. ESSALUD JULIACA'!$A$2:$Q$12</definedName>
    <definedName name="_xlnm._FilterDatabase" localSheetId="14" hidden="1">'12. ESSALUD LORETO'!$B$3:$T$98</definedName>
    <definedName name="_xlnm._FilterDatabase" localSheetId="15" hidden="1">'12. ESSALUD TINGO MARIA'!$A$2:$Q$6</definedName>
    <definedName name="_xlnm._FilterDatabase" localSheetId="16" hidden="1">'13. ESSALUD LORETO NVO CONTRATO'!$A$2:$V$314</definedName>
    <definedName name="_xlnm._FilterDatabase" localSheetId="17" hidden="1">'14. ESSALUD MOYOBAMBA'!$F$2:$Q$22</definedName>
    <definedName name="_xlnm._FilterDatabase" localSheetId="18" hidden="1">'15. ESSALUD ORGANOS'!$A$2:$T$30</definedName>
    <definedName name="_xlnm._FilterDatabase" localSheetId="19" hidden="1">'16. ESSALUD PIURA'!$A$2:$U$61</definedName>
    <definedName name="_xlnm._FilterDatabase" localSheetId="20" hidden="1">'17. ESSALUD PUCALLPA'!$A$3:$P$24</definedName>
    <definedName name="_xlnm._FilterDatabase" localSheetId="21" hidden="1">'18. ESSALUD TARAPOTO'!$A$1:$Y$334</definedName>
    <definedName name="_xlnm._FilterDatabase" localSheetId="22" hidden="1">'19. ESSALUD TRU'!$A$2:$P$10</definedName>
    <definedName name="_xlnm._FilterDatabase" localSheetId="4" hidden="1">'2. ESSALUD ANDAHUAYLAS'!$A$2:$Q$7</definedName>
    <definedName name="_xlnm._FilterDatabase" localSheetId="23" hidden="1">'20. ESSALUD YURIMAGUAS'!$F$2:$Q$25</definedName>
    <definedName name="_xlnm._FilterDatabase" localSheetId="24" hidden="1">'21. FENIX-'!$A$2:$Q$9</definedName>
    <definedName name="_xlnm._FilterDatabase" localSheetId="25" hidden="1">'22.HOSP.EMERGENCIAS PEDIATRICAS'!$F$2:$Q$5</definedName>
    <definedName name="_xlnm._FilterDatabase" localSheetId="26" hidden="1">'23. HOSP. REG AREQUIPA'!$F$2:$Q$24</definedName>
    <definedName name="_xlnm._FilterDatabase" localSheetId="27" hidden="1">'24. HOSP.HUNANUE TACNA'!$A$2:$X$55</definedName>
    <definedName name="_xlnm._FilterDatabase" localSheetId="28" hidden="1">'25. HOSP. REG AYACUCHO'!$A$2:$Q$113</definedName>
    <definedName name="_xlnm._FilterDatabase" localSheetId="29" hidden="1">'26. HOSP. REG. EL CARMEN-HYO'!$A$2:$Q$15</definedName>
    <definedName name="_xlnm._FilterDatabase" localSheetId="30" hidden="1">'27. HOSP. REG HCVCA'!$B$2:$Q$6</definedName>
    <definedName name="_xlnm._FilterDatabase" localSheetId="31" hidden="1">'28. HOSP. REG LAMBAYEQUE'!$A$2:$U$51</definedName>
    <definedName name="_xlnm._FilterDatabase" localSheetId="32" hidden="1">'29. HOSP LORETO'!$A$2:$V$176</definedName>
    <definedName name="_xlnm._FilterDatabase" localSheetId="5" hidden="1">'3. ESSALUD AREQUIPA'!$A$2:$S$46</definedName>
    <definedName name="_xlnm._FilterDatabase" localSheetId="33" hidden="1">'30. HOSP.  PUNO MANUEL NB'!$A$2:$X$52</definedName>
    <definedName name="_xlnm._FilterDatabase" localSheetId="34" hidden="1">'31. HOSP.REG. MOQUEGUA'!$F$2:$Q$29</definedName>
    <definedName name="_xlnm._FilterDatabase" localSheetId="35" hidden="1">'32. HOSP. REG TUMBES'!$A$2:$Z$114</definedName>
    <definedName name="_xlnm._FilterDatabase" localSheetId="36" hidden="1">'33. HOSP. REG PUCALLPA'!$B$2:$P$6</definedName>
    <definedName name="_xlnm._FilterDatabase" localSheetId="37" hidden="1">'34. HOSP. REG TARAPOTO'!$A$2:$Q$68</definedName>
    <definedName name="_xlnm._FilterDatabase" localSheetId="38" hidden="1">'35. HOSP. SANTA ROSA PTO MALD'!$A$2:$U$45</definedName>
    <definedName name="_xlnm._FilterDatabase" localSheetId="39" hidden="1">'36. HOSP. S REG ANDAHUAYLAS'!$B$2:$Q$38</definedName>
    <definedName name="_xlnm._FilterDatabase" localSheetId="40" hidden="1">'37. HOSP CHACHAPOYAS'!$B$2:$Q$29</definedName>
    <definedName name="_xlnm._FilterDatabase" localSheetId="41" hidden="1">'38. INCA AIR'!$A$2:$Q$137</definedName>
    <definedName name="_xlnm._FilterDatabase" localSheetId="42" hidden="1">'39. INSN'!$A$2:$Q$7</definedName>
    <definedName name="_xlnm._FilterDatabase" localSheetId="6" hidden="1">'4. ESSALUD AYP'!$A$2:$X$151</definedName>
    <definedName name="_xlnm._FilterDatabase" localSheetId="43" hidden="1">'40. MAPFRE PERU'!$A$2:$Q$4</definedName>
    <definedName name="_xlnm._FilterDatabase" localSheetId="44" hidden="1">'41. OGESS ALTOMAYO'!$A$2:$V$187</definedName>
    <definedName name="_xlnm._FilterDatabase" localSheetId="45" hidden="1">'42. PROSEGUR'!$A$2:$Q$7</definedName>
    <definedName name="_xlnm._FilterDatabase" localSheetId="46" hidden="1">'43. REDESS EL COLLAO'!$B$2:$Q$6</definedName>
    <definedName name="_xlnm._FilterDatabase" localSheetId="47" hidden="1">'44. SALUDPOL'!$A$2:$X$524</definedName>
    <definedName name="_xlnm._FilterDatabase" localSheetId="48" hidden="1">'45. ZARO'!$A$2:$Q$64</definedName>
    <definedName name="_xlnm._FilterDatabase" localSheetId="49" hidden="1">'46. SERV. GENERALES'!$A$2:$Q$5</definedName>
    <definedName name="_xlnm._FilterDatabase" localSheetId="50" hidden="1">'47. VIAJES PUCALLPA'!$A$2:$R$80</definedName>
    <definedName name="_xlnm._FilterDatabase" localSheetId="51" hidden="1">'48. ESSALUD PCL'!$A$2:$AD$433</definedName>
    <definedName name="_xlnm._FilterDatabase" localSheetId="52" hidden="1">'49.RIMAC'!$A$2:$R$20</definedName>
    <definedName name="_xlnm._FilterDatabase" localSheetId="7" hidden="1">'5. ESSALUD CAJAMARCA'!$F$2:$Q$17</definedName>
    <definedName name="_xlnm._FilterDatabase" localSheetId="53" hidden="1">'50.ESSALUD HUARAZ'!$A$2:$R$6</definedName>
    <definedName name="_xlnm._FilterDatabase" localSheetId="54" hidden="1">'51.HOSP. ABANCAY'!$A$2:$R$7</definedName>
    <definedName name="_xlnm._FilterDatabase" localSheetId="55" hidden="1">'52. ESSALUD PUNO'!$A$2:$Q$7</definedName>
    <definedName name="_xlnm._FilterDatabase" localSheetId="56" hidden="1">'53. HOSP REG HONORIOD '!$A$2:$X$75</definedName>
    <definedName name="_xlnm._FilterDatabase" localSheetId="57" hidden="1">'54. SALUD TARMA '!$A$2:$Q$11</definedName>
    <definedName name="_xlnm._FilterDatabase" localSheetId="58" hidden="1">'55.HOSP. STA. ROSA PIURA'!$A$2:$V$56</definedName>
    <definedName name="_xlnm._FilterDatabase" localSheetId="59" hidden="1">'56.HOSP. LAS MERCEDES'!$A$2:$Q$34</definedName>
    <definedName name="_xlnm._FilterDatabase" localSheetId="60" hidden="1">'57.OGESS HUALLAGA'!$A$2:$Q$22</definedName>
    <definedName name="_xlnm._FilterDatabase" localSheetId="61" hidden="1">'58.REPRESENTACIONES LACHO'!$A$2:$Q$7</definedName>
    <definedName name="_xlnm._FilterDatabase" localSheetId="62" hidden="1">'59.HOSP. GEN. JAEN'!$A$2:$X$46</definedName>
    <definedName name="_xlnm._FilterDatabase" localSheetId="8" hidden="1">'6. ESSALUD CHACHAPOYAS'!$A$2:$V$65</definedName>
    <definedName name="_xlnm._FilterDatabase" localSheetId="63" hidden="1">'60.HOSP. REG. HUANUCO'!$A$2:$Q$7</definedName>
    <definedName name="_xlnm._FilterDatabase" localSheetId="64" hidden="1">'61.HOSP. BELEN LAMBAYEQUE'!$A$2:$Q$10</definedName>
    <definedName name="_xlnm._FilterDatabase" localSheetId="65" hidden="1">'62.HOSP. DE APOYO II SULLANA'!$B$2:$X$28</definedName>
    <definedName name="_xlnm._FilterDatabase" localSheetId="66" hidden="1">'63.ESSALUD TACNA'!$A$2:$Q$10</definedName>
    <definedName name="_xlnm._FilterDatabase" localSheetId="67" hidden="1">'64.LA POSITIVA SEGUROS'!$A$2:$Q$12</definedName>
    <definedName name="_xlnm._FilterDatabase" localSheetId="68" hidden="1">'65. SANITAS'!$A$2:$Q$11</definedName>
    <definedName name="_xlnm._FilterDatabase" localSheetId="69" hidden="1">'66.HOSP. REG. CAJAMARCA'!$A$2:$Q$33</definedName>
    <definedName name="_xlnm._FilterDatabase" localSheetId="70" hidden="1">'67.HOSP. BELEN TRUJILLO'!$A$2:$Q$17</definedName>
    <definedName name="_xlnm._FilterDatabase" localSheetId="71" hidden="1">'68.UE SALUD UTCUBAMBA'!$A$2:$Q$8</definedName>
    <definedName name="_xlnm._FilterDatabase" localSheetId="72" hidden="1">'69.HOSP. CHULUCANAS'!$A$2:$Q$15</definedName>
    <definedName name="_xlnm._FilterDatabase" localSheetId="10" hidden="1">'7. ESSALUD CIX'!$A$2:$Q$81</definedName>
    <definedName name="_xlnm._FilterDatabase" localSheetId="73" hidden="1">'70.HOSP. BAGUA'!$A$2:$Q$18</definedName>
    <definedName name="_xlnm._FilterDatabase" localSheetId="74" hidden="1">'71.ESSALUD HUANCAVELICA'!$A$2:$Q$8</definedName>
    <definedName name="_xlnm._FilterDatabase" localSheetId="75" hidden="1">'72.HOSP SANTA GEMA'!$A$2:$Q$11</definedName>
    <definedName name="_xlnm._FilterDatabase" localSheetId="76" hidden="1">'73.IAFAS MGP'!$A$2:$Q$19</definedName>
    <definedName name="_xlnm._FilterDatabase" localSheetId="77" hidden="1">'74.HOSP. TINGO MARIA'!$A$2:$Q$30</definedName>
    <definedName name="_xlnm._FilterDatabase" localSheetId="78" hidden="1">'75.ESSALUD TUMBES'!$A$2:$Q$18</definedName>
    <definedName name="_xlnm._FilterDatabase" localSheetId="79" hidden="1">'76.HOSP. DOMINGO OLAVEGOYA JJA'!$A$2:$Q$5</definedName>
    <definedName name="_xlnm._FilterDatabase" localSheetId="80" hidden="1">'77.HOSP. ELEAZAR GUZMAN BARRON'!$A$2:$Q$5</definedName>
    <definedName name="_xlnm._FilterDatabase" localSheetId="81" hidden="1">'78.HOSP. REGIONAL CUSCO'!$A$2:$W$36</definedName>
    <definedName name="_xlnm._FilterDatabase" localSheetId="82" hidden="1">'79.ESSALUD PTO. MALDONADO '!$A$2:$Q$7</definedName>
    <definedName name="_xlnm._FilterDatabase" localSheetId="11" hidden="1">'8. ESSALUD CHIMBOTE'!$B$2:$Q$7</definedName>
    <definedName name="_xlnm._FilterDatabase" localSheetId="83" hidden="1">'80.DIRESA LORETO'!$A$2:$Q$5</definedName>
    <definedName name="_xlnm._FilterDatabase" localSheetId="84" hidden="1">'81.ESSALUD MOQUEGUA'!$A$2:$Q$5</definedName>
    <definedName name="_xlnm._FilterDatabase" localSheetId="85" hidden="1">'82.HOSP. APOYO IQUITOS'!$A$2:$Q$6</definedName>
    <definedName name="_xlnm._FilterDatabase" localSheetId="86" hidden="1">'83.HOSP. MED TROPICAL-CHANCHAMA'!$A$2:$Q$6</definedName>
    <definedName name="_xlnm._FilterDatabase" localSheetId="9" hidden="1">'9. ESSALUD CUSCO'!$A$2:$X$193</definedName>
    <definedName name="_xlnm._FilterDatabase" localSheetId="90" hidden="1">'VUELOS B200 2023'!$A$1:$AA$764</definedName>
    <definedName name="_xlnm._FilterDatabase" localSheetId="89" hidden="1">'VUELOS B200 2024'!$A$1:$Z$967</definedName>
    <definedName name="_xlnm._FilterDatabase" localSheetId="88" hidden="1">'VUELOS B200 2025'!$A$1:$AT$1000</definedName>
    <definedName name="_xlnm._FilterDatabase" localSheetId="87" hidden="1">'VUELOS B200 2026'!$A$314:$AM$620</definedName>
    <definedName name="_xlnm.Print_Area" localSheetId="20">'17. ESSALUD PUCALLPA'!$A$2:$O$27</definedName>
    <definedName name="_xlnm.Print_Area" localSheetId="1">'SALDOS CONTRATOS'!$B$1:$G$17</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91" i="12" l="1"/>
  <c r="I30" i="98"/>
  <c r="K500" i="15"/>
  <c r="K501" i="15"/>
  <c r="K502" i="15"/>
  <c r="J12" i="82" l="1"/>
  <c r="O32" i="78" l="1"/>
  <c r="O34" i="78"/>
  <c r="N35" i="78"/>
  <c r="P35" i="78" s="1"/>
  <c r="O35" i="78"/>
  <c r="N36" i="78"/>
  <c r="P36" i="78" s="1"/>
  <c r="O36" i="78"/>
  <c r="O33" i="78"/>
  <c r="J28" i="98" l="1"/>
  <c r="J114" i="15"/>
  <c r="K109" i="15"/>
  <c r="K497" i="15"/>
  <c r="K496" i="15"/>
  <c r="K498" i="15"/>
  <c r="K499" i="15"/>
  <c r="J80" i="8"/>
  <c r="J34" i="78" l="1"/>
  <c r="N34" i="78" s="1"/>
  <c r="P34" i="78" s="1"/>
  <c r="J14" i="89"/>
  <c r="J20" i="76"/>
  <c r="J130" i="6"/>
  <c r="K495" i="15"/>
  <c r="K494" i="15"/>
  <c r="I66" i="72"/>
  <c r="J64" i="72" l="1"/>
  <c r="J33" i="78" l="1"/>
  <c r="N33" i="78" s="1"/>
  <c r="P33" i="78" s="1"/>
  <c r="J32" i="78"/>
  <c r="N32" i="78" s="1"/>
  <c r="P32" i="78" s="1"/>
  <c r="J6" i="58" l="1"/>
  <c r="K493" i="15"/>
  <c r="K492" i="15" l="1"/>
  <c r="K491" i="15"/>
  <c r="K108" i="15"/>
  <c r="J43" i="56"/>
  <c r="J42" i="56"/>
  <c r="J13" i="89"/>
  <c r="J78" i="8"/>
  <c r="J79" i="8"/>
  <c r="J40" i="53" l="1"/>
  <c r="I307" i="61"/>
  <c r="J21" i="34" l="1"/>
  <c r="J131" i="29" l="1"/>
  <c r="J15" i="87" l="1"/>
  <c r="I45" i="20" l="1"/>
  <c r="N553" i="107"/>
  <c r="M553" i="107"/>
  <c r="J27" i="94" l="1"/>
  <c r="I529" i="15"/>
  <c r="I530" i="15"/>
  <c r="I531" i="15"/>
  <c r="I532" i="15"/>
  <c r="I533" i="15"/>
  <c r="I534" i="15"/>
  <c r="I535" i="15"/>
  <c r="I536" i="15"/>
  <c r="I537" i="15"/>
  <c r="I538" i="15"/>
  <c r="I539" i="15"/>
  <c r="I540" i="15"/>
  <c r="I541" i="15"/>
  <c r="I542" i="15"/>
  <c r="I543" i="15"/>
  <c r="I544" i="15"/>
  <c r="I545" i="15"/>
  <c r="I546" i="15"/>
  <c r="I547" i="15"/>
  <c r="I528" i="15"/>
  <c r="J260" i="15"/>
  <c r="K488" i="15"/>
  <c r="K489" i="15"/>
  <c r="K490" i="15"/>
  <c r="J30" i="86" l="1"/>
  <c r="M498" i="107"/>
  <c r="I548" i="15" l="1"/>
  <c r="J191" i="61" l="1"/>
  <c r="I44" i="20"/>
  <c r="J17" i="93"/>
  <c r="D15" i="70" l="1"/>
  <c r="K437" i="15"/>
  <c r="K438" i="15"/>
  <c r="K439" i="15"/>
  <c r="K440" i="15"/>
  <c r="K441" i="15"/>
  <c r="K442" i="15"/>
  <c r="K443" i="15"/>
  <c r="K444" i="15"/>
  <c r="K445" i="15"/>
  <c r="K446" i="15"/>
  <c r="K447" i="15"/>
  <c r="K448" i="15"/>
  <c r="K449" i="15"/>
  <c r="K450" i="15"/>
  <c r="K451" i="15"/>
  <c r="K452" i="15"/>
  <c r="K453" i="15"/>
  <c r="J39" i="53" l="1"/>
  <c r="K487" i="15"/>
  <c r="J507" i="15" l="1"/>
  <c r="K119" i="15"/>
  <c r="J29" i="86"/>
  <c r="J28" i="57"/>
  <c r="K107" i="15"/>
  <c r="J41" i="44"/>
  <c r="J129" i="6"/>
  <c r="J27" i="98" l="1"/>
  <c r="K485" i="15"/>
  <c r="K486" i="15"/>
  <c r="J33" i="75" l="1"/>
  <c r="J3" i="111" l="1"/>
  <c r="I7" i="111"/>
  <c r="C86" i="30" s="1"/>
  <c r="K457" i="106" l="1"/>
  <c r="J26" i="94" l="1"/>
  <c r="K483" i="15" l="1"/>
  <c r="K484" i="15"/>
  <c r="K482" i="15" l="1"/>
  <c r="J128" i="6"/>
  <c r="J26" i="81" l="1"/>
  <c r="J127" i="6" l="1"/>
  <c r="J40" i="44"/>
  <c r="J32" i="75"/>
  <c r="J77" i="8"/>
  <c r="J129" i="29"/>
  <c r="J130" i="29"/>
  <c r="J128" i="29" l="1"/>
  <c r="K481" i="15"/>
  <c r="J4" i="52" l="1"/>
  <c r="J5" i="52"/>
  <c r="J3" i="52"/>
  <c r="J30" i="27"/>
  <c r="J29" i="27"/>
  <c r="J28" i="27"/>
  <c r="J27" i="27"/>
  <c r="J26" i="27"/>
  <c r="J25" i="27"/>
  <c r="J24" i="27"/>
  <c r="J23" i="27"/>
  <c r="J22" i="27"/>
  <c r="J21" i="27"/>
  <c r="J20" i="27"/>
  <c r="J19" i="27"/>
  <c r="J18" i="27"/>
  <c r="J17" i="27"/>
  <c r="J16" i="27"/>
  <c r="J15" i="27"/>
  <c r="J14" i="27"/>
  <c r="J13" i="27"/>
  <c r="J4" i="27"/>
  <c r="J5" i="27"/>
  <c r="J6" i="27"/>
  <c r="J7" i="27"/>
  <c r="J8" i="27"/>
  <c r="J3" i="27"/>
  <c r="J22" i="59"/>
  <c r="K479" i="15" l="1"/>
  <c r="K480" i="15"/>
  <c r="J16" i="93" l="1"/>
  <c r="K36" i="27" l="1"/>
  <c r="N498" i="107" l="1"/>
  <c r="J15" i="93" l="1"/>
  <c r="I33" i="27" l="1"/>
  <c r="C39" i="30" s="1"/>
  <c r="J124" i="29"/>
  <c r="J125" i="29"/>
  <c r="J126" i="29"/>
  <c r="J127" i="29"/>
  <c r="J123" i="29"/>
  <c r="K478" i="15"/>
  <c r="K477" i="15"/>
  <c r="J25" i="81" l="1"/>
  <c r="J27" i="81"/>
  <c r="J517" i="15" l="1"/>
  <c r="K106" i="15"/>
  <c r="K476" i="15"/>
  <c r="M429" i="107" l="1"/>
  <c r="J39" i="44" l="1"/>
  <c r="J63" i="72"/>
  <c r="K474" i="15"/>
  <c r="K475" i="15"/>
  <c r="J425" i="68" l="1"/>
  <c r="J76" i="8" l="1"/>
  <c r="K471" i="15" l="1"/>
  <c r="K472" i="15"/>
  <c r="K473" i="15"/>
  <c r="J7" i="82"/>
  <c r="J5" i="82"/>
  <c r="J3" i="82" l="1"/>
  <c r="J4" i="82"/>
  <c r="J6" i="82"/>
  <c r="J9" i="82"/>
  <c r="J126" i="6"/>
  <c r="K470" i="15" l="1"/>
  <c r="J46" i="78" l="1"/>
  <c r="C15" i="70" s="1"/>
  <c r="L45" i="78"/>
  <c r="K46" i="78"/>
  <c r="I39" i="78"/>
  <c r="K54" i="56"/>
  <c r="I47" i="56"/>
  <c r="J62" i="72" l="1"/>
  <c r="J125" i="6"/>
  <c r="J38" i="44" l="1"/>
  <c r="J37" i="44"/>
  <c r="K469" i="15" l="1"/>
  <c r="J424" i="68"/>
  <c r="I43" i="20" l="1"/>
  <c r="J124" i="6"/>
  <c r="J20" i="34"/>
  <c r="I29" i="81" l="1"/>
  <c r="I24" i="81"/>
  <c r="J24" i="81" s="1"/>
  <c r="M389" i="107"/>
  <c r="K468" i="15" l="1"/>
  <c r="I25" i="59"/>
  <c r="J23" i="59"/>
  <c r="M386" i="107"/>
  <c r="M432" i="107" s="1"/>
  <c r="J61" i="72"/>
  <c r="N432" i="107" l="1"/>
  <c r="K466" i="15" l="1"/>
  <c r="K467" i="15"/>
  <c r="J423" i="68"/>
  <c r="J5" i="91"/>
  <c r="J422" i="68" l="1"/>
  <c r="J421" i="68" l="1"/>
  <c r="J122" i="6" l="1"/>
  <c r="J123" i="6"/>
  <c r="J75" i="8"/>
  <c r="I113" i="6" l="1"/>
  <c r="J19" i="76" l="1"/>
  <c r="J8" i="84" l="1"/>
  <c r="J419" i="68"/>
  <c r="J420" i="68"/>
  <c r="H48" i="20" l="1"/>
  <c r="K465" i="15"/>
  <c r="J22" i="81" l="1"/>
  <c r="J11" i="89" l="1"/>
  <c r="J120" i="29" l="1"/>
  <c r="J119" i="29"/>
  <c r="K463" i="15"/>
  <c r="K464" i="15"/>
  <c r="J117" i="29" l="1"/>
  <c r="J23" i="81"/>
  <c r="J12" i="89"/>
  <c r="M348" i="107"/>
  <c r="F194" i="107" l="1"/>
  <c r="J26" i="98" l="1"/>
  <c r="J418" i="68"/>
  <c r="J74" i="8"/>
  <c r="J19" i="34"/>
  <c r="L141" i="6"/>
  <c r="L142" i="6" s="1"/>
  <c r="D13" i="70" s="1"/>
  <c r="J121" i="6"/>
  <c r="I132" i="6"/>
  <c r="K142" i="6"/>
  <c r="C13" i="70" s="1"/>
  <c r="M141" i="6"/>
  <c r="I88" i="12" l="1"/>
  <c r="I90" i="12"/>
  <c r="J60" i="72"/>
  <c r="J417" i="68"/>
  <c r="K462" i="15" l="1"/>
  <c r="J23" i="56" l="1"/>
  <c r="I137" i="6"/>
  <c r="C7" i="30" s="1"/>
  <c r="L51" i="44"/>
  <c r="I44" i="44"/>
  <c r="J73" i="8"/>
  <c r="I89" i="12"/>
  <c r="J28" i="86"/>
  <c r="K459" i="15"/>
  <c r="K460" i="15"/>
  <c r="K461" i="15"/>
  <c r="K458" i="15" l="1"/>
  <c r="K457" i="15" l="1"/>
  <c r="M288" i="68" l="1"/>
  <c r="I288" i="68"/>
  <c r="K456" i="15" l="1"/>
  <c r="I427" i="68" l="1"/>
  <c r="I431" i="68" l="1"/>
  <c r="C51" i="30" s="1"/>
  <c r="J118" i="29"/>
  <c r="K454" i="15"/>
  <c r="K455" i="15"/>
  <c r="N373" i="107"/>
  <c r="M373" i="107"/>
  <c r="M312" i="107" l="1"/>
  <c r="J116" i="29" l="1"/>
  <c r="I42" i="20"/>
  <c r="J14" i="93"/>
  <c r="J38" i="34" l="1"/>
  <c r="J115" i="29"/>
  <c r="J114" i="29" l="1"/>
  <c r="I229" i="39" l="1"/>
  <c r="I120" i="39"/>
  <c r="J59" i="72" l="1"/>
  <c r="J58" i="72"/>
  <c r="J57" i="72"/>
  <c r="G144" i="29"/>
  <c r="E144" i="29" s="1"/>
  <c r="G145" i="29"/>
  <c r="E145" i="29" s="1"/>
  <c r="E146" i="29"/>
  <c r="E147" i="29"/>
  <c r="F148" i="29"/>
  <c r="J113" i="29"/>
  <c r="J112" i="29"/>
  <c r="G148" i="29" l="1"/>
  <c r="J38" i="53" l="1"/>
  <c r="J27" i="86"/>
  <c r="J25" i="98" l="1"/>
  <c r="J25" i="94"/>
  <c r="J24" i="94" l="1"/>
  <c r="L514" i="15"/>
  <c r="I8" i="82"/>
  <c r="J8" i="82" s="1"/>
  <c r="J110" i="6"/>
  <c r="M274" i="107"/>
  <c r="J108" i="6" l="1"/>
  <c r="J109" i="6"/>
  <c r="J14" i="87"/>
  <c r="J22" i="56" l="1"/>
  <c r="J415" i="68"/>
  <c r="J416" i="68"/>
  <c r="J93" i="51" l="1"/>
  <c r="J21" i="81" l="1"/>
  <c r="J19" i="81"/>
  <c r="H94" i="12" l="1"/>
  <c r="I87" i="12"/>
  <c r="J72" i="8" l="1"/>
  <c r="I86" i="8"/>
  <c r="I43" i="8" s="1"/>
  <c r="I82" i="8" s="1"/>
  <c r="K436" i="15" l="1"/>
  <c r="J107" i="6"/>
  <c r="J24" i="98" l="1"/>
  <c r="J23" i="98"/>
  <c r="K118" i="15" l="1"/>
  <c r="J20" i="81"/>
  <c r="K435" i="15"/>
  <c r="K434" i="15"/>
  <c r="K433" i="15"/>
  <c r="K432" i="15"/>
  <c r="K431" i="15"/>
  <c r="K430" i="15"/>
  <c r="K429" i="15"/>
  <c r="K428" i="15"/>
  <c r="N309" i="107" l="1"/>
  <c r="M309" i="107"/>
  <c r="K21" i="15" l="1"/>
  <c r="J106" i="6" l="1"/>
  <c r="J190" i="61" l="1"/>
  <c r="J414" i="68" l="1"/>
  <c r="K50" i="44" l="1"/>
  <c r="J105" i="6"/>
  <c r="J189" i="61"/>
  <c r="K72" i="72"/>
  <c r="I7" i="110" l="1"/>
  <c r="J97" i="50" l="1"/>
  <c r="K107" i="50" l="1"/>
  <c r="J107" i="50"/>
  <c r="N248" i="107" l="1"/>
  <c r="M231" i="107"/>
  <c r="J8" i="92" l="1"/>
  <c r="J413" i="68"/>
  <c r="J104" i="6" l="1"/>
  <c r="J103" i="6" l="1"/>
  <c r="C85" i="30" l="1"/>
  <c r="J3" i="110"/>
  <c r="J4" i="110"/>
  <c r="J11" i="55"/>
  <c r="J25" i="78" l="1"/>
  <c r="J24" i="78"/>
  <c r="J23" i="78"/>
  <c r="M188" i="107"/>
  <c r="J102" i="6" l="1"/>
  <c r="I85" i="12"/>
  <c r="I83" i="12"/>
  <c r="J18" i="81" l="1"/>
  <c r="M218" i="107"/>
  <c r="M248" i="107" s="1"/>
  <c r="I81" i="12" l="1"/>
  <c r="I78" i="12"/>
  <c r="I79" i="12"/>
  <c r="I86" i="12" l="1"/>
  <c r="J26" i="86"/>
  <c r="J188" i="61" l="1"/>
  <c r="I84" i="12" l="1"/>
  <c r="J187" i="61"/>
  <c r="J112" i="39" l="1"/>
  <c r="J113" i="39"/>
  <c r="J114" i="39"/>
  <c r="J115" i="39"/>
  <c r="J116" i="39"/>
  <c r="J117" i="39"/>
  <c r="J118" i="39"/>
  <c r="J101" i="6"/>
  <c r="J186" i="61"/>
  <c r="J108" i="29" l="1"/>
  <c r="J20" i="59" l="1"/>
  <c r="I34" i="44" l="1"/>
  <c r="J107" i="29"/>
  <c r="J412" i="68" l="1"/>
  <c r="J4" i="108"/>
  <c r="J3" i="108"/>
  <c r="I6" i="108"/>
  <c r="J10" i="89"/>
  <c r="K427" i="15" l="1"/>
  <c r="J9" i="89" l="1"/>
  <c r="J10" i="83" l="1"/>
  <c r="K425" i="15"/>
  <c r="K426" i="15"/>
  <c r="J586" i="107"/>
  <c r="J585" i="107"/>
  <c r="J584" i="107"/>
  <c r="J583" i="107"/>
  <c r="H582" i="107"/>
  <c r="H581" i="107"/>
  <c r="H580" i="107"/>
  <c r="J582" i="107" l="1"/>
  <c r="V582" i="107"/>
  <c r="W582" i="107" s="1"/>
  <c r="M582" i="107"/>
  <c r="J580" i="107"/>
  <c r="M579" i="107"/>
  <c r="M580" i="107"/>
  <c r="V580" i="107"/>
  <c r="W580" i="107" s="1"/>
  <c r="J581" i="107"/>
  <c r="V581" i="107"/>
  <c r="W581" i="107" s="1"/>
  <c r="M581" i="107"/>
  <c r="L986" i="106"/>
  <c r="I82" i="12"/>
  <c r="V579" i="107" l="1"/>
  <c r="X578" i="107"/>
  <c r="J100" i="6"/>
  <c r="X576" i="107" l="1"/>
  <c r="W579" i="107"/>
  <c r="V583" i="107"/>
  <c r="V584" i="107" s="1"/>
  <c r="J21" i="59" l="1"/>
  <c r="M178" i="107"/>
  <c r="J96" i="50" l="1"/>
  <c r="K402" i="15"/>
  <c r="K403" i="15"/>
  <c r="K404" i="15"/>
  <c r="K405" i="15"/>
  <c r="K406" i="15"/>
  <c r="K407" i="15"/>
  <c r="K408" i="15"/>
  <c r="K409" i="15"/>
  <c r="K410" i="15"/>
  <c r="K411" i="15"/>
  <c r="K412" i="15"/>
  <c r="K413" i="15"/>
  <c r="K414" i="15"/>
  <c r="K415" i="15"/>
  <c r="K416" i="15"/>
  <c r="K417" i="15"/>
  <c r="K418" i="15"/>
  <c r="K419" i="15"/>
  <c r="K420" i="15"/>
  <c r="K421" i="15"/>
  <c r="K422" i="15"/>
  <c r="K423" i="15"/>
  <c r="K424" i="15"/>
  <c r="J411" i="68" l="1"/>
  <c r="J221" i="68" l="1"/>
  <c r="J31" i="75" l="1"/>
  <c r="I80" i="12"/>
  <c r="J410" i="68"/>
  <c r="J95" i="50" l="1"/>
  <c r="I74" i="31" l="1"/>
  <c r="I81" i="31" s="1"/>
  <c r="I86" i="31"/>
  <c r="M164" i="107" l="1"/>
  <c r="M195" i="107" s="1"/>
  <c r="K105" i="15" l="1"/>
  <c r="I23" i="76" l="1"/>
  <c r="J18" i="76"/>
  <c r="J17" i="81" l="1"/>
  <c r="J99" i="6" l="1"/>
  <c r="I23" i="37" l="1"/>
  <c r="C13" i="30" s="1"/>
  <c r="I77" i="12"/>
  <c r="J21" i="56"/>
  <c r="I72" i="12" l="1"/>
  <c r="J185" i="61" l="1"/>
  <c r="I17" i="64" l="1"/>
  <c r="J17" i="64" s="1"/>
  <c r="N138" i="107"/>
  <c r="N195" i="107" s="1"/>
  <c r="J37" i="34"/>
  <c r="J37" i="53"/>
  <c r="J98" i="6" l="1"/>
  <c r="J408" i="68"/>
  <c r="J409" i="68"/>
  <c r="J19" i="37" l="1"/>
  <c r="J13" i="35"/>
  <c r="K36" i="98" l="1"/>
  <c r="C10" i="70" s="1"/>
  <c r="L35" i="98"/>
  <c r="L36" i="98" s="1"/>
  <c r="D10" i="70" s="1"/>
  <c r="M35" i="98"/>
  <c r="I106" i="29" l="1"/>
  <c r="J106" i="29" s="1"/>
  <c r="I75" i="12"/>
  <c r="I73" i="12"/>
  <c r="N112" i="107"/>
  <c r="J407" i="68" l="1"/>
  <c r="J94" i="50" l="1"/>
  <c r="J97" i="6"/>
  <c r="J18" i="37"/>
  <c r="J18" i="34"/>
  <c r="I195" i="61" l="1"/>
  <c r="C16" i="30" s="1"/>
  <c r="K398" i="15" l="1"/>
  <c r="J25" i="86" l="1"/>
  <c r="J36" i="53"/>
  <c r="M129" i="107"/>
  <c r="J12" i="35" l="1"/>
  <c r="J27" i="57"/>
  <c r="N103" i="107"/>
  <c r="J81" i="29" l="1"/>
  <c r="J82" i="29"/>
  <c r="J83" i="29"/>
  <c r="J84" i="29"/>
  <c r="J85" i="29"/>
  <c r="J86" i="29"/>
  <c r="J87" i="29"/>
  <c r="J78" i="29"/>
  <c r="J79" i="29"/>
  <c r="J80" i="29"/>
  <c r="J77" i="29"/>
  <c r="J72" i="29"/>
  <c r="J65" i="29"/>
  <c r="J64" i="29"/>
  <c r="J61" i="29"/>
  <c r="J60" i="29"/>
  <c r="J59" i="29"/>
  <c r="J67" i="29"/>
  <c r="J66" i="29"/>
  <c r="J68" i="29"/>
  <c r="J288" i="39" l="1"/>
  <c r="J289" i="39"/>
  <c r="J11" i="35" l="1"/>
  <c r="I18" i="35" l="1"/>
  <c r="G775" i="106" l="1"/>
  <c r="L515" i="15" l="1"/>
  <c r="J16" i="98"/>
  <c r="J24" i="86"/>
  <c r="I18" i="87"/>
  <c r="J13" i="87"/>
  <c r="N94" i="107"/>
  <c r="J15" i="98" l="1"/>
  <c r="J105" i="29"/>
  <c r="O129" i="107"/>
  <c r="J7" i="92" l="1"/>
  <c r="J8" i="89"/>
  <c r="J7" i="89"/>
  <c r="K400" i="15"/>
  <c r="K401" i="15"/>
  <c r="K399" i="15" l="1"/>
  <c r="N80" i="107"/>
  <c r="N129" i="107" s="1"/>
  <c r="J6" i="80" l="1"/>
  <c r="I76" i="12"/>
  <c r="K397" i="15" l="1"/>
  <c r="J406" i="68" l="1"/>
  <c r="K104" i="15" l="1"/>
  <c r="I9" i="88" l="1"/>
  <c r="K396" i="15" l="1"/>
  <c r="M301" i="39"/>
  <c r="I262" i="39"/>
  <c r="P301" i="39" l="1"/>
  <c r="O301" i="39" s="1"/>
  <c r="J97" i="13" l="1"/>
  <c r="J14" i="98" l="1"/>
  <c r="J184" i="61" l="1"/>
  <c r="M189" i="106" l="1"/>
  <c r="M188" i="106"/>
  <c r="M187" i="106"/>
  <c r="M186" i="106"/>
  <c r="M185" i="106"/>
  <c r="M184" i="106"/>
  <c r="M183" i="106"/>
  <c r="M182" i="106"/>
  <c r="M181" i="106"/>
  <c r="M180" i="106"/>
  <c r="M179" i="106"/>
  <c r="M178" i="106"/>
  <c r="M177" i="106"/>
  <c r="M176" i="106"/>
  <c r="K395" i="15" l="1"/>
  <c r="K394" i="15" l="1"/>
  <c r="J183" i="61"/>
  <c r="J396" i="68" l="1"/>
  <c r="J17" i="90" l="1"/>
  <c r="J17" i="34"/>
  <c r="K392" i="15" l="1"/>
  <c r="K393" i="15"/>
  <c r="J405" i="68"/>
  <c r="J404" i="68" l="1"/>
  <c r="J529" i="15"/>
  <c r="G528" i="15"/>
  <c r="G529" i="15" l="1"/>
  <c r="J528" i="15"/>
  <c r="F548" i="15" l="1"/>
  <c r="J540" i="15" l="1"/>
  <c r="G540" i="15"/>
  <c r="J541" i="15"/>
  <c r="G541" i="15"/>
  <c r="J542" i="15"/>
  <c r="G542" i="15"/>
  <c r="G543" i="15"/>
  <c r="J543" i="15"/>
  <c r="G544" i="15"/>
  <c r="J544" i="15"/>
  <c r="J533" i="15"/>
  <c r="G533" i="15"/>
  <c r="G535" i="15"/>
  <c r="J535" i="15"/>
  <c r="G536" i="15"/>
  <c r="J536" i="15"/>
  <c r="G537" i="15"/>
  <c r="J537" i="15"/>
  <c r="G545" i="15"/>
  <c r="J545" i="15"/>
  <c r="J534" i="15"/>
  <c r="G534" i="15"/>
  <c r="G530" i="15"/>
  <c r="J530" i="15"/>
  <c r="J538" i="15"/>
  <c r="G538" i="15"/>
  <c r="J546" i="15"/>
  <c r="G546" i="15"/>
  <c r="G532" i="15"/>
  <c r="J532" i="15"/>
  <c r="J531" i="15"/>
  <c r="G531" i="15"/>
  <c r="J539" i="15"/>
  <c r="G539" i="15"/>
  <c r="G547" i="15"/>
  <c r="J547" i="15"/>
  <c r="J548" i="15"/>
  <c r="K390" i="15" l="1"/>
  <c r="K391" i="15"/>
  <c r="N36" i="107"/>
  <c r="N58" i="107" s="1"/>
  <c r="J403" i="68" l="1"/>
  <c r="C84" i="30" l="1"/>
  <c r="K103" i="15" l="1"/>
  <c r="M167" i="1" l="1"/>
  <c r="M514" i="15" l="1"/>
  <c r="M513" i="15"/>
  <c r="K389" i="15" l="1"/>
  <c r="J182" i="61"/>
  <c r="J181" i="61" l="1"/>
  <c r="J180" i="61"/>
  <c r="J179" i="61"/>
  <c r="J178" i="61"/>
  <c r="J177" i="61"/>
  <c r="J176" i="61"/>
  <c r="J175" i="61"/>
  <c r="J174" i="61"/>
  <c r="J173" i="61"/>
  <c r="J172" i="61"/>
  <c r="J171" i="61"/>
  <c r="J170" i="61"/>
  <c r="J169" i="61"/>
  <c r="J168" i="61"/>
  <c r="J160" i="61"/>
  <c r="J158" i="61"/>
  <c r="J134" i="61"/>
  <c r="J30" i="44" l="1"/>
  <c r="J402" i="68" l="1"/>
  <c r="J36" i="34" l="1"/>
  <c r="I74" i="12"/>
  <c r="I172" i="12" l="1"/>
  <c r="J172" i="12"/>
  <c r="J17" i="37"/>
  <c r="J29" i="44"/>
  <c r="J48" i="72" l="1"/>
  <c r="J96" i="13" l="1"/>
  <c r="J400" i="68"/>
  <c r="J401" i="68"/>
  <c r="J50" i="72"/>
  <c r="J96" i="6"/>
  <c r="K384" i="15"/>
  <c r="K385" i="15"/>
  <c r="K386" i="15"/>
  <c r="K387" i="15"/>
  <c r="K388" i="15"/>
  <c r="M58" i="107" l="1"/>
  <c r="J71" i="8" l="1"/>
  <c r="J16" i="37" l="1"/>
  <c r="J15" i="37"/>
  <c r="J14" i="37"/>
  <c r="J13" i="37"/>
  <c r="J12" i="37"/>
  <c r="J11" i="37"/>
  <c r="J95" i="6" l="1"/>
  <c r="J16" i="50"/>
  <c r="J104" i="29"/>
  <c r="J70" i="8"/>
  <c r="J5" i="80"/>
  <c r="J17" i="76"/>
  <c r="J23" i="94"/>
  <c r="K379" i="15"/>
  <c r="K380" i="15"/>
  <c r="K381" i="15"/>
  <c r="K382" i="15"/>
  <c r="K383" i="15"/>
  <c r="J49" i="72"/>
  <c r="K351" i="15" l="1"/>
  <c r="K349" i="15"/>
  <c r="K346" i="15"/>
  <c r="K344" i="15"/>
  <c r="K343" i="15"/>
  <c r="K342" i="15"/>
  <c r="K341" i="15"/>
  <c r="K340" i="15"/>
  <c r="K339" i="15"/>
  <c r="K378" i="15" l="1"/>
  <c r="J58" i="29" l="1"/>
  <c r="J57" i="29"/>
  <c r="J56" i="29"/>
  <c r="J53" i="29"/>
  <c r="J54" i="29"/>
  <c r="J55" i="29"/>
  <c r="J50" i="29"/>
  <c r="J51" i="29"/>
  <c r="J52" i="29"/>
  <c r="J4" i="29"/>
  <c r="J94" i="6" l="1"/>
  <c r="K377" i="15" l="1"/>
  <c r="K102" i="15" l="1"/>
  <c r="K101" i="15" l="1"/>
  <c r="J93" i="6" l="1"/>
  <c r="K374" i="15"/>
  <c r="K375" i="15"/>
  <c r="K376" i="15"/>
  <c r="J26" i="57" l="1"/>
  <c r="K372" i="15"/>
  <c r="K373" i="15"/>
  <c r="K100" i="15" l="1"/>
  <c r="J70" i="29" l="1"/>
  <c r="J69" i="29"/>
  <c r="K986" i="106" l="1"/>
  <c r="K912" i="106"/>
  <c r="K925" i="106" s="1"/>
  <c r="L869" i="106"/>
  <c r="L925" i="106" s="1"/>
  <c r="K853" i="106"/>
  <c r="M799" i="106"/>
  <c r="L783" i="106"/>
  <c r="L853" i="106" s="1"/>
  <c r="K769" i="106"/>
  <c r="K755" i="106"/>
  <c r="L752" i="106"/>
  <c r="L774" i="106" s="1"/>
  <c r="L692" i="106"/>
  <c r="K639" i="106"/>
  <c r="K692" i="106" s="1"/>
  <c r="K616" i="106"/>
  <c r="L561" i="106"/>
  <c r="L557" i="106"/>
  <c r="L543" i="106"/>
  <c r="K527" i="106"/>
  <c r="K543" i="106" s="1"/>
  <c r="K448" i="106"/>
  <c r="J404" i="106"/>
  <c r="K402" i="106"/>
  <c r="J401" i="106"/>
  <c r="L362" i="106"/>
  <c r="L453" i="106" s="1"/>
  <c r="L348" i="106"/>
  <c r="K255" i="106"/>
  <c r="K348" i="106" s="1"/>
  <c r="K242" i="106"/>
  <c r="K250" i="106" s="1"/>
  <c r="L230" i="106"/>
  <c r="L250" i="106" s="1"/>
  <c r="K160" i="106"/>
  <c r="L154" i="106"/>
  <c r="L113" i="106"/>
  <c r="L92" i="106"/>
  <c r="K92" i="106"/>
  <c r="J23" i="106"/>
  <c r="K370" i="15"/>
  <c r="K371" i="15"/>
  <c r="J13" i="98"/>
  <c r="K453" i="106" l="1"/>
  <c r="K774" i="106"/>
  <c r="L616" i="106"/>
  <c r="L160" i="106"/>
  <c r="L455" i="106" s="1"/>
  <c r="J399" i="68"/>
  <c r="J92" i="6"/>
  <c r="J23" i="86"/>
  <c r="J10" i="37"/>
  <c r="J9" i="37"/>
  <c r="K99" i="15" l="1"/>
  <c r="K369" i="15"/>
  <c r="K368" i="15"/>
  <c r="J398" i="68"/>
  <c r="J260" i="39"/>
  <c r="J16" i="59" l="1"/>
  <c r="J17" i="59"/>
  <c r="J18" i="59"/>
  <c r="J19" i="59"/>
  <c r="J15" i="59"/>
  <c r="J35" i="34"/>
  <c r="J295" i="39" l="1"/>
  <c r="J397" i="68" l="1"/>
  <c r="J91" i="6" l="1"/>
  <c r="J103" i="29"/>
  <c r="U307" i="39"/>
  <c r="J111" i="39"/>
  <c r="I298" i="39" l="1"/>
  <c r="J22" i="94" l="1"/>
  <c r="J21" i="94"/>
  <c r="I41" i="20" l="1"/>
  <c r="J6" i="32" l="1"/>
  <c r="J4" i="32"/>
  <c r="J395" i="68" l="1"/>
  <c r="I40" i="20" l="1"/>
  <c r="J90" i="6" l="1"/>
  <c r="J22" i="86"/>
  <c r="J47" i="72"/>
  <c r="J294" i="39"/>
  <c r="K98" i="15" l="1"/>
  <c r="J48" i="24" l="1"/>
  <c r="J293" i="39" l="1"/>
  <c r="J259" i="39" l="1"/>
  <c r="J20" i="94" l="1"/>
  <c r="J89" i="6"/>
  <c r="J292" i="39"/>
  <c r="K96" i="15"/>
  <c r="K97" i="15"/>
  <c r="J394" i="68"/>
  <c r="L37" i="27" l="1"/>
  <c r="L38" i="27" s="1"/>
  <c r="D7" i="70" s="1"/>
  <c r="K38" i="27"/>
  <c r="C7" i="70" s="1"/>
  <c r="M37" i="27"/>
  <c r="I102" i="29" l="1"/>
  <c r="J102" i="29" s="1"/>
  <c r="J393" i="68" l="1"/>
  <c r="J291" i="39"/>
  <c r="J12" i="93" l="1"/>
  <c r="J13" i="93"/>
  <c r="J167" i="61" l="1"/>
  <c r="K94" i="15"/>
  <c r="K95" i="15"/>
  <c r="J392" i="68" l="1"/>
  <c r="K93" i="15"/>
  <c r="I156" i="12" l="1"/>
  <c r="J46" i="72"/>
  <c r="J101" i="29" l="1"/>
  <c r="J14" i="94" l="1"/>
  <c r="J15" i="94"/>
  <c r="K92" i="15" l="1"/>
  <c r="J258" i="39"/>
  <c r="J166" i="61"/>
  <c r="J91" i="51" l="1"/>
  <c r="J92" i="51"/>
  <c r="K91" i="15"/>
  <c r="J11" i="87"/>
  <c r="J12" i="98" l="1"/>
  <c r="J12" i="87"/>
  <c r="K90" i="15"/>
  <c r="J88" i="6" l="1"/>
  <c r="J21" i="86"/>
  <c r="J100" i="29"/>
  <c r="J391" i="68"/>
  <c r="J32" i="5" l="1"/>
  <c r="J165" i="61" l="1"/>
  <c r="J257" i="39" l="1"/>
  <c r="J47" i="24" l="1"/>
  <c r="J10" i="35"/>
  <c r="I71" i="12" l="1"/>
  <c r="J390" i="68"/>
  <c r="K88" i="15"/>
  <c r="K89" i="15"/>
  <c r="J164" i="61"/>
  <c r="J87" i="6"/>
  <c r="J389" i="68" l="1"/>
  <c r="J34" i="34"/>
  <c r="J256" i="39"/>
  <c r="I155" i="12" l="1"/>
  <c r="K87" i="15"/>
  <c r="J290" i="39" l="1"/>
  <c r="J99" i="29"/>
  <c r="K86" i="15"/>
  <c r="J22" i="74"/>
  <c r="J23" i="74"/>
  <c r="J86" i="6" l="1"/>
  <c r="J98" i="29" l="1"/>
  <c r="J163" i="61"/>
  <c r="J388" i="68"/>
  <c r="J22" i="78" l="1"/>
  <c r="J387" i="68" l="1"/>
  <c r="K84" i="15"/>
  <c r="K85" i="15"/>
  <c r="I34" i="5"/>
  <c r="J33" i="5"/>
  <c r="J85" i="6" l="1"/>
  <c r="L311" i="39"/>
  <c r="L309" i="39"/>
  <c r="Q309" i="39"/>
  <c r="Q311" i="39"/>
  <c r="J7" i="83" l="1"/>
  <c r="J9" i="83"/>
  <c r="J8" i="83"/>
  <c r="K82" i="15" l="1"/>
  <c r="K83" i="15"/>
  <c r="J97" i="29"/>
  <c r="C10" i="30" l="1"/>
  <c r="K81" i="15" l="1"/>
  <c r="J287" i="39"/>
  <c r="J21" i="78" l="1"/>
  <c r="J33" i="34"/>
  <c r="J162" i="61" l="1"/>
  <c r="I96" i="29"/>
  <c r="J96" i="29" s="1"/>
  <c r="J161" i="61"/>
  <c r="J95" i="29" l="1"/>
  <c r="I154" i="12" l="1"/>
  <c r="J25" i="57" l="1"/>
  <c r="K80" i="15"/>
  <c r="J20" i="86"/>
  <c r="J93" i="29" l="1"/>
  <c r="J94" i="29"/>
  <c r="J363" i="15" l="1"/>
  <c r="J286" i="39" l="1"/>
  <c r="J16" i="76"/>
  <c r="J20" i="78"/>
  <c r="J386" i="68"/>
  <c r="J45" i="72" l="1"/>
  <c r="I153" i="12"/>
  <c r="J44" i="72"/>
  <c r="J24" i="57" l="1"/>
  <c r="I152" i="12" l="1"/>
  <c r="J35" i="53"/>
  <c r="K78" i="15" l="1"/>
  <c r="K79" i="15"/>
  <c r="I150" i="12"/>
  <c r="J6" i="99" l="1"/>
  <c r="I5" i="99"/>
  <c r="J5" i="99" s="1"/>
  <c r="K77" i="15"/>
  <c r="J255" i="39" l="1"/>
  <c r="K76" i="15"/>
  <c r="J159" i="61"/>
  <c r="J90" i="29"/>
  <c r="J91" i="29"/>
  <c r="J92" i="29"/>
  <c r="J385" i="68" l="1"/>
  <c r="J19" i="78" l="1"/>
  <c r="J20" i="74"/>
  <c r="J21" i="74"/>
  <c r="J384" i="68"/>
  <c r="J89" i="29" l="1"/>
  <c r="J18" i="78"/>
  <c r="J285" i="39" l="1"/>
  <c r="K75" i="15" l="1"/>
  <c r="J254" i="39" l="1"/>
  <c r="I88" i="29"/>
  <c r="J9" i="35" l="1"/>
  <c r="J95" i="13"/>
  <c r="J89" i="51"/>
  <c r="J90" i="51"/>
  <c r="J157" i="61" l="1"/>
  <c r="J31" i="5"/>
  <c r="J24" i="45"/>
  <c r="J11" i="93"/>
  <c r="J23" i="57"/>
  <c r="K74" i="15" l="1"/>
  <c r="J11" i="98"/>
  <c r="C50" i="30"/>
  <c r="J156" i="61" l="1"/>
  <c r="J84" i="6"/>
  <c r="J253" i="39"/>
  <c r="J22" i="57" l="1"/>
  <c r="J83" i="6"/>
  <c r="J155" i="61"/>
  <c r="K73" i="15" l="1"/>
  <c r="J17" i="78" l="1"/>
  <c r="J82" i="6" l="1"/>
  <c r="J19" i="94"/>
  <c r="J154" i="61"/>
  <c r="K72" i="15" l="1"/>
  <c r="J33" i="53"/>
  <c r="J34" i="53"/>
  <c r="J284" i="39"/>
  <c r="J32" i="34" l="1"/>
  <c r="J18" i="94"/>
  <c r="N309" i="39"/>
  <c r="J282" i="39"/>
  <c r="J283" i="39"/>
  <c r="J31" i="34" l="1"/>
  <c r="K71" i="15"/>
  <c r="J153" i="61"/>
  <c r="K70" i="15" l="1"/>
  <c r="J10" i="98" l="1"/>
  <c r="J137" i="61" l="1"/>
  <c r="J136" i="61"/>
  <c r="J130" i="61"/>
  <c r="J129" i="61"/>
  <c r="J126" i="61"/>
  <c r="J123" i="61"/>
  <c r="J119" i="61"/>
  <c r="J113" i="61"/>
  <c r="J152" i="61"/>
  <c r="J151" i="61"/>
  <c r="J150" i="61"/>
  <c r="J149" i="61"/>
  <c r="J148" i="61"/>
  <c r="J147" i="61"/>
  <c r="J146" i="61"/>
  <c r="J145" i="61"/>
  <c r="J144" i="61"/>
  <c r="J143" i="61"/>
  <c r="J142" i="61"/>
  <c r="J141" i="61"/>
  <c r="J140" i="61"/>
  <c r="J139" i="61"/>
  <c r="J138" i="61"/>
  <c r="J30" i="5" l="1"/>
  <c r="I151" i="12" l="1"/>
  <c r="J81" i="6"/>
  <c r="J281" i="39" l="1"/>
  <c r="J43" i="72" l="1"/>
  <c r="J280" i="39"/>
  <c r="I95" i="51" l="1"/>
  <c r="I149" i="12" l="1"/>
  <c r="K69" i="15"/>
  <c r="J29" i="5"/>
  <c r="J9" i="98"/>
  <c r="J19" i="74"/>
  <c r="J18" i="74"/>
  <c r="I44" i="53" l="1"/>
  <c r="J16" i="78" l="1"/>
  <c r="I99" i="13" l="1"/>
  <c r="J82" i="13"/>
  <c r="J87" i="51" l="1"/>
  <c r="J88" i="51"/>
  <c r="J76" i="29" l="1"/>
  <c r="J71" i="29"/>
  <c r="J63" i="29"/>
  <c r="J62" i="29"/>
  <c r="K68" i="15" l="1"/>
  <c r="J80" i="6" l="1"/>
  <c r="K67" i="15"/>
  <c r="I53" i="72" l="1"/>
  <c r="J42" i="72"/>
  <c r="K66" i="15"/>
  <c r="J279" i="39"/>
  <c r="K65" i="15"/>
  <c r="J19" i="86"/>
  <c r="J18" i="86" l="1"/>
  <c r="J28" i="5"/>
  <c r="J15" i="81" l="1"/>
  <c r="J94" i="13" l="1"/>
  <c r="J28" i="44"/>
  <c r="J16" i="74" l="1"/>
  <c r="I148" i="12" l="1"/>
  <c r="N48" i="20"/>
  <c r="I40" i="34" l="1"/>
  <c r="K64" i="15"/>
  <c r="J27" i="44" l="1"/>
  <c r="J79" i="6" l="1"/>
  <c r="J278" i="39"/>
  <c r="J93" i="13"/>
  <c r="K62" i="15"/>
  <c r="K63" i="15"/>
  <c r="J20" i="53"/>
  <c r="J21" i="53"/>
  <c r="J14" i="74" l="1"/>
  <c r="J17" i="74" l="1"/>
  <c r="K61" i="15" l="1"/>
  <c r="K60" i="15" l="1"/>
  <c r="J383" i="68"/>
  <c r="I30" i="19" l="1"/>
  <c r="J26" i="19"/>
  <c r="J92" i="13"/>
  <c r="J10" i="93"/>
  <c r="J381" i="68"/>
  <c r="J382" i="68"/>
  <c r="J252" i="39"/>
  <c r="J7" i="84"/>
  <c r="J78" i="6" l="1"/>
  <c r="K59" i="15"/>
  <c r="J17" i="94" l="1"/>
  <c r="J380" i="68"/>
  <c r="J89" i="13"/>
  <c r="J90" i="13"/>
  <c r="J91" i="13"/>
  <c r="K58" i="15"/>
  <c r="J69" i="8" l="1"/>
  <c r="J93" i="50" l="1"/>
  <c r="L49" i="34" l="1"/>
  <c r="L50" i="34" s="1"/>
  <c r="D9" i="70" s="1"/>
  <c r="K50" i="34"/>
  <c r="C9" i="70" s="1"/>
  <c r="M49" i="34"/>
  <c r="J16" i="81" l="1"/>
  <c r="J251" i="39"/>
  <c r="K57" i="15"/>
  <c r="J21" i="75" l="1"/>
  <c r="J20" i="75"/>
  <c r="J25" i="75"/>
  <c r="J24" i="75"/>
  <c r="J23" i="75"/>
  <c r="J22" i="75"/>
  <c r="J27" i="75"/>
  <c r="J26" i="75"/>
  <c r="J28" i="75"/>
  <c r="J24" i="53"/>
  <c r="J25" i="53"/>
  <c r="K55" i="15" l="1"/>
  <c r="K56" i="15"/>
  <c r="J21" i="57"/>
  <c r="J379" i="68" l="1"/>
  <c r="J68" i="8" l="1"/>
  <c r="K54" i="15"/>
  <c r="J4" i="91"/>
  <c r="J10" i="55"/>
  <c r="J377" i="68"/>
  <c r="J378" i="68"/>
  <c r="I38" i="20" l="1"/>
  <c r="I39" i="20"/>
  <c r="J61" i="8"/>
  <c r="J62" i="8"/>
  <c r="J351" i="68"/>
  <c r="J15" i="78" l="1"/>
  <c r="J17" i="86"/>
  <c r="J376" i="68"/>
  <c r="J64" i="8" l="1"/>
  <c r="J66" i="8"/>
  <c r="J13" i="74" l="1"/>
  <c r="J15" i="74" l="1"/>
  <c r="J77" i="6" l="1"/>
  <c r="J250" i="39"/>
  <c r="J249" i="39" l="1"/>
  <c r="J25" i="19"/>
  <c r="J16" i="94"/>
  <c r="I37" i="20" l="1"/>
  <c r="I36" i="20"/>
  <c r="J67" i="8" l="1"/>
  <c r="J5" i="37"/>
  <c r="J6" i="37"/>
  <c r="J7" i="37"/>
  <c r="J14" i="78" l="1"/>
  <c r="J16" i="86"/>
  <c r="J248" i="39"/>
  <c r="I75" i="29"/>
  <c r="J75" i="29" s="1"/>
  <c r="L315" i="15" l="1"/>
  <c r="J247" i="39" l="1"/>
  <c r="J375" i="68"/>
  <c r="J46" i="24" l="1"/>
  <c r="I73" i="29"/>
  <c r="J73" i="29" s="1"/>
  <c r="J5" i="89"/>
  <c r="K53" i="15" l="1"/>
  <c r="J373" i="68" l="1"/>
  <c r="J374" i="68"/>
  <c r="J79" i="37"/>
  <c r="J80" i="37"/>
  <c r="J81" i="37"/>
  <c r="J82" i="37"/>
  <c r="J83" i="37"/>
  <c r="J84" i="37"/>
  <c r="J277" i="39" l="1"/>
  <c r="J4" i="80" l="1"/>
  <c r="J15" i="86"/>
  <c r="J12" i="74"/>
  <c r="J4" i="35"/>
  <c r="J3" i="35"/>
  <c r="J20" i="57" l="1"/>
  <c r="J44" i="24" l="1"/>
  <c r="J45" i="24"/>
  <c r="J88" i="13"/>
  <c r="J12" i="78"/>
  <c r="J13" i="78"/>
  <c r="J372" i="68"/>
  <c r="K51" i="15"/>
  <c r="K52" i="15"/>
  <c r="J27" i="5"/>
  <c r="I147" i="12"/>
  <c r="J18" i="75"/>
  <c r="J371" i="68" l="1"/>
  <c r="J6" i="89" l="1"/>
  <c r="J92" i="50"/>
  <c r="J135" i="61"/>
  <c r="K50" i="15" l="1"/>
  <c r="J8" i="35"/>
  <c r="I8" i="93" l="1"/>
  <c r="I20" i="93" s="1"/>
  <c r="J9" i="93"/>
  <c r="J276" i="39" l="1"/>
  <c r="J8" i="37" l="1"/>
  <c r="J24" i="19"/>
  <c r="J91" i="50"/>
  <c r="J85" i="51" l="1"/>
  <c r="J86" i="51"/>
  <c r="J275" i="39"/>
  <c r="J246" i="39" l="1"/>
  <c r="J14" i="86"/>
  <c r="J329" i="68"/>
  <c r="J11" i="78" l="1"/>
  <c r="J13" i="94"/>
  <c r="J133" i="61"/>
  <c r="J132" i="61" l="1"/>
  <c r="J20" i="56"/>
  <c r="J370" i="68" l="1"/>
  <c r="J90" i="50"/>
  <c r="J274" i="39"/>
  <c r="J273" i="39"/>
  <c r="K49" i="15"/>
  <c r="J76" i="6" l="1"/>
  <c r="J362" i="68"/>
  <c r="J131" i="61" l="1"/>
  <c r="K41" i="15" l="1"/>
  <c r="K42" i="15"/>
  <c r="K43" i="15"/>
  <c r="K44" i="15"/>
  <c r="K45" i="15"/>
  <c r="K46" i="15"/>
  <c r="K47" i="15"/>
  <c r="K48" i="15"/>
  <c r="J369" i="68" l="1"/>
  <c r="I146" i="12" l="1"/>
  <c r="J368" i="68" l="1"/>
  <c r="J367" i="68" l="1"/>
  <c r="J75" i="6" l="1"/>
  <c r="J366" i="68"/>
  <c r="J89" i="50"/>
  <c r="J128" i="61"/>
  <c r="J245" i="39"/>
  <c r="K361" i="15"/>
  <c r="J32" i="53" l="1"/>
  <c r="J43" i="24" l="1"/>
  <c r="K360" i="15"/>
  <c r="J127" i="61"/>
  <c r="J244" i="39"/>
  <c r="J88" i="50" l="1"/>
  <c r="K359" i="15" l="1"/>
  <c r="J364" i="68" l="1"/>
  <c r="J365" i="68"/>
  <c r="J10" i="87"/>
  <c r="K358" i="15" l="1"/>
  <c r="J30" i="75"/>
  <c r="J12" i="94"/>
  <c r="J8" i="93"/>
  <c r="J7" i="74"/>
  <c r="J6" i="74"/>
  <c r="J4" i="74"/>
  <c r="J3" i="74"/>
  <c r="J10" i="74"/>
  <c r="J8" i="74"/>
  <c r="I9" i="74"/>
  <c r="J9" i="74" s="1"/>
  <c r="I11" i="74"/>
  <c r="J11" i="74" s="1"/>
  <c r="J363" i="68"/>
  <c r="J71" i="6" l="1"/>
  <c r="J283" i="61"/>
  <c r="J284" i="61"/>
  <c r="J285" i="61"/>
  <c r="J286" i="61"/>
  <c r="J287" i="61"/>
  <c r="J288" i="61"/>
  <c r="J289" i="61"/>
  <c r="J290" i="61"/>
  <c r="J291" i="61"/>
  <c r="J292" i="61"/>
  <c r="J293" i="61"/>
  <c r="J294" i="61"/>
  <c r="J295" i="61"/>
  <c r="M282" i="61"/>
  <c r="J74" i="6" l="1"/>
  <c r="J360" i="68"/>
  <c r="J361" i="68"/>
  <c r="M55" i="37" l="1"/>
  <c r="J359" i="68" l="1"/>
  <c r="I13" i="44"/>
  <c r="J11" i="44"/>
  <c r="J19" i="57"/>
  <c r="K357" i="15"/>
  <c r="K703" i="62" l="1"/>
  <c r="K747" i="62" s="1"/>
  <c r="L673" i="62"/>
  <c r="K673" i="62"/>
  <c r="L610" i="62"/>
  <c r="L582" i="62"/>
  <c r="L575" i="62"/>
  <c r="L687" i="62" s="1"/>
  <c r="L747" i="62" s="1"/>
  <c r="L558" i="62"/>
  <c r="K550" i="62"/>
  <c r="L538" i="62"/>
  <c r="K492" i="62"/>
  <c r="L452" i="62"/>
  <c r="L437" i="62"/>
  <c r="K432" i="62"/>
  <c r="L385" i="62"/>
  <c r="L432" i="62" s="1"/>
  <c r="K321" i="62"/>
  <c r="K371" i="62" s="1"/>
  <c r="K306" i="62"/>
  <c r="L285" i="62"/>
  <c r="L306" i="62" s="1"/>
  <c r="L236" i="62"/>
  <c r="K221" i="62"/>
  <c r="K180" i="62"/>
  <c r="K179" i="62"/>
  <c r="L171" i="62"/>
  <c r="K134" i="62"/>
  <c r="K125" i="62"/>
  <c r="K124" i="62"/>
  <c r="AA119" i="62"/>
  <c r="V119" i="62"/>
  <c r="V118" i="62"/>
  <c r="L118" i="62"/>
  <c r="K118" i="62"/>
  <c r="Z117" i="62"/>
  <c r="AA117" i="62" s="1"/>
  <c r="V117" i="62"/>
  <c r="U117" i="62"/>
  <c r="T117" i="62"/>
  <c r="X116" i="62"/>
  <c r="X117" i="62" s="1"/>
  <c r="V116" i="62"/>
  <c r="AA115" i="62"/>
  <c r="G95" i="62"/>
  <c r="G88" i="62"/>
  <c r="G81" i="62"/>
  <c r="G80" i="62"/>
  <c r="G76" i="62"/>
  <c r="G69" i="62"/>
  <c r="G68" i="62"/>
  <c r="L52" i="62"/>
  <c r="L64" i="62" s="1"/>
  <c r="K50" i="62"/>
  <c r="K14" i="62"/>
  <c r="K952" i="100"/>
  <c r="L921" i="100"/>
  <c r="L874" i="100"/>
  <c r="L871" i="100"/>
  <c r="L854" i="100"/>
  <c r="L832" i="100"/>
  <c r="L787" i="100"/>
  <c r="K780" i="100"/>
  <c r="K869" i="100" s="1"/>
  <c r="L767" i="100"/>
  <c r="L709" i="100"/>
  <c r="W713" i="100" s="1"/>
  <c r="K688" i="100"/>
  <c r="K767" i="100" s="1"/>
  <c r="XFD680" i="100"/>
  <c r="L674" i="100"/>
  <c r="T673" i="100"/>
  <c r="K646" i="100"/>
  <c r="K674" i="100" s="1"/>
  <c r="L571" i="100"/>
  <c r="L586" i="100" s="1"/>
  <c r="K554" i="100"/>
  <c r="K586" i="100" s="1"/>
  <c r="L514" i="100"/>
  <c r="L518" i="100" s="1"/>
  <c r="K499" i="100"/>
  <c r="K518" i="100" s="1"/>
  <c r="N439" i="100"/>
  <c r="K439" i="100"/>
  <c r="L393" i="100"/>
  <c r="L392" i="100"/>
  <c r="L356" i="100"/>
  <c r="K356" i="100"/>
  <c r="L280" i="100"/>
  <c r="K266" i="100"/>
  <c r="E266" i="100" s="1"/>
  <c r="K248" i="100"/>
  <c r="E248" i="100" s="1"/>
  <c r="L225" i="100"/>
  <c r="M224" i="100"/>
  <c r="K222" i="100"/>
  <c r="K213" i="100"/>
  <c r="K144" i="100"/>
  <c r="K149" i="100" s="1"/>
  <c r="E126" i="100"/>
  <c r="L111" i="100"/>
  <c r="L73" i="100"/>
  <c r="K14" i="100"/>
  <c r="K74" i="100" s="1"/>
  <c r="I6" i="101"/>
  <c r="C83" i="30" s="1"/>
  <c r="J4" i="101"/>
  <c r="J3" i="101"/>
  <c r="I8" i="99"/>
  <c r="C82" i="30" s="1"/>
  <c r="J4" i="99"/>
  <c r="J3" i="99"/>
  <c r="I20" i="98"/>
  <c r="I32" i="98" s="1"/>
  <c r="C81" i="30" s="1"/>
  <c r="J8" i="98"/>
  <c r="J7" i="98"/>
  <c r="J6" i="98"/>
  <c r="J5" i="98"/>
  <c r="J4" i="98"/>
  <c r="J3" i="98"/>
  <c r="I6" i="97"/>
  <c r="C80" i="30" s="1"/>
  <c r="J3" i="97"/>
  <c r="I6" i="96"/>
  <c r="J3" i="96"/>
  <c r="I12" i="95"/>
  <c r="C78" i="30" s="1"/>
  <c r="J10" i="95"/>
  <c r="J9" i="95"/>
  <c r="J8" i="95"/>
  <c r="J7" i="95"/>
  <c r="J6" i="95"/>
  <c r="J5" i="95"/>
  <c r="J4" i="95"/>
  <c r="J3" i="95"/>
  <c r="I31" i="94"/>
  <c r="C77" i="30" s="1"/>
  <c r="J11" i="94"/>
  <c r="J10" i="94"/>
  <c r="J9" i="94"/>
  <c r="J8" i="94"/>
  <c r="J7" i="94"/>
  <c r="J6" i="94"/>
  <c r="J5" i="94"/>
  <c r="J4" i="94"/>
  <c r="J3" i="94"/>
  <c r="J7" i="93"/>
  <c r="J6" i="93"/>
  <c r="J5" i="93"/>
  <c r="J4" i="93"/>
  <c r="J3" i="93"/>
  <c r="I12" i="92"/>
  <c r="C75" i="30" s="1"/>
  <c r="J6" i="92"/>
  <c r="J5" i="92"/>
  <c r="J4" i="92"/>
  <c r="J3" i="92"/>
  <c r="I9" i="91"/>
  <c r="J3" i="91"/>
  <c r="I19" i="90"/>
  <c r="C73" i="30" s="1"/>
  <c r="J16" i="90"/>
  <c r="J15" i="90"/>
  <c r="J14" i="90"/>
  <c r="J13" i="90"/>
  <c r="J12" i="90"/>
  <c r="J11" i="90"/>
  <c r="J10" i="90"/>
  <c r="J9" i="90"/>
  <c r="J8" i="90"/>
  <c r="J7" i="90"/>
  <c r="J6" i="90"/>
  <c r="J5" i="90"/>
  <c r="J4" i="90"/>
  <c r="J3" i="90"/>
  <c r="J4" i="89"/>
  <c r="I3" i="89"/>
  <c r="I16" i="89" s="1"/>
  <c r="C71" i="30"/>
  <c r="J9" i="87"/>
  <c r="J8" i="87"/>
  <c r="J7" i="87"/>
  <c r="J6" i="87"/>
  <c r="J5" i="87"/>
  <c r="J4" i="87"/>
  <c r="J3" i="87"/>
  <c r="I34" i="86"/>
  <c r="C69" i="30" s="1"/>
  <c r="J13" i="86"/>
  <c r="J12" i="86"/>
  <c r="J11" i="86"/>
  <c r="J10" i="86"/>
  <c r="J9" i="86"/>
  <c r="J8" i="86"/>
  <c r="J7" i="86"/>
  <c r="J6" i="86"/>
  <c r="J5" i="86"/>
  <c r="J4" i="86"/>
  <c r="J3" i="86"/>
  <c r="I12" i="84"/>
  <c r="D68" i="30" s="1"/>
  <c r="J6" i="84"/>
  <c r="J5" i="84"/>
  <c r="J4" i="84"/>
  <c r="J3" i="84"/>
  <c r="I13" i="83"/>
  <c r="J6" i="83"/>
  <c r="J5" i="83"/>
  <c r="I4" i="83"/>
  <c r="J4" i="83" s="1"/>
  <c r="J3" i="83"/>
  <c r="I11" i="82"/>
  <c r="C66" i="30" s="1"/>
  <c r="C65" i="30"/>
  <c r="I14" i="81"/>
  <c r="J14" i="81" s="1"/>
  <c r="J13" i="81"/>
  <c r="I12" i="81"/>
  <c r="J12" i="81" s="1"/>
  <c r="J11" i="81"/>
  <c r="J10" i="81"/>
  <c r="J9" i="81"/>
  <c r="J8" i="81"/>
  <c r="J7" i="81"/>
  <c r="J6" i="81"/>
  <c r="J5" i="81"/>
  <c r="J4" i="81"/>
  <c r="J3" i="81"/>
  <c r="I11" i="80"/>
  <c r="C64" i="30" s="1"/>
  <c r="J3" i="80"/>
  <c r="I8" i="79"/>
  <c r="C63" i="30" s="1"/>
  <c r="J5" i="79"/>
  <c r="J4" i="79"/>
  <c r="I28" i="78"/>
  <c r="J10" i="78"/>
  <c r="J9" i="78"/>
  <c r="J8" i="78"/>
  <c r="J7" i="78"/>
  <c r="J6" i="78"/>
  <c r="J5" i="78"/>
  <c r="J4" i="78"/>
  <c r="J3" i="78"/>
  <c r="I8" i="77"/>
  <c r="C61" i="30" s="1"/>
  <c r="C60" i="30"/>
  <c r="J15" i="76"/>
  <c r="J14" i="76"/>
  <c r="J13" i="76"/>
  <c r="J12" i="76"/>
  <c r="J11" i="76"/>
  <c r="J10" i="76"/>
  <c r="J9" i="76"/>
  <c r="J8" i="76"/>
  <c r="J7" i="76"/>
  <c r="J6" i="76"/>
  <c r="J3" i="76"/>
  <c r="I35" i="75"/>
  <c r="C59" i="30" s="1"/>
  <c r="J29" i="75"/>
  <c r="J19" i="75"/>
  <c r="J17" i="75"/>
  <c r="J16" i="75"/>
  <c r="J15" i="75"/>
  <c r="J14" i="75"/>
  <c r="J13" i="75"/>
  <c r="J12" i="75"/>
  <c r="J11" i="75"/>
  <c r="J10" i="75"/>
  <c r="J9" i="75"/>
  <c r="J8" i="75"/>
  <c r="J7" i="75"/>
  <c r="J6" i="75"/>
  <c r="J5" i="75"/>
  <c r="J4" i="75"/>
  <c r="J3" i="75"/>
  <c r="N53" i="74"/>
  <c r="L53" i="74"/>
  <c r="M53" i="74" s="1"/>
  <c r="M54" i="74" s="1"/>
  <c r="L52" i="74"/>
  <c r="I49" i="74"/>
  <c r="J47" i="74"/>
  <c r="J46" i="74"/>
  <c r="J45" i="74"/>
  <c r="J44" i="74"/>
  <c r="J43" i="74"/>
  <c r="J42" i="74"/>
  <c r="J41" i="74"/>
  <c r="J40" i="74"/>
  <c r="J39" i="74"/>
  <c r="J38" i="74"/>
  <c r="I33" i="74"/>
  <c r="L32" i="74"/>
  <c r="J31" i="74"/>
  <c r="J30" i="74"/>
  <c r="J29" i="74"/>
  <c r="J28" i="74"/>
  <c r="I5" i="74"/>
  <c r="I25" i="74" s="1"/>
  <c r="I12" i="73"/>
  <c r="C57" i="30" s="1"/>
  <c r="J9" i="73"/>
  <c r="J8" i="73"/>
  <c r="J7" i="73"/>
  <c r="J6" i="73"/>
  <c r="J5" i="73"/>
  <c r="J4" i="73"/>
  <c r="J3" i="73"/>
  <c r="L72" i="72"/>
  <c r="I37" i="72"/>
  <c r="J34" i="72"/>
  <c r="J33" i="72"/>
  <c r="J32" i="72"/>
  <c r="J31" i="72"/>
  <c r="J30" i="72"/>
  <c r="J29" i="72"/>
  <c r="J28" i="72"/>
  <c r="J27" i="72"/>
  <c r="J26" i="72"/>
  <c r="J25" i="72"/>
  <c r="J24" i="72"/>
  <c r="J23" i="72"/>
  <c r="J22" i="72"/>
  <c r="J21" i="72"/>
  <c r="J20" i="72"/>
  <c r="J19" i="72"/>
  <c r="J18" i="72"/>
  <c r="J17" i="72"/>
  <c r="I11" i="72"/>
  <c r="J9" i="72"/>
  <c r="J8" i="72"/>
  <c r="J7" i="72"/>
  <c r="I4" i="72"/>
  <c r="J3" i="72"/>
  <c r="I8" i="71"/>
  <c r="C55" i="30" s="1"/>
  <c r="J6" i="71"/>
  <c r="J5" i="71"/>
  <c r="J4" i="71"/>
  <c r="J3" i="71"/>
  <c r="I6" i="69"/>
  <c r="C54" i="30" s="1"/>
  <c r="J4" i="69"/>
  <c r="J3" i="69"/>
  <c r="I5" i="67"/>
  <c r="C53" i="30" s="1"/>
  <c r="J3" i="67"/>
  <c r="I28" i="64"/>
  <c r="I16" i="64"/>
  <c r="J16" i="64" s="1"/>
  <c r="I15" i="64"/>
  <c r="J15" i="64" s="1"/>
  <c r="I14" i="64"/>
  <c r="J14" i="64" s="1"/>
  <c r="J13" i="64"/>
  <c r="J12" i="64"/>
  <c r="J11" i="64"/>
  <c r="J10" i="64"/>
  <c r="J9" i="64"/>
  <c r="J8" i="64"/>
  <c r="J7" i="64"/>
  <c r="J6" i="64"/>
  <c r="J5" i="64"/>
  <c r="J4" i="64"/>
  <c r="J3" i="64"/>
  <c r="J358" i="68"/>
  <c r="J357" i="68"/>
  <c r="J356" i="68"/>
  <c r="J355" i="68"/>
  <c r="J354" i="68"/>
  <c r="J353" i="68"/>
  <c r="J352" i="68"/>
  <c r="J350" i="68"/>
  <c r="J349" i="68"/>
  <c r="J348" i="68"/>
  <c r="J347" i="68"/>
  <c r="J346" i="68"/>
  <c r="J345" i="68"/>
  <c r="J344" i="68"/>
  <c r="J343" i="68"/>
  <c r="J342" i="68"/>
  <c r="J341" i="68"/>
  <c r="J340" i="68"/>
  <c r="J339" i="68"/>
  <c r="J338" i="68"/>
  <c r="J337" i="68"/>
  <c r="J336" i="68"/>
  <c r="J335" i="68"/>
  <c r="J334" i="68"/>
  <c r="J333" i="68"/>
  <c r="J332" i="68"/>
  <c r="J331" i="68"/>
  <c r="J330" i="68"/>
  <c r="J328" i="68"/>
  <c r="J327" i="68"/>
  <c r="J326" i="68"/>
  <c r="J325" i="68"/>
  <c r="J324" i="68"/>
  <c r="J323" i="68"/>
  <c r="J322" i="68"/>
  <c r="J321" i="68"/>
  <c r="J320" i="68"/>
  <c r="J319" i="68"/>
  <c r="J318" i="68"/>
  <c r="J317" i="68"/>
  <c r="J316" i="68"/>
  <c r="J315" i="68"/>
  <c r="J314" i="68"/>
  <c r="J313" i="68"/>
  <c r="J312" i="68"/>
  <c r="J311" i="68"/>
  <c r="J310" i="68"/>
  <c r="I301" i="68"/>
  <c r="H301" i="68"/>
  <c r="M301" i="68" s="1"/>
  <c r="M303" i="68" s="1"/>
  <c r="J300" i="68"/>
  <c r="I293" i="68"/>
  <c r="J283" i="68"/>
  <c r="J282" i="68"/>
  <c r="J281" i="68"/>
  <c r="J280" i="68"/>
  <c r="J279" i="68"/>
  <c r="J278" i="68"/>
  <c r="J277" i="68"/>
  <c r="J276" i="68"/>
  <c r="J275" i="68"/>
  <c r="J274" i="68"/>
  <c r="J273" i="68"/>
  <c r="J272" i="68"/>
  <c r="J271" i="68"/>
  <c r="J270" i="68"/>
  <c r="J269" i="68"/>
  <c r="J268" i="68"/>
  <c r="J267" i="68"/>
  <c r="J266" i="68"/>
  <c r="J265" i="68"/>
  <c r="J264" i="68"/>
  <c r="J263" i="68"/>
  <c r="J262" i="68"/>
  <c r="J261" i="68"/>
  <c r="J260" i="68"/>
  <c r="J259" i="68"/>
  <c r="J258" i="68"/>
  <c r="J257" i="68"/>
  <c r="J256" i="68"/>
  <c r="J255" i="68"/>
  <c r="J254" i="68"/>
  <c r="J253" i="68"/>
  <c r="J252" i="68"/>
  <c r="J251" i="68"/>
  <c r="J250" i="68"/>
  <c r="J249" i="68"/>
  <c r="J248" i="68"/>
  <c r="J247" i="68"/>
  <c r="J246" i="68"/>
  <c r="J245" i="68"/>
  <c r="J244" i="68"/>
  <c r="J243" i="68"/>
  <c r="J242" i="68"/>
  <c r="J241" i="68"/>
  <c r="J240" i="68"/>
  <c r="J239" i="68"/>
  <c r="J238" i="68"/>
  <c r="J237" i="68"/>
  <c r="J236" i="68"/>
  <c r="J235" i="68"/>
  <c r="J234" i="68"/>
  <c r="J233" i="68"/>
  <c r="J232" i="68"/>
  <c r="J231" i="68"/>
  <c r="J230" i="68"/>
  <c r="J229" i="68"/>
  <c r="J228" i="68"/>
  <c r="J227" i="68"/>
  <c r="J226" i="68"/>
  <c r="J225" i="68"/>
  <c r="J224" i="68"/>
  <c r="J223" i="68"/>
  <c r="J222" i="68"/>
  <c r="J220" i="68"/>
  <c r="J219" i="68"/>
  <c r="J218" i="68"/>
  <c r="J217" i="68"/>
  <c r="J216" i="68"/>
  <c r="J215" i="68"/>
  <c r="J214" i="68"/>
  <c r="J213" i="68"/>
  <c r="J212" i="68"/>
  <c r="J211" i="68"/>
  <c r="J210" i="68"/>
  <c r="J209" i="68"/>
  <c r="J208" i="68"/>
  <c r="J207" i="68"/>
  <c r="J206" i="68"/>
  <c r="J205" i="68"/>
  <c r="J204" i="68"/>
  <c r="J203" i="68"/>
  <c r="J202" i="68"/>
  <c r="J201" i="68"/>
  <c r="J200" i="68"/>
  <c r="J199" i="68"/>
  <c r="J198" i="68"/>
  <c r="J197" i="68"/>
  <c r="J196" i="68"/>
  <c r="J195" i="68"/>
  <c r="J194" i="68"/>
  <c r="J193" i="68"/>
  <c r="J192" i="68"/>
  <c r="J191" i="68"/>
  <c r="J190" i="68"/>
  <c r="J189" i="68"/>
  <c r="J188" i="68"/>
  <c r="J187" i="68"/>
  <c r="J186" i="68"/>
  <c r="J185" i="68"/>
  <c r="J184" i="68"/>
  <c r="J183" i="68"/>
  <c r="J182" i="68"/>
  <c r="J181" i="68"/>
  <c r="J180" i="68"/>
  <c r="J179" i="68"/>
  <c r="J178" i="68"/>
  <c r="J177" i="68"/>
  <c r="J176" i="68"/>
  <c r="J175" i="68"/>
  <c r="J174" i="68"/>
  <c r="J173" i="68"/>
  <c r="J172" i="68"/>
  <c r="J171" i="68"/>
  <c r="J170" i="68"/>
  <c r="J169" i="68"/>
  <c r="J168" i="68"/>
  <c r="J167" i="68"/>
  <c r="J166" i="68"/>
  <c r="J165" i="68"/>
  <c r="J164" i="68"/>
  <c r="J163" i="68"/>
  <c r="J162" i="68"/>
  <c r="J161" i="68"/>
  <c r="J160" i="68"/>
  <c r="J159" i="68"/>
  <c r="J158" i="68"/>
  <c r="J157" i="68"/>
  <c r="J156" i="68"/>
  <c r="J155" i="68"/>
  <c r="J154" i="68"/>
  <c r="J153" i="68"/>
  <c r="J152" i="68"/>
  <c r="J151" i="68"/>
  <c r="J150" i="68"/>
  <c r="J149" i="68"/>
  <c r="J148" i="68"/>
  <c r="J147" i="68"/>
  <c r="J146" i="68"/>
  <c r="J145" i="68"/>
  <c r="J144" i="68"/>
  <c r="J143" i="68"/>
  <c r="J142" i="68"/>
  <c r="J141" i="68"/>
  <c r="J140" i="68"/>
  <c r="J139" i="68"/>
  <c r="J138" i="68"/>
  <c r="J137" i="68"/>
  <c r="J136" i="68"/>
  <c r="J135" i="68"/>
  <c r="J134" i="68"/>
  <c r="J133" i="68"/>
  <c r="J132" i="68"/>
  <c r="J131" i="68"/>
  <c r="J130" i="68"/>
  <c r="J129" i="68"/>
  <c r="J128" i="68"/>
  <c r="J127" i="68"/>
  <c r="J126" i="68"/>
  <c r="J125" i="68"/>
  <c r="J124" i="68"/>
  <c r="J123" i="68"/>
  <c r="J122" i="68"/>
  <c r="J121" i="68"/>
  <c r="J120" i="68"/>
  <c r="J119" i="68"/>
  <c r="J118" i="68"/>
  <c r="J117" i="68"/>
  <c r="J116" i="68"/>
  <c r="J115" i="68"/>
  <c r="J114" i="68"/>
  <c r="J113" i="68"/>
  <c r="J112" i="68"/>
  <c r="J111" i="68"/>
  <c r="J110" i="68"/>
  <c r="J109" i="68"/>
  <c r="J108" i="68"/>
  <c r="J107" i="68"/>
  <c r="J106" i="68"/>
  <c r="J105" i="68"/>
  <c r="J104" i="68"/>
  <c r="J103" i="68"/>
  <c r="J102" i="68"/>
  <c r="J101" i="68"/>
  <c r="J100" i="68"/>
  <c r="J99" i="68"/>
  <c r="J98" i="68"/>
  <c r="J97" i="68"/>
  <c r="J96" i="68"/>
  <c r="J95" i="68"/>
  <c r="J94" i="68"/>
  <c r="J93" i="68"/>
  <c r="J92" i="68"/>
  <c r="J91" i="68"/>
  <c r="J90" i="68"/>
  <c r="J89" i="68"/>
  <c r="J88" i="68"/>
  <c r="J87" i="68"/>
  <c r="J86" i="68"/>
  <c r="J85" i="68"/>
  <c r="J84" i="68"/>
  <c r="J83" i="68"/>
  <c r="J82" i="68"/>
  <c r="J81" i="68"/>
  <c r="J80" i="68"/>
  <c r="J79" i="68"/>
  <c r="J78" i="68"/>
  <c r="J77" i="68"/>
  <c r="J76" i="68"/>
  <c r="J75" i="68"/>
  <c r="J74" i="68"/>
  <c r="J73" i="68"/>
  <c r="J72" i="68"/>
  <c r="J71" i="68"/>
  <c r="J70" i="68"/>
  <c r="J69" i="68"/>
  <c r="J68" i="68"/>
  <c r="J67" i="68"/>
  <c r="J66" i="68"/>
  <c r="J65" i="68"/>
  <c r="J64" i="68"/>
  <c r="J63" i="68"/>
  <c r="J62" i="68"/>
  <c r="J61" i="68"/>
  <c r="J60" i="68"/>
  <c r="J59" i="68"/>
  <c r="J58" i="68"/>
  <c r="J57" i="68"/>
  <c r="J56" i="68"/>
  <c r="J55" i="68"/>
  <c r="J54" i="68"/>
  <c r="J53" i="68"/>
  <c r="J52" i="68"/>
  <c r="J51" i="68"/>
  <c r="J50" i="68"/>
  <c r="J49" i="68"/>
  <c r="J48" i="68"/>
  <c r="J47" i="68"/>
  <c r="J46" i="68"/>
  <c r="J45" i="68"/>
  <c r="J44" i="68"/>
  <c r="J43" i="68"/>
  <c r="J42" i="68"/>
  <c r="J41" i="68"/>
  <c r="J40" i="68"/>
  <c r="J39" i="68"/>
  <c r="J38" i="68"/>
  <c r="J37" i="68"/>
  <c r="J36" i="68"/>
  <c r="J35" i="68"/>
  <c r="J34" i="68"/>
  <c r="J33" i="68"/>
  <c r="J32" i="68"/>
  <c r="J31" i="68"/>
  <c r="J30" i="68"/>
  <c r="J29" i="68"/>
  <c r="J28" i="68"/>
  <c r="J27" i="68"/>
  <c r="J26" i="68"/>
  <c r="J25" i="68"/>
  <c r="J24" i="68"/>
  <c r="J23" i="68"/>
  <c r="J22" i="68"/>
  <c r="J21" i="68"/>
  <c r="J20" i="68"/>
  <c r="J19" i="68"/>
  <c r="J18" i="68"/>
  <c r="J17" i="68"/>
  <c r="J16" i="68"/>
  <c r="J15" i="68"/>
  <c r="J14" i="68"/>
  <c r="J13" i="68"/>
  <c r="J12" i="68"/>
  <c r="J11" i="68"/>
  <c r="J10" i="68"/>
  <c r="J9" i="68"/>
  <c r="J8" i="68"/>
  <c r="J7" i="68"/>
  <c r="J6" i="68"/>
  <c r="J5" i="68"/>
  <c r="J4" i="68"/>
  <c r="J3" i="68"/>
  <c r="I6" i="31"/>
  <c r="I4" i="31"/>
  <c r="J6" i="48"/>
  <c r="I65" i="33"/>
  <c r="C48" i="30" s="1"/>
  <c r="J61" i="33"/>
  <c r="J60" i="33"/>
  <c r="J59" i="33"/>
  <c r="J58" i="33"/>
  <c r="J57" i="33"/>
  <c r="J56" i="33"/>
  <c r="J55" i="33"/>
  <c r="J54" i="33"/>
  <c r="J53" i="33"/>
  <c r="J52" i="33"/>
  <c r="J51" i="33"/>
  <c r="J50" i="33"/>
  <c r="J49" i="33"/>
  <c r="J48" i="33"/>
  <c r="J47" i="33"/>
  <c r="J46" i="33"/>
  <c r="J42" i="33"/>
  <c r="I35" i="33"/>
  <c r="M515" i="15"/>
  <c r="K356" i="15"/>
  <c r="K355" i="15"/>
  <c r="K354" i="15"/>
  <c r="K353" i="15"/>
  <c r="K352" i="15"/>
  <c r="K350" i="15"/>
  <c r="K348" i="15"/>
  <c r="K347" i="15"/>
  <c r="K345" i="15"/>
  <c r="K338" i="15"/>
  <c r="K337" i="15"/>
  <c r="K336" i="15"/>
  <c r="K335" i="15"/>
  <c r="K334" i="15"/>
  <c r="K333" i="15"/>
  <c r="K116" i="15"/>
  <c r="K332" i="15"/>
  <c r="K331" i="15"/>
  <c r="K330" i="15"/>
  <c r="K329" i="15"/>
  <c r="K328" i="15"/>
  <c r="K327" i="15"/>
  <c r="K326" i="15"/>
  <c r="K325" i="15"/>
  <c r="K324" i="15"/>
  <c r="K323" i="15"/>
  <c r="K322" i="15"/>
  <c r="K321" i="15"/>
  <c r="K320" i="15"/>
  <c r="K319" i="15"/>
  <c r="K318" i="15"/>
  <c r="N313" i="15"/>
  <c r="M313" i="15"/>
  <c r="L313" i="15"/>
  <c r="J309" i="15"/>
  <c r="K306" i="15"/>
  <c r="K305" i="15"/>
  <c r="K304" i="15"/>
  <c r="K303" i="15"/>
  <c r="K302" i="15"/>
  <c r="K301" i="15"/>
  <c r="K300" i="15"/>
  <c r="K299" i="15"/>
  <c r="K298" i="15"/>
  <c r="K297" i="15"/>
  <c r="K296" i="15"/>
  <c r="K295" i="15"/>
  <c r="K294" i="15"/>
  <c r="K293" i="15"/>
  <c r="K292" i="15"/>
  <c r="K291" i="15"/>
  <c r="K290" i="15"/>
  <c r="K289" i="15"/>
  <c r="K288" i="15"/>
  <c r="K287" i="15"/>
  <c r="K286" i="15"/>
  <c r="K285" i="15"/>
  <c r="K284" i="15"/>
  <c r="K283" i="15"/>
  <c r="K282" i="15"/>
  <c r="K281" i="15"/>
  <c r="K280" i="15"/>
  <c r="K279" i="15"/>
  <c r="K278" i="15"/>
  <c r="K277" i="15"/>
  <c r="K276" i="15"/>
  <c r="K275" i="15"/>
  <c r="K274" i="15"/>
  <c r="K273" i="15"/>
  <c r="K272" i="15"/>
  <c r="L266" i="15"/>
  <c r="L269" i="15" s="1"/>
  <c r="L312" i="15" s="1"/>
  <c r="N265" i="15"/>
  <c r="M265" i="15"/>
  <c r="L265" i="15"/>
  <c r="K258" i="15"/>
  <c r="K257" i="15"/>
  <c r="K256" i="15"/>
  <c r="K255" i="15"/>
  <c r="K254" i="15"/>
  <c r="K253" i="15"/>
  <c r="K252" i="15"/>
  <c r="K251" i="15"/>
  <c r="K250" i="15"/>
  <c r="K249" i="15"/>
  <c r="K248" i="15"/>
  <c r="K247" i="15"/>
  <c r="K246" i="15"/>
  <c r="K245" i="15"/>
  <c r="K244" i="15"/>
  <c r="K243" i="15"/>
  <c r="K242" i="15"/>
  <c r="K241" i="15"/>
  <c r="K240" i="15"/>
  <c r="K239" i="15"/>
  <c r="K238" i="15"/>
  <c r="K237" i="15"/>
  <c r="K236" i="15"/>
  <c r="K235" i="15"/>
  <c r="K234" i="15"/>
  <c r="K233" i="15"/>
  <c r="K232" i="15"/>
  <c r="K231" i="15"/>
  <c r="K230" i="15"/>
  <c r="K229" i="15"/>
  <c r="K228" i="15"/>
  <c r="K227" i="15"/>
  <c r="K226" i="15"/>
  <c r="K225" i="15"/>
  <c r="K224" i="15"/>
  <c r="K223" i="15"/>
  <c r="K222" i="15"/>
  <c r="K221" i="15"/>
  <c r="K220" i="15"/>
  <c r="K219" i="15"/>
  <c r="K218" i="15"/>
  <c r="K217" i="15"/>
  <c r="K216" i="15"/>
  <c r="K215" i="15"/>
  <c r="K214" i="15"/>
  <c r="K213" i="15"/>
  <c r="K212" i="15"/>
  <c r="K211" i="15"/>
  <c r="K210" i="15"/>
  <c r="K209" i="15"/>
  <c r="K208" i="15"/>
  <c r="K207" i="15"/>
  <c r="K206" i="15"/>
  <c r="K205" i="15"/>
  <c r="K204" i="15"/>
  <c r="K203" i="15"/>
  <c r="K202" i="15"/>
  <c r="K201" i="15"/>
  <c r="K200" i="15"/>
  <c r="K199" i="15"/>
  <c r="K198" i="15"/>
  <c r="K197" i="15"/>
  <c r="K196" i="15"/>
  <c r="K195" i="15"/>
  <c r="K194" i="15"/>
  <c r="K193" i="15"/>
  <c r="K192" i="15"/>
  <c r="K191" i="15"/>
  <c r="K190" i="15"/>
  <c r="K189" i="15"/>
  <c r="K188" i="15"/>
  <c r="K187" i="15"/>
  <c r="K186" i="15"/>
  <c r="K185" i="15"/>
  <c r="K184" i="15"/>
  <c r="K183" i="15"/>
  <c r="K182" i="15"/>
  <c r="K181" i="15"/>
  <c r="K180" i="15"/>
  <c r="K179" i="15"/>
  <c r="K178" i="15"/>
  <c r="K177" i="15"/>
  <c r="K176" i="15"/>
  <c r="K175" i="15"/>
  <c r="K174" i="15"/>
  <c r="K173" i="15"/>
  <c r="K172" i="15"/>
  <c r="K171" i="15"/>
  <c r="K170" i="15"/>
  <c r="K169" i="15"/>
  <c r="K168" i="15"/>
  <c r="K167" i="15"/>
  <c r="K166" i="15"/>
  <c r="K165" i="15"/>
  <c r="K164" i="15"/>
  <c r="K163" i="15"/>
  <c r="K162" i="15"/>
  <c r="K161" i="15"/>
  <c r="K160" i="15"/>
  <c r="K159" i="15"/>
  <c r="K158" i="15"/>
  <c r="K157" i="15"/>
  <c r="K156" i="15"/>
  <c r="K155" i="15"/>
  <c r="K154" i="15"/>
  <c r="K153" i="15"/>
  <c r="K152" i="15"/>
  <c r="K151" i="15"/>
  <c r="K150" i="15"/>
  <c r="K149" i="15"/>
  <c r="K148" i="15"/>
  <c r="K147" i="15"/>
  <c r="K146" i="15"/>
  <c r="K145" i="15"/>
  <c r="K144" i="15"/>
  <c r="K143" i="15"/>
  <c r="K142" i="15"/>
  <c r="K141" i="15"/>
  <c r="K140" i="15"/>
  <c r="K139" i="15"/>
  <c r="K138" i="15"/>
  <c r="K137" i="15"/>
  <c r="K136" i="15"/>
  <c r="K135" i="15"/>
  <c r="K134" i="15"/>
  <c r="K133" i="15"/>
  <c r="K132" i="15"/>
  <c r="K131" i="15"/>
  <c r="K130" i="15"/>
  <c r="K129" i="15"/>
  <c r="K128" i="15"/>
  <c r="K127" i="15"/>
  <c r="K126" i="15"/>
  <c r="K125" i="15"/>
  <c r="K40" i="15"/>
  <c r="K39" i="15"/>
  <c r="J37" i="15"/>
  <c r="K35" i="15"/>
  <c r="K32" i="15"/>
  <c r="J30" i="15"/>
  <c r="K29" i="15"/>
  <c r="K28" i="15"/>
  <c r="K27" i="15"/>
  <c r="K26" i="15"/>
  <c r="K25" i="15"/>
  <c r="K24" i="15"/>
  <c r="J22" i="15"/>
  <c r="K20" i="15"/>
  <c r="J18" i="15"/>
  <c r="N17" i="15"/>
  <c r="N16" i="15"/>
  <c r="J13" i="15"/>
  <c r="N12" i="15"/>
  <c r="N11" i="15"/>
  <c r="N10" i="15"/>
  <c r="G10" i="15"/>
  <c r="J7" i="15"/>
  <c r="I7" i="43"/>
  <c r="C46" i="30" s="1"/>
  <c r="I8" i="42"/>
  <c r="J4" i="42"/>
  <c r="J3" i="42"/>
  <c r="O179" i="13"/>
  <c r="O178" i="13"/>
  <c r="O175" i="13"/>
  <c r="O174" i="13"/>
  <c r="N173" i="13"/>
  <c r="N176" i="13" s="1"/>
  <c r="O171" i="13"/>
  <c r="L175" i="13" s="1"/>
  <c r="I162" i="13"/>
  <c r="J159" i="13"/>
  <c r="J158" i="13"/>
  <c r="J157" i="13"/>
  <c r="J156" i="13"/>
  <c r="J155" i="13"/>
  <c r="J154" i="13"/>
  <c r="J153" i="13"/>
  <c r="J152" i="13"/>
  <c r="J151" i="13"/>
  <c r="J150" i="13"/>
  <c r="J149" i="13"/>
  <c r="J148" i="13"/>
  <c r="J147" i="13"/>
  <c r="J146" i="13"/>
  <c r="J145" i="13"/>
  <c r="I142" i="13"/>
  <c r="J138" i="13"/>
  <c r="J137" i="13"/>
  <c r="J136" i="13"/>
  <c r="J135" i="13"/>
  <c r="J134" i="13"/>
  <c r="J133" i="13"/>
  <c r="J132" i="13"/>
  <c r="J131" i="13"/>
  <c r="J130" i="13"/>
  <c r="J129" i="13"/>
  <c r="J128" i="13"/>
  <c r="N123" i="13"/>
  <c r="I110" i="13"/>
  <c r="J108" i="13"/>
  <c r="J107" i="13"/>
  <c r="J106" i="13"/>
  <c r="J105" i="13"/>
  <c r="J104" i="13"/>
  <c r="J103" i="13"/>
  <c r="J102" i="13"/>
  <c r="J87" i="13"/>
  <c r="J86" i="13"/>
  <c r="J85" i="13"/>
  <c r="J84" i="13"/>
  <c r="J83" i="13"/>
  <c r="J81" i="13"/>
  <c r="J80" i="13"/>
  <c r="J79" i="13"/>
  <c r="J78" i="13"/>
  <c r="J77" i="13"/>
  <c r="J76" i="13"/>
  <c r="J75" i="13"/>
  <c r="J74" i="13"/>
  <c r="J73" i="13"/>
  <c r="J72" i="13"/>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I34" i="13"/>
  <c r="J34" i="13" s="1"/>
  <c r="J33" i="13"/>
  <c r="J32" i="13"/>
  <c r="J31" i="13"/>
  <c r="J30" i="13"/>
  <c r="J11" i="13"/>
  <c r="I5" i="38"/>
  <c r="I8" i="52"/>
  <c r="C42" i="30" s="1"/>
  <c r="J49" i="29"/>
  <c r="J48" i="29"/>
  <c r="J47" i="29"/>
  <c r="J46" i="29"/>
  <c r="J45" i="29"/>
  <c r="J44" i="29"/>
  <c r="J43" i="29"/>
  <c r="J42" i="29"/>
  <c r="J41" i="29"/>
  <c r="J40" i="29"/>
  <c r="I39" i="29"/>
  <c r="J39" i="29" s="1"/>
  <c r="I38" i="29"/>
  <c r="J38" i="29" s="1"/>
  <c r="J37" i="29"/>
  <c r="I36" i="29"/>
  <c r="J36" i="29" s="1"/>
  <c r="I35" i="29"/>
  <c r="J35" i="29" s="1"/>
  <c r="I34" i="29"/>
  <c r="J34" i="29" s="1"/>
  <c r="J33" i="29"/>
  <c r="I32" i="29"/>
  <c r="J32" i="29" s="1"/>
  <c r="J31" i="29"/>
  <c r="J30" i="29"/>
  <c r="I29" i="29"/>
  <c r="J29" i="29" s="1"/>
  <c r="I28" i="29"/>
  <c r="J28" i="29" s="1"/>
  <c r="J27" i="29"/>
  <c r="I26" i="29"/>
  <c r="J25" i="29"/>
  <c r="J24" i="29"/>
  <c r="J23" i="29"/>
  <c r="J22" i="29"/>
  <c r="J21" i="29"/>
  <c r="J20" i="29"/>
  <c r="J19" i="29"/>
  <c r="J18" i="29"/>
  <c r="J17" i="29"/>
  <c r="J16" i="29"/>
  <c r="J15" i="29"/>
  <c r="J14" i="29"/>
  <c r="J13" i="29"/>
  <c r="J12" i="29"/>
  <c r="J11" i="29"/>
  <c r="J10" i="29"/>
  <c r="J9" i="29"/>
  <c r="J8" i="29"/>
  <c r="J7" i="29"/>
  <c r="J6" i="29"/>
  <c r="J5" i="29"/>
  <c r="J3" i="29"/>
  <c r="C40" i="30"/>
  <c r="J23" i="19"/>
  <c r="J22" i="19"/>
  <c r="J21" i="19"/>
  <c r="J20" i="19"/>
  <c r="J19" i="19"/>
  <c r="J18" i="19"/>
  <c r="J17" i="19"/>
  <c r="J16" i="19"/>
  <c r="J15" i="19"/>
  <c r="J14" i="19"/>
  <c r="J13" i="19"/>
  <c r="J12" i="19"/>
  <c r="J11" i="19"/>
  <c r="J10" i="19"/>
  <c r="J9" i="19"/>
  <c r="J8" i="19"/>
  <c r="J7" i="19"/>
  <c r="J6" i="19"/>
  <c r="J5" i="19"/>
  <c r="J4" i="19"/>
  <c r="J3" i="19"/>
  <c r="I10" i="27"/>
  <c r="C38" i="30"/>
  <c r="J31" i="53"/>
  <c r="J30" i="53"/>
  <c r="J29" i="53"/>
  <c r="J28" i="53"/>
  <c r="J27" i="53"/>
  <c r="J26" i="53"/>
  <c r="J23" i="53"/>
  <c r="J22" i="53"/>
  <c r="J19" i="53"/>
  <c r="J18" i="53"/>
  <c r="J17" i="53"/>
  <c r="J16" i="53"/>
  <c r="J15" i="53"/>
  <c r="J14" i="53"/>
  <c r="J13" i="53"/>
  <c r="J12" i="53"/>
  <c r="J11" i="53"/>
  <c r="J10" i="53"/>
  <c r="J9" i="53"/>
  <c r="J8" i="53"/>
  <c r="J7" i="53"/>
  <c r="J6" i="53"/>
  <c r="J5" i="53"/>
  <c r="I65" i="24"/>
  <c r="J61" i="24"/>
  <c r="J60" i="24"/>
  <c r="I53" i="24"/>
  <c r="J42" i="24"/>
  <c r="J41" i="24"/>
  <c r="J40" i="24"/>
  <c r="J39" i="24"/>
  <c r="J38" i="24"/>
  <c r="J37" i="24"/>
  <c r="J36" i="24"/>
  <c r="J35" i="24"/>
  <c r="J34" i="24"/>
  <c r="J33" i="24"/>
  <c r="J32" i="24"/>
  <c r="J31" i="24"/>
  <c r="J30" i="24"/>
  <c r="J29" i="24"/>
  <c r="J28" i="24"/>
  <c r="J27" i="24"/>
  <c r="J26" i="24"/>
  <c r="J25" i="24"/>
  <c r="J24" i="24"/>
  <c r="J23" i="24"/>
  <c r="J22" i="24"/>
  <c r="J21" i="24"/>
  <c r="J20" i="24"/>
  <c r="J19" i="24"/>
  <c r="J18" i="24"/>
  <c r="J17" i="24"/>
  <c r="J16" i="24"/>
  <c r="J15" i="24"/>
  <c r="J14" i="24"/>
  <c r="J13" i="24"/>
  <c r="J12" i="24"/>
  <c r="H5" i="25"/>
  <c r="C36" i="30" s="1"/>
  <c r="L113" i="51"/>
  <c r="K113" i="51"/>
  <c r="K114" i="51" s="1"/>
  <c r="J112" i="51"/>
  <c r="J114" i="51" s="1"/>
  <c r="I107" i="51"/>
  <c r="J105" i="51"/>
  <c r="J104" i="51"/>
  <c r="J103" i="51"/>
  <c r="J102" i="51"/>
  <c r="J101" i="51"/>
  <c r="J100" i="51"/>
  <c r="J99" i="51"/>
  <c r="J84" i="51"/>
  <c r="J83" i="51"/>
  <c r="J82" i="51"/>
  <c r="J81" i="51"/>
  <c r="J80" i="51"/>
  <c r="J79" i="51"/>
  <c r="J78" i="51"/>
  <c r="J77" i="51"/>
  <c r="J76" i="51"/>
  <c r="J75" i="51"/>
  <c r="J74" i="51"/>
  <c r="J73" i="51"/>
  <c r="J72" i="51"/>
  <c r="J71" i="51"/>
  <c r="I70" i="51"/>
  <c r="J70" i="51" s="1"/>
  <c r="J69" i="51"/>
  <c r="I68" i="51"/>
  <c r="J68" i="51" s="1"/>
  <c r="J67" i="51"/>
  <c r="J66" i="51"/>
  <c r="J65" i="51"/>
  <c r="J64" i="51"/>
  <c r="J63" i="51"/>
  <c r="J62" i="51"/>
  <c r="J61" i="51"/>
  <c r="J60" i="51"/>
  <c r="J59" i="51"/>
  <c r="J58" i="51"/>
  <c r="J57" i="51"/>
  <c r="J56" i="51"/>
  <c r="J55" i="51"/>
  <c r="J54" i="51"/>
  <c r="J53" i="51"/>
  <c r="J52" i="51"/>
  <c r="J51" i="51"/>
  <c r="J50" i="51"/>
  <c r="J49" i="51"/>
  <c r="J48" i="51"/>
  <c r="J47" i="51"/>
  <c r="J46" i="51"/>
  <c r="J45" i="51"/>
  <c r="J44" i="51"/>
  <c r="J43" i="51"/>
  <c r="J42" i="51"/>
  <c r="J41" i="51"/>
  <c r="J40" i="51"/>
  <c r="J39" i="51"/>
  <c r="J38" i="51"/>
  <c r="J37" i="51"/>
  <c r="J36" i="51"/>
  <c r="J35" i="51"/>
  <c r="J34" i="51"/>
  <c r="J33" i="51"/>
  <c r="J32" i="51"/>
  <c r="J31" i="51"/>
  <c r="J30" i="51"/>
  <c r="J29" i="51"/>
  <c r="J28" i="51"/>
  <c r="J27" i="51"/>
  <c r="J26" i="51"/>
  <c r="J25" i="51"/>
  <c r="J24" i="51"/>
  <c r="I23" i="51"/>
  <c r="J23" i="51" s="1"/>
  <c r="J22" i="51"/>
  <c r="J21" i="51"/>
  <c r="J20" i="51"/>
  <c r="J19" i="51"/>
  <c r="J18" i="51"/>
  <c r="J17" i="51"/>
  <c r="J16" i="51"/>
  <c r="J15" i="51"/>
  <c r="J14" i="51"/>
  <c r="J13" i="51"/>
  <c r="J12" i="51"/>
  <c r="J11" i="51"/>
  <c r="J10" i="51"/>
  <c r="J9" i="51"/>
  <c r="J8" i="51"/>
  <c r="J7" i="51"/>
  <c r="I6" i="51"/>
  <c r="J6" i="51" s="1"/>
  <c r="J5" i="51"/>
  <c r="J4" i="51"/>
  <c r="J3" i="51"/>
  <c r="J18" i="57"/>
  <c r="J17" i="57"/>
  <c r="I16" i="57"/>
  <c r="J16" i="57" s="1"/>
  <c r="J15" i="57"/>
  <c r="I14" i="57"/>
  <c r="J14" i="57" s="1"/>
  <c r="J13" i="57"/>
  <c r="J12" i="57"/>
  <c r="J11" i="57"/>
  <c r="J10" i="57"/>
  <c r="J9" i="57"/>
  <c r="J8" i="57"/>
  <c r="J7" i="57"/>
  <c r="J6" i="57"/>
  <c r="M51" i="44"/>
  <c r="I24" i="44"/>
  <c r="I47" i="44" s="1"/>
  <c r="J19" i="44"/>
  <c r="J18" i="44"/>
  <c r="J17" i="44"/>
  <c r="J16" i="44"/>
  <c r="J10" i="44"/>
  <c r="J9" i="44"/>
  <c r="J8" i="44"/>
  <c r="J7" i="44"/>
  <c r="J6" i="44"/>
  <c r="J5" i="44"/>
  <c r="J4" i="44"/>
  <c r="J173" i="12"/>
  <c r="I174" i="12"/>
  <c r="H162" i="12"/>
  <c r="I145" i="12"/>
  <c r="I144" i="12"/>
  <c r="I143" i="12"/>
  <c r="I142" i="12"/>
  <c r="I141" i="12"/>
  <c r="I140" i="12"/>
  <c r="H136" i="12"/>
  <c r="I130" i="12"/>
  <c r="I129" i="12"/>
  <c r="I128" i="12"/>
  <c r="I127" i="12"/>
  <c r="I126" i="12"/>
  <c r="I125" i="12"/>
  <c r="I124" i="12"/>
  <c r="I123" i="12"/>
  <c r="I122" i="12"/>
  <c r="I121" i="12"/>
  <c r="I120" i="12"/>
  <c r="I119" i="12"/>
  <c r="I118" i="12"/>
  <c r="I117" i="12"/>
  <c r="I116" i="12"/>
  <c r="H113" i="12"/>
  <c r="I108" i="12"/>
  <c r="I107" i="12"/>
  <c r="I106" i="12"/>
  <c r="I105" i="12"/>
  <c r="I104" i="12"/>
  <c r="I103" i="12"/>
  <c r="I102" i="12"/>
  <c r="I70" i="12"/>
  <c r="I69" i="12"/>
  <c r="I68" i="12"/>
  <c r="L68" i="12" s="1"/>
  <c r="I67" i="12"/>
  <c r="L67" i="12" s="1"/>
  <c r="I66" i="12"/>
  <c r="L66" i="12" s="1"/>
  <c r="I65" i="12"/>
  <c r="L65" i="12" s="1"/>
  <c r="I64" i="12"/>
  <c r="L64" i="12" s="1"/>
  <c r="I63" i="12"/>
  <c r="L63" i="12" s="1"/>
  <c r="I62" i="12"/>
  <c r="L62" i="12" s="1"/>
  <c r="I61" i="12"/>
  <c r="L61" i="12" s="1"/>
  <c r="I60" i="12"/>
  <c r="L60" i="12" s="1"/>
  <c r="I59" i="12"/>
  <c r="L59" i="12" s="1"/>
  <c r="I58" i="12"/>
  <c r="L58" i="12" s="1"/>
  <c r="I57" i="12"/>
  <c r="L57" i="12" s="1"/>
  <c r="I56" i="12"/>
  <c r="L56" i="12" s="1"/>
  <c r="I55" i="12"/>
  <c r="L55" i="12" s="1"/>
  <c r="I54" i="12"/>
  <c r="L54" i="12" s="1"/>
  <c r="I53" i="12"/>
  <c r="L53" i="12" s="1"/>
  <c r="I52" i="12"/>
  <c r="L52" i="12" s="1"/>
  <c r="I51" i="12"/>
  <c r="L51" i="12" s="1"/>
  <c r="I50" i="12"/>
  <c r="L50" i="12" s="1"/>
  <c r="I49" i="12"/>
  <c r="L49" i="12" s="1"/>
  <c r="I48" i="12"/>
  <c r="I47" i="12"/>
  <c r="I46" i="12"/>
  <c r="I45" i="12"/>
  <c r="I44" i="12"/>
  <c r="I43" i="12"/>
  <c r="I42" i="12"/>
  <c r="I41" i="12"/>
  <c r="I40" i="12"/>
  <c r="I39" i="12"/>
  <c r="I38" i="12"/>
  <c r="I37" i="12"/>
  <c r="I36" i="12"/>
  <c r="I35" i="12"/>
  <c r="I34" i="12"/>
  <c r="I33" i="12"/>
  <c r="I32" i="12"/>
  <c r="I31" i="12"/>
  <c r="I30" i="12"/>
  <c r="I29" i="12"/>
  <c r="I28" i="12"/>
  <c r="I27" i="12"/>
  <c r="I26" i="12"/>
  <c r="I25" i="12"/>
  <c r="I24" i="12"/>
  <c r="M8" i="12"/>
  <c r="M6" i="12"/>
  <c r="I6" i="12"/>
  <c r="L6" i="12" s="1"/>
  <c r="M5" i="12"/>
  <c r="I5" i="12"/>
  <c r="M4" i="12"/>
  <c r="I4" i="12"/>
  <c r="M3" i="12"/>
  <c r="I3" i="12"/>
  <c r="L3" i="12" s="1"/>
  <c r="I26" i="34"/>
  <c r="J16" i="34"/>
  <c r="J15" i="34"/>
  <c r="J14" i="34"/>
  <c r="J13" i="34"/>
  <c r="J12" i="34"/>
  <c r="J11" i="34"/>
  <c r="J10" i="34"/>
  <c r="J9" i="34"/>
  <c r="J8" i="34"/>
  <c r="J7" i="34"/>
  <c r="J6" i="34"/>
  <c r="J5" i="34"/>
  <c r="J4" i="34"/>
  <c r="J3" i="34"/>
  <c r="I7" i="36"/>
  <c r="C30" i="30" s="1"/>
  <c r="I14" i="55"/>
  <c r="C29" i="30" s="1"/>
  <c r="J9" i="55"/>
  <c r="J8" i="55"/>
  <c r="J7" i="55"/>
  <c r="J6" i="55"/>
  <c r="J5" i="55"/>
  <c r="J4" i="55"/>
  <c r="J3" i="55"/>
  <c r="L108" i="50"/>
  <c r="K108" i="50"/>
  <c r="K109" i="50" s="1"/>
  <c r="J109" i="50"/>
  <c r="I100" i="50"/>
  <c r="J87" i="50"/>
  <c r="J86" i="50"/>
  <c r="J85" i="50"/>
  <c r="J84" i="50"/>
  <c r="J83" i="50"/>
  <c r="J82" i="50"/>
  <c r="J81" i="50"/>
  <c r="J80" i="50"/>
  <c r="J79" i="50"/>
  <c r="I75" i="50"/>
  <c r="J73" i="50"/>
  <c r="J72" i="50"/>
  <c r="J71" i="50"/>
  <c r="I67" i="50"/>
  <c r="J62" i="50"/>
  <c r="J61" i="50"/>
  <c r="J60" i="50"/>
  <c r="J59" i="50"/>
  <c r="J58" i="50"/>
  <c r="I52" i="50"/>
  <c r="J48" i="50"/>
  <c r="J47" i="50"/>
  <c r="J46" i="50"/>
  <c r="I43" i="50"/>
  <c r="J40" i="50"/>
  <c r="J39" i="50"/>
  <c r="J38" i="50"/>
  <c r="J37" i="50"/>
  <c r="I35" i="50"/>
  <c r="J33" i="50"/>
  <c r="J32" i="50"/>
  <c r="J31" i="50"/>
  <c r="I28" i="50"/>
  <c r="J24" i="50"/>
  <c r="J23" i="50"/>
  <c r="J22" i="50"/>
  <c r="I19" i="50"/>
  <c r="J15" i="50"/>
  <c r="J14" i="50"/>
  <c r="J13" i="50"/>
  <c r="J12" i="50"/>
  <c r="J11" i="50"/>
  <c r="J10" i="50"/>
  <c r="J9" i="50"/>
  <c r="J8" i="50"/>
  <c r="J7" i="50"/>
  <c r="J6" i="50"/>
  <c r="J5" i="50"/>
  <c r="J4" i="50"/>
  <c r="J3" i="50"/>
  <c r="J55" i="56"/>
  <c r="C14" i="70" s="1"/>
  <c r="L54" i="56"/>
  <c r="K55" i="56"/>
  <c r="D14" i="70" s="1"/>
  <c r="I39" i="56"/>
  <c r="J34" i="56"/>
  <c r="J33" i="56"/>
  <c r="J32" i="56"/>
  <c r="J31" i="56"/>
  <c r="J30" i="56"/>
  <c r="I26" i="56"/>
  <c r="J19" i="56"/>
  <c r="J18" i="56"/>
  <c r="J17" i="56"/>
  <c r="J16" i="56"/>
  <c r="J15" i="56"/>
  <c r="J14" i="56"/>
  <c r="J13" i="56"/>
  <c r="J12" i="56"/>
  <c r="J11" i="56"/>
  <c r="J10" i="56"/>
  <c r="J9" i="56"/>
  <c r="J8" i="56"/>
  <c r="J7" i="56"/>
  <c r="J6" i="56"/>
  <c r="C26" i="30"/>
  <c r="J14" i="59"/>
  <c r="J13" i="59"/>
  <c r="J12" i="59"/>
  <c r="J11" i="59"/>
  <c r="J10" i="59"/>
  <c r="J9" i="59"/>
  <c r="J8" i="59"/>
  <c r="J7" i="59"/>
  <c r="J6" i="59"/>
  <c r="J5" i="59"/>
  <c r="J4" i="59"/>
  <c r="J3" i="59"/>
  <c r="I8" i="60"/>
  <c r="C25" i="30" s="1"/>
  <c r="J10" i="41"/>
  <c r="I10" i="41"/>
  <c r="C24" i="30" s="1"/>
  <c r="I26" i="45"/>
  <c r="C23" i="30" s="1"/>
  <c r="J23" i="45"/>
  <c r="J22" i="45"/>
  <c r="J21" i="45"/>
  <c r="J20" i="45"/>
  <c r="J19" i="45"/>
  <c r="J18" i="45"/>
  <c r="J17" i="45"/>
  <c r="J16" i="45"/>
  <c r="J15" i="45"/>
  <c r="J14" i="45"/>
  <c r="J13" i="45"/>
  <c r="J12" i="45"/>
  <c r="J11" i="45"/>
  <c r="J10" i="45"/>
  <c r="J9" i="45"/>
  <c r="J8" i="45"/>
  <c r="J7" i="45"/>
  <c r="J6" i="45"/>
  <c r="J5" i="45"/>
  <c r="J4" i="45"/>
  <c r="J3" i="45"/>
  <c r="H12" i="21"/>
  <c r="C22" i="30" s="1"/>
  <c r="I10" i="21"/>
  <c r="I9" i="21"/>
  <c r="I8" i="21"/>
  <c r="I7" i="21"/>
  <c r="I6" i="21"/>
  <c r="I5" i="21"/>
  <c r="P331" i="39"/>
  <c r="P330" i="39"/>
  <c r="Q327" i="39"/>
  <c r="Q331" i="39" s="1"/>
  <c r="P327" i="39"/>
  <c r="L327" i="39"/>
  <c r="L331" i="39" s="1"/>
  <c r="P326" i="39"/>
  <c r="U325" i="39"/>
  <c r="U330" i="39" s="1"/>
  <c r="T325" i="39"/>
  <c r="N325" i="39"/>
  <c r="U323" i="39"/>
  <c r="Q326" i="39" s="1"/>
  <c r="P323" i="39"/>
  <c r="L325" i="39" s="1"/>
  <c r="P315" i="39"/>
  <c r="P314" i="39"/>
  <c r="U312" i="39"/>
  <c r="P312" i="39"/>
  <c r="Q315" i="39"/>
  <c r="P311" i="39"/>
  <c r="L315" i="39"/>
  <c r="Q310" i="39"/>
  <c r="P310" i="39"/>
  <c r="L310" i="39"/>
  <c r="U309" i="39"/>
  <c r="U311" i="39" s="1"/>
  <c r="T309" i="39"/>
  <c r="J272" i="39"/>
  <c r="J271" i="39"/>
  <c r="J270" i="39"/>
  <c r="J269" i="39"/>
  <c r="J268" i="39"/>
  <c r="J267" i="39"/>
  <c r="J243" i="39"/>
  <c r="J242" i="39"/>
  <c r="J241" i="39"/>
  <c r="J240" i="39"/>
  <c r="J239" i="39"/>
  <c r="J238" i="39"/>
  <c r="J237" i="39"/>
  <c r="J236" i="39"/>
  <c r="J235" i="39"/>
  <c r="J234" i="39"/>
  <c r="J228" i="39"/>
  <c r="J227" i="39"/>
  <c r="J226" i="39"/>
  <c r="J225" i="39"/>
  <c r="J224" i="39"/>
  <c r="J223" i="39"/>
  <c r="J222" i="39"/>
  <c r="J221" i="39"/>
  <c r="K220" i="39"/>
  <c r="J220" i="39"/>
  <c r="K219" i="39"/>
  <c r="J219" i="39"/>
  <c r="K218" i="39"/>
  <c r="J218" i="39"/>
  <c r="K217" i="39"/>
  <c r="J217" i="39"/>
  <c r="K216" i="39"/>
  <c r="J216" i="39"/>
  <c r="K215" i="39"/>
  <c r="J215" i="39"/>
  <c r="K214" i="39"/>
  <c r="J214" i="39"/>
  <c r="K213" i="39"/>
  <c r="J213" i="39"/>
  <c r="K212" i="39"/>
  <c r="J212" i="39"/>
  <c r="K211" i="39"/>
  <c r="J211" i="39"/>
  <c r="J210" i="39"/>
  <c r="K209" i="39"/>
  <c r="J209" i="39"/>
  <c r="K208" i="39"/>
  <c r="J208" i="39"/>
  <c r="K207" i="39"/>
  <c r="J207" i="39"/>
  <c r="K206" i="39"/>
  <c r="J206" i="39"/>
  <c r="K205" i="39"/>
  <c r="J205" i="39"/>
  <c r="K204" i="39"/>
  <c r="J204" i="39"/>
  <c r="K203" i="39"/>
  <c r="J203" i="39"/>
  <c r="K202" i="39"/>
  <c r="J202" i="39"/>
  <c r="I197" i="39"/>
  <c r="J196" i="39"/>
  <c r="J195" i="39"/>
  <c r="J194" i="39"/>
  <c r="J193" i="39"/>
  <c r="J192" i="39"/>
  <c r="J191" i="39"/>
  <c r="J190" i="39"/>
  <c r="J189" i="39"/>
  <c r="J188" i="39"/>
  <c r="J187" i="39"/>
  <c r="J186" i="39"/>
  <c r="J185" i="39"/>
  <c r="J184" i="39"/>
  <c r="J183" i="39"/>
  <c r="J182" i="39"/>
  <c r="J181" i="39"/>
  <c r="J180" i="39"/>
  <c r="K179" i="39"/>
  <c r="J179" i="39"/>
  <c r="K178" i="39"/>
  <c r="J178" i="39"/>
  <c r="K177" i="39"/>
  <c r="J177" i="39"/>
  <c r="K176" i="39"/>
  <c r="J176" i="39"/>
  <c r="K175" i="39"/>
  <c r="J175" i="39"/>
  <c r="K174" i="39"/>
  <c r="J174" i="39"/>
  <c r="K173" i="39"/>
  <c r="J173" i="39"/>
  <c r="K172" i="39"/>
  <c r="J172" i="39"/>
  <c r="K171" i="39"/>
  <c r="J171" i="39"/>
  <c r="J170" i="39"/>
  <c r="J169" i="39"/>
  <c r="K168" i="39"/>
  <c r="J168" i="39"/>
  <c r="J167" i="39"/>
  <c r="J166" i="39"/>
  <c r="J165" i="39"/>
  <c r="J164" i="39"/>
  <c r="J163" i="39"/>
  <c r="X162" i="39"/>
  <c r="Z162" i="39" s="1"/>
  <c r="J162" i="39"/>
  <c r="K161" i="39"/>
  <c r="J161" i="39"/>
  <c r="K160" i="39"/>
  <c r="J160" i="39"/>
  <c r="K159" i="39"/>
  <c r="J159" i="39"/>
  <c r="K158" i="39"/>
  <c r="J158" i="39"/>
  <c r="K157" i="39"/>
  <c r="J157" i="39"/>
  <c r="I150" i="39"/>
  <c r="J149" i="39"/>
  <c r="J148" i="39"/>
  <c r="J147" i="39"/>
  <c r="J146" i="39"/>
  <c r="J145" i="39"/>
  <c r="J144" i="39"/>
  <c r="J143" i="39"/>
  <c r="J142" i="39"/>
  <c r="J141" i="39"/>
  <c r="I136" i="39"/>
  <c r="J135" i="39"/>
  <c r="J134" i="39"/>
  <c r="J133" i="39"/>
  <c r="J132" i="39"/>
  <c r="J131" i="39"/>
  <c r="J130" i="39"/>
  <c r="J129" i="39"/>
  <c r="J128" i="39"/>
  <c r="J127" i="39"/>
  <c r="J126" i="39"/>
  <c r="J125" i="39"/>
  <c r="J110" i="39"/>
  <c r="J109" i="39"/>
  <c r="J108" i="39"/>
  <c r="J107" i="39"/>
  <c r="J106" i="39"/>
  <c r="J105" i="39"/>
  <c r="J104" i="39"/>
  <c r="J103" i="39"/>
  <c r="J102" i="39"/>
  <c r="J101" i="39"/>
  <c r="J100" i="39"/>
  <c r="J99" i="39"/>
  <c r="J98" i="39"/>
  <c r="J97" i="39"/>
  <c r="J96" i="39"/>
  <c r="J95" i="39"/>
  <c r="J94" i="39"/>
  <c r="J93" i="39"/>
  <c r="J92" i="39"/>
  <c r="J91" i="39"/>
  <c r="J90" i="39"/>
  <c r="J89" i="39"/>
  <c r="I84" i="39"/>
  <c r="O82" i="39"/>
  <c r="Q82" i="39" s="1"/>
  <c r="J82" i="39"/>
  <c r="J81" i="39"/>
  <c r="J80" i="39"/>
  <c r="J79" i="39"/>
  <c r="J78" i="39"/>
  <c r="O77" i="39"/>
  <c r="Q77" i="39" s="1"/>
  <c r="J77" i="39"/>
  <c r="O76" i="39"/>
  <c r="Q76" i="39" s="1"/>
  <c r="J76" i="39"/>
  <c r="O75" i="39"/>
  <c r="Q75" i="39" s="1"/>
  <c r="J75" i="39"/>
  <c r="O74" i="39"/>
  <c r="Q74" i="39" s="1"/>
  <c r="J74" i="39"/>
  <c r="O73" i="39"/>
  <c r="Q73" i="39" s="1"/>
  <c r="J73" i="39"/>
  <c r="O72" i="39"/>
  <c r="Q72" i="39" s="1"/>
  <c r="J72" i="39"/>
  <c r="O71" i="39"/>
  <c r="Q71" i="39" s="1"/>
  <c r="J71" i="39"/>
  <c r="O70" i="39"/>
  <c r="Q70" i="39" s="1"/>
  <c r="J70" i="39"/>
  <c r="O69" i="39"/>
  <c r="Q69" i="39" s="1"/>
  <c r="J69" i="39"/>
  <c r="O68" i="39"/>
  <c r="Q68" i="39" s="1"/>
  <c r="J68" i="39"/>
  <c r="O67" i="39"/>
  <c r="Q67" i="39" s="1"/>
  <c r="J67" i="39"/>
  <c r="O66" i="39"/>
  <c r="Q66" i="39" s="1"/>
  <c r="O65" i="39"/>
  <c r="Q65" i="39" s="1"/>
  <c r="O64" i="39"/>
  <c r="Q64" i="39" s="1"/>
  <c r="O63" i="39"/>
  <c r="Q63" i="39" s="1"/>
  <c r="L59" i="39"/>
  <c r="I59" i="39"/>
  <c r="J59" i="39" s="1"/>
  <c r="J57" i="39"/>
  <c r="J56" i="39"/>
  <c r="J55" i="39"/>
  <c r="J54" i="39"/>
  <c r="J53" i="39"/>
  <c r="J52" i="39"/>
  <c r="J51" i="39"/>
  <c r="J50" i="39"/>
  <c r="J49" i="39"/>
  <c r="J48" i="39"/>
  <c r="J47" i="39"/>
  <c r="J46" i="39"/>
  <c r="J45" i="39"/>
  <c r="J44" i="39"/>
  <c r="J43" i="39"/>
  <c r="J42" i="39"/>
  <c r="J41" i="39"/>
  <c r="J40" i="39"/>
  <c r="J39" i="39"/>
  <c r="J38" i="39"/>
  <c r="J37" i="39"/>
  <c r="J36" i="39"/>
  <c r="J35" i="39"/>
  <c r="J34" i="39"/>
  <c r="J33" i="39"/>
  <c r="J32" i="39"/>
  <c r="J31" i="39"/>
  <c r="J30" i="39"/>
  <c r="J29" i="39"/>
  <c r="J28" i="39"/>
  <c r="J27" i="39"/>
  <c r="J26" i="39"/>
  <c r="O25" i="39"/>
  <c r="Q25" i="39" s="1"/>
  <c r="J25" i="39"/>
  <c r="O24" i="39"/>
  <c r="Q24" i="39" s="1"/>
  <c r="J24" i="39"/>
  <c r="O23" i="39"/>
  <c r="Q23" i="39" s="1"/>
  <c r="J23" i="39"/>
  <c r="O22" i="39"/>
  <c r="Q22" i="39" s="1"/>
  <c r="J22" i="39"/>
  <c r="O21" i="39"/>
  <c r="Q21" i="39" s="1"/>
  <c r="J21" i="39"/>
  <c r="O20" i="39"/>
  <c r="Q20" i="39" s="1"/>
  <c r="J20" i="39"/>
  <c r="O19" i="39"/>
  <c r="Q19" i="39" s="1"/>
  <c r="J19" i="39"/>
  <c r="O18" i="39"/>
  <c r="Q18" i="39" s="1"/>
  <c r="J18" i="39"/>
  <c r="O17" i="39"/>
  <c r="Q17" i="39" s="1"/>
  <c r="J17" i="39"/>
  <c r="O16" i="39"/>
  <c r="Q16" i="39" s="1"/>
  <c r="J16" i="39"/>
  <c r="O15" i="39"/>
  <c r="Q15" i="39" s="1"/>
  <c r="J15" i="39"/>
  <c r="O14" i="39"/>
  <c r="Q14" i="39" s="1"/>
  <c r="J14" i="39"/>
  <c r="O13" i="39"/>
  <c r="Q13" i="39" s="1"/>
  <c r="J13" i="39"/>
  <c r="O12" i="39"/>
  <c r="Q12" i="39" s="1"/>
  <c r="J12" i="39"/>
  <c r="O11" i="39"/>
  <c r="Q11" i="39" s="1"/>
  <c r="J11" i="39"/>
  <c r="O10" i="39"/>
  <c r="Q10" i="39" s="1"/>
  <c r="J10" i="39"/>
  <c r="O9" i="39"/>
  <c r="Q9" i="39" s="1"/>
  <c r="J9" i="39"/>
  <c r="O8" i="39"/>
  <c r="Q8" i="39" s="1"/>
  <c r="J8" i="39"/>
  <c r="O7" i="39"/>
  <c r="Q7" i="39" s="1"/>
  <c r="J7" i="39"/>
  <c r="O6" i="39"/>
  <c r="Q6" i="39" s="1"/>
  <c r="J6" i="39"/>
  <c r="O5" i="39"/>
  <c r="Q5" i="39" s="1"/>
  <c r="J5" i="39"/>
  <c r="O4" i="39"/>
  <c r="Q4" i="39" s="1"/>
  <c r="J4" i="39"/>
  <c r="M25" i="23"/>
  <c r="L25" i="23"/>
  <c r="K25" i="23"/>
  <c r="J25" i="23"/>
  <c r="M73" i="5"/>
  <c r="M72" i="5"/>
  <c r="M69" i="5"/>
  <c r="N68" i="5"/>
  <c r="M68" i="5"/>
  <c r="N65" i="5"/>
  <c r="M65" i="5"/>
  <c r="J68" i="5" s="1"/>
  <c r="I57" i="5"/>
  <c r="I61" i="5" s="1"/>
  <c r="C19" i="30" s="1"/>
  <c r="J53" i="5"/>
  <c r="J52" i="5"/>
  <c r="J51" i="5"/>
  <c r="J50" i="5"/>
  <c r="J49" i="5"/>
  <c r="J48" i="5"/>
  <c r="J47" i="5"/>
  <c r="J46" i="5"/>
  <c r="J45" i="5"/>
  <c r="J44" i="5"/>
  <c r="J43" i="5"/>
  <c r="J42" i="5"/>
  <c r="J41" i="5"/>
  <c r="J40" i="5"/>
  <c r="J39" i="5"/>
  <c r="J26" i="5"/>
  <c r="J25" i="5"/>
  <c r="J24" i="5"/>
  <c r="N23" i="5"/>
  <c r="J23" i="5"/>
  <c r="N22" i="5"/>
  <c r="J22" i="5"/>
  <c r="N21" i="5"/>
  <c r="P21" i="5" s="1"/>
  <c r="J21" i="5"/>
  <c r="N20" i="5"/>
  <c r="P20" i="5" s="1"/>
  <c r="J20" i="5"/>
  <c r="N19" i="5"/>
  <c r="P19" i="5" s="1"/>
  <c r="J19" i="5"/>
  <c r="N18" i="5"/>
  <c r="P18" i="5" s="1"/>
  <c r="J18" i="5"/>
  <c r="N17" i="5"/>
  <c r="P17" i="5" s="1"/>
  <c r="J17" i="5"/>
  <c r="N16" i="5"/>
  <c r="P16" i="5" s="1"/>
  <c r="J16" i="5"/>
  <c r="N15" i="5"/>
  <c r="P15" i="5" s="1"/>
  <c r="J15" i="5"/>
  <c r="N14" i="5"/>
  <c r="P14" i="5" s="1"/>
  <c r="J14" i="5"/>
  <c r="N13" i="5"/>
  <c r="P13" i="5" s="1"/>
  <c r="J13" i="5"/>
  <c r="N12" i="5"/>
  <c r="P12" i="5" s="1"/>
  <c r="J12" i="5"/>
  <c r="N11" i="5"/>
  <c r="P11" i="5" s="1"/>
  <c r="J11" i="5"/>
  <c r="N10" i="5"/>
  <c r="P10" i="5" s="1"/>
  <c r="J10" i="5"/>
  <c r="N9" i="5"/>
  <c r="P9" i="5" s="1"/>
  <c r="J9" i="5"/>
  <c r="N8" i="5"/>
  <c r="P8" i="5" s="1"/>
  <c r="J8" i="5"/>
  <c r="N7" i="5"/>
  <c r="P7" i="5" s="1"/>
  <c r="J7" i="5"/>
  <c r="N6" i="5"/>
  <c r="P6" i="5" s="1"/>
  <c r="J6" i="5"/>
  <c r="N5" i="5"/>
  <c r="P5" i="5" s="1"/>
  <c r="J5" i="5"/>
  <c r="N4" i="5"/>
  <c r="P4" i="5" s="1"/>
  <c r="J4" i="5"/>
  <c r="N3" i="5"/>
  <c r="P3" i="5" s="1"/>
  <c r="J3" i="5"/>
  <c r="I29" i="10"/>
  <c r="C18" i="30" s="1"/>
  <c r="Q27" i="10"/>
  <c r="S27" i="10" s="1"/>
  <c r="L24" i="10"/>
  <c r="K20" i="10"/>
  <c r="K25" i="10" s="1"/>
  <c r="L25" i="10" s="1"/>
  <c r="Q16" i="10"/>
  <c r="S16" i="10" s="1"/>
  <c r="Q15" i="10"/>
  <c r="S15" i="10" s="1"/>
  <c r="Q14" i="10"/>
  <c r="S14" i="10" s="1"/>
  <c r="Q13" i="10"/>
  <c r="S13" i="10" s="1"/>
  <c r="Q12" i="10"/>
  <c r="S12" i="10" s="1"/>
  <c r="Q11" i="10"/>
  <c r="S11" i="10" s="1"/>
  <c r="Q10" i="10"/>
  <c r="S10" i="10" s="1"/>
  <c r="Q9" i="10"/>
  <c r="S9" i="10" s="1"/>
  <c r="Q8" i="10"/>
  <c r="S8" i="10" s="1"/>
  <c r="Q7" i="10"/>
  <c r="S7" i="10" s="1"/>
  <c r="Q6" i="10"/>
  <c r="S6" i="10" s="1"/>
  <c r="Q5" i="10"/>
  <c r="S5" i="10" s="1"/>
  <c r="Q4" i="10"/>
  <c r="S4" i="10" s="1"/>
  <c r="Q3" i="10"/>
  <c r="S3" i="10" s="1"/>
  <c r="I23" i="47"/>
  <c r="C17" i="30" s="1"/>
  <c r="J21" i="47"/>
  <c r="J20" i="47"/>
  <c r="J19" i="47"/>
  <c r="J18" i="47"/>
  <c r="J17" i="47"/>
  <c r="J16" i="47"/>
  <c r="J15" i="47"/>
  <c r="J14" i="47"/>
  <c r="J13" i="47"/>
  <c r="J12" i="47"/>
  <c r="J11" i="47"/>
  <c r="J10" i="47"/>
  <c r="J314" i="61"/>
  <c r="C16" i="70" s="1"/>
  <c r="L313" i="61"/>
  <c r="K313" i="61"/>
  <c r="J282" i="61"/>
  <c r="J281" i="61"/>
  <c r="J280" i="61"/>
  <c r="J279" i="61"/>
  <c r="J278" i="61"/>
  <c r="J277" i="61"/>
  <c r="J276" i="61"/>
  <c r="J275" i="61"/>
  <c r="J274" i="61"/>
  <c r="J273" i="61"/>
  <c r="J272" i="61"/>
  <c r="J271" i="61"/>
  <c r="J270" i="61"/>
  <c r="J269" i="61"/>
  <c r="J268" i="61"/>
  <c r="J267" i="61"/>
  <c r="J266" i="61"/>
  <c r="J265" i="61"/>
  <c r="J264" i="61"/>
  <c r="J263" i="61"/>
  <c r="J262" i="61"/>
  <c r="J261" i="61"/>
  <c r="J260" i="61"/>
  <c r="J259" i="61"/>
  <c r="J258" i="61"/>
  <c r="J257" i="61"/>
  <c r="J256" i="61"/>
  <c r="J255" i="61"/>
  <c r="J254" i="61"/>
  <c r="J253" i="61"/>
  <c r="J252" i="61"/>
  <c r="J251" i="61"/>
  <c r="J250" i="61"/>
  <c r="J249" i="61"/>
  <c r="J248" i="61"/>
  <c r="J247" i="61"/>
  <c r="J246" i="61"/>
  <c r="I239" i="61"/>
  <c r="J234" i="61"/>
  <c r="J233" i="61"/>
  <c r="J232" i="61"/>
  <c r="J231" i="61"/>
  <c r="J230" i="61"/>
  <c r="J229" i="61"/>
  <c r="J228" i="61"/>
  <c r="J227" i="61"/>
  <c r="J226" i="61"/>
  <c r="J225" i="61"/>
  <c r="J224" i="61"/>
  <c r="J223" i="61"/>
  <c r="J222" i="61"/>
  <c r="J221" i="61"/>
  <c r="J220" i="61"/>
  <c r="J219" i="61"/>
  <c r="J218" i="61"/>
  <c r="J217" i="61"/>
  <c r="J216" i="61"/>
  <c r="J215" i="61"/>
  <c r="J214" i="61"/>
  <c r="J213" i="61"/>
  <c r="J212" i="61"/>
  <c r="J211" i="61"/>
  <c r="J210" i="61"/>
  <c r="J209" i="61"/>
  <c r="J208" i="61"/>
  <c r="J207" i="61"/>
  <c r="J206" i="61"/>
  <c r="J205" i="61"/>
  <c r="J204" i="61"/>
  <c r="J203" i="61"/>
  <c r="J202" i="61"/>
  <c r="J201" i="61"/>
  <c r="J200" i="61"/>
  <c r="J199" i="61"/>
  <c r="J125" i="61"/>
  <c r="J124" i="61"/>
  <c r="J122" i="61"/>
  <c r="J121" i="61"/>
  <c r="J120" i="61"/>
  <c r="J118" i="61"/>
  <c r="J117" i="61"/>
  <c r="J116" i="61"/>
  <c r="J115" i="61"/>
  <c r="J114" i="61"/>
  <c r="J112" i="61"/>
  <c r="J111" i="61"/>
  <c r="J110" i="61"/>
  <c r="J109" i="61"/>
  <c r="J108" i="61"/>
  <c r="J107" i="61"/>
  <c r="J106" i="61"/>
  <c r="J105" i="61"/>
  <c r="J104" i="61"/>
  <c r="J103" i="61"/>
  <c r="J102" i="61"/>
  <c r="J101" i="61"/>
  <c r="J100" i="61"/>
  <c r="J99" i="61"/>
  <c r="J98" i="61"/>
  <c r="J97" i="61"/>
  <c r="J96" i="61"/>
  <c r="J95" i="61"/>
  <c r="J94" i="61"/>
  <c r="J93" i="61"/>
  <c r="J92" i="61"/>
  <c r="J91" i="61"/>
  <c r="J90" i="61"/>
  <c r="J89" i="61"/>
  <c r="J88" i="61"/>
  <c r="J87" i="61"/>
  <c r="J86" i="61"/>
  <c r="J85" i="61"/>
  <c r="J84" i="61"/>
  <c r="J83" i="61"/>
  <c r="J82" i="61"/>
  <c r="J81" i="61"/>
  <c r="J80" i="61"/>
  <c r="J79" i="61"/>
  <c r="J78" i="61"/>
  <c r="J77" i="61"/>
  <c r="J76" i="61"/>
  <c r="J75" i="61"/>
  <c r="J74" i="61"/>
  <c r="J73" i="61"/>
  <c r="J72" i="61"/>
  <c r="J71" i="61"/>
  <c r="J70" i="61"/>
  <c r="J69" i="61"/>
  <c r="J68" i="61"/>
  <c r="J67" i="61"/>
  <c r="J66" i="61"/>
  <c r="J65" i="61"/>
  <c r="J64" i="61"/>
  <c r="J63" i="61"/>
  <c r="J62" i="61"/>
  <c r="J61" i="61"/>
  <c r="J60" i="61"/>
  <c r="J59" i="61"/>
  <c r="J58" i="61"/>
  <c r="J57" i="61"/>
  <c r="J56" i="61"/>
  <c r="J55" i="61"/>
  <c r="I49" i="61"/>
  <c r="J42" i="61"/>
  <c r="J41" i="61"/>
  <c r="J40" i="61"/>
  <c r="J39" i="61"/>
  <c r="J38" i="61"/>
  <c r="J37" i="61"/>
  <c r="J36" i="61"/>
  <c r="J35" i="61"/>
  <c r="J34" i="61"/>
  <c r="J33" i="61"/>
  <c r="J32" i="61"/>
  <c r="J31" i="61"/>
  <c r="J30" i="61"/>
  <c r="J29" i="61"/>
  <c r="J28" i="61"/>
  <c r="J27" i="61"/>
  <c r="J26" i="61"/>
  <c r="J25" i="61"/>
  <c r="J24" i="61"/>
  <c r="J23" i="61"/>
  <c r="J22" i="61"/>
  <c r="J21" i="61"/>
  <c r="J20" i="61"/>
  <c r="J19" i="61"/>
  <c r="J18" i="61"/>
  <c r="J17" i="61"/>
  <c r="J16" i="61"/>
  <c r="J15" i="61"/>
  <c r="J14" i="61"/>
  <c r="J13" i="61"/>
  <c r="J12" i="61"/>
  <c r="J11" i="61"/>
  <c r="J10" i="61"/>
  <c r="J9" i="61"/>
  <c r="J8" i="61"/>
  <c r="J7" i="61"/>
  <c r="J6" i="61"/>
  <c r="J5" i="61"/>
  <c r="I7" i="104"/>
  <c r="C15" i="30" s="1"/>
  <c r="J4" i="104"/>
  <c r="J3" i="104"/>
  <c r="L98" i="9"/>
  <c r="L97" i="9"/>
  <c r="L94" i="9"/>
  <c r="J94" i="9"/>
  <c r="L93" i="9"/>
  <c r="I93" i="9"/>
  <c r="M93" i="9" s="1"/>
  <c r="J92" i="9"/>
  <c r="M90" i="9"/>
  <c r="L86" i="9"/>
  <c r="L85" i="9"/>
  <c r="L82" i="9"/>
  <c r="J82" i="9"/>
  <c r="L81" i="9"/>
  <c r="I81" i="9"/>
  <c r="J81" i="9" s="1"/>
  <c r="J80" i="9"/>
  <c r="M78" i="9"/>
  <c r="I73" i="9"/>
  <c r="N69" i="9"/>
  <c r="P69" i="9" s="1"/>
  <c r="N68" i="9"/>
  <c r="P68" i="9" s="1"/>
  <c r="N67" i="9"/>
  <c r="P67" i="9" s="1"/>
  <c r="N66" i="9"/>
  <c r="P66" i="9" s="1"/>
  <c r="N65" i="9"/>
  <c r="P65" i="9" s="1"/>
  <c r="N64" i="9"/>
  <c r="P64" i="9" s="1"/>
  <c r="N63" i="9"/>
  <c r="P63" i="9" s="1"/>
  <c r="I60" i="9"/>
  <c r="N58" i="9"/>
  <c r="P58" i="9" s="1"/>
  <c r="N57" i="9"/>
  <c r="P57" i="9" s="1"/>
  <c r="N56" i="9"/>
  <c r="P56" i="9" s="1"/>
  <c r="N55" i="9"/>
  <c r="P55" i="9" s="1"/>
  <c r="N54" i="9"/>
  <c r="P54" i="9" s="1"/>
  <c r="N53" i="9"/>
  <c r="P53" i="9" s="1"/>
  <c r="I48" i="9"/>
  <c r="N46" i="9"/>
  <c r="P46" i="9" s="1"/>
  <c r="N45" i="9"/>
  <c r="P45" i="9" s="1"/>
  <c r="N44" i="9"/>
  <c r="P44" i="9" s="1"/>
  <c r="N43" i="9"/>
  <c r="P43" i="9" s="1"/>
  <c r="N42" i="9"/>
  <c r="P42" i="9" s="1"/>
  <c r="N41" i="9"/>
  <c r="P41" i="9" s="1"/>
  <c r="N40" i="9"/>
  <c r="P40" i="9" s="1"/>
  <c r="N39" i="9"/>
  <c r="P39" i="9" s="1"/>
  <c r="N38" i="9"/>
  <c r="P38" i="9" s="1"/>
  <c r="N37" i="9"/>
  <c r="P37" i="9" s="1"/>
  <c r="N36" i="9"/>
  <c r="P36" i="9" s="1"/>
  <c r="N35" i="9"/>
  <c r="P35" i="9" s="1"/>
  <c r="N34" i="9"/>
  <c r="P34" i="9" s="1"/>
  <c r="N33" i="9"/>
  <c r="P33" i="9" s="1"/>
  <c r="N32" i="9"/>
  <c r="P32" i="9" s="1"/>
  <c r="N31" i="9"/>
  <c r="P31" i="9" s="1"/>
  <c r="N30" i="9"/>
  <c r="P30" i="9" s="1"/>
  <c r="N29" i="9"/>
  <c r="P29" i="9" s="1"/>
  <c r="N28" i="9"/>
  <c r="P28" i="9" s="1"/>
  <c r="N27" i="9"/>
  <c r="P27" i="9" s="1"/>
  <c r="N26" i="9"/>
  <c r="P26" i="9" s="1"/>
  <c r="N25" i="9"/>
  <c r="P25" i="9" s="1"/>
  <c r="N24" i="9"/>
  <c r="P24" i="9" s="1"/>
  <c r="N23" i="9"/>
  <c r="P23" i="9" s="1"/>
  <c r="N22" i="9"/>
  <c r="P22" i="9" s="1"/>
  <c r="I18" i="9"/>
  <c r="N16" i="9"/>
  <c r="P16" i="9" s="1"/>
  <c r="J16" i="9"/>
  <c r="N15" i="9"/>
  <c r="P15" i="9" s="1"/>
  <c r="J15" i="9"/>
  <c r="N14" i="9"/>
  <c r="P14" i="9" s="1"/>
  <c r="J14" i="9"/>
  <c r="N13" i="9"/>
  <c r="P13" i="9" s="1"/>
  <c r="N12" i="9"/>
  <c r="P12" i="9" s="1"/>
  <c r="N11" i="9"/>
  <c r="P11" i="9" s="1"/>
  <c r="N10" i="9"/>
  <c r="P10" i="9" s="1"/>
  <c r="N9" i="9"/>
  <c r="P9" i="9" s="1"/>
  <c r="T8" i="9"/>
  <c r="Q8" i="9"/>
  <c r="N8" i="9"/>
  <c r="P8" i="9" s="1"/>
  <c r="N7" i="9"/>
  <c r="P7" i="9" s="1"/>
  <c r="N6" i="9"/>
  <c r="P6" i="9" s="1"/>
  <c r="N5" i="9"/>
  <c r="P5" i="9" s="1"/>
  <c r="N4" i="9"/>
  <c r="P4" i="9" s="1"/>
  <c r="I13" i="49"/>
  <c r="C14" i="30" s="1"/>
  <c r="J10" i="49"/>
  <c r="J9" i="49"/>
  <c r="J8" i="49"/>
  <c r="J7" i="49"/>
  <c r="I6" i="49"/>
  <c r="J6" i="49" s="1"/>
  <c r="J5" i="49"/>
  <c r="I4" i="49"/>
  <c r="J4" i="49" s="1"/>
  <c r="J3" i="49"/>
  <c r="J95" i="37"/>
  <c r="L94" i="37"/>
  <c r="K94" i="37"/>
  <c r="K95" i="37" s="1"/>
  <c r="I86" i="37"/>
  <c r="J78" i="37"/>
  <c r="J77" i="37"/>
  <c r="J76" i="37"/>
  <c r="J75" i="37"/>
  <c r="J74" i="37"/>
  <c r="J73" i="37"/>
  <c r="J72" i="37"/>
  <c r="J71" i="37"/>
  <c r="J70" i="37"/>
  <c r="J69" i="37"/>
  <c r="J68" i="37"/>
  <c r="J67" i="37"/>
  <c r="J66" i="37"/>
  <c r="J65" i="37"/>
  <c r="J64" i="37"/>
  <c r="J63" i="37"/>
  <c r="J62" i="37"/>
  <c r="J61" i="37"/>
  <c r="J60" i="37"/>
  <c r="J59" i="37"/>
  <c r="J58" i="37"/>
  <c r="J57" i="37"/>
  <c r="J56" i="37"/>
  <c r="J55" i="37"/>
  <c r="J54" i="37"/>
  <c r="J53" i="37"/>
  <c r="J52" i="37"/>
  <c r="J51" i="37"/>
  <c r="J50" i="37"/>
  <c r="J49" i="37"/>
  <c r="J48" i="37"/>
  <c r="J47" i="37"/>
  <c r="J46" i="37"/>
  <c r="J45" i="37"/>
  <c r="J44" i="37"/>
  <c r="J43" i="37"/>
  <c r="J42" i="37"/>
  <c r="J41" i="37"/>
  <c r="J40" i="37"/>
  <c r="J39" i="37"/>
  <c r="J38" i="37"/>
  <c r="J37" i="37"/>
  <c r="J36" i="37"/>
  <c r="J35" i="37"/>
  <c r="J34" i="37"/>
  <c r="J33" i="37"/>
  <c r="J32" i="37"/>
  <c r="J31" i="37"/>
  <c r="J30" i="37"/>
  <c r="J4" i="37"/>
  <c r="J3" i="37"/>
  <c r="I8" i="32"/>
  <c r="C11" i="30" s="1"/>
  <c r="J65" i="8"/>
  <c r="J63" i="8"/>
  <c r="J60" i="8"/>
  <c r="J59" i="8"/>
  <c r="J58" i="8"/>
  <c r="J57" i="8"/>
  <c r="J56" i="8"/>
  <c r="J55" i="8"/>
  <c r="J54" i="8"/>
  <c r="J53" i="8"/>
  <c r="J52" i="8"/>
  <c r="J51" i="8"/>
  <c r="J50" i="8"/>
  <c r="J49" i="8"/>
  <c r="J48" i="8"/>
  <c r="J47" i="8"/>
  <c r="J46" i="8"/>
  <c r="J45" i="8"/>
  <c r="J44" i="8"/>
  <c r="J42" i="8"/>
  <c r="J41" i="8"/>
  <c r="J40" i="8"/>
  <c r="J39" i="8"/>
  <c r="J38" i="8"/>
  <c r="J37" i="8"/>
  <c r="J36" i="8"/>
  <c r="J35" i="8"/>
  <c r="M175" i="1"/>
  <c r="M174" i="1"/>
  <c r="M171" i="1"/>
  <c r="S170" i="1"/>
  <c r="N170" i="1"/>
  <c r="N172" i="1" s="1"/>
  <c r="M170" i="1"/>
  <c r="S167" i="1"/>
  <c r="M172" i="1"/>
  <c r="I160" i="1"/>
  <c r="J158" i="1"/>
  <c r="I156"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O77" i="1"/>
  <c r="J77" i="1"/>
  <c r="O76" i="1"/>
  <c r="Q76" i="1" s="1"/>
  <c r="J76" i="1"/>
  <c r="O75" i="1"/>
  <c r="Q75" i="1" s="1"/>
  <c r="J75" i="1"/>
  <c r="O74" i="1"/>
  <c r="Q74" i="1" s="1"/>
  <c r="J74" i="1"/>
  <c r="O73" i="1"/>
  <c r="Q73" i="1" s="1"/>
  <c r="J73" i="1"/>
  <c r="O72" i="1"/>
  <c r="Q72" i="1" s="1"/>
  <c r="J72" i="1"/>
  <c r="O71" i="1"/>
  <c r="Q71" i="1" s="1"/>
  <c r="J71" i="1"/>
  <c r="O70" i="1"/>
  <c r="Q70" i="1" s="1"/>
  <c r="J70" i="1"/>
  <c r="O69" i="1"/>
  <c r="Q69" i="1" s="1"/>
  <c r="J69" i="1"/>
  <c r="O68" i="1"/>
  <c r="Q68" i="1" s="1"/>
  <c r="J68" i="1"/>
  <c r="O67" i="1"/>
  <c r="Q67" i="1" s="1"/>
  <c r="J67" i="1"/>
  <c r="O66" i="1"/>
  <c r="Q66" i="1" s="1"/>
  <c r="J66" i="1"/>
  <c r="O65" i="1"/>
  <c r="Q65" i="1" s="1"/>
  <c r="J65" i="1"/>
  <c r="O64" i="1"/>
  <c r="Q64" i="1" s="1"/>
  <c r="J64" i="1"/>
  <c r="O63" i="1"/>
  <c r="Q63" i="1" s="1"/>
  <c r="J63" i="1"/>
  <c r="O62" i="1"/>
  <c r="Q62" i="1" s="1"/>
  <c r="J62" i="1"/>
  <c r="O61" i="1"/>
  <c r="Q61" i="1" s="1"/>
  <c r="J61" i="1"/>
  <c r="O60" i="1"/>
  <c r="Q60" i="1" s="1"/>
  <c r="J60" i="1"/>
  <c r="O59" i="1"/>
  <c r="Q59" i="1" s="1"/>
  <c r="J59" i="1"/>
  <c r="O58" i="1"/>
  <c r="Q58" i="1" s="1"/>
  <c r="J58" i="1"/>
  <c r="O57" i="1"/>
  <c r="Q57" i="1" s="1"/>
  <c r="J57" i="1"/>
  <c r="O56" i="1"/>
  <c r="Q56" i="1" s="1"/>
  <c r="J56" i="1"/>
  <c r="O55" i="1"/>
  <c r="Q55" i="1" s="1"/>
  <c r="J55" i="1"/>
  <c r="O54" i="1"/>
  <c r="Q54" i="1" s="1"/>
  <c r="J54" i="1"/>
  <c r="O53" i="1"/>
  <c r="Q53" i="1" s="1"/>
  <c r="J53" i="1"/>
  <c r="O52" i="1"/>
  <c r="Q52" i="1" s="1"/>
  <c r="J52" i="1"/>
  <c r="O51" i="1"/>
  <c r="Q51" i="1" s="1"/>
  <c r="J51" i="1"/>
  <c r="O50" i="1"/>
  <c r="Q50" i="1" s="1"/>
  <c r="J50" i="1"/>
  <c r="O49" i="1"/>
  <c r="Q49" i="1" s="1"/>
  <c r="J49" i="1"/>
  <c r="O48" i="1"/>
  <c r="Q48" i="1" s="1"/>
  <c r="J48" i="1"/>
  <c r="O47" i="1"/>
  <c r="Q47" i="1" s="1"/>
  <c r="J47" i="1"/>
  <c r="O46" i="1"/>
  <c r="Q46" i="1" s="1"/>
  <c r="J46" i="1"/>
  <c r="O45" i="1"/>
  <c r="Q45" i="1" s="1"/>
  <c r="J45" i="1"/>
  <c r="O44" i="1"/>
  <c r="Q44" i="1" s="1"/>
  <c r="J44" i="1"/>
  <c r="O43" i="1"/>
  <c r="Q43" i="1" s="1"/>
  <c r="J43" i="1"/>
  <c r="O42" i="1"/>
  <c r="Q42" i="1" s="1"/>
  <c r="J42" i="1"/>
  <c r="O41" i="1"/>
  <c r="Q41" i="1" s="1"/>
  <c r="J41" i="1"/>
  <c r="O40" i="1"/>
  <c r="Q40" i="1" s="1"/>
  <c r="J40" i="1"/>
  <c r="O39" i="1"/>
  <c r="Q39" i="1" s="1"/>
  <c r="L39" i="1"/>
  <c r="J39" i="1"/>
  <c r="O38" i="1"/>
  <c r="Q38" i="1" s="1"/>
  <c r="L38" i="1"/>
  <c r="J38" i="1"/>
  <c r="O37" i="1"/>
  <c r="Q37" i="1" s="1"/>
  <c r="L37" i="1"/>
  <c r="J37" i="1"/>
  <c r="O36" i="1"/>
  <c r="Q36" i="1" s="1"/>
  <c r="L36" i="1"/>
  <c r="J36" i="1"/>
  <c r="O35" i="1"/>
  <c r="Q35" i="1" s="1"/>
  <c r="L35" i="1"/>
  <c r="J35" i="1"/>
  <c r="O34" i="1"/>
  <c r="Q34" i="1" s="1"/>
  <c r="L34" i="1"/>
  <c r="J34" i="1"/>
  <c r="O33" i="1"/>
  <c r="Q33" i="1" s="1"/>
  <c r="L33" i="1"/>
  <c r="J33" i="1"/>
  <c r="O29" i="1"/>
  <c r="Q29" i="1" s="1"/>
  <c r="L29" i="1"/>
  <c r="O28" i="1"/>
  <c r="Q28" i="1" s="1"/>
  <c r="L28" i="1"/>
  <c r="O27" i="1"/>
  <c r="Q27" i="1" s="1"/>
  <c r="L27" i="1"/>
  <c r="O26" i="1"/>
  <c r="Q26" i="1" s="1"/>
  <c r="L26" i="1"/>
  <c r="O25" i="1"/>
  <c r="Q25" i="1" s="1"/>
  <c r="L25" i="1"/>
  <c r="O24" i="1"/>
  <c r="Q24" i="1" s="1"/>
  <c r="L24" i="1"/>
  <c r="O23" i="1"/>
  <c r="Q23" i="1" s="1"/>
  <c r="L23" i="1"/>
  <c r="J23" i="1"/>
  <c r="O22" i="1"/>
  <c r="Q22" i="1" s="1"/>
  <c r="L22" i="1"/>
  <c r="O21" i="1"/>
  <c r="Q21" i="1" s="1"/>
  <c r="L21" i="1"/>
  <c r="O20" i="1"/>
  <c r="Q20" i="1" s="1"/>
  <c r="L20" i="1"/>
  <c r="O19" i="1"/>
  <c r="Q19" i="1" s="1"/>
  <c r="L19" i="1"/>
  <c r="O18" i="1"/>
  <c r="Q18" i="1" s="1"/>
  <c r="L18" i="1"/>
  <c r="J18" i="1"/>
  <c r="O17" i="1"/>
  <c r="Q17" i="1" s="1"/>
  <c r="L17" i="1"/>
  <c r="O16" i="1"/>
  <c r="Q16" i="1" s="1"/>
  <c r="L16" i="1"/>
  <c r="O15" i="1"/>
  <c r="Q15" i="1" s="1"/>
  <c r="O14" i="1"/>
  <c r="Q14" i="1" s="1"/>
  <c r="L14" i="1"/>
  <c r="J14" i="1"/>
  <c r="O13" i="1"/>
  <c r="Q13" i="1" s="1"/>
  <c r="L13" i="1"/>
  <c r="O12" i="1"/>
  <c r="Q12" i="1" s="1"/>
  <c r="L12" i="1"/>
  <c r="O11" i="1"/>
  <c r="Q11" i="1" s="1"/>
  <c r="O10" i="1"/>
  <c r="Q10" i="1" s="1"/>
  <c r="O9" i="1"/>
  <c r="Q9" i="1" s="1"/>
  <c r="O8" i="1"/>
  <c r="Q8" i="1" s="1"/>
  <c r="O7" i="1"/>
  <c r="Q7" i="1" s="1"/>
  <c r="O6" i="1"/>
  <c r="Q6" i="1" s="1"/>
  <c r="O5" i="1"/>
  <c r="Q5" i="1" s="1"/>
  <c r="O4" i="1"/>
  <c r="Q4" i="1" s="1"/>
  <c r="O3" i="1"/>
  <c r="Q3" i="1" s="1"/>
  <c r="P65" i="20"/>
  <c r="P64" i="20"/>
  <c r="U62" i="20"/>
  <c r="C6" i="70" s="1"/>
  <c r="P62" i="20"/>
  <c r="C5" i="70" s="1"/>
  <c r="Q61" i="20"/>
  <c r="P61" i="20"/>
  <c r="L61" i="20"/>
  <c r="Q60" i="20"/>
  <c r="L60" i="20"/>
  <c r="U59" i="20"/>
  <c r="U64" i="20" s="1"/>
  <c r="T59" i="20"/>
  <c r="T62" i="20" s="1"/>
  <c r="Q59" i="20"/>
  <c r="N59" i="20"/>
  <c r="N62" i="20" s="1"/>
  <c r="L59" i="20"/>
  <c r="H31" i="20"/>
  <c r="H20" i="20"/>
  <c r="I18" i="20"/>
  <c r="I17" i="20"/>
  <c r="I16" i="20"/>
  <c r="I15" i="20"/>
  <c r="I14" i="20"/>
  <c r="I13" i="20"/>
  <c r="I12" i="20"/>
  <c r="I11" i="20"/>
  <c r="I10" i="20"/>
  <c r="I9" i="20"/>
  <c r="I8" i="20"/>
  <c r="I7" i="20"/>
  <c r="I6" i="20"/>
  <c r="I5" i="20"/>
  <c r="I4" i="20"/>
  <c r="I3" i="20"/>
  <c r="C8" i="30"/>
  <c r="J7" i="35"/>
  <c r="J6" i="35"/>
  <c r="J5" i="35"/>
  <c r="J73" i="6"/>
  <c r="J72" i="6"/>
  <c r="J70" i="6"/>
  <c r="J69" i="6"/>
  <c r="J68" i="6"/>
  <c r="J67" i="6"/>
  <c r="J66" i="6"/>
  <c r="J65" i="6"/>
  <c r="J64" i="6"/>
  <c r="J63" i="6"/>
  <c r="J62" i="6"/>
  <c r="J61" i="6"/>
  <c r="J60" i="6"/>
  <c r="J59" i="6"/>
  <c r="J58" i="6"/>
  <c r="J57" i="6"/>
  <c r="J56" i="6"/>
  <c r="J55" i="6"/>
  <c r="J54" i="6"/>
  <c r="J53" i="6"/>
  <c r="J52" i="6"/>
  <c r="J51" i="6"/>
  <c r="J50" i="6"/>
  <c r="J49" i="6"/>
  <c r="J48" i="6"/>
  <c r="J47" i="6"/>
  <c r="J46" i="6"/>
  <c r="J45" i="6"/>
  <c r="J44" i="6"/>
  <c r="J43" i="6"/>
  <c r="J42" i="6"/>
  <c r="J41" i="6"/>
  <c r="J40" i="6"/>
  <c r="J39" i="6"/>
  <c r="J38" i="6"/>
  <c r="J37" i="6"/>
  <c r="J36" i="6"/>
  <c r="J35" i="6"/>
  <c r="J34" i="6"/>
  <c r="J33" i="6"/>
  <c r="J32" i="6"/>
  <c r="J31" i="6"/>
  <c r="J30" i="6"/>
  <c r="N29" i="6"/>
  <c r="J29" i="6"/>
  <c r="N28" i="6"/>
  <c r="P28" i="6" s="1"/>
  <c r="J28" i="6"/>
  <c r="N27" i="6"/>
  <c r="P27" i="6" s="1"/>
  <c r="J27" i="6"/>
  <c r="N26" i="6"/>
  <c r="P26" i="6" s="1"/>
  <c r="J26" i="6"/>
  <c r="N25" i="6"/>
  <c r="P25" i="6" s="1"/>
  <c r="J25" i="6"/>
  <c r="N24" i="6"/>
  <c r="P24" i="6" s="1"/>
  <c r="J24" i="6"/>
  <c r="N23" i="6"/>
  <c r="P23" i="6" s="1"/>
  <c r="J23" i="6"/>
  <c r="N22" i="6"/>
  <c r="P22" i="6" s="1"/>
  <c r="J22" i="6"/>
  <c r="N21" i="6"/>
  <c r="P21" i="6" s="1"/>
  <c r="J21" i="6"/>
  <c r="N20" i="6"/>
  <c r="P20" i="6" s="1"/>
  <c r="J20" i="6"/>
  <c r="N19" i="6"/>
  <c r="P19" i="6" s="1"/>
  <c r="J19" i="6"/>
  <c r="N18" i="6"/>
  <c r="P18" i="6" s="1"/>
  <c r="J18" i="6"/>
  <c r="N17" i="6"/>
  <c r="P17" i="6" s="1"/>
  <c r="J17" i="6"/>
  <c r="N16" i="6"/>
  <c r="P16" i="6" s="1"/>
  <c r="J16" i="6"/>
  <c r="N15" i="6"/>
  <c r="P15" i="6" s="1"/>
  <c r="J15" i="6"/>
  <c r="N14" i="6"/>
  <c r="P14" i="6" s="1"/>
  <c r="J14" i="6"/>
  <c r="N13" i="6"/>
  <c r="P13" i="6" s="1"/>
  <c r="J13" i="6"/>
  <c r="N12" i="6"/>
  <c r="P12" i="6" s="1"/>
  <c r="J12" i="6"/>
  <c r="N11" i="6"/>
  <c r="P11" i="6" s="1"/>
  <c r="J11" i="6"/>
  <c r="N10" i="6"/>
  <c r="P10" i="6" s="1"/>
  <c r="J10" i="6"/>
  <c r="N9" i="6"/>
  <c r="P9" i="6" s="1"/>
  <c r="J9" i="6"/>
  <c r="N8" i="6"/>
  <c r="P8" i="6" s="1"/>
  <c r="J8" i="6"/>
  <c r="N7" i="6"/>
  <c r="P7" i="6" s="1"/>
  <c r="J7" i="6"/>
  <c r="N6" i="6"/>
  <c r="P6" i="6" s="1"/>
  <c r="J6" i="6"/>
  <c r="N5" i="6"/>
  <c r="P5" i="6" s="1"/>
  <c r="J5" i="6"/>
  <c r="N4" i="6"/>
  <c r="P4" i="6" s="1"/>
  <c r="J4" i="6"/>
  <c r="N3" i="6"/>
  <c r="P3" i="6" s="1"/>
  <c r="J3" i="6"/>
  <c r="H47" i="4"/>
  <c r="M46" i="4"/>
  <c r="O46" i="4" s="1"/>
  <c r="M45" i="4"/>
  <c r="O45" i="4" s="1"/>
  <c r="M44" i="4"/>
  <c r="O44" i="4" s="1"/>
  <c r="I44" i="4"/>
  <c r="M43" i="4"/>
  <c r="O43" i="4" s="1"/>
  <c r="M42" i="4"/>
  <c r="O42" i="4" s="1"/>
  <c r="M41" i="4"/>
  <c r="O41" i="4" s="1"/>
  <c r="M40" i="4"/>
  <c r="O40" i="4" s="1"/>
  <c r="M39" i="4"/>
  <c r="O39" i="4" s="1"/>
  <c r="M38" i="4"/>
  <c r="O38" i="4" s="1"/>
  <c r="M37" i="4"/>
  <c r="O37" i="4" s="1"/>
  <c r="M36" i="4"/>
  <c r="O36" i="4" s="1"/>
  <c r="M35" i="4"/>
  <c r="O35" i="4" s="1"/>
  <c r="M34" i="4"/>
  <c r="O34" i="4" s="1"/>
  <c r="M33" i="4"/>
  <c r="O33" i="4" s="1"/>
  <c r="M32" i="4"/>
  <c r="O32" i="4" s="1"/>
  <c r="M31" i="4"/>
  <c r="O31" i="4" s="1"/>
  <c r="M30" i="4"/>
  <c r="O30" i="4" s="1"/>
  <c r="M29" i="4"/>
  <c r="O29" i="4" s="1"/>
  <c r="M28" i="4"/>
  <c r="O28" i="4" s="1"/>
  <c r="M27" i="4"/>
  <c r="O27" i="4" s="1"/>
  <c r="M26" i="4"/>
  <c r="O26" i="4" s="1"/>
  <c r="M25" i="4"/>
  <c r="O25" i="4" s="1"/>
  <c r="M24" i="4"/>
  <c r="O24" i="4" s="1"/>
  <c r="M23" i="4"/>
  <c r="O23" i="4" s="1"/>
  <c r="M22" i="4"/>
  <c r="O22" i="4" s="1"/>
  <c r="M21" i="4"/>
  <c r="O21" i="4" s="1"/>
  <c r="M20" i="4"/>
  <c r="O20" i="4" s="1"/>
  <c r="M19" i="4"/>
  <c r="O19" i="4" s="1"/>
  <c r="M18" i="4"/>
  <c r="O18" i="4" s="1"/>
  <c r="M17" i="4"/>
  <c r="O17" i="4" s="1"/>
  <c r="M16" i="4"/>
  <c r="O16" i="4" s="1"/>
  <c r="M15" i="4"/>
  <c r="O15" i="4" s="1"/>
  <c r="M14" i="4"/>
  <c r="O14" i="4" s="1"/>
  <c r="H12" i="4"/>
  <c r="M11" i="4"/>
  <c r="O11" i="4" s="1"/>
  <c r="M10" i="4"/>
  <c r="O10" i="4" s="1"/>
  <c r="M9" i="4"/>
  <c r="O9" i="4" s="1"/>
  <c r="I9" i="4"/>
  <c r="M8" i="4"/>
  <c r="O8" i="4" s="1"/>
  <c r="I8" i="4"/>
  <c r="M7" i="4"/>
  <c r="O7" i="4" s="1"/>
  <c r="I7" i="4"/>
  <c r="M6" i="4"/>
  <c r="O6" i="4" s="1"/>
  <c r="I6" i="4"/>
  <c r="M5" i="4"/>
  <c r="O5" i="4" s="1"/>
  <c r="I5" i="4"/>
  <c r="M4" i="4"/>
  <c r="O4" i="4" s="1"/>
  <c r="I4" i="4"/>
  <c r="I8" i="58"/>
  <c r="C5" i="30" s="1"/>
  <c r="J5" i="58"/>
  <c r="J4" i="58"/>
  <c r="J3" i="58"/>
  <c r="I78" i="28"/>
  <c r="I53" i="28"/>
  <c r="C4" i="30" s="1"/>
  <c r="E3" i="70"/>
  <c r="C79" i="30"/>
  <c r="C76" i="30"/>
  <c r="C74" i="30"/>
  <c r="C70" i="30"/>
  <c r="I136" i="29" l="1"/>
  <c r="I41" i="78"/>
  <c r="C62" i="30" s="1"/>
  <c r="I50" i="56"/>
  <c r="C27" i="30" s="1"/>
  <c r="I68" i="72"/>
  <c r="C56" i="30" s="1"/>
  <c r="J3" i="89"/>
  <c r="C72" i="30"/>
  <c r="K236" i="62"/>
  <c r="C8" i="70"/>
  <c r="I31" i="57"/>
  <c r="C34" i="30" s="1"/>
  <c r="K171" i="62"/>
  <c r="M172" i="62" s="1"/>
  <c r="H54" i="4"/>
  <c r="C6" i="30" s="1"/>
  <c r="I45" i="34"/>
  <c r="C31" i="30" s="1"/>
  <c r="C33" i="30"/>
  <c r="M315" i="15"/>
  <c r="M81" i="9"/>
  <c r="M83" i="9" s="1"/>
  <c r="K52" i="44"/>
  <c r="C12" i="70" s="1"/>
  <c r="L173" i="13"/>
  <c r="K225" i="100"/>
  <c r="J73" i="72"/>
  <c r="C11" i="70" s="1"/>
  <c r="L64" i="20"/>
  <c r="L65" i="20"/>
  <c r="J169" i="1"/>
  <c r="Q64" i="20"/>
  <c r="L492" i="62"/>
  <c r="O176" i="13"/>
  <c r="I162" i="1"/>
  <c r="C12" i="30" s="1"/>
  <c r="J69" i="5"/>
  <c r="J73" i="5" s="1"/>
  <c r="J174" i="12"/>
  <c r="L439" i="100"/>
  <c r="L952" i="100"/>
  <c r="Q65" i="20"/>
  <c r="L95" i="9"/>
  <c r="J26" i="29"/>
  <c r="H51" i="20"/>
  <c r="C9" i="30" s="1"/>
  <c r="J170" i="1"/>
  <c r="L83" i="9"/>
  <c r="Z118" i="62"/>
  <c r="Z119" i="62" s="1"/>
  <c r="M95" i="9"/>
  <c r="J171" i="1"/>
  <c r="L869" i="100"/>
  <c r="K64" i="62"/>
  <c r="S172" i="1"/>
  <c r="J27" i="23"/>
  <c r="C20" i="30" s="1"/>
  <c r="I109" i="51"/>
  <c r="C35" i="30" s="1"/>
  <c r="N70" i="5"/>
  <c r="L52" i="44"/>
  <c r="D12" i="70" s="1"/>
  <c r="J5" i="74"/>
  <c r="I56" i="74"/>
  <c r="C58" i="30" s="1"/>
  <c r="I19" i="64"/>
  <c r="D89" i="30" s="1"/>
  <c r="H166" i="12"/>
  <c r="C32" i="30" s="1"/>
  <c r="J302" i="68"/>
  <c r="J86" i="9"/>
  <c r="J43" i="8"/>
  <c r="J85" i="9"/>
  <c r="U60" i="20"/>
  <c r="U65" i="20"/>
  <c r="R301" i="68"/>
  <c r="R303" i="68" s="1"/>
  <c r="L20" i="10"/>
  <c r="K73" i="72"/>
  <c r="D11" i="70" s="1"/>
  <c r="M70" i="5"/>
  <c r="L54" i="74"/>
  <c r="K280" i="100"/>
  <c r="J93" i="9"/>
  <c r="J97" i="9" s="1"/>
  <c r="J67" i="5"/>
  <c r="J72" i="5" s="1"/>
  <c r="L174" i="13"/>
  <c r="U61" i="20"/>
  <c r="J301" i="68"/>
  <c r="J305" i="68" s="1"/>
  <c r="P328" i="39"/>
  <c r="Q325" i="39"/>
  <c r="Q330" i="39" s="1"/>
  <c r="U328" i="39"/>
  <c r="U315" i="39"/>
  <c r="L326" i="39"/>
  <c r="L330" i="39" s="1"/>
  <c r="Q314" i="39"/>
  <c r="I68" i="24"/>
  <c r="C37" i="30" s="1"/>
  <c r="L314" i="39"/>
  <c r="K57" i="39"/>
  <c r="U310" i="39"/>
  <c r="U314" i="39"/>
  <c r="I301" i="39"/>
  <c r="C21" i="30" s="1"/>
  <c r="U327" i="39"/>
  <c r="U331" i="39"/>
  <c r="U326" i="39"/>
  <c r="I105" i="50"/>
  <c r="C28" i="30" s="1"/>
  <c r="I165" i="13"/>
  <c r="C44" i="30" s="1"/>
  <c r="K314" i="61"/>
  <c r="D16" i="70" s="1"/>
  <c r="I309" i="61"/>
  <c r="I90" i="37"/>
  <c r="N55" i="37"/>
  <c r="O55" i="37" s="1"/>
  <c r="L314" i="15"/>
  <c r="C17" i="70" l="1"/>
  <c r="L178" i="13"/>
  <c r="J174" i="1"/>
  <c r="J175" i="1"/>
  <c r="L179" i="13"/>
  <c r="J306" i="68"/>
  <c r="J98" i="9"/>
  <c r="C47" i="30"/>
  <c r="C89" i="3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Sonia Diaz</author>
    <author>user</author>
  </authors>
  <commentList>
    <comment ref="B48" authorId="0" shapeId="0" xr:uid="{00000000-0006-0000-0000-000001000000}">
      <text>
        <r>
          <rPr>
            <b/>
            <sz val="9"/>
            <color indexed="81"/>
            <rFont val="Tahoma"/>
            <family val="2"/>
          </rPr>
          <t>Sonia Diaz:</t>
        </r>
        <r>
          <rPr>
            <sz val="9"/>
            <color indexed="81"/>
            <rFont val="Tahoma"/>
            <family val="2"/>
          </rPr>
          <t xml:space="preserve">
MAJORO SELVA</t>
        </r>
      </text>
    </comment>
    <comment ref="C63" authorId="1" shapeId="0" xr:uid="{00000000-0006-0000-0000-000002000000}">
      <text>
        <r>
          <rPr>
            <b/>
            <sz val="9"/>
            <color indexed="81"/>
            <rFont val="Tahoma"/>
            <family val="2"/>
          </rPr>
          <t>user:</t>
        </r>
        <r>
          <rPr>
            <sz val="9"/>
            <color indexed="81"/>
            <rFont val="Tahoma"/>
            <family val="2"/>
          </rPr>
          <t xml:space="preserve">
ESTABA EN SOLICITUD DE PRESUSPUESTO SRTA HUANUCO LO ESTA HACIENDO SEGUIMIENTO</t>
        </r>
      </text>
    </comment>
    <comment ref="C83" authorId="1" shapeId="0" xr:uid="{00000000-0006-0000-0000-000003000000}">
      <text>
        <r>
          <rPr>
            <b/>
            <sz val="9"/>
            <color indexed="81"/>
            <rFont val="Tahoma"/>
            <family val="2"/>
          </rPr>
          <t>user: ESTE CASO TIENE UN PROCESO JUDICIAL QUE NO ES NUESTRO, MALA PRAXIS DE HOSPITAL - NOS HAN SOLICITADO INFORMACIÓNINFORMES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LENOVO</author>
    <author>user</author>
    <author>Sonia Diaz</author>
  </authors>
  <commentList>
    <comment ref="B22" authorId="0" shapeId="0" xr:uid="{00000000-0006-0000-0300-000001000000}">
      <text>
        <r>
          <rPr>
            <b/>
            <sz val="9"/>
            <color indexed="81"/>
            <rFont val="Tahoma"/>
            <family val="2"/>
          </rPr>
          <t>LENOVO:</t>
        </r>
        <r>
          <rPr>
            <sz val="9"/>
            <color indexed="81"/>
            <rFont val="Tahoma"/>
            <family val="2"/>
          </rPr>
          <t xml:space="preserve">
PERNOCTO</t>
        </r>
      </text>
    </comment>
    <comment ref="I22" authorId="0" shapeId="0" xr:uid="{00000000-0006-0000-0300-000002000000}">
      <text>
        <r>
          <rPr>
            <b/>
            <sz val="9"/>
            <color indexed="81"/>
            <rFont val="Tahoma"/>
            <family val="2"/>
          </rPr>
          <t>LENOVO:</t>
        </r>
        <r>
          <rPr>
            <sz val="9"/>
            <color indexed="81"/>
            <rFont val="Tahoma"/>
            <family val="2"/>
          </rPr>
          <t xml:space="preserve">
19327 se anulo por 32680
</t>
        </r>
      </text>
    </comment>
    <comment ref="L22" authorId="0" shapeId="0" xr:uid="{00000000-0006-0000-0300-000003000000}">
      <text>
        <r>
          <rPr>
            <b/>
            <sz val="9"/>
            <color indexed="81"/>
            <rFont val="Tahoma"/>
            <family val="2"/>
          </rPr>
          <t>LENOVO:</t>
        </r>
        <r>
          <rPr>
            <sz val="9"/>
            <color indexed="81"/>
            <rFont val="Tahoma"/>
            <family val="2"/>
          </rPr>
          <t xml:space="preserve">
pago a cuenta 30000 el 18 y 2000 PAGO EL 22/06</t>
        </r>
      </text>
    </comment>
    <comment ref="G28" authorId="0" shapeId="0" xr:uid="{00000000-0006-0000-0300-000004000000}">
      <text>
        <r>
          <rPr>
            <b/>
            <sz val="9"/>
            <color indexed="81"/>
            <rFont val="Tahoma"/>
            <family val="2"/>
          </rPr>
          <t>LENOVO:</t>
        </r>
        <r>
          <rPr>
            <sz val="9"/>
            <color indexed="81"/>
            <rFont val="Tahoma"/>
            <family val="2"/>
          </rPr>
          <t xml:space="preserve">
SE COBRO COMO TRASLADO </t>
        </r>
      </text>
    </comment>
    <comment ref="G31" authorId="0" shapeId="0" xr:uid="{00000000-0006-0000-0300-000005000000}">
      <text>
        <r>
          <rPr>
            <b/>
            <sz val="9"/>
            <color indexed="81"/>
            <rFont val="Tahoma"/>
            <family val="2"/>
          </rPr>
          <t>LENOVO:</t>
        </r>
        <r>
          <rPr>
            <sz val="9"/>
            <color indexed="81"/>
            <rFont val="Tahoma"/>
            <family val="2"/>
          </rPr>
          <t xml:space="preserve">
NO SE REALIZO LA OPERACIÓN, POR TEMAS DE COORDINACION DE CAMA DEL PACIENTE</t>
        </r>
      </text>
    </comment>
    <comment ref="H31" authorId="0" shapeId="0" xr:uid="{00000000-0006-0000-0300-000006000000}">
      <text>
        <r>
          <rPr>
            <b/>
            <sz val="9"/>
            <color indexed="81"/>
            <rFont val="Tahoma"/>
            <family val="2"/>
          </rPr>
          <t>LENOVO:</t>
        </r>
        <r>
          <rPr>
            <sz val="9"/>
            <color indexed="81"/>
            <rFont val="Tahoma"/>
            <family val="2"/>
          </rPr>
          <t xml:space="preserve">
ESTE SERVICIO SE NIEGAN A PAGAR POR LO QUE RECONOCERAN 10000- ESTA FACTURA F006-20694, SE ANULA Y SE PAGA EN LAS FACTURAS 10 1000 X CADA UNA  FACTURA FUE ANULADA POR FOO1-1994</t>
        </r>
      </text>
    </comment>
    <comment ref="I31" authorId="0" shapeId="0" xr:uid="{00000000-0006-0000-0300-000007000000}">
      <text>
        <r>
          <rPr>
            <b/>
            <sz val="9"/>
            <color indexed="81"/>
            <rFont val="Tahoma"/>
            <family val="2"/>
          </rPr>
          <t>LENOVO:</t>
        </r>
        <r>
          <rPr>
            <sz val="9"/>
            <color indexed="81"/>
            <rFont val="Tahoma"/>
            <family val="2"/>
          </rPr>
          <t xml:space="preserve">
APLICABLE EN PROXIMAS FACTURACIONES 1000 S/ EN CADA FACTURCAION
ya ser encuenmtra totalmente4 pagada
CON EL SERVIIO FACTURADO EL 13-10-22 SE FINALIZA LA DEUDA SEGÚN COMPROMISO DE PAGO</t>
        </r>
      </text>
    </comment>
    <comment ref="J31" authorId="0" shapeId="0" xr:uid="{00000000-0006-0000-0300-000008000000}">
      <text>
        <r>
          <rPr>
            <b/>
            <sz val="9"/>
            <color indexed="81"/>
            <rFont val="Tahoma"/>
            <family val="2"/>
          </rPr>
          <t>LENOVO:</t>
        </r>
        <r>
          <rPr>
            <sz val="9"/>
            <color indexed="81"/>
            <rFont val="Tahoma"/>
            <family val="2"/>
          </rPr>
          <t xml:space="preserve">
SE ESTA PONIENDO COMO PAGADA PERO SE ASUMIRA EN LAS SIGUIENTES 10 FACTURAS 10000 EN TOTALCOMPROMISO DE PAGO POR QNO HABERSE REALIZADO EL VUELO</t>
        </r>
      </text>
    </comment>
    <comment ref="C40" authorId="0" shapeId="0" xr:uid="{00000000-0006-0000-0300-000009000000}">
      <text>
        <r>
          <rPr>
            <b/>
            <sz val="9"/>
            <color indexed="81"/>
            <rFont val="Tahoma"/>
            <family val="2"/>
          </rPr>
          <t>LENOVO:</t>
        </r>
        <r>
          <rPr>
            <sz val="9"/>
            <color indexed="81"/>
            <rFont val="Tahoma"/>
            <family val="2"/>
          </rPr>
          <t xml:space="preserve">
PERNOCTE</t>
        </r>
      </text>
    </comment>
    <comment ref="I44" authorId="1" shapeId="0" xr:uid="{00000000-0006-0000-0300-00000A000000}">
      <text>
        <r>
          <rPr>
            <b/>
            <sz val="9"/>
            <color indexed="81"/>
            <rFont val="Tahoma"/>
            <family val="2"/>
          </rPr>
          <t>user:</t>
        </r>
        <r>
          <rPr>
            <sz val="9"/>
            <color indexed="81"/>
            <rFont val="Tahoma"/>
            <family val="2"/>
          </rPr>
          <t xml:space="preserve">
28-08 EN CREDITO</t>
        </r>
      </text>
    </comment>
    <comment ref="I45" authorId="1" shapeId="0" xr:uid="{00000000-0006-0000-0300-00000B000000}">
      <text>
        <r>
          <rPr>
            <b/>
            <sz val="9"/>
            <color indexed="81"/>
            <rFont val="Tahoma"/>
            <family val="2"/>
          </rPr>
          <t>user:</t>
        </r>
        <r>
          <rPr>
            <sz val="9"/>
            <color indexed="81"/>
            <rFont val="Tahoma"/>
            <family val="2"/>
          </rPr>
          <t xml:space="preserve">
PAGO ESTA FECHA EN BBVA
</t>
        </r>
      </text>
    </comment>
    <comment ref="D51" authorId="1" shapeId="0" xr:uid="{00000000-0006-0000-0300-00000C000000}">
      <text>
        <r>
          <rPr>
            <b/>
            <sz val="9"/>
            <color indexed="81"/>
            <rFont val="Tahoma"/>
            <family val="2"/>
          </rPr>
          <t>user:</t>
        </r>
        <r>
          <rPr>
            <sz val="9"/>
            <color indexed="81"/>
            <rFont val="Tahoma"/>
            <family val="2"/>
          </rPr>
          <t xml:space="preserve">
05/04 LLEGARON</t>
        </r>
      </text>
    </comment>
    <comment ref="C58" authorId="0" shapeId="0" xr:uid="{00000000-0006-0000-0300-00000D000000}">
      <text>
        <r>
          <rPr>
            <b/>
            <sz val="9"/>
            <color indexed="81"/>
            <rFont val="Tahoma"/>
            <family val="2"/>
          </rPr>
          <t>LENOVO:</t>
        </r>
        <r>
          <rPr>
            <sz val="9"/>
            <color indexed="81"/>
            <rFont val="Tahoma"/>
            <family val="2"/>
          </rPr>
          <t xml:space="preserve">
PERNOCTE</t>
        </r>
      </text>
    </comment>
    <comment ref="C61" authorId="0" shapeId="0" xr:uid="{00000000-0006-0000-0300-00000E000000}">
      <text>
        <r>
          <rPr>
            <b/>
            <sz val="9"/>
            <color indexed="81"/>
            <rFont val="Tahoma"/>
            <family val="2"/>
          </rPr>
          <t>LENOVO:</t>
        </r>
        <r>
          <rPr>
            <sz val="9"/>
            <color indexed="81"/>
            <rFont val="Tahoma"/>
            <family val="2"/>
          </rPr>
          <t xml:space="preserve">
PERNOCTE</t>
        </r>
      </text>
    </comment>
    <comment ref="I64" authorId="2" shapeId="0" xr:uid="{00000000-0006-0000-0300-00000F000000}">
      <text>
        <r>
          <rPr>
            <b/>
            <sz val="9"/>
            <color indexed="81"/>
            <rFont val="Tahoma"/>
            <family val="2"/>
          </rPr>
          <t>Sonia Diaz:</t>
        </r>
        <r>
          <rPr>
            <sz val="9"/>
            <color indexed="81"/>
            <rFont val="Tahoma"/>
            <family val="2"/>
          </rPr>
          <t xml:space="preserve">
FACTURO POR 21980 EN LA 69 Y EN LA 80 LA DIFERENCIA</t>
        </r>
      </text>
    </comment>
    <comment ref="C67" authorId="2" shapeId="0" xr:uid="{00000000-0006-0000-0300-000010000000}">
      <text>
        <r>
          <rPr>
            <b/>
            <sz val="9"/>
            <color indexed="81"/>
            <rFont val="Tahoma"/>
            <family val="2"/>
          </rPr>
          <t>Sonia Diaz:</t>
        </r>
        <r>
          <rPr>
            <sz val="9"/>
            <color indexed="81"/>
            <rFont val="Tahoma"/>
            <family val="2"/>
          </rPr>
          <t xml:space="preserve">
PERNOCTE HASTA EL DIA SIGUIENTE</t>
        </r>
      </text>
    </comment>
    <comment ref="M72" authorId="1" shapeId="0" xr:uid="{00000000-0006-0000-0300-000011000000}">
      <text>
        <r>
          <rPr>
            <b/>
            <sz val="9"/>
            <color indexed="81"/>
            <rFont val="Tahoma"/>
            <family val="2"/>
          </rPr>
          <t>user:</t>
        </r>
        <r>
          <rPr>
            <sz val="9"/>
            <color indexed="81"/>
            <rFont val="Tahoma"/>
            <family val="2"/>
          </rPr>
          <t xml:space="preserve">
PAGADA 10000 Y 23135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Sonia Diaz</author>
  </authors>
  <commentList>
    <comment ref="J3" authorId="0" shapeId="0" xr:uid="{00000000-0006-0000-0400-000001000000}">
      <text>
        <r>
          <rPr>
            <b/>
            <sz val="9"/>
            <color indexed="81"/>
            <rFont val="Tahoma"/>
            <family val="2"/>
          </rPr>
          <t>Sonia Diaz:</t>
        </r>
        <r>
          <rPr>
            <sz val="9"/>
            <color indexed="81"/>
            <rFont val="Tahoma"/>
            <family val="2"/>
          </rPr>
          <t xml:space="preserve">
PAGARON EL 90%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Sonia Diaz</author>
    <author>user</author>
  </authors>
  <commentList>
    <comment ref="F6" authorId="0" shapeId="0" xr:uid="{00000000-0006-0000-0500-000001000000}">
      <text>
        <r>
          <rPr>
            <b/>
            <sz val="9"/>
            <color indexed="81"/>
            <rFont val="Tahoma"/>
            <family val="2"/>
          </rPr>
          <t>Sonia Diaz:</t>
        </r>
        <r>
          <rPr>
            <sz val="9"/>
            <color indexed="81"/>
            <rFont val="Tahoma"/>
            <family val="2"/>
          </rPr>
          <t xml:space="preserve">
NO ENCUENTRO REFERENCIA</t>
        </r>
      </text>
    </comment>
    <comment ref="F7" authorId="0" shapeId="0" xr:uid="{00000000-0006-0000-0500-000002000000}">
      <text>
        <r>
          <rPr>
            <b/>
            <sz val="9"/>
            <color indexed="81"/>
            <rFont val="Tahoma"/>
            <family val="2"/>
          </rPr>
          <t>Sonia Diaz:</t>
        </r>
        <r>
          <rPr>
            <sz val="9"/>
            <color indexed="81"/>
            <rFont val="Tahoma"/>
            <family val="2"/>
          </rPr>
          <t xml:space="preserve">
</t>
        </r>
      </text>
    </comment>
    <comment ref="F8" authorId="0" shapeId="0" xr:uid="{00000000-0006-0000-0500-000003000000}">
      <text>
        <r>
          <rPr>
            <b/>
            <sz val="9"/>
            <color indexed="81"/>
            <rFont val="Tahoma"/>
            <family val="2"/>
          </rPr>
          <t>Sonia Diaz:</t>
        </r>
        <r>
          <rPr>
            <sz val="9"/>
            <color indexed="81"/>
            <rFont val="Tahoma"/>
            <family val="2"/>
          </rPr>
          <t xml:space="preserve">
NO ENCUENTRO REFERENCIA</t>
        </r>
      </text>
    </comment>
    <comment ref="F10" authorId="0" shapeId="0" xr:uid="{00000000-0006-0000-0500-000004000000}">
      <text>
        <r>
          <rPr>
            <b/>
            <sz val="9"/>
            <color indexed="81"/>
            <rFont val="Tahoma"/>
            <family val="2"/>
          </rPr>
          <t>Sonia Diaz:</t>
        </r>
        <r>
          <rPr>
            <sz val="9"/>
            <color indexed="81"/>
            <rFont val="Tahoma"/>
            <family val="2"/>
          </rPr>
          <t xml:space="preserve">
NO ENCUENTRO REFERENCIA</t>
        </r>
      </text>
    </comment>
    <comment ref="K38" authorId="0" shapeId="0" xr:uid="{00000000-0006-0000-0500-000005000000}">
      <text>
        <r>
          <rPr>
            <b/>
            <sz val="9"/>
            <color indexed="81"/>
            <rFont val="Tahoma"/>
            <family val="2"/>
          </rPr>
          <t>Sonia Diaz:</t>
        </r>
        <r>
          <rPr>
            <sz val="9"/>
            <color indexed="81"/>
            <rFont val="Tahoma"/>
            <family val="2"/>
          </rPr>
          <t xml:space="preserve">
DEPOSITO 35509.4
</t>
        </r>
      </text>
    </comment>
    <comment ref="G44" authorId="1" shapeId="0" xr:uid="{00000000-0006-0000-0500-000006000000}">
      <text>
        <r>
          <rPr>
            <b/>
            <sz val="9"/>
            <color indexed="81"/>
            <rFont val="Tahoma"/>
            <family val="2"/>
          </rPr>
          <t>user:</t>
        </r>
        <r>
          <rPr>
            <sz val="9"/>
            <color indexed="81"/>
            <rFont val="Tahoma"/>
            <family val="2"/>
          </rPr>
          <t xml:space="preserve">
NO CUENTA CON OC</t>
        </r>
      </text>
    </comment>
    <comment ref="I54" authorId="0" shapeId="0" xr:uid="{00000000-0006-0000-0500-000007000000}">
      <text>
        <r>
          <rPr>
            <b/>
            <sz val="9"/>
            <color indexed="81"/>
            <rFont val="Tahoma"/>
            <family val="2"/>
          </rPr>
          <t>Sonia Diaz:</t>
        </r>
        <r>
          <rPr>
            <sz val="9"/>
            <color indexed="81"/>
            <rFont val="Tahoma"/>
            <family val="2"/>
          </rPr>
          <t xml:space="preserve">
PAGO EL 25 DE FEBRERO EN BCP 38317.4 NAPLIQUE A FACT 712 Y 713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LENOVO</author>
    <author>user</author>
  </authors>
  <commentList>
    <comment ref="M19" authorId="0" shapeId="0" xr:uid="{00000000-0006-0000-0600-000001000000}">
      <text>
        <r>
          <rPr>
            <b/>
            <sz val="9"/>
            <color indexed="81"/>
            <rFont val="Tahoma"/>
            <family val="2"/>
          </rPr>
          <t>LENOVO:</t>
        </r>
        <r>
          <rPr>
            <sz val="9"/>
            <color indexed="81"/>
            <rFont val="Tahoma"/>
            <family val="2"/>
          </rPr>
          <t xml:space="preserve">
OP 30365</t>
        </r>
      </text>
    </comment>
    <comment ref="H44" authorId="1" shapeId="0" xr:uid="{00000000-0006-0000-0600-000002000000}">
      <text>
        <r>
          <rPr>
            <b/>
            <sz val="9"/>
            <color indexed="81"/>
            <rFont val="Tahoma"/>
            <family val="2"/>
          </rPr>
          <t>user:</t>
        </r>
        <r>
          <rPr>
            <sz val="9"/>
            <color indexed="81"/>
            <rFont val="Tahoma"/>
            <family val="2"/>
          </rPr>
          <t xml:space="preserve">
OJO LA TENIA PAGADA CON FECHA 25-10-2024; SIN EMBARGO DEBIDO A QUE LUIS COLLAZOS FUE A AYACUCHO EN 27 DE 03-25 ENTONCES LE MENCIONARON QUE LA 3184 ESTÁ PAGADA Y LA QUE NO ESTÁ PAGADA ES LA 2815 POR LO TANTO HARE CAMBIOS EN LAS FACTURAS QUE LAS TENIA COMO PAGADAS RESPECTO A LAS FECHAS</t>
        </r>
      </text>
    </comment>
    <comment ref="L44" authorId="1" shapeId="0" xr:uid="{00000000-0006-0000-0600-000003000000}">
      <text>
        <r>
          <rPr>
            <b/>
            <sz val="9"/>
            <color indexed="81"/>
            <rFont val="Tahoma"/>
            <family val="2"/>
          </rPr>
          <t>user:</t>
        </r>
        <r>
          <rPr>
            <sz val="9"/>
            <color indexed="81"/>
            <rFont val="Tahoma"/>
            <family val="2"/>
          </rPr>
          <t xml:space="preserve">
APLIQUÉ A ESTA FACTURA EL PAGO DE ESTA FECHA</t>
        </r>
      </text>
    </comment>
    <comment ref="G50" authorId="1" shapeId="0" xr:uid="{00000000-0006-0000-0600-000004000000}">
      <text>
        <r>
          <rPr>
            <b/>
            <sz val="9"/>
            <color indexed="81"/>
            <rFont val="Tahoma"/>
            <family val="2"/>
          </rPr>
          <t>user:</t>
        </r>
        <r>
          <rPr>
            <sz val="9"/>
            <color indexed="81"/>
            <rFont val="Tahoma"/>
            <family val="2"/>
          </rPr>
          <t xml:space="preserve">
ESSALUD HIZO UN PAGO DOBLE DE LA 2973, EN DICIEMBRE SOLICITÓ DEVOLUCIÓN POR ESO LE QUITE EL PAGO DE ESTA FECHA Y SOLO APLIQUE A CUATRO FACTURAS EL PAGO DEL 28-11-24 FACTURAS</t>
        </r>
      </text>
    </comment>
    <comment ref="H55" authorId="1" shapeId="0" xr:uid="{00000000-0006-0000-0600-000005000000}">
      <text>
        <r>
          <rPr>
            <b/>
            <sz val="9"/>
            <color indexed="81"/>
            <rFont val="Tahoma"/>
            <family val="2"/>
          </rPr>
          <t>user:</t>
        </r>
        <r>
          <rPr>
            <sz val="9"/>
            <color indexed="81"/>
            <rFont val="Tahoma"/>
            <family val="2"/>
          </rPr>
          <t xml:space="preserve">
OJO LA TENIA PAGADA CON FECHA 30-12-2024; SIN EMBARGO DEBIDO A QUE LUIS COLLAZOS FUE A AYACUCHO EN 27 DE 03-25 ENTONCES LE MENCIONARON QUE LA 3184 ESTÁ PAGADA Y LA QUE NO ESTÁ PAGADA ES LA 2815 POR LO TANTO HARE CAMBIOS EN LAS FACTURAS QUE LAS TENIA COMO PAGADAS RESPECTO A LAS FECHAS</t>
        </r>
      </text>
    </comment>
    <comment ref="H92" authorId="1" shapeId="0" xr:uid="{00000000-0006-0000-0600-000006000000}">
      <text>
        <r>
          <rPr>
            <b/>
            <sz val="9"/>
            <color indexed="81"/>
            <rFont val="Tahoma"/>
            <family val="2"/>
          </rPr>
          <t>user:</t>
        </r>
        <r>
          <rPr>
            <sz val="9"/>
            <color indexed="81"/>
            <rFont val="Tahoma"/>
            <family val="2"/>
          </rPr>
          <t xml:space="preserve">
F001-4585 SE REFACTURÓ POR QUE A SOLICITUD D ELA ENTIDAD MENOS 80 SOLES DEBIDO A QUE NO CUENTAN CON MAYOR PRESUPUESTO</t>
        </r>
      </text>
    </comment>
    <comment ref="H121" authorId="1" shapeId="0" xr:uid="{00000000-0006-0000-0600-000007000000}">
      <text>
        <r>
          <rPr>
            <b/>
            <sz val="9"/>
            <color indexed="81"/>
            <rFont val="Tahoma"/>
            <family val="2"/>
          </rPr>
          <t>user:</t>
        </r>
        <r>
          <rPr>
            <sz val="9"/>
            <color indexed="81"/>
            <rFont val="Tahoma"/>
            <family val="2"/>
          </rPr>
          <t xml:space="preserve">
SE MODIFICARA PORQUE EN LAS BASES DICE QUE EL PAGO ES MENSUAL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Carlos</author>
  </authors>
  <commentList>
    <comment ref="H11" authorId="0" shapeId="0" xr:uid="{77354CE4-A3DE-45EB-B75B-539BEB6D9789}">
      <text>
        <r>
          <rPr>
            <b/>
            <sz val="9"/>
            <color indexed="81"/>
            <rFont val="Tahoma"/>
            <family val="2"/>
          </rPr>
          <t>Carlos:</t>
        </r>
        <r>
          <rPr>
            <sz val="9"/>
            <color indexed="81"/>
            <rFont val="Tahoma"/>
            <family val="2"/>
          </rPr>
          <t xml:space="preserve">
F001-4784</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user</author>
    <author>Carlos</author>
    <author>Sonia Diaz</author>
    <author>Admin</author>
  </authors>
  <commentList>
    <comment ref="G40" authorId="0" shapeId="0" xr:uid="{00000000-0006-0000-0800-000001000000}">
      <text>
        <r>
          <rPr>
            <b/>
            <sz val="9"/>
            <color indexed="81"/>
            <rFont val="Tahoma"/>
            <family val="2"/>
          </rPr>
          <t>user:</t>
        </r>
        <r>
          <rPr>
            <sz val="9"/>
            <color indexed="81"/>
            <rFont val="Tahoma"/>
            <family val="2"/>
          </rPr>
          <t xml:space="preserve">
F001-4545 NO VALIDO ESTE NUMERO X QUE ES MENSUAL LA FACTURACIÓN  F001-4630</t>
        </r>
      </text>
    </comment>
    <comment ref="G41" authorId="0" shapeId="0" xr:uid="{00000000-0006-0000-0800-000002000000}">
      <text>
        <r>
          <rPr>
            <b/>
            <sz val="9"/>
            <color indexed="81"/>
            <rFont val="Tahoma"/>
            <family val="2"/>
          </rPr>
          <t>user:</t>
        </r>
        <r>
          <rPr>
            <sz val="9"/>
            <color indexed="81"/>
            <rFont val="Tahoma"/>
            <family val="2"/>
          </rPr>
          <t xml:space="preserve">
F001-4633</t>
        </r>
      </text>
    </comment>
    <comment ref="G42" authorId="1" shapeId="0" xr:uid="{00000000-0006-0000-0800-000003000000}">
      <text>
        <r>
          <rPr>
            <b/>
            <sz val="9"/>
            <color indexed="81"/>
            <rFont val="Tahoma"/>
            <family val="2"/>
          </rPr>
          <t>Carlos:</t>
        </r>
        <r>
          <rPr>
            <sz val="9"/>
            <color indexed="81"/>
            <rFont val="Tahoma"/>
            <family val="2"/>
          </rPr>
          <t xml:space="preserve">
reemplaza a la factura
F001-5059, cambio de direccion</t>
        </r>
      </text>
    </comment>
    <comment ref="P57" authorId="2" shapeId="0" xr:uid="{00000000-0006-0000-0800-000004000000}">
      <text>
        <r>
          <rPr>
            <b/>
            <sz val="9"/>
            <color indexed="81"/>
            <rFont val="Tahoma"/>
            <family val="2"/>
          </rPr>
          <t>Sonia Diaz:</t>
        </r>
        <r>
          <rPr>
            <sz val="9"/>
            <color indexed="81"/>
            <rFont val="Tahoma"/>
            <family val="2"/>
          </rPr>
          <t xml:space="preserve">
MONTO DEL CONTRATO</t>
        </r>
      </text>
    </comment>
    <comment ref="U57" authorId="2" shapeId="0" xr:uid="{00000000-0006-0000-0800-000005000000}">
      <text>
        <r>
          <rPr>
            <b/>
            <sz val="9"/>
            <color indexed="81"/>
            <rFont val="Tahoma"/>
            <family val="2"/>
          </rPr>
          <t>Sonia Diaz:</t>
        </r>
        <r>
          <rPr>
            <sz val="9"/>
            <color indexed="81"/>
            <rFont val="Tahoma"/>
            <family val="2"/>
          </rPr>
          <t xml:space="preserve">
MONTO DEL CONTRATO</t>
        </r>
      </text>
    </comment>
    <comment ref="P62" authorId="3" shapeId="0" xr:uid="{00000000-0006-0000-0800-000006000000}">
      <text>
        <r>
          <rPr>
            <b/>
            <sz val="9"/>
            <color indexed="81"/>
            <rFont val="Tahoma"/>
            <family val="2"/>
          </rPr>
          <t>Admin:</t>
        </r>
        <r>
          <rPr>
            <sz val="9"/>
            <color indexed="81"/>
            <rFont val="Tahoma"/>
            <family val="2"/>
          </rPr>
          <t xml:space="preserve">
X EJECUTAR</t>
        </r>
      </text>
    </comment>
    <comment ref="U62" authorId="3" shapeId="0" xr:uid="{00000000-0006-0000-0800-000007000000}">
      <text>
        <r>
          <rPr>
            <b/>
            <sz val="9"/>
            <color indexed="81"/>
            <rFont val="Tahoma"/>
            <family val="2"/>
          </rPr>
          <t>Admin:</t>
        </r>
        <r>
          <rPr>
            <sz val="9"/>
            <color indexed="81"/>
            <rFont val="Tahoma"/>
            <family val="2"/>
          </rPr>
          <t xml:space="preserve">
X EJECUTAR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jorge.vallejos@airmajoro.com</author>
    <author>VALLEJOS</author>
    <author>LENOVO</author>
    <author>user</author>
    <author>Sonia Diaz</author>
    <author>Admin</author>
  </authors>
  <commentList>
    <comment ref="H7" authorId="0" shapeId="0" xr:uid="{00000000-0006-0000-0900-000001000000}">
      <text>
        <r>
          <rPr>
            <b/>
            <sz val="9"/>
            <color indexed="81"/>
            <rFont val="Tahoma"/>
            <family val="2"/>
          </rPr>
          <t>jorge.vallejos@airmajoro.com:</t>
        </r>
        <r>
          <rPr>
            <sz val="9"/>
            <color indexed="81"/>
            <rFont val="Tahoma"/>
            <family val="2"/>
          </rPr>
          <t xml:space="preserve">
SE ANULARA FT 0371 POR S/ 37,470 Y SE EMITIRAN 2 FTS</t>
        </r>
      </text>
    </comment>
    <comment ref="H8" authorId="0" shapeId="0" xr:uid="{00000000-0006-0000-0900-000002000000}">
      <text>
        <r>
          <rPr>
            <b/>
            <sz val="9"/>
            <color indexed="81"/>
            <rFont val="Tahoma"/>
            <family val="2"/>
          </rPr>
          <t>jorge.vallejos@airmajoro.com:</t>
        </r>
        <r>
          <rPr>
            <sz val="9"/>
            <color indexed="81"/>
            <rFont val="Tahoma"/>
            <family val="2"/>
          </rPr>
          <t xml:space="preserve">
SE ANULARA FT 0371 POR S/ 37,470 Y SE EMITIRAN 2 FTS</t>
        </r>
      </text>
    </comment>
    <comment ref="H12" authorId="0" shapeId="0" xr:uid="{00000000-0006-0000-0900-000003000000}">
      <text>
        <r>
          <rPr>
            <b/>
            <sz val="9"/>
            <color indexed="81"/>
            <rFont val="Tahoma"/>
            <family val="2"/>
          </rPr>
          <t>jorge.vallejos@airmajoro.com:</t>
        </r>
        <r>
          <rPr>
            <sz val="9"/>
            <color indexed="81"/>
            <rFont val="Tahoma"/>
            <family val="2"/>
          </rPr>
          <t xml:space="preserve">
SE ANULA ft 0422 Y SE EMITEN 2 FACTURAS</t>
        </r>
      </text>
    </comment>
    <comment ref="H14" authorId="0" shapeId="0" xr:uid="{00000000-0006-0000-0900-000004000000}">
      <text>
        <r>
          <rPr>
            <b/>
            <sz val="9"/>
            <color indexed="81"/>
            <rFont val="Tahoma"/>
            <family val="2"/>
          </rPr>
          <t>jorge.vallejos@airmajoro.com:</t>
        </r>
        <r>
          <rPr>
            <sz val="9"/>
            <color indexed="81"/>
            <rFont val="Tahoma"/>
            <family val="2"/>
          </rPr>
          <t xml:space="preserve">
REEMPLAZA A LA FACTURA 001-0485</t>
        </r>
      </text>
    </comment>
    <comment ref="H15" authorId="0" shapeId="0" xr:uid="{00000000-0006-0000-0900-000005000000}">
      <text>
        <r>
          <rPr>
            <b/>
            <sz val="9"/>
            <color indexed="81"/>
            <rFont val="Tahoma"/>
            <family val="2"/>
          </rPr>
          <t>jorge.vallejos@airmajoro.com:</t>
        </r>
        <r>
          <rPr>
            <sz val="9"/>
            <color indexed="81"/>
            <rFont val="Tahoma"/>
            <family val="2"/>
          </rPr>
          <t xml:space="preserve">
REEMPLAZA A LA FACTURA 001-0486
</t>
        </r>
      </text>
    </comment>
    <comment ref="H16" authorId="0" shapeId="0" xr:uid="{00000000-0006-0000-0900-000006000000}">
      <text>
        <r>
          <rPr>
            <b/>
            <sz val="9"/>
            <color indexed="81"/>
            <rFont val="Tahoma"/>
            <family val="2"/>
          </rPr>
          <t>jorge.vallejos@airmajoro.com:</t>
        </r>
        <r>
          <rPr>
            <sz val="9"/>
            <color indexed="81"/>
            <rFont val="Tahoma"/>
            <family val="2"/>
          </rPr>
          <t xml:space="preserve">
Se anulo la factura 001-529 por S/ 39,851</t>
        </r>
      </text>
    </comment>
    <comment ref="H18" authorId="1" shapeId="0" xr:uid="{00000000-0006-0000-0900-000007000000}">
      <text>
        <r>
          <rPr>
            <b/>
            <sz val="9"/>
            <color indexed="81"/>
            <rFont val="Tahoma"/>
            <family val="2"/>
          </rPr>
          <t>VALLEJOS:</t>
        </r>
        <r>
          <rPr>
            <sz val="9"/>
            <color indexed="81"/>
            <rFont val="Tahoma"/>
            <family val="2"/>
          </rPr>
          <t xml:space="preserve">
REEMPLAZA A LA FACTURA 001-531
</t>
        </r>
      </text>
    </comment>
    <comment ref="H19" authorId="1" shapeId="0" xr:uid="{00000000-0006-0000-0900-000008000000}">
      <text>
        <r>
          <rPr>
            <b/>
            <sz val="9"/>
            <color indexed="81"/>
            <rFont val="Tahoma"/>
            <family val="2"/>
          </rPr>
          <t>VALLEJOS:</t>
        </r>
        <r>
          <rPr>
            <sz val="9"/>
            <color indexed="81"/>
            <rFont val="Tahoma"/>
            <family val="2"/>
          </rPr>
          <t xml:space="preserve">
REEMPLAZA A LA FACTURA 001-0531
</t>
        </r>
      </text>
    </comment>
    <comment ref="H20" authorId="1" shapeId="0" xr:uid="{00000000-0006-0000-0900-000009000000}">
      <text>
        <r>
          <rPr>
            <b/>
            <sz val="9"/>
            <color indexed="81"/>
            <rFont val="Tahoma"/>
            <family val="2"/>
          </rPr>
          <t>VALLEJOS:</t>
        </r>
        <r>
          <rPr>
            <sz val="9"/>
            <color indexed="81"/>
            <rFont val="Tahoma"/>
            <family val="2"/>
          </rPr>
          <t xml:space="preserve">
REEMPLAZA A LA F001-0534
</t>
        </r>
      </text>
    </comment>
    <comment ref="H21" authorId="1" shapeId="0" xr:uid="{00000000-0006-0000-0900-00000A000000}">
      <text>
        <r>
          <rPr>
            <b/>
            <sz val="9"/>
            <color indexed="81"/>
            <rFont val="Tahoma"/>
            <family val="2"/>
          </rPr>
          <t>VALLEJOS:</t>
        </r>
        <r>
          <rPr>
            <sz val="9"/>
            <color indexed="81"/>
            <rFont val="Tahoma"/>
            <family val="2"/>
          </rPr>
          <t xml:space="preserve">
REEMPLAZA A LA
FACTURA 001-0534</t>
        </r>
      </text>
    </comment>
    <comment ref="H38" authorId="2" shapeId="0" xr:uid="{00000000-0006-0000-0900-00000B000000}">
      <text>
        <r>
          <rPr>
            <b/>
            <sz val="9"/>
            <color indexed="81"/>
            <rFont val="Tahoma"/>
            <family val="2"/>
          </rPr>
          <t>LENOVO:</t>
        </r>
        <r>
          <rPr>
            <sz val="9"/>
            <color indexed="81"/>
            <rFont val="Tahoma"/>
            <family val="2"/>
          </rPr>
          <t xml:space="preserve">
TIENE UN MONTO MENOR EN FACTURA</t>
        </r>
      </text>
    </comment>
    <comment ref="I38" authorId="3" shapeId="0" xr:uid="{00000000-0006-0000-0900-00000C000000}">
      <text>
        <r>
          <rPr>
            <b/>
            <sz val="9"/>
            <color indexed="81"/>
            <rFont val="Tahoma"/>
            <family val="2"/>
          </rPr>
          <t>user:</t>
        </r>
        <r>
          <rPr>
            <sz val="9"/>
            <color indexed="81"/>
            <rFont val="Tahoma"/>
            <family val="2"/>
          </rPr>
          <t xml:space="preserve">
36253.14 ESTE MONTO DEBERIA SER, PERO SE FACTURÓ POR MENOS</t>
        </r>
      </text>
    </comment>
    <comment ref="H42" authorId="4" shapeId="0" xr:uid="{00000000-0006-0000-0900-00000D000000}">
      <text>
        <r>
          <rPr>
            <b/>
            <sz val="9"/>
            <color indexed="81"/>
            <rFont val="Tahoma"/>
            <family val="2"/>
          </rPr>
          <t>Sonia Diaz:</t>
        </r>
        <r>
          <rPr>
            <sz val="9"/>
            <color indexed="81"/>
            <rFont val="Tahoma"/>
            <family val="2"/>
          </rPr>
          <t xml:space="preserve">
Se modificó antes 696</t>
        </r>
      </text>
    </comment>
    <comment ref="C93" authorId="3" shapeId="0" xr:uid="{00000000-0006-0000-0900-00000E000000}">
      <text>
        <r>
          <rPr>
            <b/>
            <sz val="9"/>
            <color indexed="81"/>
            <rFont val="Tahoma"/>
            <family val="2"/>
          </rPr>
          <t>user:</t>
        </r>
        <r>
          <rPr>
            <sz val="9"/>
            <color indexed="81"/>
            <rFont val="Tahoma"/>
            <family val="2"/>
          </rPr>
          <t xml:space="preserve">
EJERCITO PERUANO</t>
        </r>
      </text>
    </comment>
    <comment ref="B115" authorId="3" shapeId="0" xr:uid="{00000000-0006-0000-0900-00000F000000}">
      <text>
        <r>
          <rPr>
            <b/>
            <sz val="9"/>
            <color indexed="81"/>
            <rFont val="Tahoma"/>
            <family val="2"/>
          </rPr>
          <t>user:</t>
        </r>
        <r>
          <rPr>
            <sz val="9"/>
            <color indexed="81"/>
            <rFont val="Tahoma"/>
            <family val="2"/>
          </rPr>
          <t xml:space="preserve">
SE HIZO CON LA AERONAVE DE INCA - ALQUILO A PRECIO MUY ALTO</t>
        </r>
      </text>
    </comment>
    <comment ref="I137" authorId="3" shapeId="0" xr:uid="{00000000-0006-0000-0900-000010000000}">
      <text>
        <r>
          <rPr>
            <b/>
            <sz val="9"/>
            <color indexed="81"/>
            <rFont val="Tahoma"/>
            <family val="2"/>
          </rPr>
          <t>user:</t>
        </r>
        <r>
          <rPr>
            <sz val="9"/>
            <color indexed="81"/>
            <rFont val="Tahoma"/>
            <family val="2"/>
          </rPr>
          <t xml:space="preserve">
ADENDA-AMPLIACION DE PLAZO DEL CONTRATO, PARA AGOTAR EL SALDO DEL CONTRATO</t>
        </r>
      </text>
    </comment>
    <comment ref="I143" authorId="3" shapeId="0" xr:uid="{00000000-0006-0000-0900-000011000000}">
      <text>
        <r>
          <rPr>
            <b/>
            <sz val="9"/>
            <color indexed="81"/>
            <rFont val="Tahoma"/>
            <family val="2"/>
          </rPr>
          <t>user:</t>
        </r>
        <r>
          <rPr>
            <sz val="9"/>
            <color indexed="81"/>
            <rFont val="Tahoma"/>
            <family val="2"/>
          </rPr>
          <t xml:space="preserve">
DESDE AQUÍ ADENDA AADICIONAL AL CONTRATO</t>
        </r>
      </text>
    </comment>
    <comment ref="I158" authorId="3" shapeId="0" xr:uid="{00000000-0006-0000-0900-000012000000}">
      <text>
        <r>
          <rPr>
            <b/>
            <sz val="9"/>
            <color indexed="81"/>
            <rFont val="Tahoma"/>
            <family val="2"/>
          </rPr>
          <t>user:</t>
        </r>
        <r>
          <rPr>
            <sz val="9"/>
            <color indexed="81"/>
            <rFont val="Tahoma"/>
            <family val="2"/>
          </rPr>
          <t xml:space="preserve">
TENIA FACTURA F001-1202   POR S/ 48474, A SOLICITUD DE LA ENTIDAD SE HIZO CONTRAPROPUESTA </t>
        </r>
      </text>
    </comment>
    <comment ref="M172" authorId="5" shapeId="0" xr:uid="{00000000-0006-0000-0900-000013000000}">
      <text>
        <r>
          <rPr>
            <b/>
            <sz val="9"/>
            <color indexed="81"/>
            <rFont val="Tahoma"/>
            <family val="2"/>
          </rPr>
          <t>Admin:</t>
        </r>
        <r>
          <rPr>
            <sz val="9"/>
            <color indexed="81"/>
            <rFont val="Tahoma"/>
            <family val="2"/>
          </rPr>
          <t xml:space="preserve">
X EJECUTAR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jorge.vallejos@airmajoro.com</author>
    <author>Sonia Diaz</author>
    <author>LENOVO</author>
    <author>Admin</author>
    <author>user</author>
  </authors>
  <commentList>
    <comment ref="H3" authorId="0" shapeId="0" xr:uid="{00000000-0006-0000-0A00-000001000000}">
      <text>
        <r>
          <rPr>
            <b/>
            <sz val="9"/>
            <color indexed="81"/>
            <rFont val="Tahoma"/>
            <family val="2"/>
          </rPr>
          <t>jorge.vallejos@airmajoro.com:</t>
        </r>
        <r>
          <rPr>
            <sz val="9"/>
            <color indexed="81"/>
            <rFont val="Tahoma"/>
            <family val="2"/>
          </rPr>
          <t xml:space="preserve">
REEMPLAZA A LA FT 001-0349</t>
        </r>
      </text>
    </comment>
    <comment ref="H4" authorId="0" shapeId="0" xr:uid="{00000000-0006-0000-0A00-000002000000}">
      <text>
        <r>
          <rPr>
            <b/>
            <sz val="9"/>
            <color indexed="81"/>
            <rFont val="Tahoma"/>
            <family val="2"/>
          </rPr>
          <t>jorge.vallejos@airmajoro.com:</t>
        </r>
        <r>
          <rPr>
            <sz val="9"/>
            <color indexed="81"/>
            <rFont val="Tahoma"/>
            <family val="2"/>
          </rPr>
          <t xml:space="preserve">
REEMPLAZA A LA FT 001-0350</t>
        </r>
      </text>
    </comment>
    <comment ref="H5" authorId="0" shapeId="0" xr:uid="{00000000-0006-0000-0A00-000003000000}">
      <text>
        <r>
          <rPr>
            <b/>
            <sz val="9"/>
            <color indexed="81"/>
            <rFont val="Tahoma"/>
            <family val="2"/>
          </rPr>
          <t>jorge.vallejos@airmajoro.com:</t>
        </r>
        <r>
          <rPr>
            <sz val="9"/>
            <color indexed="81"/>
            <rFont val="Tahoma"/>
            <family val="2"/>
          </rPr>
          <t xml:space="preserve">
REEMPLAZA A LA FACTURA 001-0359, QUE SE ENVIO EL 17-02</t>
        </r>
      </text>
    </comment>
    <comment ref="H6" authorId="0" shapeId="0" xr:uid="{00000000-0006-0000-0A00-000004000000}">
      <text>
        <r>
          <rPr>
            <b/>
            <sz val="9"/>
            <color indexed="81"/>
            <rFont val="Tahoma"/>
            <family val="2"/>
          </rPr>
          <t>jorge.vallejos@airmajoro.com:</t>
        </r>
        <r>
          <rPr>
            <sz val="9"/>
            <color indexed="81"/>
            <rFont val="Tahoma"/>
            <family val="2"/>
          </rPr>
          <t xml:space="preserve">
REEMPLAZA A LA FT 001-0360</t>
        </r>
      </text>
    </comment>
    <comment ref="G16" authorId="1" shapeId="0" xr:uid="{00000000-0006-0000-0A00-000005000000}">
      <text>
        <r>
          <rPr>
            <b/>
            <sz val="9"/>
            <color indexed="81"/>
            <rFont val="Tahoma"/>
            <family val="2"/>
          </rPr>
          <t>Sonia Diaz:</t>
        </r>
        <r>
          <rPr>
            <sz val="9"/>
            <color indexed="81"/>
            <rFont val="Tahoma"/>
            <family val="2"/>
          </rPr>
          <t xml:space="preserve">
NO SE TRASLADO A LA PACIENTE (FALLECIÓ)</t>
        </r>
      </text>
    </comment>
    <comment ref="L18" authorId="2" shapeId="0" xr:uid="{00000000-0006-0000-0A00-000006000000}">
      <text>
        <r>
          <rPr>
            <b/>
            <sz val="9"/>
            <color indexed="81"/>
            <rFont val="Tahoma"/>
            <family val="2"/>
          </rPr>
          <t>LENOVO:</t>
        </r>
        <r>
          <rPr>
            <sz val="9"/>
            <color indexed="81"/>
            <rFont val="Tahoma"/>
            <family val="2"/>
          </rPr>
          <t xml:space="preserve">
ASIGNAMOS A ESTA FACTURA EL PAGO
</t>
        </r>
      </text>
    </comment>
    <comment ref="L19" authorId="2" shapeId="0" xr:uid="{00000000-0006-0000-0A00-000007000000}">
      <text>
        <r>
          <rPr>
            <b/>
            <sz val="9"/>
            <color indexed="81"/>
            <rFont val="Tahoma"/>
            <family val="2"/>
          </rPr>
          <t>LENOVO:</t>
        </r>
        <r>
          <rPr>
            <sz val="9"/>
            <color indexed="81"/>
            <rFont val="Tahoma"/>
            <family val="2"/>
          </rPr>
          <t xml:space="preserve">
ASIGNAMOS A ESTA FACTURA EL PAGO
</t>
        </r>
      </text>
    </comment>
    <comment ref="Q33" authorId="3" shapeId="0" xr:uid="{00000000-0006-0000-0A00-000008000000}">
      <text>
        <r>
          <rPr>
            <b/>
            <sz val="9"/>
            <color indexed="81"/>
            <rFont val="Tahoma"/>
            <family val="2"/>
          </rPr>
          <t>Admin:</t>
        </r>
        <r>
          <rPr>
            <sz val="9"/>
            <color indexed="81"/>
            <rFont val="Tahoma"/>
            <family val="2"/>
          </rPr>
          <t xml:space="preserve">
DEL PERNOCTE</t>
        </r>
      </text>
    </comment>
    <comment ref="B38" authorId="4" shapeId="0" xr:uid="{00000000-0006-0000-0A00-000009000000}">
      <text>
        <r>
          <rPr>
            <b/>
            <sz val="9"/>
            <color indexed="81"/>
            <rFont val="Tahoma"/>
            <family val="2"/>
          </rPr>
          <t>user:</t>
        </r>
        <r>
          <rPr>
            <sz val="9"/>
            <color indexed="81"/>
            <rFont val="Tahoma"/>
            <family val="2"/>
          </rPr>
          <t xml:space="preserve">
VIVE</t>
        </r>
      </text>
    </comment>
    <comment ref="I43" authorId="4" shapeId="0" xr:uid="{00000000-0006-0000-0A00-00000A000000}">
      <text>
        <r>
          <rPr>
            <b/>
            <sz val="9"/>
            <color indexed="81"/>
            <rFont val="Tahoma"/>
            <family val="2"/>
          </rPr>
          <t>user:</t>
        </r>
        <r>
          <rPr>
            <sz val="9"/>
            <color indexed="81"/>
            <rFont val="Tahoma"/>
            <family val="2"/>
          </rPr>
          <t xml:space="preserve">
PAGARON EN PARTES SABADO 16/03 2,100  Y EL 12/03 PAGARON 4100
PAGARON EN BBVA EL 07/04/24 2200+4000
07/06/24 6426.44</t>
        </r>
      </text>
    </comment>
    <comment ref="J54" authorId="4" shapeId="0" xr:uid="{00000000-0006-0000-0A00-00000B000000}">
      <text>
        <r>
          <rPr>
            <b/>
            <sz val="9"/>
            <color indexed="81"/>
            <rFont val="Tahoma"/>
            <family val="2"/>
          </rPr>
          <t>user:</t>
        </r>
        <r>
          <rPr>
            <sz val="9"/>
            <color indexed="81"/>
            <rFont val="Tahoma"/>
            <family val="2"/>
          </rPr>
          <t xml:space="preserve">
EN MORADO APLIQUE EL PAGO DEL 31, SE CONSULTARA SI CORRESPONDE A ESTAS FACTURAS</t>
        </r>
      </text>
    </comment>
    <comment ref="V54" authorId="4" shapeId="0" xr:uid="{00000000-0006-0000-0A00-00000C000000}">
      <text>
        <r>
          <rPr>
            <b/>
            <sz val="9"/>
            <color indexed="81"/>
            <rFont val="Tahoma"/>
            <family val="2"/>
          </rPr>
          <t>user:</t>
        </r>
        <r>
          <rPr>
            <sz val="9"/>
            <color indexed="81"/>
            <rFont val="Tahoma"/>
            <family val="2"/>
          </rPr>
          <t xml:space="preserve">
DIA SIGUIENTE</t>
        </r>
      </text>
    </comment>
    <comment ref="H61" authorId="4" shapeId="0" xr:uid="{00000000-0006-0000-0A00-00000D000000}">
      <text>
        <r>
          <rPr>
            <b/>
            <sz val="9"/>
            <color indexed="81"/>
            <rFont val="Tahoma"/>
            <family val="2"/>
          </rPr>
          <t>user:</t>
        </r>
        <r>
          <rPr>
            <sz val="9"/>
            <color indexed="81"/>
            <rFont val="Tahoma"/>
            <family val="2"/>
          </rPr>
          <t xml:space="preserve">
F001-3512</t>
        </r>
      </text>
    </comment>
    <comment ref="J61" authorId="4" shapeId="0" xr:uid="{00000000-0006-0000-0A00-00000E000000}">
      <text>
        <r>
          <rPr>
            <b/>
            <sz val="9"/>
            <color indexed="81"/>
            <rFont val="Tahoma"/>
            <family val="2"/>
          </rPr>
          <t>user:</t>
        </r>
        <r>
          <rPr>
            <sz val="9"/>
            <color indexed="81"/>
            <rFont val="Tahoma"/>
            <family val="2"/>
          </rPr>
          <t xml:space="preserve">
APLIQUE A ESTA FACTURA ESTE PAGO PORQUE NO TENGO DATOS DE QUE FACTURA APLICAR</t>
        </r>
      </text>
    </comment>
    <comment ref="H64" authorId="4" shapeId="0" xr:uid="{00000000-0006-0000-0A00-00000F000000}">
      <text>
        <r>
          <rPr>
            <b/>
            <sz val="9"/>
            <color indexed="81"/>
            <rFont val="Tahoma"/>
            <family val="2"/>
          </rPr>
          <t>user:</t>
        </r>
        <r>
          <rPr>
            <sz val="9"/>
            <color indexed="81"/>
            <rFont val="Tahoma"/>
            <family val="2"/>
          </rPr>
          <t xml:space="preserve">
F001-3894</t>
        </r>
      </text>
    </comment>
    <comment ref="K65" authorId="4" shapeId="0" xr:uid="{00000000-0006-0000-0A00-000010000000}">
      <text>
        <r>
          <rPr>
            <b/>
            <sz val="9"/>
            <color indexed="81"/>
            <rFont val="Tahoma"/>
            <family val="2"/>
          </rPr>
          <t>user:</t>
        </r>
        <r>
          <rPr>
            <sz val="9"/>
            <color indexed="81"/>
            <rFont val="Tahoma"/>
            <family val="2"/>
          </rPr>
          <t xml:space="preserve">
PAGARON INCOMPLETO
HICIERON RETENCIÓ DEL 3%, NOSOTROS APLICAMOS </t>
        </r>
      </text>
    </comment>
    <comment ref="H68" authorId="4" shapeId="0" xr:uid="{00000000-0006-0000-0A00-000011000000}">
      <text>
        <r>
          <rPr>
            <b/>
            <sz val="9"/>
            <color indexed="81"/>
            <rFont val="Tahoma"/>
            <family val="2"/>
          </rPr>
          <t>user:</t>
        </r>
        <r>
          <rPr>
            <sz val="9"/>
            <color indexed="81"/>
            <rFont val="Tahoma"/>
            <family val="2"/>
          </rPr>
          <t xml:space="preserve">
F001-4644</t>
        </r>
      </text>
    </comment>
    <comment ref="I86" authorId="4" shapeId="0" xr:uid="{00000000-0006-0000-0A00-000012000000}">
      <text>
        <r>
          <rPr>
            <b/>
            <sz val="9"/>
            <color indexed="81"/>
            <rFont val="Tahoma"/>
            <family val="2"/>
          </rPr>
          <t>user:</t>
        </r>
        <r>
          <rPr>
            <sz val="9"/>
            <color indexed="81"/>
            <rFont val="Tahoma"/>
            <family val="2"/>
          </rPr>
          <t xml:space="preserve">
DE LA PRIMERA FACTURA ESTE ES EL PENDIENTE DE PAGO AL 24-10-24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6" authorId="0" shapeId="0" xr:uid="{00000000-0006-0000-0B00-000001000000}">
      <text>
        <r>
          <rPr>
            <b/>
            <sz val="9"/>
            <color indexed="81"/>
            <rFont val="Tahoma"/>
            <family val="2"/>
          </rPr>
          <t>user:</t>
        </r>
        <r>
          <rPr>
            <sz val="9"/>
            <color indexed="81"/>
            <rFont val="Tahoma"/>
            <family val="2"/>
          </rPr>
          <t xml:space="preserve">
FUE UNA SEGUNDA AERONAVE PARA SOLUCIONAR EL IMPREVISTO
(VENTILADOR NO OPERATIVO EN EL PRIMER VUELO), ES DECIR SEGUNDO VUELO FUE LLEVANDO EL VENTILADOR , SEGUNDO VUELO 2104</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H9" authorId="0" shapeId="0" xr:uid="{00000000-0006-0000-0C00-000001000000}">
      <text>
        <r>
          <rPr>
            <b/>
            <sz val="9"/>
            <color indexed="81"/>
            <rFont val="Tahoma"/>
            <family val="2"/>
          </rPr>
          <t>user:</t>
        </r>
        <r>
          <rPr>
            <sz val="9"/>
            <color indexed="81"/>
            <rFont val="Tahoma"/>
            <family val="2"/>
          </rPr>
          <t xml:space="preserve">
F001-4380</t>
        </r>
      </text>
    </comment>
    <comment ref="H10" authorId="0" shapeId="0" xr:uid="{00000000-0006-0000-0C00-000002000000}">
      <text>
        <r>
          <rPr>
            <b/>
            <sz val="9"/>
            <color indexed="81"/>
            <rFont val="Tahoma"/>
            <family val="2"/>
          </rPr>
          <t>user:</t>
        </r>
        <r>
          <rPr>
            <sz val="9"/>
            <color indexed="81"/>
            <rFont val="Tahoma"/>
            <family val="2"/>
          </rPr>
          <t xml:space="preserve">
F001-4406</t>
        </r>
      </text>
    </comment>
    <comment ref="H11" authorId="0" shapeId="0" xr:uid="{00000000-0006-0000-0C00-000003000000}">
      <text>
        <r>
          <rPr>
            <b/>
            <sz val="9"/>
            <color indexed="81"/>
            <rFont val="Tahoma"/>
            <family val="2"/>
          </rPr>
          <t>user:</t>
        </r>
        <r>
          <rPr>
            <sz val="9"/>
            <color indexed="81"/>
            <rFont val="Tahoma"/>
            <family val="2"/>
          </rPr>
          <t xml:space="preserve">
F001-4407</t>
        </r>
      </text>
    </comment>
    <comment ref="H12" authorId="0" shapeId="0" xr:uid="{00000000-0006-0000-0C00-000004000000}">
      <text>
        <r>
          <rPr>
            <b/>
            <sz val="9"/>
            <color indexed="81"/>
            <rFont val="Tahoma"/>
            <family val="2"/>
          </rPr>
          <t>user:</t>
        </r>
        <r>
          <rPr>
            <sz val="9"/>
            <color indexed="81"/>
            <rFont val="Tahoma"/>
            <family val="2"/>
          </rPr>
          <t xml:space="preserve">
F001-4408</t>
        </r>
      </text>
    </comment>
    <comment ref="B30" authorId="0" shapeId="0" xr:uid="{00000000-0006-0000-0C00-000005000000}">
      <text>
        <r>
          <rPr>
            <b/>
            <sz val="9"/>
            <color indexed="81"/>
            <rFont val="Tahoma"/>
            <family val="2"/>
          </rPr>
          <t>user:</t>
        </r>
        <r>
          <rPr>
            <sz val="9"/>
            <color indexed="81"/>
            <rFont val="Tahoma"/>
            <family val="2"/>
          </rPr>
          <t xml:space="preserve">
NO TRASLADADO</t>
        </r>
      </text>
    </comment>
    <comment ref="H52" authorId="0" shapeId="0" xr:uid="{00000000-0006-0000-0C00-000006000000}">
      <text>
        <r>
          <rPr>
            <b/>
            <sz val="9"/>
            <color indexed="81"/>
            <rFont val="Tahoma"/>
            <family val="2"/>
          </rPr>
          <t>user:</t>
        </r>
        <r>
          <rPr>
            <sz val="9"/>
            <color indexed="81"/>
            <rFont val="Tahoma"/>
            <family val="2"/>
          </rPr>
          <t xml:space="preserve">
F001-3483</t>
        </r>
      </text>
    </comment>
    <comment ref="H54" authorId="0" shapeId="0" xr:uid="{00000000-0006-0000-0C00-000007000000}">
      <text>
        <r>
          <rPr>
            <b/>
            <sz val="9"/>
            <color indexed="81"/>
            <rFont val="Tahoma"/>
            <family val="2"/>
          </rPr>
          <t>user:</t>
        </r>
        <r>
          <rPr>
            <sz val="9"/>
            <color indexed="81"/>
            <rFont val="Tahoma"/>
            <family val="2"/>
          </rPr>
          <t xml:space="preserve">
F001-3483</t>
        </r>
      </text>
    </comment>
    <comment ref="H71" authorId="0" shapeId="0" xr:uid="{00000000-0006-0000-0C00-000008000000}">
      <text>
        <r>
          <rPr>
            <b/>
            <sz val="9"/>
            <color indexed="81"/>
            <rFont val="Tahoma"/>
            <family val="2"/>
          </rPr>
          <t>user:</t>
        </r>
        <r>
          <rPr>
            <sz val="9"/>
            <color indexed="81"/>
            <rFont val="Tahoma"/>
            <family val="2"/>
          </rPr>
          <t xml:space="preserve">
YA APLICARON PENALIDAD 2140, POR LO TANTO PAGARON SOLO LA DIFERENCIA 163,300</t>
        </r>
      </text>
    </comment>
    <comment ref="L93" authorId="0" shapeId="0" xr:uid="{00000000-0006-0000-0C00-000009000000}">
      <text>
        <r>
          <rPr>
            <b/>
            <sz val="9"/>
            <color indexed="81"/>
            <rFont val="Tahoma"/>
            <family val="2"/>
          </rPr>
          <t>user:</t>
        </r>
        <r>
          <rPr>
            <sz val="9"/>
            <color indexed="81"/>
            <rFont val="Tahoma"/>
            <family val="2"/>
          </rPr>
          <t xml:space="preserve">
9 DE JULIO DE 2024 INICIO D EJECUCIÓN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Sonia Diaz</author>
    <author>Admin</author>
    <author>LENOVO</author>
  </authors>
  <commentList>
    <comment ref="H14" authorId="0" shapeId="0" xr:uid="{00000000-0006-0000-0E00-000001000000}">
      <text>
        <r>
          <rPr>
            <b/>
            <sz val="9"/>
            <color indexed="81"/>
            <rFont val="Tahoma"/>
            <family val="2"/>
          </rPr>
          <t>Sonia Diaz:</t>
        </r>
        <r>
          <rPr>
            <sz val="9"/>
            <color indexed="81"/>
            <rFont val="Tahoma"/>
            <family val="2"/>
          </rPr>
          <t xml:space="preserve">
TENIA FACTURA F001-1028</t>
        </r>
      </text>
    </comment>
    <comment ref="H15" authorId="0" shapeId="0" xr:uid="{00000000-0006-0000-0E00-000002000000}">
      <text>
        <r>
          <rPr>
            <b/>
            <sz val="9"/>
            <color indexed="81"/>
            <rFont val="Tahoma"/>
            <family val="2"/>
          </rPr>
          <t>Sonia Diaz:</t>
        </r>
        <r>
          <rPr>
            <sz val="9"/>
            <color indexed="81"/>
            <rFont val="Tahoma"/>
            <family val="2"/>
          </rPr>
          <t xml:space="preserve">
TENIA FACTURA F001-1083</t>
        </r>
      </text>
    </comment>
    <comment ref="H16" authorId="0" shapeId="0" xr:uid="{00000000-0006-0000-0E00-000003000000}">
      <text>
        <r>
          <rPr>
            <b/>
            <sz val="9"/>
            <color indexed="81"/>
            <rFont val="Tahoma"/>
            <family val="2"/>
          </rPr>
          <t>Sonia Diaz:</t>
        </r>
        <r>
          <rPr>
            <sz val="9"/>
            <color indexed="81"/>
            <rFont val="Tahoma"/>
            <family val="2"/>
          </rPr>
          <t xml:space="preserve">
TENIA FACTURA F001-1084
</t>
        </r>
      </text>
    </comment>
    <comment ref="H22" authorId="0" shapeId="0" xr:uid="{00000000-0006-0000-0E00-000004000000}">
      <text>
        <r>
          <rPr>
            <b/>
            <sz val="9"/>
            <color indexed="81"/>
            <rFont val="Tahoma"/>
            <family val="2"/>
          </rPr>
          <t>Sonia Diaz:</t>
        </r>
        <r>
          <rPr>
            <sz val="9"/>
            <color indexed="81"/>
            <rFont val="Tahoma"/>
            <family val="2"/>
          </rPr>
          <t xml:space="preserve">
ANTES TENIA FACTURA 609</t>
        </r>
      </text>
    </comment>
    <comment ref="R22" authorId="1" shapeId="0" xr:uid="{00000000-0006-0000-0E00-000005000000}">
      <text>
        <r>
          <rPr>
            <b/>
            <sz val="9"/>
            <color indexed="81"/>
            <rFont val="Tahoma"/>
            <family val="2"/>
          </rPr>
          <t>Admin:</t>
        </r>
        <r>
          <rPr>
            <sz val="9"/>
            <color indexed="81"/>
            <rFont val="Tahoma"/>
            <family val="2"/>
          </rPr>
          <t xml:space="preserve">
EMISION  23/09/2021
PLAZO 14-08-2021 AL 31-12-2021
x 5 SERVICIOS
S/ 264,600.00</t>
        </r>
      </text>
    </comment>
    <comment ref="R27" authorId="1" shapeId="0" xr:uid="{00000000-0006-0000-0E00-000006000000}">
      <text>
        <r>
          <rPr>
            <b/>
            <sz val="9"/>
            <color indexed="81"/>
            <rFont val="Tahoma"/>
            <family val="2"/>
          </rPr>
          <t>Admin:</t>
        </r>
        <r>
          <rPr>
            <sz val="9"/>
            <color indexed="81"/>
            <rFont val="Tahoma"/>
            <family val="2"/>
          </rPr>
          <t xml:space="preserve">
DEL 24/03/2022
PLAZO 01-01-2022 AL 13-08-2022
x 20 SERVICIO
S/ 1058,400.00 </t>
        </r>
      </text>
    </comment>
    <comment ref="T57" authorId="2" shapeId="0" xr:uid="{00000000-0006-0000-0E00-000007000000}">
      <text>
        <r>
          <rPr>
            <b/>
            <sz val="9"/>
            <color indexed="81"/>
            <rFont val="Tahoma"/>
            <family val="2"/>
          </rPr>
          <t>LENOVO:</t>
        </r>
        <r>
          <rPr>
            <sz val="9"/>
            <color indexed="81"/>
            <rFont val="Tahoma"/>
            <family val="2"/>
          </rPr>
          <t xml:space="preserve">
EL DIA SIGUIENTE</t>
        </r>
      </text>
    </comment>
    <comment ref="L78" authorId="0" shapeId="0" xr:uid="{00000000-0006-0000-0E00-000008000000}">
      <text>
        <r>
          <rPr>
            <b/>
            <sz val="9"/>
            <color indexed="81"/>
            <rFont val="Tahoma"/>
            <family val="2"/>
          </rPr>
          <t>Sonia Diaz:</t>
        </r>
        <r>
          <rPr>
            <sz val="9"/>
            <color indexed="81"/>
            <rFont val="Tahoma"/>
            <family val="2"/>
          </rPr>
          <t xml:space="preserve">
MONTO DEL CONTRATO</t>
        </r>
      </text>
    </comment>
    <comment ref="L83" authorId="1" shapeId="0" xr:uid="{00000000-0006-0000-0E00-000009000000}">
      <text>
        <r>
          <rPr>
            <b/>
            <sz val="9"/>
            <color indexed="81"/>
            <rFont val="Tahoma"/>
            <family val="2"/>
          </rPr>
          <t>Admin:</t>
        </r>
        <r>
          <rPr>
            <sz val="9"/>
            <color indexed="81"/>
            <rFont val="Tahoma"/>
            <family val="2"/>
          </rPr>
          <t xml:space="preserve">
X EJECUTAR</t>
        </r>
      </text>
    </comment>
    <comment ref="L90" authorId="0" shapeId="0" xr:uid="{00000000-0006-0000-0E00-00000A000000}">
      <text>
        <r>
          <rPr>
            <b/>
            <sz val="9"/>
            <color indexed="81"/>
            <rFont val="Tahoma"/>
            <family val="2"/>
          </rPr>
          <t>Sonia Diaz:</t>
        </r>
        <r>
          <rPr>
            <sz val="9"/>
            <color indexed="81"/>
            <rFont val="Tahoma"/>
            <family val="2"/>
          </rPr>
          <t xml:space="preserve">
MONTO DEL CONTRATO</t>
        </r>
      </text>
    </comment>
    <comment ref="L95" authorId="1" shapeId="0" xr:uid="{00000000-0006-0000-0E00-00000B000000}">
      <text>
        <r>
          <rPr>
            <b/>
            <sz val="9"/>
            <color indexed="81"/>
            <rFont val="Tahoma"/>
            <family val="2"/>
          </rPr>
          <t>Admin:</t>
        </r>
        <r>
          <rPr>
            <sz val="9"/>
            <color indexed="81"/>
            <rFont val="Tahoma"/>
            <family val="2"/>
          </rPr>
          <t xml:space="preserve">
X EJECUTAR</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H3" authorId="0" shapeId="0" xr:uid="{00000000-0006-0000-0F00-000001000000}">
      <text>
        <r>
          <rPr>
            <b/>
            <sz val="9"/>
            <color indexed="81"/>
            <rFont val="Tahoma"/>
            <family val="2"/>
          </rPr>
          <t>user:</t>
        </r>
        <r>
          <rPr>
            <sz val="9"/>
            <color indexed="81"/>
            <rFont val="Tahoma"/>
            <family val="2"/>
          </rPr>
          <t xml:space="preserve">
F001-3376</t>
        </r>
      </text>
    </comment>
    <comment ref="H4" authorId="0" shapeId="0" xr:uid="{00000000-0006-0000-0F00-000002000000}">
      <text>
        <r>
          <rPr>
            <b/>
            <sz val="9"/>
            <color indexed="81"/>
            <rFont val="Tahoma"/>
            <family val="2"/>
          </rPr>
          <t>user:</t>
        </r>
        <r>
          <rPr>
            <sz val="9"/>
            <color indexed="81"/>
            <rFont val="Tahoma"/>
            <family val="2"/>
          </rPr>
          <t xml:space="preserve">
F001-3718</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Sonia Diaz</author>
    <author>user</author>
    <author>Sonia</author>
  </authors>
  <commentList>
    <comment ref="U11" authorId="0" shapeId="0" xr:uid="{00000000-0006-0000-1000-000001000000}">
      <text>
        <r>
          <rPr>
            <b/>
            <sz val="9"/>
            <color indexed="81"/>
            <rFont val="Tahoma"/>
            <family val="2"/>
          </rPr>
          <t>Sonia Diaz:</t>
        </r>
        <r>
          <rPr>
            <sz val="9"/>
            <color indexed="81"/>
            <rFont val="Tahoma"/>
            <family val="2"/>
          </rPr>
          <t xml:space="preserve">
DIA SIGUIENTE</t>
        </r>
      </text>
    </comment>
    <comment ref="V21" authorId="1" shapeId="0" xr:uid="{00000000-0006-0000-1000-000002000000}">
      <text>
        <r>
          <rPr>
            <b/>
            <sz val="9"/>
            <color indexed="81"/>
            <rFont val="Tahoma"/>
            <family val="2"/>
          </rPr>
          <t>user:</t>
        </r>
        <r>
          <rPr>
            <sz val="9"/>
            <color indexed="81"/>
            <rFont val="Tahoma"/>
            <family val="2"/>
          </rPr>
          <t xml:space="preserve">
DIA SIGUIENTE</t>
        </r>
      </text>
    </comment>
    <comment ref="V27" authorId="1" shapeId="0" xr:uid="{00000000-0006-0000-1000-000003000000}">
      <text>
        <r>
          <rPr>
            <b/>
            <sz val="9"/>
            <color indexed="81"/>
            <rFont val="Tahoma"/>
            <family val="2"/>
          </rPr>
          <t>user:</t>
        </r>
        <r>
          <rPr>
            <sz val="9"/>
            <color indexed="81"/>
            <rFont val="Tahoma"/>
            <family val="2"/>
          </rPr>
          <t xml:space="preserve">
DIA SIGUIENTE</t>
        </r>
      </text>
    </comment>
    <comment ref="H37" authorId="1" shapeId="0" xr:uid="{00000000-0006-0000-1000-000004000000}">
      <text>
        <r>
          <rPr>
            <b/>
            <sz val="9"/>
            <color indexed="81"/>
            <rFont val="Tahoma"/>
            <family val="2"/>
          </rPr>
          <t>user:</t>
        </r>
        <r>
          <rPr>
            <sz val="9"/>
            <color indexed="81"/>
            <rFont val="Tahoma"/>
            <family val="2"/>
          </rPr>
          <t xml:space="preserve">
1616</t>
        </r>
      </text>
    </comment>
    <comment ref="I62" authorId="1" shapeId="0" xr:uid="{00000000-0006-0000-1000-000005000000}">
      <text>
        <r>
          <rPr>
            <b/>
            <sz val="9"/>
            <color indexed="81"/>
            <rFont val="Tahoma"/>
            <family val="2"/>
          </rPr>
          <t>user:</t>
        </r>
        <r>
          <rPr>
            <sz val="9"/>
            <color indexed="81"/>
            <rFont val="Tahoma"/>
            <family val="2"/>
          </rPr>
          <t xml:space="preserve">
PAGARON CON TODO DETRACCION</t>
        </r>
      </text>
    </comment>
    <comment ref="V69" authorId="1" shapeId="0" xr:uid="{00000000-0006-0000-1000-000006000000}">
      <text>
        <r>
          <rPr>
            <b/>
            <sz val="9"/>
            <color indexed="81"/>
            <rFont val="Tahoma"/>
            <family val="2"/>
          </rPr>
          <t>user:</t>
        </r>
        <r>
          <rPr>
            <sz val="9"/>
            <color indexed="81"/>
            <rFont val="Tahoma"/>
            <family val="2"/>
          </rPr>
          <t xml:space="preserve">
DIA SIGUIENTE
</t>
        </r>
      </text>
    </comment>
    <comment ref="V70" authorId="1" shapeId="0" xr:uid="{00000000-0006-0000-1000-000007000000}">
      <text>
        <r>
          <rPr>
            <b/>
            <sz val="9"/>
            <color indexed="81"/>
            <rFont val="Tahoma"/>
            <family val="2"/>
          </rPr>
          <t>user:</t>
        </r>
        <r>
          <rPr>
            <sz val="9"/>
            <color indexed="81"/>
            <rFont val="Tahoma"/>
            <family val="2"/>
          </rPr>
          <t xml:space="preserve">
DIA SIGUIENTE</t>
        </r>
      </text>
    </comment>
    <comment ref="V81" authorId="2" shapeId="0" xr:uid="{00000000-0006-0000-1000-000008000000}">
      <text>
        <r>
          <rPr>
            <b/>
            <sz val="9"/>
            <color indexed="81"/>
            <rFont val="Tahoma"/>
            <family val="2"/>
          </rPr>
          <t>Sonia:</t>
        </r>
        <r>
          <rPr>
            <sz val="9"/>
            <color indexed="81"/>
            <rFont val="Tahoma"/>
            <family val="2"/>
          </rPr>
          <t xml:space="preserve">
DIA SIGUIENTE</t>
        </r>
      </text>
    </comment>
    <comment ref="B87" authorId="1" shapeId="0" xr:uid="{00000000-0006-0000-1000-000009000000}">
      <text>
        <r>
          <rPr>
            <b/>
            <sz val="9"/>
            <color indexed="81"/>
            <rFont val="Tahoma"/>
            <family val="2"/>
          </rPr>
          <t>user:</t>
        </r>
        <r>
          <rPr>
            <sz val="9"/>
            <color indexed="81"/>
            <rFont val="Tahoma"/>
            <family val="2"/>
          </rPr>
          <t xml:space="preserve">
ESCOLTA MEDICA
</t>
        </r>
      </text>
    </comment>
    <comment ref="H87" authorId="1" shapeId="0" xr:uid="{00000000-0006-0000-1000-00000A000000}">
      <text>
        <r>
          <rPr>
            <b/>
            <sz val="9"/>
            <color indexed="81"/>
            <rFont val="Tahoma"/>
            <family val="2"/>
          </rPr>
          <t>user:</t>
        </r>
        <r>
          <rPr>
            <sz val="9"/>
            <color indexed="81"/>
            <rFont val="Tahoma"/>
            <family val="2"/>
          </rPr>
          <t xml:space="preserve">
APLIQUE EL PAGOM DEL 21-01-25 A ESTA FACTURA, EN CUANTO NELLY ME INFORME REVISARÉ SI APLICAR A ESTA</t>
        </r>
      </text>
    </comment>
    <comment ref="D93" authorId="1" shapeId="0" xr:uid="{00000000-0006-0000-1000-00000B000000}">
      <text>
        <r>
          <rPr>
            <b/>
            <sz val="9"/>
            <color indexed="81"/>
            <rFont val="Tahoma"/>
            <family val="2"/>
          </rPr>
          <t>user:</t>
        </r>
        <r>
          <rPr>
            <sz val="9"/>
            <color indexed="81"/>
            <rFont val="Tahoma"/>
            <family val="2"/>
          </rPr>
          <t xml:space="preserve">
TRAJERON EL 15-02
</t>
        </r>
      </text>
    </comment>
    <comment ref="H95" authorId="1" shapeId="0" xr:uid="{00000000-0006-0000-1000-00000C000000}">
      <text>
        <r>
          <rPr>
            <b/>
            <sz val="9"/>
            <color indexed="81"/>
            <rFont val="Tahoma"/>
            <family val="2"/>
          </rPr>
          <t>user:</t>
        </r>
        <r>
          <rPr>
            <sz val="9"/>
            <color indexed="81"/>
            <rFont val="Tahoma"/>
            <family val="2"/>
          </rPr>
          <t xml:space="preserve">
F001-3608</t>
        </r>
      </text>
    </comment>
    <comment ref="H96" authorId="1" shapeId="0" xr:uid="{00000000-0006-0000-1000-00000D000000}">
      <text>
        <r>
          <rPr>
            <b/>
            <sz val="9"/>
            <color indexed="81"/>
            <rFont val="Tahoma"/>
            <family val="2"/>
          </rPr>
          <t>user:</t>
        </r>
        <r>
          <rPr>
            <sz val="9"/>
            <color indexed="81"/>
            <rFont val="Tahoma"/>
            <family val="2"/>
          </rPr>
          <t xml:space="preserve">
F001-3609</t>
        </r>
      </text>
    </comment>
    <comment ref="V97" authorId="2" shapeId="0" xr:uid="{00000000-0006-0000-1000-00000E000000}">
      <text>
        <r>
          <rPr>
            <b/>
            <sz val="9"/>
            <color indexed="81"/>
            <rFont val="Tahoma"/>
            <family val="2"/>
          </rPr>
          <t>Sonia:</t>
        </r>
        <r>
          <rPr>
            <sz val="9"/>
            <color indexed="81"/>
            <rFont val="Tahoma"/>
            <family val="2"/>
          </rPr>
          <t xml:space="preserve">
EL DIA SIGUIENTE</t>
        </r>
      </text>
    </comment>
    <comment ref="H109" authorId="1" shapeId="0" xr:uid="{00000000-0006-0000-1000-00000F000000}">
      <text>
        <r>
          <rPr>
            <b/>
            <sz val="9"/>
            <color indexed="81"/>
            <rFont val="Tahoma"/>
            <family val="2"/>
          </rPr>
          <t>user:</t>
        </r>
        <r>
          <rPr>
            <sz val="9"/>
            <color indexed="81"/>
            <rFont val="Tahoma"/>
            <family val="2"/>
          </rPr>
          <t xml:space="preserve">
del 07/07-2025 anticipandose según informacion de nelly muñoz lo que pagaran en la tarde</t>
        </r>
      </text>
    </comment>
    <comment ref="H113" authorId="1" shapeId="0" xr:uid="{00000000-0006-0000-1000-000010000000}">
      <text>
        <r>
          <rPr>
            <b/>
            <sz val="9"/>
            <color indexed="81"/>
            <rFont val="Tahoma"/>
            <family val="2"/>
          </rPr>
          <t>user:</t>
        </r>
        <r>
          <rPr>
            <sz val="9"/>
            <color indexed="81"/>
            <rFont val="Tahoma"/>
            <family val="2"/>
          </rPr>
          <t xml:space="preserve">
F001-3792</t>
        </r>
      </text>
    </comment>
    <comment ref="H121" authorId="1" shapeId="0" xr:uid="{00000000-0006-0000-1000-000011000000}">
      <text>
        <r>
          <rPr>
            <b/>
            <sz val="9"/>
            <color indexed="81"/>
            <rFont val="Tahoma"/>
            <family val="2"/>
          </rPr>
          <t>user:</t>
        </r>
        <r>
          <rPr>
            <sz val="9"/>
            <color indexed="81"/>
            <rFont val="Tahoma"/>
            <family val="2"/>
          </rPr>
          <t xml:space="preserve">
7 D EJULIO PAGARON SEIS FACTURAS, PERO SOLO DE LA 3850 ESTUVO BIEN SU DETRACCIÓN, DE LAS OTRAS CINCO PAGARON PARTE DE LA DETRACCIÓN A NUESTRA CUENTA POR LO QUE SE HIZO LA AUTODETRACCION DE LA DIFERENCIA</t>
        </r>
      </text>
    </comment>
    <comment ref="H123" authorId="1" shapeId="0" xr:uid="{00000000-0006-0000-1000-000012000000}">
      <text>
        <r>
          <rPr>
            <b/>
            <sz val="9"/>
            <color indexed="81"/>
            <rFont val="Tahoma"/>
            <family val="2"/>
          </rPr>
          <t>user:</t>
        </r>
        <r>
          <rPr>
            <sz val="9"/>
            <color indexed="81"/>
            <rFont val="Tahoma"/>
            <family val="2"/>
          </rPr>
          <t xml:space="preserve">
F001-3870</t>
        </r>
      </text>
    </comment>
    <comment ref="I123" authorId="1" shapeId="0" xr:uid="{00000000-0006-0000-1000-000013000000}">
      <text>
        <r>
          <rPr>
            <b/>
            <sz val="9"/>
            <color indexed="81"/>
            <rFont val="Tahoma"/>
            <family val="2"/>
          </rPr>
          <t>user:</t>
        </r>
        <r>
          <rPr>
            <sz val="9"/>
            <color indexed="81"/>
            <rFont val="Tahoma"/>
            <family val="2"/>
          </rPr>
          <t xml:space="preserve">
58231  se hizo el servicio ambulancia, pero no tenemos sustentos porque la entidad pidió charter y se niega a pagar ambulancia, se refacturó con precio de escolta medica</t>
        </r>
      </text>
    </comment>
    <comment ref="H126" authorId="1" shapeId="0" xr:uid="{00000000-0006-0000-1000-000014000000}">
      <text>
        <r>
          <rPr>
            <b/>
            <sz val="9"/>
            <color indexed="81"/>
            <rFont val="Tahoma"/>
            <family val="2"/>
          </rPr>
          <t>user:</t>
        </r>
        <r>
          <rPr>
            <sz val="9"/>
            <color indexed="81"/>
            <rFont val="Tahoma"/>
            <family val="2"/>
          </rPr>
          <t xml:space="preserve">
F001-3893</t>
        </r>
      </text>
    </comment>
    <comment ref="H142" authorId="1" shapeId="0" xr:uid="{00000000-0006-0000-1000-000015000000}">
      <text>
        <r>
          <rPr>
            <b/>
            <sz val="9"/>
            <color indexed="81"/>
            <rFont val="Tahoma"/>
            <family val="2"/>
          </rPr>
          <t>user:</t>
        </r>
        <r>
          <rPr>
            <sz val="9"/>
            <color indexed="81"/>
            <rFont val="Tahoma"/>
            <family val="2"/>
          </rPr>
          <t xml:space="preserve">
F001-4149</t>
        </r>
      </text>
    </comment>
    <comment ref="I143" authorId="1" shapeId="0" xr:uid="{00000000-0006-0000-1000-000016000000}">
      <text>
        <r>
          <rPr>
            <b/>
            <sz val="9"/>
            <color indexed="81"/>
            <rFont val="Tahoma"/>
            <family val="2"/>
          </rPr>
          <t>user:</t>
        </r>
        <r>
          <rPr>
            <sz val="9"/>
            <color indexed="81"/>
            <rFont val="Tahoma"/>
            <family val="2"/>
          </rPr>
          <t xml:space="preserve">
AD 346-25</t>
        </r>
      </text>
    </comment>
    <comment ref="I144" authorId="1" shapeId="0" xr:uid="{00000000-0006-0000-1000-000017000000}">
      <text>
        <r>
          <rPr>
            <b/>
            <sz val="9"/>
            <color indexed="81"/>
            <rFont val="Tahoma"/>
            <family val="2"/>
          </rPr>
          <t>user:</t>
        </r>
        <r>
          <rPr>
            <sz val="9"/>
            <color indexed="81"/>
            <rFont val="Tahoma"/>
            <family val="2"/>
          </rPr>
          <t xml:space="preserve">
AD 348-25</t>
        </r>
      </text>
    </comment>
    <comment ref="H149" authorId="1" shapeId="0" xr:uid="{00000000-0006-0000-1000-000018000000}">
      <text>
        <r>
          <rPr>
            <b/>
            <sz val="9"/>
            <color indexed="81"/>
            <rFont val="Tahoma"/>
            <family val="2"/>
          </rPr>
          <t>user:</t>
        </r>
        <r>
          <rPr>
            <sz val="9"/>
            <color indexed="81"/>
            <rFont val="Tahoma"/>
            <family val="2"/>
          </rPr>
          <t xml:space="preserve">
F001-4204</t>
        </r>
      </text>
    </comment>
    <comment ref="J149" authorId="1" shapeId="0" xr:uid="{00000000-0006-0000-1000-000019000000}">
      <text>
        <r>
          <rPr>
            <b/>
            <sz val="9"/>
            <color indexed="81"/>
            <rFont val="Tahoma"/>
            <family val="2"/>
          </rPr>
          <t>user:</t>
        </r>
        <r>
          <rPr>
            <sz val="9"/>
            <color indexed="81"/>
            <rFont val="Tahoma"/>
            <family val="2"/>
          </rPr>
          <t xml:space="preserve">
PAGARON MENOS POR UN ERROR DICE SOLANGE QUE HAN DUPLICADO PAGO</t>
        </r>
      </text>
    </comment>
    <comment ref="D153" authorId="1" shapeId="0" xr:uid="{00000000-0006-0000-1000-00001A000000}">
      <text>
        <r>
          <rPr>
            <b/>
            <sz val="9"/>
            <color indexed="81"/>
            <rFont val="Tahoma"/>
            <family val="2"/>
          </rPr>
          <t>user:</t>
        </r>
        <r>
          <rPr>
            <sz val="9"/>
            <color indexed="81"/>
            <rFont val="Tahoma"/>
            <family val="2"/>
          </rPr>
          <t xml:space="preserve">
INICIARON IQUITOS - LIMA PRIMERA HORA DEL DIA SIGUIENTE</t>
        </r>
      </text>
    </comment>
    <comment ref="H160" authorId="1" shapeId="0" xr:uid="{00000000-0006-0000-1000-00001B000000}">
      <text>
        <r>
          <rPr>
            <b/>
            <sz val="9"/>
            <color indexed="81"/>
            <rFont val="Tahoma"/>
            <family val="2"/>
          </rPr>
          <t>user:</t>
        </r>
        <r>
          <rPr>
            <sz val="9"/>
            <color indexed="81"/>
            <rFont val="Tahoma"/>
            <family val="2"/>
          </rPr>
          <t xml:space="preserve">
ESTA FACTURA 4844 SE EMITIÓ POR 12 SERVICIOS, SIN EMBARGO EN EL TRANSCURSO DEL TRÁMITE DE RECONOCIMIENTO YA SE ENCONTRABAN TRAMITADAS DOS FACTURAS POR DOS SERVICIOS PARA EL PAGO DE FORMA INDEPENDIENTE, POR LO QUE, CUANDO SALGA LA RESOLUCION DE RECONOCIMIENTO, ESTAREMOS EMITIENDO UNA FACTURA POR 10 SERVICIOS O SEGUN LAS INIDCACIONES DE LOS SERVIDORES DE LA ENTIDAD</t>
        </r>
      </text>
    </comment>
    <comment ref="D163" authorId="1" shapeId="0" xr:uid="{00000000-0006-0000-1000-00001C000000}">
      <text>
        <r>
          <rPr>
            <b/>
            <sz val="9"/>
            <color indexed="81"/>
            <rFont val="Tahoma"/>
            <family val="2"/>
          </rPr>
          <t>user:</t>
        </r>
        <r>
          <rPr>
            <sz val="9"/>
            <color indexed="81"/>
            <rFont val="Tahoma"/>
            <family val="2"/>
          </rPr>
          <t xml:space="preserve">
SE HIZO EL DIA SIGUIENTE</t>
        </r>
      </text>
    </comment>
    <comment ref="D169" authorId="1" shapeId="0" xr:uid="{00000000-0006-0000-1000-00001D000000}">
      <text>
        <r>
          <rPr>
            <b/>
            <sz val="9"/>
            <color indexed="81"/>
            <rFont val="Tahoma"/>
            <family val="2"/>
          </rPr>
          <t>user:</t>
        </r>
        <r>
          <rPr>
            <sz val="9"/>
            <color indexed="81"/>
            <rFont val="Tahoma"/>
            <family val="2"/>
          </rPr>
          <t xml:space="preserve">
RETORNARON EL 09-11-25</t>
        </r>
      </text>
    </comment>
    <comment ref="H179" authorId="1" shapeId="0" xr:uid="{00000000-0006-0000-1000-00001E000000}">
      <text>
        <r>
          <rPr>
            <b/>
            <sz val="9"/>
            <color indexed="81"/>
            <rFont val="Tahoma"/>
            <family val="2"/>
          </rPr>
          <t>user:</t>
        </r>
        <r>
          <rPr>
            <sz val="9"/>
            <color indexed="81"/>
            <rFont val="Tahoma"/>
            <family val="2"/>
          </rPr>
          <t xml:space="preserve">
F001-4675</t>
        </r>
      </text>
    </comment>
    <comment ref="H180" authorId="1" shapeId="0" xr:uid="{00000000-0006-0000-1000-00001F000000}">
      <text>
        <r>
          <rPr>
            <b/>
            <sz val="9"/>
            <color indexed="81"/>
            <rFont val="Tahoma"/>
            <family val="2"/>
          </rPr>
          <t>user:</t>
        </r>
        <r>
          <rPr>
            <sz val="9"/>
            <color indexed="81"/>
            <rFont val="Tahoma"/>
            <family val="2"/>
          </rPr>
          <t xml:space="preserve">
F001-4676</t>
        </r>
      </text>
    </comment>
    <comment ref="B188" authorId="1" shapeId="0" xr:uid="{00000000-0006-0000-1000-000020000000}">
      <text>
        <r>
          <rPr>
            <b/>
            <sz val="9"/>
            <color indexed="81"/>
            <rFont val="Tahoma"/>
            <family val="2"/>
          </rPr>
          <t>user:</t>
        </r>
        <r>
          <rPr>
            <sz val="9"/>
            <color indexed="81"/>
            <rFont val="Tahoma"/>
            <family val="2"/>
          </rPr>
          <t xml:space="preserve">
SALIERON EL 9 PERO EL RETORNO FUE EL DIA 10 EN LA MADRUGADA
</t>
        </r>
      </text>
    </comment>
    <comment ref="V200" authorId="1" shapeId="0" xr:uid="{00000000-0006-0000-1000-000021000000}">
      <text>
        <r>
          <rPr>
            <b/>
            <sz val="9"/>
            <color indexed="81"/>
            <rFont val="Tahoma"/>
            <family val="2"/>
          </rPr>
          <t>user:</t>
        </r>
        <r>
          <rPr>
            <sz val="9"/>
            <color indexed="81"/>
            <rFont val="Tahoma"/>
            <family val="2"/>
          </rPr>
          <t xml:space="preserve">
DIA SIGUIENTE</t>
        </r>
      </text>
    </comment>
    <comment ref="V203" authorId="1" shapeId="0" xr:uid="{00000000-0006-0000-1000-000022000000}">
      <text>
        <r>
          <rPr>
            <b/>
            <sz val="9"/>
            <color indexed="81"/>
            <rFont val="Tahoma"/>
            <family val="2"/>
          </rPr>
          <t>user:</t>
        </r>
        <r>
          <rPr>
            <sz val="9"/>
            <color indexed="81"/>
            <rFont val="Tahoma"/>
            <family val="2"/>
          </rPr>
          <t xml:space="preserve">
DIA SIGUIENTE</t>
        </r>
      </text>
    </comment>
    <comment ref="H205" authorId="1" shapeId="0" xr:uid="{00000000-0006-0000-1000-000023000000}">
      <text>
        <r>
          <rPr>
            <b/>
            <sz val="9"/>
            <color indexed="81"/>
            <rFont val="Tahoma"/>
            <family val="2"/>
          </rPr>
          <t>user:</t>
        </r>
        <r>
          <rPr>
            <sz val="9"/>
            <color indexed="81"/>
            <rFont val="Tahoma"/>
            <family val="2"/>
          </rPr>
          <t xml:space="preserve">
F001-1965
F001-1966</t>
        </r>
      </text>
    </comment>
    <comment ref="H206" authorId="1" shapeId="0" xr:uid="{00000000-0006-0000-1000-000024000000}">
      <text>
        <r>
          <rPr>
            <b/>
            <sz val="9"/>
            <color indexed="81"/>
            <rFont val="Tahoma"/>
            <family val="2"/>
          </rPr>
          <t>user:</t>
        </r>
        <r>
          <rPr>
            <sz val="9"/>
            <color indexed="81"/>
            <rFont val="Tahoma"/>
            <family val="2"/>
          </rPr>
          <t xml:space="preserve">
F001-1985</t>
        </r>
      </text>
    </comment>
    <comment ref="H208" authorId="1" shapeId="0" xr:uid="{00000000-0006-0000-1000-000025000000}">
      <text>
        <r>
          <rPr>
            <b/>
            <sz val="9"/>
            <color indexed="81"/>
            <rFont val="Tahoma"/>
            <family val="2"/>
          </rPr>
          <t>user:</t>
        </r>
        <r>
          <rPr>
            <sz val="9"/>
            <color indexed="81"/>
            <rFont val="Tahoma"/>
            <family val="2"/>
          </rPr>
          <t xml:space="preserve">
F001-2036</t>
        </r>
      </text>
    </comment>
    <comment ref="H209" authorId="1" shapeId="0" xr:uid="{00000000-0006-0000-1000-000026000000}">
      <text>
        <r>
          <rPr>
            <b/>
            <sz val="9"/>
            <color indexed="81"/>
            <rFont val="Tahoma"/>
            <family val="2"/>
          </rPr>
          <t>user:</t>
        </r>
        <r>
          <rPr>
            <sz val="9"/>
            <color indexed="81"/>
            <rFont val="Tahoma"/>
            <family val="2"/>
          </rPr>
          <t xml:space="preserve">
F001-2038</t>
        </r>
      </text>
    </comment>
    <comment ref="H210" authorId="1" shapeId="0" xr:uid="{00000000-0006-0000-1000-000027000000}">
      <text>
        <r>
          <rPr>
            <b/>
            <sz val="9"/>
            <color indexed="81"/>
            <rFont val="Tahoma"/>
            <family val="2"/>
          </rPr>
          <t>user:</t>
        </r>
        <r>
          <rPr>
            <sz val="9"/>
            <color indexed="81"/>
            <rFont val="Tahoma"/>
            <family val="2"/>
          </rPr>
          <t xml:space="preserve">
F001-2041</t>
        </r>
      </text>
    </comment>
    <comment ref="H211" authorId="1" shapeId="0" xr:uid="{00000000-0006-0000-1000-000028000000}">
      <text>
        <r>
          <rPr>
            <b/>
            <sz val="9"/>
            <color indexed="81"/>
            <rFont val="Tahoma"/>
            <family val="2"/>
          </rPr>
          <t>user:</t>
        </r>
        <r>
          <rPr>
            <sz val="9"/>
            <color indexed="81"/>
            <rFont val="Tahoma"/>
            <family val="2"/>
          </rPr>
          <t xml:space="preserve">
F001-2042</t>
        </r>
      </text>
    </comment>
    <comment ref="V211" authorId="1" shapeId="0" xr:uid="{00000000-0006-0000-1000-000029000000}">
      <text>
        <r>
          <rPr>
            <b/>
            <sz val="9"/>
            <color indexed="81"/>
            <rFont val="Tahoma"/>
            <family val="2"/>
          </rPr>
          <t>user:</t>
        </r>
        <r>
          <rPr>
            <sz val="9"/>
            <color indexed="81"/>
            <rFont val="Tahoma"/>
            <family val="2"/>
          </rPr>
          <t xml:space="preserve">
DIA SIGUIENTE</t>
        </r>
      </text>
    </comment>
    <comment ref="H212" authorId="1" shapeId="0" xr:uid="{00000000-0006-0000-1000-00002A000000}">
      <text>
        <r>
          <rPr>
            <b/>
            <sz val="9"/>
            <color indexed="81"/>
            <rFont val="Tahoma"/>
            <family val="2"/>
          </rPr>
          <t>user:</t>
        </r>
        <r>
          <rPr>
            <sz val="9"/>
            <color indexed="81"/>
            <rFont val="Tahoma"/>
            <family val="2"/>
          </rPr>
          <t xml:space="preserve">
F001-2057</t>
        </r>
      </text>
    </comment>
    <comment ref="H213" authorId="1" shapeId="0" xr:uid="{00000000-0006-0000-1000-00002B000000}">
      <text>
        <r>
          <rPr>
            <b/>
            <sz val="9"/>
            <color indexed="81"/>
            <rFont val="Tahoma"/>
            <family val="2"/>
          </rPr>
          <t>user:</t>
        </r>
        <r>
          <rPr>
            <sz val="9"/>
            <color indexed="81"/>
            <rFont val="Tahoma"/>
            <family val="2"/>
          </rPr>
          <t xml:space="preserve">
F001-2058</t>
        </r>
      </text>
    </comment>
    <comment ref="H214" authorId="1" shapeId="0" xr:uid="{00000000-0006-0000-1000-00002C000000}">
      <text>
        <r>
          <rPr>
            <b/>
            <sz val="9"/>
            <color indexed="81"/>
            <rFont val="Tahoma"/>
            <family val="2"/>
          </rPr>
          <t>user:</t>
        </r>
        <r>
          <rPr>
            <sz val="9"/>
            <color indexed="81"/>
            <rFont val="Tahoma"/>
            <family val="2"/>
          </rPr>
          <t xml:space="preserve">
F001-2061</t>
        </r>
      </text>
    </comment>
    <comment ref="H215" authorId="1" shapeId="0" xr:uid="{00000000-0006-0000-1000-00002D000000}">
      <text>
        <r>
          <rPr>
            <b/>
            <sz val="9"/>
            <color indexed="81"/>
            <rFont val="Tahoma"/>
            <family val="2"/>
          </rPr>
          <t>user:</t>
        </r>
        <r>
          <rPr>
            <sz val="9"/>
            <color indexed="81"/>
            <rFont val="Tahoma"/>
            <family val="2"/>
          </rPr>
          <t xml:space="preserve">
F001-2066</t>
        </r>
      </text>
    </comment>
    <comment ref="H216" authorId="1" shapeId="0" xr:uid="{00000000-0006-0000-1000-00002E000000}">
      <text>
        <r>
          <rPr>
            <b/>
            <sz val="9"/>
            <color indexed="81"/>
            <rFont val="Tahoma"/>
            <family val="2"/>
          </rPr>
          <t>user:</t>
        </r>
        <r>
          <rPr>
            <sz val="9"/>
            <color indexed="81"/>
            <rFont val="Tahoma"/>
            <family val="2"/>
          </rPr>
          <t xml:space="preserve">
F001-2068</t>
        </r>
      </text>
    </comment>
    <comment ref="I217" authorId="1" shapeId="0" xr:uid="{00000000-0006-0000-1000-00002F000000}">
      <text>
        <r>
          <rPr>
            <b/>
            <sz val="9"/>
            <color indexed="81"/>
            <rFont val="Tahoma"/>
            <family val="2"/>
          </rPr>
          <t>user:</t>
        </r>
        <r>
          <rPr>
            <sz val="9"/>
            <color indexed="81"/>
            <rFont val="Tahoma"/>
            <family val="2"/>
          </rPr>
          <t xml:space="preserve">
PAGARON CON TODO DETRACCION</t>
        </r>
      </text>
    </comment>
    <comment ref="V217" authorId="1" shapeId="0" xr:uid="{00000000-0006-0000-1000-000030000000}">
      <text>
        <r>
          <rPr>
            <b/>
            <sz val="9"/>
            <color indexed="81"/>
            <rFont val="Tahoma"/>
            <family val="2"/>
          </rPr>
          <t>user:</t>
        </r>
        <r>
          <rPr>
            <sz val="9"/>
            <color indexed="81"/>
            <rFont val="Tahoma"/>
            <family val="2"/>
          </rPr>
          <t xml:space="preserve">
DIA SIGUIENTE
</t>
        </r>
      </text>
    </comment>
    <comment ref="H221" authorId="1" shapeId="0" xr:uid="{00000000-0006-0000-1000-000031000000}">
      <text>
        <r>
          <rPr>
            <b/>
            <sz val="9"/>
            <color indexed="81"/>
            <rFont val="Tahoma"/>
            <family val="2"/>
          </rPr>
          <t>user:</t>
        </r>
        <r>
          <rPr>
            <sz val="9"/>
            <color indexed="81"/>
            <rFont val="Tahoma"/>
            <family val="2"/>
          </rPr>
          <t xml:space="preserve">
F001-2161</t>
        </r>
      </text>
    </comment>
    <comment ref="H222" authorId="1" shapeId="0" xr:uid="{00000000-0006-0000-1000-000032000000}">
      <text>
        <r>
          <rPr>
            <b/>
            <sz val="9"/>
            <color indexed="81"/>
            <rFont val="Tahoma"/>
            <family val="2"/>
          </rPr>
          <t>user:</t>
        </r>
        <r>
          <rPr>
            <sz val="9"/>
            <color indexed="81"/>
            <rFont val="Tahoma"/>
            <family val="2"/>
          </rPr>
          <t xml:space="preserve">
F001-2162</t>
        </r>
      </text>
    </comment>
    <comment ref="V222" authorId="1" shapeId="0" xr:uid="{00000000-0006-0000-1000-000033000000}">
      <text>
        <r>
          <rPr>
            <b/>
            <sz val="9"/>
            <color indexed="81"/>
            <rFont val="Tahoma"/>
            <family val="2"/>
          </rPr>
          <t>user:</t>
        </r>
        <r>
          <rPr>
            <sz val="9"/>
            <color indexed="81"/>
            <rFont val="Tahoma"/>
            <family val="2"/>
          </rPr>
          <t xml:space="preserve">
DIA SIGUIENTE</t>
        </r>
      </text>
    </comment>
    <comment ref="H223" authorId="1" shapeId="0" xr:uid="{00000000-0006-0000-1000-000034000000}">
      <text>
        <r>
          <rPr>
            <b/>
            <sz val="9"/>
            <color indexed="81"/>
            <rFont val="Tahoma"/>
            <family val="2"/>
          </rPr>
          <t>user:</t>
        </r>
        <r>
          <rPr>
            <sz val="9"/>
            <color indexed="81"/>
            <rFont val="Tahoma"/>
            <family val="2"/>
          </rPr>
          <t xml:space="preserve">
F001-2163</t>
        </r>
      </text>
    </comment>
    <comment ref="H224" authorId="1" shapeId="0" xr:uid="{00000000-0006-0000-1000-000035000000}">
      <text>
        <r>
          <rPr>
            <b/>
            <sz val="9"/>
            <color indexed="81"/>
            <rFont val="Tahoma"/>
            <family val="2"/>
          </rPr>
          <t>user:</t>
        </r>
        <r>
          <rPr>
            <sz val="9"/>
            <color indexed="81"/>
            <rFont val="Tahoma"/>
            <family val="2"/>
          </rPr>
          <t xml:space="preserve">
F001-2173</t>
        </r>
      </text>
    </comment>
    <comment ref="H225" authorId="1" shapeId="0" xr:uid="{00000000-0006-0000-1000-000036000000}">
      <text>
        <r>
          <rPr>
            <b/>
            <sz val="9"/>
            <color indexed="81"/>
            <rFont val="Tahoma"/>
            <family val="2"/>
          </rPr>
          <t>user:</t>
        </r>
        <r>
          <rPr>
            <sz val="9"/>
            <color indexed="81"/>
            <rFont val="Tahoma"/>
            <family val="2"/>
          </rPr>
          <t xml:space="preserve">
F001-2174</t>
        </r>
      </text>
    </comment>
    <comment ref="H226" authorId="1" shapeId="0" xr:uid="{00000000-0006-0000-1000-000037000000}">
      <text>
        <r>
          <rPr>
            <b/>
            <sz val="9"/>
            <color indexed="81"/>
            <rFont val="Tahoma"/>
            <family val="2"/>
          </rPr>
          <t>user:</t>
        </r>
        <r>
          <rPr>
            <sz val="9"/>
            <color indexed="81"/>
            <rFont val="Tahoma"/>
            <family val="2"/>
          </rPr>
          <t xml:space="preserve">
F001-2214</t>
        </r>
      </text>
    </comment>
    <comment ref="H227" authorId="1" shapeId="0" xr:uid="{00000000-0006-0000-1000-000038000000}">
      <text>
        <r>
          <rPr>
            <b/>
            <sz val="9"/>
            <color indexed="81"/>
            <rFont val="Tahoma"/>
            <family val="2"/>
          </rPr>
          <t>user:</t>
        </r>
        <r>
          <rPr>
            <sz val="9"/>
            <color indexed="81"/>
            <rFont val="Tahoma"/>
            <family val="2"/>
          </rPr>
          <t xml:space="preserve">
F001-2215</t>
        </r>
      </text>
    </comment>
    <comment ref="V247" authorId="1" shapeId="0" xr:uid="{00000000-0006-0000-1000-000039000000}">
      <text>
        <r>
          <rPr>
            <b/>
            <sz val="9"/>
            <color indexed="81"/>
            <rFont val="Tahoma"/>
            <family val="2"/>
          </rPr>
          <t>user:</t>
        </r>
        <r>
          <rPr>
            <sz val="9"/>
            <color indexed="81"/>
            <rFont val="Tahoma"/>
            <family val="2"/>
          </rPr>
          <t xml:space="preserve">
DIA SIGUIENTE</t>
        </r>
      </text>
    </comment>
    <comment ref="H254" authorId="1" shapeId="0" xr:uid="{00000000-0006-0000-1000-00003A000000}">
      <text>
        <r>
          <rPr>
            <b/>
            <sz val="9"/>
            <color indexed="81"/>
            <rFont val="Tahoma"/>
            <family val="2"/>
          </rPr>
          <t>user:</t>
        </r>
        <r>
          <rPr>
            <sz val="9"/>
            <color indexed="81"/>
            <rFont val="Tahoma"/>
            <family val="2"/>
          </rPr>
          <t xml:space="preserve">
la pagaron completa, le pedí a Jenny el día 15-10 que haga el pago d ela detracción</t>
        </r>
      </text>
    </comment>
    <comment ref="V258" authorId="1" shapeId="0" xr:uid="{00000000-0006-0000-1000-00003B000000}">
      <text>
        <r>
          <rPr>
            <b/>
            <sz val="9"/>
            <color indexed="81"/>
            <rFont val="Tahoma"/>
            <family val="2"/>
          </rPr>
          <t>user:</t>
        </r>
        <r>
          <rPr>
            <sz val="9"/>
            <color indexed="81"/>
            <rFont val="Tahoma"/>
            <family val="2"/>
          </rPr>
          <t xml:space="preserve">
DIA SIGUIENTE</t>
        </r>
      </text>
    </comment>
    <comment ref="V259" authorId="1" shapeId="0" xr:uid="{00000000-0006-0000-1000-00003C000000}">
      <text>
        <r>
          <rPr>
            <b/>
            <sz val="9"/>
            <color indexed="81"/>
            <rFont val="Tahoma"/>
            <family val="2"/>
          </rPr>
          <t>user:</t>
        </r>
        <r>
          <rPr>
            <sz val="9"/>
            <color indexed="81"/>
            <rFont val="Tahoma"/>
            <family val="2"/>
          </rPr>
          <t xml:space="preserve">
DIA SIGUIENTE</t>
        </r>
      </text>
    </comment>
    <comment ref="L263" authorId="1" shapeId="0" xr:uid="{00000000-0006-0000-1000-00003D000000}">
      <text>
        <r>
          <rPr>
            <b/>
            <sz val="9"/>
            <color indexed="81"/>
            <rFont val="Tahoma"/>
            <family val="2"/>
          </rPr>
          <t>user:</t>
        </r>
        <r>
          <rPr>
            <sz val="9"/>
            <color indexed="81"/>
            <rFont val="Tahoma"/>
            <family val="2"/>
          </rPr>
          <t xml:space="preserve">
20 de setiembre salió de Lima OLVA</t>
        </r>
      </text>
    </comment>
    <comment ref="V280" authorId="2" shapeId="0" xr:uid="{00000000-0006-0000-1000-00003E000000}">
      <text>
        <r>
          <rPr>
            <b/>
            <sz val="9"/>
            <color indexed="81"/>
            <rFont val="Tahoma"/>
            <family val="2"/>
          </rPr>
          <t>Sonia:</t>
        </r>
        <r>
          <rPr>
            <sz val="9"/>
            <color indexed="81"/>
            <rFont val="Tahoma"/>
            <family val="2"/>
          </rPr>
          <t xml:space="preserve">
DIA SIGUIENTE</t>
        </r>
      </text>
    </comment>
    <comment ref="H283" authorId="1" shapeId="0" xr:uid="{00000000-0006-0000-1000-00003F000000}">
      <text>
        <r>
          <rPr>
            <b/>
            <sz val="9"/>
            <color indexed="81"/>
            <rFont val="Tahoma"/>
            <family val="2"/>
          </rPr>
          <t>user:</t>
        </r>
        <r>
          <rPr>
            <sz val="9"/>
            <color indexed="81"/>
            <rFont val="Tahoma"/>
            <family val="2"/>
          </rPr>
          <t xml:space="preserve">
F001-3461</t>
        </r>
      </text>
    </comment>
    <comment ref="V289" authorId="1" shapeId="0" xr:uid="{00000000-0006-0000-1000-000040000000}">
      <text>
        <r>
          <rPr>
            <b/>
            <sz val="9"/>
            <color indexed="81"/>
            <rFont val="Tahoma"/>
            <family val="2"/>
          </rPr>
          <t>user:</t>
        </r>
        <r>
          <rPr>
            <sz val="9"/>
            <color indexed="81"/>
            <rFont val="Tahoma"/>
            <family val="2"/>
          </rPr>
          <t xml:space="preserve">
DIA SIGUIE
NTE</t>
        </r>
      </text>
    </comment>
    <comment ref="V291" authorId="1" shapeId="0" xr:uid="{00000000-0006-0000-1000-000041000000}">
      <text>
        <r>
          <rPr>
            <b/>
            <sz val="9"/>
            <color indexed="81"/>
            <rFont val="Tahoma"/>
            <family val="2"/>
          </rPr>
          <t>user:</t>
        </r>
        <r>
          <rPr>
            <sz val="9"/>
            <color indexed="81"/>
            <rFont val="Tahoma"/>
            <family val="2"/>
          </rPr>
          <t xml:space="preserve">
DIA SIGUIENTE
</t>
        </r>
      </text>
    </comment>
    <comment ref="B301" authorId="2" shapeId="0" xr:uid="{64C737BA-537B-41E0-ADD5-204A00AFE76A}">
      <text>
        <r>
          <rPr>
            <b/>
            <sz val="9"/>
            <color indexed="81"/>
            <rFont val="Tahoma"/>
            <family val="2"/>
          </rPr>
          <t>Sonia:</t>
        </r>
        <r>
          <rPr>
            <sz val="9"/>
            <color indexed="81"/>
            <rFont val="Tahoma"/>
            <family val="2"/>
          </rPr>
          <t xml:space="preserve">
PRIMER SERVICIO CONTRATO 2026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Sonia Diaz</author>
  </authors>
  <commentList>
    <comment ref="K20" authorId="0" shapeId="0" xr:uid="{00000000-0006-0000-1200-000001000000}">
      <text>
        <r>
          <rPr>
            <b/>
            <sz val="9"/>
            <color indexed="81"/>
            <rFont val="Tahoma"/>
            <family val="2"/>
          </rPr>
          <t>Sonia Diaz:</t>
        </r>
        <r>
          <rPr>
            <sz val="9"/>
            <color indexed="81"/>
            <rFont val="Tahoma"/>
            <family val="2"/>
          </rPr>
          <t xml:space="preserve">
SALDO SIN EJECUTAR AL 25/04/2022</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user</author>
    <author>LENOVO</author>
    <author>Admin</author>
    <author>Sonia Diaz</author>
  </authors>
  <commentList>
    <comment ref="K6" authorId="0" shapeId="0" xr:uid="{00000000-0006-0000-1300-000001000000}">
      <text>
        <r>
          <rPr>
            <b/>
            <sz val="9"/>
            <color indexed="81"/>
            <rFont val="Tahoma"/>
            <family val="2"/>
          </rPr>
          <t>user:</t>
        </r>
        <r>
          <rPr>
            <sz val="9"/>
            <color indexed="81"/>
            <rFont val="Tahoma"/>
            <family val="2"/>
          </rPr>
          <t xml:space="preserve">
SOLICITUD DE CONCILIACIÓN - NO PAGADA POR MEDICO DE REFERENCIAS NO SELLÓ Y SE RETIRÓ - PACIENTE ERA DE MINSA</t>
        </r>
      </text>
    </comment>
    <comment ref="M13" authorId="1" shapeId="0" xr:uid="{00000000-0006-0000-1300-000002000000}">
      <text>
        <r>
          <rPr>
            <b/>
            <sz val="9"/>
            <color indexed="81"/>
            <rFont val="Tahoma"/>
            <family val="2"/>
          </rPr>
          <t>LENOVO:</t>
        </r>
        <r>
          <rPr>
            <sz val="9"/>
            <color indexed="81"/>
            <rFont val="Tahoma"/>
            <family val="2"/>
          </rPr>
          <t xml:space="preserve">
OP 40382</t>
        </r>
      </text>
    </comment>
    <comment ref="I17" authorId="2" shapeId="0" xr:uid="{00000000-0006-0000-1300-000003000000}">
      <text>
        <r>
          <rPr>
            <b/>
            <sz val="9"/>
            <color indexed="81"/>
            <rFont val="Tahoma"/>
            <family val="2"/>
          </rPr>
          <t>Admin:</t>
        </r>
        <r>
          <rPr>
            <sz val="9"/>
            <color indexed="81"/>
            <rFont val="Tahoma"/>
            <family val="2"/>
          </rPr>
          <t xml:space="preserve">
17/10 ENVIADA SE APLICO PAGO(ENTIDSAD PIDE DEVOLUCION REFIERE PAGO DUPLICADO</t>
        </r>
      </text>
    </comment>
    <comment ref="I18" authorId="2" shapeId="0" xr:uid="{00000000-0006-0000-1300-000004000000}">
      <text>
        <r>
          <rPr>
            <b/>
            <sz val="9"/>
            <color indexed="81"/>
            <rFont val="Tahoma"/>
            <family val="2"/>
          </rPr>
          <t>Admin:</t>
        </r>
        <r>
          <rPr>
            <sz val="9"/>
            <color indexed="81"/>
            <rFont val="Tahoma"/>
            <family val="2"/>
          </rPr>
          <t xml:space="preserve">
17/10 ENVIADA SE APLICO PAGO(ENTIDAD PIDE DEVOLUCION REFIERE PAGO DUPLICADO</t>
        </r>
      </text>
    </comment>
    <comment ref="H28" authorId="0" shapeId="0" xr:uid="{00000000-0006-0000-1300-000005000000}">
      <text>
        <r>
          <rPr>
            <b/>
            <sz val="9"/>
            <color indexed="81"/>
            <rFont val="Tahoma"/>
            <family val="2"/>
          </rPr>
          <t>user:</t>
        </r>
        <r>
          <rPr>
            <sz val="9"/>
            <color indexed="81"/>
            <rFont val="Tahoma"/>
            <family val="2"/>
          </rPr>
          <t xml:space="preserve">
F001-4207</t>
        </r>
      </text>
    </comment>
    <comment ref="D33" authorId="0" shapeId="0" xr:uid="{00000000-0006-0000-1300-000006000000}">
      <text>
        <r>
          <rPr>
            <b/>
            <sz val="9"/>
            <color indexed="81"/>
            <rFont val="Tahoma"/>
            <family val="2"/>
          </rPr>
          <t>user:</t>
        </r>
        <r>
          <rPr>
            <sz val="9"/>
            <color indexed="81"/>
            <rFont val="Tahoma"/>
            <family val="2"/>
          </rPr>
          <t xml:space="preserve">
NO SE TRAJO AL PACIENTE - NO TENIA CAMA UCI</t>
        </r>
      </text>
    </comment>
    <comment ref="V47" authorId="0" shapeId="0" xr:uid="{00000000-0006-0000-1300-000007000000}">
      <text>
        <r>
          <rPr>
            <b/>
            <sz val="9"/>
            <color indexed="81"/>
            <rFont val="Tahoma"/>
            <family val="2"/>
          </rPr>
          <t>user:</t>
        </r>
        <r>
          <rPr>
            <sz val="9"/>
            <color indexed="81"/>
            <rFont val="Tahoma"/>
            <family val="2"/>
          </rPr>
          <t xml:space="preserve">
DIA SIGUIENTE</t>
        </r>
      </text>
    </comment>
    <comment ref="M65" authorId="3" shapeId="0" xr:uid="{00000000-0006-0000-1300-000008000000}">
      <text>
        <r>
          <rPr>
            <b/>
            <sz val="9"/>
            <color indexed="81"/>
            <rFont val="Tahoma"/>
            <family val="2"/>
          </rPr>
          <t>Sonia Diaz:</t>
        </r>
        <r>
          <rPr>
            <sz val="9"/>
            <color indexed="81"/>
            <rFont val="Tahoma"/>
            <family val="2"/>
          </rPr>
          <t xml:space="preserve">
MONTO DEL CONTRATO</t>
        </r>
      </text>
    </comment>
    <comment ref="N65" authorId="0" shapeId="0" xr:uid="{00000000-0006-0000-1300-000009000000}">
      <text>
        <r>
          <rPr>
            <b/>
            <sz val="9"/>
            <color indexed="81"/>
            <rFont val="Tahoma"/>
            <family val="2"/>
          </rPr>
          <t>user:</t>
        </r>
        <r>
          <rPr>
            <sz val="9"/>
            <color indexed="81"/>
            <rFont val="Tahoma"/>
            <family val="2"/>
          </rPr>
          <t xml:space="preserve">
+ 25% ADICIONAL</t>
        </r>
      </text>
    </comment>
    <comment ref="M70" authorId="2" shapeId="0" xr:uid="{00000000-0006-0000-1300-00000A000000}">
      <text>
        <r>
          <rPr>
            <b/>
            <sz val="9"/>
            <color indexed="81"/>
            <rFont val="Tahoma"/>
            <family val="2"/>
          </rPr>
          <t>Admin:</t>
        </r>
        <r>
          <rPr>
            <sz val="9"/>
            <color indexed="81"/>
            <rFont val="Tahoma"/>
            <family val="2"/>
          </rPr>
          <t xml:space="preserve">
X EJECUTAR</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Sonia Diaz</author>
    <author>LENOVO</author>
  </authors>
  <commentList>
    <comment ref="J9" authorId="0" shapeId="0" xr:uid="{00000000-0006-0000-1400-000001000000}">
      <text>
        <r>
          <rPr>
            <b/>
            <sz val="9"/>
            <color indexed="81"/>
            <rFont val="Tahoma"/>
            <family val="2"/>
          </rPr>
          <t>Sonia Diaz:</t>
        </r>
        <r>
          <rPr>
            <sz val="9"/>
            <color indexed="81"/>
            <rFont val="Tahoma"/>
            <family val="2"/>
          </rPr>
          <t xml:space="preserve">
37500 DEBERIA SER, SE APLICARA  AVUELOS REGIONALES LA DIFERENCIA</t>
        </r>
      </text>
    </comment>
    <comment ref="C10" authorId="0" shapeId="0" xr:uid="{00000000-0006-0000-1400-000002000000}">
      <text>
        <r>
          <rPr>
            <b/>
            <sz val="9"/>
            <color indexed="81"/>
            <rFont val="Tahoma"/>
            <family val="2"/>
          </rPr>
          <t>Sonia Diaz:</t>
        </r>
        <r>
          <rPr>
            <sz val="9"/>
            <color indexed="81"/>
            <rFont val="Tahoma"/>
            <family val="2"/>
          </rPr>
          <t xml:space="preserve">
SE REFACTURÓ  SOLICITUD DE ENTIDAD. A CONSECUENCIA DE FISCALIZACION SUNAT SE TUVO QUE FACTURAR CON IGV, EL IMPORTE TOTAL CONTINUA SIENDO EL MISMO</t>
        </r>
      </text>
    </comment>
    <comment ref="C15" authorId="0" shapeId="0" xr:uid="{00000000-0006-0000-1400-000003000000}">
      <text>
        <r>
          <rPr>
            <b/>
            <sz val="9"/>
            <color indexed="81"/>
            <rFont val="Tahoma"/>
            <family val="2"/>
          </rPr>
          <t>Sonia Diaz:</t>
        </r>
        <r>
          <rPr>
            <sz val="9"/>
            <color indexed="81"/>
            <rFont val="Tahoma"/>
            <family val="2"/>
          </rPr>
          <t xml:space="preserve">
SE REFACTURÓ  SOLICITUD DE ENTIDAD. A CONSECUENCIA DE FISCALIZACION SUNAT SE TUVO QUE FACTURAR CON IGV, EL IMPORTE TOTAL CONTINUA SIENDO EL MISMO</t>
        </r>
      </text>
    </comment>
    <comment ref="C16" authorId="0" shapeId="0" xr:uid="{00000000-0006-0000-1400-000004000000}">
      <text>
        <r>
          <rPr>
            <b/>
            <sz val="9"/>
            <color indexed="81"/>
            <rFont val="Tahoma"/>
            <family val="2"/>
          </rPr>
          <t>Sonia Diaz:</t>
        </r>
        <r>
          <rPr>
            <sz val="9"/>
            <color indexed="81"/>
            <rFont val="Tahoma"/>
            <family val="2"/>
          </rPr>
          <t xml:space="preserve">
SE REFACTURÓ  SOLICITUD DE ENTIDAD. A CONSECUENCIA DE FISCALIZACION SUNAT SE TUVO QUE FACTURAR CON IGV, EL IMPORTE TOTAL CONTINUA SIENDO EL MISMO</t>
        </r>
      </text>
    </comment>
    <comment ref="C17" authorId="0" shapeId="0" xr:uid="{00000000-0006-0000-1400-000005000000}">
      <text>
        <r>
          <rPr>
            <b/>
            <sz val="9"/>
            <color indexed="81"/>
            <rFont val="Tahoma"/>
            <family val="2"/>
          </rPr>
          <t>Sonia Diaz:</t>
        </r>
        <r>
          <rPr>
            <sz val="9"/>
            <color indexed="81"/>
            <rFont val="Tahoma"/>
            <family val="2"/>
          </rPr>
          <t xml:space="preserve">
SE REFACTURÓ  SOLICITUD DE ENTIDAD. A CONSECUENCIA DE FISCALIZACION SUNAT SE TUVO QUE FACTURAR CON IGV, EL IMPORTE TOTAL CONTINUA SIENDO EL MISMO</t>
        </r>
      </text>
    </comment>
    <comment ref="L23" authorId="1" shapeId="0" xr:uid="{00000000-0006-0000-1400-000006000000}">
      <text>
        <r>
          <rPr>
            <b/>
            <sz val="9"/>
            <color indexed="81"/>
            <rFont val="Tahoma"/>
            <family val="2"/>
          </rPr>
          <t>LENOVO:</t>
        </r>
        <r>
          <rPr>
            <sz val="9"/>
            <color indexed="81"/>
            <rFont val="Tahoma"/>
            <family val="2"/>
          </rPr>
          <t xml:space="preserve">
06/10</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LENOVO</author>
    <author>Sonia Diaz</author>
    <author>user</author>
    <author>Admin</author>
    <author>Sonia</author>
  </authors>
  <commentList>
    <comment ref="C6" authorId="0" shapeId="0" xr:uid="{00000000-0006-0000-1500-000001000000}">
      <text>
        <r>
          <rPr>
            <b/>
            <sz val="9"/>
            <color indexed="81"/>
            <rFont val="Tahoma"/>
            <family val="2"/>
          </rPr>
          <t>LENOVO:</t>
        </r>
        <r>
          <rPr>
            <sz val="9"/>
            <color indexed="81"/>
            <rFont val="Tahoma"/>
            <family val="2"/>
          </rPr>
          <t xml:space="preserve">
PERNOCTO EN LIMA</t>
        </r>
      </text>
    </comment>
    <comment ref="C8" authorId="0" shapeId="0" xr:uid="{00000000-0006-0000-1500-000002000000}">
      <text>
        <r>
          <rPr>
            <b/>
            <sz val="9"/>
            <color indexed="81"/>
            <rFont val="Tahoma"/>
            <family val="2"/>
          </rPr>
          <t>LENOVO:</t>
        </r>
        <r>
          <rPr>
            <sz val="9"/>
            <color indexed="81"/>
            <rFont val="Tahoma"/>
            <family val="2"/>
          </rPr>
          <t xml:space="preserve">
PERNOCTO HSTA EL DIA SIGUIENTE</t>
        </r>
      </text>
    </comment>
    <comment ref="C14" authorId="0" shapeId="0" xr:uid="{00000000-0006-0000-1500-000003000000}">
      <text>
        <r>
          <rPr>
            <b/>
            <sz val="9"/>
            <color indexed="81"/>
            <rFont val="Tahoma"/>
            <family val="2"/>
          </rPr>
          <t>LENOVO:</t>
        </r>
        <r>
          <rPr>
            <sz val="9"/>
            <color indexed="81"/>
            <rFont val="Tahoma"/>
            <family val="2"/>
          </rPr>
          <t xml:space="preserve">
PERNOCTE HASTA EL DIA SIGUIENTE</t>
        </r>
      </text>
    </comment>
    <comment ref="C15" authorId="0" shapeId="0" xr:uid="{00000000-0006-0000-1500-000004000000}">
      <text>
        <r>
          <rPr>
            <b/>
            <sz val="9"/>
            <color indexed="81"/>
            <rFont val="Tahoma"/>
            <family val="2"/>
          </rPr>
          <t>LENOVO:</t>
        </r>
        <r>
          <rPr>
            <sz val="9"/>
            <color indexed="81"/>
            <rFont val="Tahoma"/>
            <family val="2"/>
          </rPr>
          <t xml:space="preserve">
PERNOCTE HASTA EL DIA SIGUIENTE</t>
        </r>
      </text>
    </comment>
    <comment ref="C30" authorId="1" shapeId="0" xr:uid="{00000000-0006-0000-1500-000005000000}">
      <text>
        <r>
          <rPr>
            <b/>
            <sz val="9"/>
            <color indexed="81"/>
            <rFont val="Tahoma"/>
            <family val="2"/>
          </rPr>
          <t>Sonia Diaz:</t>
        </r>
        <r>
          <rPr>
            <sz val="9"/>
            <color indexed="81"/>
            <rFont val="Tahoma"/>
            <family val="2"/>
          </rPr>
          <t xml:space="preserve">
PERNOCTO HASTA EL DIA SIGUIENTE</t>
        </r>
      </text>
    </comment>
    <comment ref="C31" authorId="1" shapeId="0" xr:uid="{00000000-0006-0000-1500-000006000000}">
      <text>
        <r>
          <rPr>
            <b/>
            <sz val="9"/>
            <color indexed="81"/>
            <rFont val="Tahoma"/>
            <family val="2"/>
          </rPr>
          <t>Sonia Diaz:</t>
        </r>
        <r>
          <rPr>
            <sz val="9"/>
            <color indexed="81"/>
            <rFont val="Tahoma"/>
            <family val="2"/>
          </rPr>
          <t xml:space="preserve">
PERNOCTE</t>
        </r>
      </text>
    </comment>
    <comment ref="C51" authorId="2" shapeId="0" xr:uid="{00000000-0006-0000-1500-000007000000}">
      <text>
        <r>
          <rPr>
            <b/>
            <sz val="9"/>
            <color indexed="81"/>
            <rFont val="Tahoma"/>
            <family val="2"/>
          </rPr>
          <t>user:</t>
        </r>
        <r>
          <rPr>
            <sz val="9"/>
            <color indexed="81"/>
            <rFont val="Tahoma"/>
            <family val="2"/>
          </rPr>
          <t xml:space="preserve">
PERNOCTÓ HASTA EL DIA SIGUIENTE</t>
        </r>
      </text>
    </comment>
    <comment ref="D65" authorId="0" shapeId="0" xr:uid="{00000000-0006-0000-1500-000008000000}">
      <text>
        <r>
          <rPr>
            <b/>
            <sz val="9"/>
            <color indexed="81"/>
            <rFont val="Tahoma"/>
            <family val="2"/>
          </rPr>
          <t>LENOVO:</t>
        </r>
        <r>
          <rPr>
            <sz val="9"/>
            <color indexed="81"/>
            <rFont val="Tahoma"/>
            <family val="2"/>
          </rPr>
          <t xml:space="preserve">
PERNOCTO Y VOLVIO SIN PACIENTE</t>
        </r>
      </text>
    </comment>
    <comment ref="F65" authorId="0" shapeId="0" xr:uid="{00000000-0006-0000-1500-000009000000}">
      <text>
        <r>
          <rPr>
            <b/>
            <sz val="9"/>
            <color indexed="81"/>
            <rFont val="Tahoma"/>
            <family val="2"/>
          </rPr>
          <t>LENOVO:</t>
        </r>
        <r>
          <rPr>
            <sz val="9"/>
            <color indexed="81"/>
            <rFont val="Tahoma"/>
            <family val="2"/>
          </rPr>
          <t xml:space="preserve">
LA RUTA FUE PARA TRUJILLO PERO NO SE HIZO EL SERVICIO
MEDEVAC PERNOCTÓ Y NO SE TRASLADÓ PROGRAM. P TRUJILLO</t>
        </r>
      </text>
    </comment>
    <comment ref="V65" authorId="0" shapeId="0" xr:uid="{00000000-0006-0000-1500-00000A000000}">
      <text>
        <r>
          <rPr>
            <b/>
            <sz val="9"/>
            <color indexed="81"/>
            <rFont val="Tahoma"/>
            <family val="2"/>
          </rPr>
          <t>LENOVO:</t>
        </r>
        <r>
          <rPr>
            <sz val="9"/>
            <color indexed="81"/>
            <rFont val="Tahoma"/>
            <family val="2"/>
          </rPr>
          <t xml:space="preserve">
DIA SIGUIENTE</t>
        </r>
      </text>
    </comment>
    <comment ref="U68" authorId="0" shapeId="0" xr:uid="{00000000-0006-0000-1500-00000B000000}">
      <text>
        <r>
          <rPr>
            <b/>
            <sz val="9"/>
            <color indexed="81"/>
            <rFont val="Tahoma"/>
            <family val="2"/>
          </rPr>
          <t>LENOVO:</t>
        </r>
        <r>
          <rPr>
            <sz val="9"/>
            <color indexed="81"/>
            <rFont val="Tahoma"/>
            <family val="2"/>
          </rPr>
          <t xml:space="preserve">
DIAA SIGUIENTE</t>
        </r>
      </text>
    </comment>
    <comment ref="U69" authorId="0" shapeId="0" xr:uid="{00000000-0006-0000-1500-00000C000000}">
      <text>
        <r>
          <rPr>
            <b/>
            <sz val="9"/>
            <color indexed="81"/>
            <rFont val="Tahoma"/>
            <family val="2"/>
          </rPr>
          <t>LENOVO:</t>
        </r>
        <r>
          <rPr>
            <sz val="9"/>
            <color indexed="81"/>
            <rFont val="Tahoma"/>
            <family val="2"/>
          </rPr>
          <t xml:space="preserve">
DIA SIGUIENTE</t>
        </r>
      </text>
    </comment>
    <comment ref="C70" authorId="0" shapeId="0" xr:uid="{00000000-0006-0000-1500-00000D000000}">
      <text>
        <r>
          <rPr>
            <b/>
            <sz val="9"/>
            <color indexed="81"/>
            <rFont val="Tahoma"/>
            <family val="2"/>
          </rPr>
          <t>LENOVO:</t>
        </r>
        <r>
          <rPr>
            <sz val="9"/>
            <color indexed="81"/>
            <rFont val="Tahoma"/>
            <family val="2"/>
          </rPr>
          <t xml:space="preserve">
OERNOCTE HASTA EL DIA SIGUIENTE</t>
        </r>
      </text>
    </comment>
    <comment ref="H70" authorId="3" shapeId="0" xr:uid="{00000000-0006-0000-1500-00000E000000}">
      <text>
        <r>
          <rPr>
            <b/>
            <sz val="9"/>
            <color indexed="81"/>
            <rFont val="Tahoma"/>
            <family val="2"/>
          </rPr>
          <t>Admin:</t>
        </r>
        <r>
          <rPr>
            <sz val="9"/>
            <color indexed="81"/>
            <rFont val="Tahoma"/>
            <family val="2"/>
          </rPr>
          <t xml:space="preserve">
TENIA FACTURA 10414POR 4 SERVICIOS S/ 139119.70, PERO POSTERIORMENTE SE SEPARÓ EN TRES SERV ICIOS FACTURA 1090 Y 01 SERVICIO FACTURA 1091 DEBIDO A QUE LA PACIENTE DEL DIA 10-10-2022 TIENE DOS SERVICIOS
</t>
        </r>
      </text>
    </comment>
    <comment ref="U72" authorId="0" shapeId="0" xr:uid="{00000000-0006-0000-1500-00000F000000}">
      <text>
        <r>
          <rPr>
            <b/>
            <sz val="9"/>
            <color indexed="81"/>
            <rFont val="Tahoma"/>
            <family val="2"/>
          </rPr>
          <t>LENOVO:</t>
        </r>
        <r>
          <rPr>
            <sz val="9"/>
            <color indexed="81"/>
            <rFont val="Tahoma"/>
            <family val="2"/>
          </rPr>
          <t xml:space="preserve">
ESTE MISMO VUELO FUE A CHACHAPOYAS</t>
        </r>
      </text>
    </comment>
    <comment ref="U75" authorId="1" shapeId="0" xr:uid="{00000000-0006-0000-1500-000010000000}">
      <text>
        <r>
          <rPr>
            <b/>
            <sz val="9"/>
            <color indexed="81"/>
            <rFont val="Tahoma"/>
            <family val="2"/>
          </rPr>
          <t>Sonia Diaz:</t>
        </r>
        <r>
          <rPr>
            <sz val="9"/>
            <color indexed="81"/>
            <rFont val="Tahoma"/>
            <family val="2"/>
          </rPr>
          <t xml:space="preserve">
DEL DIA SIGUIENTE</t>
        </r>
      </text>
    </comment>
    <comment ref="U78" authorId="1" shapeId="0" xr:uid="{00000000-0006-0000-1500-000011000000}">
      <text>
        <r>
          <rPr>
            <b/>
            <sz val="9"/>
            <color indexed="81"/>
            <rFont val="Tahoma"/>
            <family val="2"/>
          </rPr>
          <t>Sonia Diaz:</t>
        </r>
        <r>
          <rPr>
            <sz val="9"/>
            <color indexed="81"/>
            <rFont val="Tahoma"/>
            <family val="2"/>
          </rPr>
          <t xml:space="preserve">
DIA SIGUIENTE</t>
        </r>
      </text>
    </comment>
    <comment ref="F82" authorId="1" shapeId="0" xr:uid="{00000000-0006-0000-1500-000012000000}">
      <text>
        <r>
          <rPr>
            <b/>
            <sz val="9"/>
            <color indexed="81"/>
            <rFont val="Tahoma"/>
            <family val="2"/>
          </rPr>
          <t>Sonia Diaz:</t>
        </r>
        <r>
          <rPr>
            <sz val="9"/>
            <color indexed="81"/>
            <rFont val="Tahoma"/>
            <family val="2"/>
          </rPr>
          <t xml:space="preserve">
SE PRESTÓ EL SERVICIO (COMPLETAMENTE LA DISPONIBILIDAD ANTE LA ENTIDAD), SIN EMBARGO EL PACIENTE NO FUE TRASLADADO POR MOTIVO DE SU CONDICIÓN DE SALUD, PACIENTE NO TENIA ACEPTACIÓN DE NINGUN HOSPITAL</t>
        </r>
      </text>
    </comment>
    <comment ref="H89" authorId="2" shapeId="0" xr:uid="{00000000-0006-0000-1500-000013000000}">
      <text>
        <r>
          <rPr>
            <b/>
            <sz val="9"/>
            <color indexed="81"/>
            <rFont val="Tahoma"/>
            <family val="2"/>
          </rPr>
          <t>user:</t>
        </r>
        <r>
          <rPr>
            <sz val="9"/>
            <color indexed="81"/>
            <rFont val="Tahoma"/>
            <family val="2"/>
          </rPr>
          <t xml:space="preserve">
F001-1742</t>
        </r>
      </text>
    </comment>
    <comment ref="H90" authorId="2" shapeId="0" xr:uid="{00000000-0006-0000-1500-000014000000}">
      <text>
        <r>
          <rPr>
            <b/>
            <sz val="9"/>
            <color indexed="81"/>
            <rFont val="Tahoma"/>
            <family val="2"/>
          </rPr>
          <t>user:</t>
        </r>
        <r>
          <rPr>
            <sz val="9"/>
            <color indexed="81"/>
            <rFont val="Tahoma"/>
            <family val="2"/>
          </rPr>
          <t xml:space="preserve">
TENIA F001-1741</t>
        </r>
      </text>
    </comment>
    <comment ref="H91" authorId="2" shapeId="0" xr:uid="{00000000-0006-0000-1500-000015000000}">
      <text>
        <r>
          <rPr>
            <b/>
            <sz val="9"/>
            <color indexed="81"/>
            <rFont val="Tahoma"/>
            <family val="2"/>
          </rPr>
          <t>user:</t>
        </r>
        <r>
          <rPr>
            <sz val="9"/>
            <color indexed="81"/>
            <rFont val="Tahoma"/>
            <family val="2"/>
          </rPr>
          <t xml:space="preserve">
TENIA F001-1740</t>
        </r>
      </text>
    </comment>
    <comment ref="U91" authorId="1" shapeId="0" xr:uid="{00000000-0006-0000-1500-000016000000}">
      <text>
        <r>
          <rPr>
            <b/>
            <sz val="9"/>
            <color indexed="81"/>
            <rFont val="Tahoma"/>
            <family val="2"/>
          </rPr>
          <t>Sonia Diaz:</t>
        </r>
        <r>
          <rPr>
            <sz val="9"/>
            <color indexed="81"/>
            <rFont val="Tahoma"/>
            <family val="2"/>
          </rPr>
          <t xml:space="preserve">
PERNOCTE TRUJILLO</t>
        </r>
      </text>
    </comment>
    <comment ref="H92" authorId="2" shapeId="0" xr:uid="{00000000-0006-0000-1500-000017000000}">
      <text>
        <r>
          <rPr>
            <b/>
            <sz val="9"/>
            <color indexed="81"/>
            <rFont val="Tahoma"/>
            <family val="2"/>
          </rPr>
          <t>user:</t>
        </r>
        <r>
          <rPr>
            <sz val="9"/>
            <color indexed="81"/>
            <rFont val="Tahoma"/>
            <family val="2"/>
          </rPr>
          <t xml:space="preserve">
TENIA F001-1743</t>
        </r>
      </text>
    </comment>
    <comment ref="U92" authorId="1" shapeId="0" xr:uid="{00000000-0006-0000-1500-000018000000}">
      <text>
        <r>
          <rPr>
            <b/>
            <sz val="9"/>
            <color indexed="81"/>
            <rFont val="Tahoma"/>
            <family val="2"/>
          </rPr>
          <t>Sonia Diaz:</t>
        </r>
        <r>
          <rPr>
            <sz val="9"/>
            <color indexed="81"/>
            <rFont val="Tahoma"/>
            <family val="2"/>
          </rPr>
          <t xml:space="preserve">
DIA SIGUIENTE
</t>
        </r>
      </text>
    </comment>
    <comment ref="H93" authorId="2" shapeId="0" xr:uid="{00000000-0006-0000-1500-000019000000}">
      <text>
        <r>
          <rPr>
            <b/>
            <sz val="9"/>
            <color indexed="81"/>
            <rFont val="Tahoma"/>
            <family val="2"/>
          </rPr>
          <t>user:</t>
        </r>
        <r>
          <rPr>
            <sz val="9"/>
            <color indexed="81"/>
            <rFont val="Tahoma"/>
            <family val="2"/>
          </rPr>
          <t xml:space="preserve">
TENIA F001-1738</t>
        </r>
      </text>
    </comment>
    <comment ref="H94" authorId="2" shapeId="0" xr:uid="{00000000-0006-0000-1500-00001A000000}">
      <text>
        <r>
          <rPr>
            <b/>
            <sz val="9"/>
            <color indexed="81"/>
            <rFont val="Tahoma"/>
            <family val="2"/>
          </rPr>
          <t>user:</t>
        </r>
        <r>
          <rPr>
            <sz val="9"/>
            <color indexed="81"/>
            <rFont val="Tahoma"/>
            <family val="2"/>
          </rPr>
          <t xml:space="preserve">
TENIA F001-1737</t>
        </r>
      </text>
    </comment>
    <comment ref="H95" authorId="2" shapeId="0" xr:uid="{00000000-0006-0000-1500-00001B000000}">
      <text>
        <r>
          <rPr>
            <b/>
            <sz val="9"/>
            <color indexed="81"/>
            <rFont val="Tahoma"/>
            <family val="2"/>
          </rPr>
          <t>user:</t>
        </r>
        <r>
          <rPr>
            <sz val="9"/>
            <color indexed="81"/>
            <rFont val="Tahoma"/>
            <family val="2"/>
          </rPr>
          <t xml:space="preserve">
TENIA F001-1736</t>
        </r>
      </text>
    </comment>
    <comment ref="H97" authorId="2" shapeId="0" xr:uid="{00000000-0006-0000-1500-00001C000000}">
      <text>
        <r>
          <rPr>
            <b/>
            <sz val="9"/>
            <color indexed="81"/>
            <rFont val="Tahoma"/>
            <family val="2"/>
          </rPr>
          <t>user:</t>
        </r>
        <r>
          <rPr>
            <sz val="9"/>
            <color indexed="81"/>
            <rFont val="Tahoma"/>
            <family val="2"/>
          </rPr>
          <t xml:space="preserve">
F001-1734</t>
        </r>
      </text>
    </comment>
    <comment ref="H102" authorId="2" shapeId="0" xr:uid="{00000000-0006-0000-1500-00001D000000}">
      <text>
        <r>
          <rPr>
            <b/>
            <sz val="9"/>
            <color indexed="81"/>
            <rFont val="Tahoma"/>
            <family val="2"/>
          </rPr>
          <t>user:</t>
        </r>
        <r>
          <rPr>
            <sz val="9"/>
            <color indexed="81"/>
            <rFont val="Tahoma"/>
            <family val="2"/>
          </rPr>
          <t xml:space="preserve">
tenia la F001-1729</t>
        </r>
      </text>
    </comment>
    <comment ref="H103" authorId="2" shapeId="0" xr:uid="{00000000-0006-0000-1500-00001E000000}">
      <text>
        <r>
          <rPr>
            <b/>
            <sz val="9"/>
            <color indexed="81"/>
            <rFont val="Tahoma"/>
            <family val="2"/>
          </rPr>
          <t>user:</t>
        </r>
        <r>
          <rPr>
            <sz val="9"/>
            <color indexed="81"/>
            <rFont val="Tahoma"/>
            <family val="2"/>
          </rPr>
          <t xml:space="preserve">
TENIA F001-1892</t>
        </r>
      </text>
    </comment>
    <comment ref="I109" authorId="2" shapeId="0" xr:uid="{00000000-0006-0000-1500-00001F000000}">
      <text>
        <r>
          <rPr>
            <b/>
            <sz val="9"/>
            <color indexed="81"/>
            <rFont val="Tahoma"/>
            <family val="2"/>
          </rPr>
          <t>user:</t>
        </r>
        <r>
          <rPr>
            <sz val="9"/>
            <color indexed="81"/>
            <rFont val="Tahoma"/>
            <family val="2"/>
          </rPr>
          <t xml:space="preserve">
ALEX MANRIQUE ME INFORMÓ EL DIA 27 DE AGOSTO DEL 2025 QUE ESTE PAGO CORRESPONDE A ESTA FACTURA </t>
        </r>
      </text>
    </comment>
    <comment ref="H110" authorId="2" shapeId="0" xr:uid="{00000000-0006-0000-1500-000020000000}">
      <text>
        <r>
          <rPr>
            <b/>
            <sz val="9"/>
            <color indexed="81"/>
            <rFont val="Tahoma"/>
            <family val="2"/>
          </rPr>
          <t>user:</t>
        </r>
        <r>
          <rPr>
            <sz val="9"/>
            <color indexed="81"/>
            <rFont val="Tahoma"/>
            <family val="2"/>
          </rPr>
          <t xml:space="preserve">
VAN A PAGAR SE EMITIO ORDEN EL 21-11-2025</t>
        </r>
      </text>
    </comment>
    <comment ref="F111" authorId="2" shapeId="0" xr:uid="{00000000-0006-0000-1500-000021000000}">
      <text>
        <r>
          <rPr>
            <b/>
            <sz val="9"/>
            <color indexed="81"/>
            <rFont val="Tahoma"/>
            <family val="2"/>
          </rPr>
          <t>user:</t>
        </r>
        <r>
          <rPr>
            <sz val="9"/>
            <color indexed="81"/>
            <rFont val="Tahoma"/>
            <family val="2"/>
          </rPr>
          <t xml:space="preserve">
OJO LA RUTA ES TARAPOTO-LIMA-TARAPOTO-IQUITOS- PUCALLPA POR TRIPULACION MEDICA DE AIR MAJORO</t>
        </r>
      </text>
    </comment>
    <comment ref="H111" authorId="2" shapeId="0" xr:uid="{00000000-0006-0000-1500-000022000000}">
      <text>
        <r>
          <rPr>
            <b/>
            <sz val="9"/>
            <color indexed="81"/>
            <rFont val="Tahoma"/>
            <family val="2"/>
          </rPr>
          <t>user:</t>
        </r>
        <r>
          <rPr>
            <sz val="9"/>
            <color indexed="81"/>
            <rFont val="Tahoma"/>
            <family val="2"/>
          </rPr>
          <t xml:space="preserve">
F001-4578  X 50976</t>
        </r>
      </text>
    </comment>
    <comment ref="U111" authorId="2" shapeId="0" xr:uid="{00000000-0006-0000-1500-000023000000}">
      <text>
        <r>
          <rPr>
            <b/>
            <sz val="9"/>
            <color indexed="81"/>
            <rFont val="Tahoma"/>
            <family val="2"/>
          </rPr>
          <t>user:</t>
        </r>
        <r>
          <rPr>
            <sz val="9"/>
            <color indexed="81"/>
            <rFont val="Tahoma"/>
            <family val="2"/>
          </rPr>
          <t xml:space="preserve">
SALIERON A LIMA VACIOS PARA RECOGER TRIPULACION MEDICA DE AIR MAJORO</t>
        </r>
      </text>
    </comment>
    <comment ref="V111" authorId="2" shapeId="0" xr:uid="{00000000-0006-0000-1500-000024000000}">
      <text>
        <r>
          <rPr>
            <b/>
            <sz val="9"/>
            <color indexed="81"/>
            <rFont val="Tahoma"/>
            <family val="2"/>
          </rPr>
          <t>user:</t>
        </r>
        <r>
          <rPr>
            <sz val="9"/>
            <color indexed="81"/>
            <rFont val="Tahoma"/>
            <family val="2"/>
          </rPr>
          <t xml:space="preserve">
LLEGARON A PUCALLPA A PERNOCTAR PARA HACER EL VUELO EL DIA SIGUIENTE</t>
        </r>
      </text>
    </comment>
    <comment ref="H113" authorId="2" shapeId="0" xr:uid="{00000000-0006-0000-1500-000025000000}">
      <text>
        <r>
          <rPr>
            <b/>
            <sz val="9"/>
            <color indexed="81"/>
            <rFont val="Tahoma"/>
            <family val="2"/>
          </rPr>
          <t>user:</t>
        </r>
        <r>
          <rPr>
            <sz val="9"/>
            <color indexed="81"/>
            <rFont val="Tahoma"/>
            <family val="2"/>
          </rPr>
          <t xml:space="preserve">
F001-4681 X 43450</t>
        </r>
      </text>
    </comment>
    <comment ref="H115" authorId="2" shapeId="0" xr:uid="{00000000-0006-0000-1500-000026000000}">
      <text>
        <r>
          <rPr>
            <b/>
            <sz val="9"/>
            <color indexed="81"/>
            <rFont val="Tahoma"/>
            <family val="2"/>
          </rPr>
          <t>user:</t>
        </r>
        <r>
          <rPr>
            <sz val="9"/>
            <color indexed="81"/>
            <rFont val="Tahoma"/>
            <family val="2"/>
          </rPr>
          <t xml:space="preserve">
F001-4682 X 43450</t>
        </r>
      </text>
    </comment>
    <comment ref="B125" authorId="4" shapeId="0" xr:uid="{00000000-0006-0000-1500-000027000000}">
      <text>
        <r>
          <rPr>
            <b/>
            <sz val="9"/>
            <color indexed="81"/>
            <rFont val="Tahoma"/>
            <family val="2"/>
          </rPr>
          <t>Sonia:</t>
        </r>
        <r>
          <rPr>
            <sz val="9"/>
            <color indexed="81"/>
            <rFont val="Tahoma"/>
            <family val="2"/>
          </rPr>
          <t xml:space="preserve">
A PARTIR DE ESTA FECHA CONTRATO COMPLEMENTARIO</t>
        </r>
      </text>
    </comment>
    <comment ref="V130" authorId="2" shapeId="0" xr:uid="{00000000-0006-0000-1500-000028000000}">
      <text>
        <r>
          <rPr>
            <b/>
            <sz val="9"/>
            <color indexed="81"/>
            <rFont val="Tahoma"/>
            <family val="2"/>
          </rPr>
          <t>user:</t>
        </r>
        <r>
          <rPr>
            <sz val="9"/>
            <color indexed="81"/>
            <rFont val="Tahoma"/>
            <family val="2"/>
          </rPr>
          <t xml:space="preserve">
TARAPOTO</t>
        </r>
      </text>
    </comment>
    <comment ref="D133" authorId="2" shapeId="0" xr:uid="{00000000-0006-0000-1500-000029000000}">
      <text>
        <r>
          <rPr>
            <b/>
            <sz val="9"/>
            <color indexed="81"/>
            <rFont val="Tahoma"/>
            <family val="2"/>
          </rPr>
          <t>user:</t>
        </r>
        <r>
          <rPr>
            <sz val="9"/>
            <color indexed="81"/>
            <rFont val="Tahoma"/>
            <family val="2"/>
          </rPr>
          <t xml:space="preserve">
SE REALIZÓ EL 23-01-25</t>
        </r>
      </text>
    </comment>
    <comment ref="H144" authorId="2" shapeId="0" xr:uid="{00000000-0006-0000-1500-00002A000000}">
      <text>
        <r>
          <rPr>
            <b/>
            <sz val="9"/>
            <color indexed="81"/>
            <rFont val="Tahoma"/>
            <family val="2"/>
          </rPr>
          <t>user:</t>
        </r>
        <r>
          <rPr>
            <sz val="9"/>
            <color indexed="81"/>
            <rFont val="Tahoma"/>
            <family val="2"/>
          </rPr>
          <t xml:space="preserve">
F001-3364
ESTA FACTURA NOS PAGARON PERO YA ESTABA ANULADA Y PRESENTADA CON CARTA EXPLICANDO LAS RAZONES QUE NOS HIZO ANULAR LA FACTUR</t>
        </r>
      </text>
    </comment>
    <comment ref="I144" authorId="2" shapeId="0" xr:uid="{00000000-0006-0000-1500-00002B000000}">
      <text>
        <r>
          <rPr>
            <b/>
            <sz val="9"/>
            <color indexed="81"/>
            <rFont val="Tahoma"/>
            <family val="2"/>
          </rPr>
          <t>user:</t>
        </r>
        <r>
          <rPr>
            <sz val="9"/>
            <color indexed="81"/>
            <rFont val="Tahoma"/>
            <family val="2"/>
          </rPr>
          <t xml:space="preserve">
PAGARON CON 3364 CORRESPONDIA S/ 43450 TAL COMO LO INDICA LA FACTURA 3391; SIN EMBARGO LA INSTITUCIÓN HA PAGADO CON LA FACTURA ANTERIOR LA 3364 Y ESTA A LA FECHA DEL PAGO SE ENCUENTRA ANULADA POR S/ 43950</t>
        </r>
      </text>
    </comment>
    <comment ref="B157" authorId="2" shapeId="0" xr:uid="{00000000-0006-0000-1500-00002C000000}">
      <text>
        <r>
          <rPr>
            <b/>
            <sz val="9"/>
            <color indexed="81"/>
            <rFont val="Tahoma"/>
            <family val="2"/>
          </rPr>
          <t>user:</t>
        </r>
        <r>
          <rPr>
            <sz val="9"/>
            <color indexed="81"/>
            <rFont val="Tahoma"/>
            <family val="2"/>
          </rPr>
          <t xml:space="preserve">
NO SE HIZO EL TRASLADO PACIENTE SE DESCOMPENSÓ</t>
        </r>
      </text>
    </comment>
    <comment ref="J167" authorId="2" shapeId="0" xr:uid="{00000000-0006-0000-1500-00002D000000}">
      <text>
        <r>
          <rPr>
            <b/>
            <sz val="9"/>
            <color indexed="81"/>
            <rFont val="Tahoma"/>
            <family val="2"/>
          </rPr>
          <t>user:</t>
        </r>
        <r>
          <rPr>
            <sz val="9"/>
            <color indexed="81"/>
            <rFont val="Tahoma"/>
            <family val="2"/>
          </rPr>
          <t xml:space="preserve">
las tenia como pagadas, pero no tenemos pagos del 19-02-25:
SIN EMBARGO EN LAS CUENTAS POR COBRAR FORMATO SE LE BRIDA A ESSALUD RATAR LO TENIA PAGADA CON FECHA 6 D EJUNIO DEL 2024
</t>
        </r>
      </text>
    </comment>
    <comment ref="H188" authorId="2" shapeId="0" xr:uid="{00000000-0006-0000-1500-00002E000000}">
      <text>
        <r>
          <rPr>
            <b/>
            <sz val="9"/>
            <color indexed="81"/>
            <rFont val="Tahoma"/>
            <family val="2"/>
          </rPr>
          <t>user:</t>
        </r>
        <r>
          <rPr>
            <sz val="9"/>
            <color indexed="81"/>
            <rFont val="Tahoma"/>
            <family val="2"/>
          </rPr>
          <t xml:space="preserve">
F001-2962</t>
        </r>
      </text>
    </comment>
    <comment ref="H189" authorId="2" shapeId="0" xr:uid="{00000000-0006-0000-1500-00002F000000}">
      <text>
        <r>
          <rPr>
            <b/>
            <sz val="9"/>
            <color indexed="81"/>
            <rFont val="Tahoma"/>
            <family val="2"/>
          </rPr>
          <t>user:</t>
        </r>
        <r>
          <rPr>
            <sz val="9"/>
            <color indexed="81"/>
            <rFont val="Tahoma"/>
            <family val="2"/>
          </rPr>
          <t xml:space="preserve">
F001-2963</t>
        </r>
      </text>
    </comment>
    <comment ref="H190" authorId="2" shapeId="0" xr:uid="{00000000-0006-0000-1500-000030000000}">
      <text>
        <r>
          <rPr>
            <b/>
            <sz val="9"/>
            <color indexed="81"/>
            <rFont val="Tahoma"/>
            <family val="2"/>
          </rPr>
          <t>user:</t>
        </r>
        <r>
          <rPr>
            <sz val="9"/>
            <color indexed="81"/>
            <rFont val="Tahoma"/>
            <family val="2"/>
          </rPr>
          <t xml:space="preserve">
F001-3014</t>
        </r>
      </text>
    </comment>
    <comment ref="H191" authorId="2" shapeId="0" xr:uid="{00000000-0006-0000-1500-000031000000}">
      <text>
        <r>
          <rPr>
            <b/>
            <sz val="9"/>
            <color indexed="81"/>
            <rFont val="Tahoma"/>
            <family val="2"/>
          </rPr>
          <t>user:</t>
        </r>
        <r>
          <rPr>
            <sz val="9"/>
            <color indexed="81"/>
            <rFont val="Tahoma"/>
            <family val="2"/>
          </rPr>
          <t xml:space="preserve">
F001-3032</t>
        </r>
      </text>
    </comment>
    <comment ref="H192" authorId="2" shapeId="0" xr:uid="{00000000-0006-0000-1500-000032000000}">
      <text>
        <r>
          <rPr>
            <b/>
            <sz val="9"/>
            <color indexed="81"/>
            <rFont val="Tahoma"/>
            <family val="2"/>
          </rPr>
          <t>user:</t>
        </r>
        <r>
          <rPr>
            <sz val="9"/>
            <color indexed="81"/>
            <rFont val="Tahoma"/>
            <family val="2"/>
          </rPr>
          <t xml:space="preserve">
F001-3063</t>
        </r>
      </text>
    </comment>
    <comment ref="H193" authorId="2" shapeId="0" xr:uid="{00000000-0006-0000-1500-000033000000}">
      <text>
        <r>
          <rPr>
            <b/>
            <sz val="9"/>
            <color indexed="81"/>
            <rFont val="Tahoma"/>
            <family val="2"/>
          </rPr>
          <t>user:</t>
        </r>
        <r>
          <rPr>
            <sz val="9"/>
            <color indexed="81"/>
            <rFont val="Tahoma"/>
            <family val="2"/>
          </rPr>
          <t xml:space="preserve">
F001-3064</t>
        </r>
      </text>
    </comment>
    <comment ref="H223" authorId="2" shapeId="0" xr:uid="{00000000-0006-0000-1500-000034000000}">
      <text>
        <r>
          <rPr>
            <b/>
            <sz val="9"/>
            <color indexed="81"/>
            <rFont val="Tahoma"/>
            <family val="2"/>
          </rPr>
          <t>user:</t>
        </r>
        <r>
          <rPr>
            <sz val="9"/>
            <color indexed="81"/>
            <rFont val="Tahoma"/>
            <family val="2"/>
          </rPr>
          <t xml:space="preserve">
F001-2965</t>
        </r>
      </text>
    </comment>
    <comment ref="H224" authorId="2" shapeId="0" xr:uid="{00000000-0006-0000-1500-000035000000}">
      <text>
        <r>
          <rPr>
            <b/>
            <sz val="9"/>
            <color indexed="81"/>
            <rFont val="Tahoma"/>
            <family val="2"/>
          </rPr>
          <t>user:</t>
        </r>
        <r>
          <rPr>
            <sz val="9"/>
            <color indexed="81"/>
            <rFont val="Tahoma"/>
            <family val="2"/>
          </rPr>
          <t xml:space="preserve">
F001-3062</t>
        </r>
      </text>
    </comment>
    <comment ref="H238" authorId="2" shapeId="0" xr:uid="{00000000-0006-0000-1500-000036000000}">
      <text>
        <r>
          <rPr>
            <b/>
            <sz val="9"/>
            <color indexed="81"/>
            <rFont val="Tahoma"/>
            <family val="2"/>
          </rPr>
          <t>user:</t>
        </r>
        <r>
          <rPr>
            <sz val="9"/>
            <color indexed="81"/>
            <rFont val="Tahoma"/>
            <family val="2"/>
          </rPr>
          <t xml:space="preserve">
F001-3751</t>
        </r>
      </text>
    </comment>
    <comment ref="L238" authorId="2" shapeId="0" xr:uid="{00000000-0006-0000-1500-000037000000}">
      <text>
        <r>
          <rPr>
            <b/>
            <sz val="9"/>
            <color indexed="81"/>
            <rFont val="Tahoma"/>
            <family val="2"/>
          </rPr>
          <t>user:</t>
        </r>
        <r>
          <rPr>
            <sz val="9"/>
            <color indexed="81"/>
            <rFont val="Tahoma"/>
            <family val="2"/>
          </rPr>
          <t xml:space="preserve">
SOLO SE PAGÓ 10,976 PORQUE SEGÚN REFIEREN TENEMOS AL 10 DE JULIO UN EMBARGO DE SUNAT
el 07-05-26 desembolsaron 10924</t>
        </r>
      </text>
    </comment>
    <comment ref="H239" authorId="2" shapeId="0" xr:uid="{00000000-0006-0000-1500-000038000000}">
      <text>
        <r>
          <rPr>
            <b/>
            <sz val="9"/>
            <color indexed="81"/>
            <rFont val="Tahoma"/>
            <family val="2"/>
          </rPr>
          <t>user:</t>
        </r>
        <r>
          <rPr>
            <sz val="9"/>
            <color indexed="81"/>
            <rFont val="Tahoma"/>
            <family val="2"/>
          </rPr>
          <t xml:space="preserve">
F001-3753F001-3764</t>
        </r>
      </text>
    </comment>
    <comment ref="C240" authorId="2" shapeId="0" xr:uid="{00000000-0006-0000-1500-000039000000}">
      <text>
        <r>
          <rPr>
            <b/>
            <sz val="9"/>
            <color indexed="81"/>
            <rFont val="Tahoma"/>
            <family val="2"/>
          </rPr>
          <t>user:</t>
        </r>
        <r>
          <rPr>
            <sz val="9"/>
            <color indexed="81"/>
            <rFont val="Tahoma"/>
            <family val="2"/>
          </rPr>
          <t xml:space="preserve">
ESTE VUELO TERMINARA EN CIX E INICIARÁ EL VUELO A TUMBES
</t>
        </r>
      </text>
    </comment>
    <comment ref="H240" authorId="2" shapeId="0" xr:uid="{00000000-0006-0000-1500-00003A000000}">
      <text>
        <r>
          <rPr>
            <b/>
            <sz val="9"/>
            <color indexed="81"/>
            <rFont val="Tahoma"/>
            <family val="2"/>
          </rPr>
          <t>user:</t>
        </r>
        <r>
          <rPr>
            <sz val="9"/>
            <color indexed="81"/>
            <rFont val="Tahoma"/>
            <family val="2"/>
          </rPr>
          <t xml:space="preserve">
F001-3755  F001-3765</t>
        </r>
      </text>
    </comment>
    <comment ref="H241" authorId="2" shapeId="0" xr:uid="{00000000-0006-0000-1500-00003B000000}">
      <text>
        <r>
          <rPr>
            <b/>
            <sz val="9"/>
            <color indexed="81"/>
            <rFont val="Tahoma"/>
            <family val="2"/>
          </rPr>
          <t>user:</t>
        </r>
        <r>
          <rPr>
            <sz val="9"/>
            <color indexed="81"/>
            <rFont val="Tahoma"/>
            <family val="2"/>
          </rPr>
          <t xml:space="preserve">
F001-3756   F001-3766</t>
        </r>
      </text>
    </comment>
    <comment ref="H242" authorId="2" shapeId="0" xr:uid="{00000000-0006-0000-1500-00003C000000}">
      <text>
        <r>
          <rPr>
            <b/>
            <sz val="9"/>
            <color indexed="81"/>
            <rFont val="Tahoma"/>
            <family val="2"/>
          </rPr>
          <t>user:</t>
        </r>
        <r>
          <rPr>
            <sz val="9"/>
            <color indexed="81"/>
            <rFont val="Tahoma"/>
            <family val="2"/>
          </rPr>
          <t xml:space="preserve">
F001-3797</t>
        </r>
      </text>
    </comment>
    <comment ref="D243" authorId="2" shapeId="0" xr:uid="{00000000-0006-0000-1500-00003D000000}">
      <text>
        <r>
          <rPr>
            <b/>
            <sz val="9"/>
            <color indexed="81"/>
            <rFont val="Tahoma"/>
            <family val="2"/>
          </rPr>
          <t>user:</t>
        </r>
        <r>
          <rPr>
            <sz val="9"/>
            <color indexed="81"/>
            <rFont val="Tahoma"/>
            <family val="2"/>
          </rPr>
          <t xml:space="preserve">
OJO PESE A QUE FUERON NUESTROS MEDICOS SE ESTÁ COBRANDO TRASLADO PORQUE LA ENTIDAD SOLICITÓ CHRTER Y CORRESPONDIA ATENDER COMO CHARTER</t>
        </r>
      </text>
    </comment>
    <comment ref="J270" authorId="2" shapeId="0" xr:uid="{00000000-0006-0000-1500-00003E000000}">
      <text>
        <r>
          <rPr>
            <b/>
            <sz val="9"/>
            <color indexed="81"/>
            <rFont val="Tahoma"/>
            <family val="2"/>
          </rPr>
          <t>user:</t>
        </r>
        <r>
          <rPr>
            <sz val="9"/>
            <color indexed="81"/>
            <rFont val="Tahoma"/>
            <family val="2"/>
          </rPr>
          <t xml:space="preserve">
PUSE EN ESTA FECHA Y SE ENCUENTRA EN CONSULTA DEL 21-10-25 A ALEX MANRIQUE</t>
        </r>
      </text>
    </comment>
    <comment ref="H271" authorId="2" shapeId="0" xr:uid="{00000000-0006-0000-1500-00003F000000}">
      <text>
        <r>
          <rPr>
            <b/>
            <sz val="9"/>
            <color indexed="81"/>
            <rFont val="Tahoma"/>
            <family val="2"/>
          </rPr>
          <t>user:</t>
        </r>
        <r>
          <rPr>
            <sz val="9"/>
            <color indexed="81"/>
            <rFont val="Tahoma"/>
            <family val="2"/>
          </rPr>
          <t xml:space="preserve">
F001-3741</t>
        </r>
      </text>
    </comment>
    <comment ref="H272" authorId="2" shapeId="0" xr:uid="{00000000-0006-0000-1500-000040000000}">
      <text>
        <r>
          <rPr>
            <b/>
            <sz val="9"/>
            <color indexed="81"/>
            <rFont val="Tahoma"/>
            <family val="2"/>
          </rPr>
          <t>user:</t>
        </r>
        <r>
          <rPr>
            <sz val="9"/>
            <color indexed="81"/>
            <rFont val="Tahoma"/>
            <family val="2"/>
          </rPr>
          <t xml:space="preserve">
ESTA SE PAGÓ SEGÚN CARTA 317 RECIBIDA EL 26-08-25 DE LA RED TARAPOTO ESSALUD, MENCIONANDO QUE HAN PAGADO DOBLE LA FACTURA F001-3578 Y POR LO TANTO SE APLICARA EL PAGO A ESTA FACTURA</t>
        </r>
      </text>
    </comment>
    <comment ref="U272" authorId="2" shapeId="0" xr:uid="{00000000-0006-0000-1500-000041000000}">
      <text>
        <r>
          <rPr>
            <b/>
            <sz val="9"/>
            <color indexed="81"/>
            <rFont val="Tahoma"/>
            <family val="2"/>
          </rPr>
          <t>user:</t>
        </r>
        <r>
          <rPr>
            <sz val="9"/>
            <color indexed="81"/>
            <rFont val="Tahoma"/>
            <family val="2"/>
          </rPr>
          <t xml:space="preserve">
NO HAY HORAS EN EL GRUPO B200</t>
        </r>
      </text>
    </comment>
    <comment ref="H273" authorId="2" shapeId="0" xr:uid="{00000000-0006-0000-1500-000042000000}">
      <text>
        <r>
          <rPr>
            <b/>
            <sz val="9"/>
            <color indexed="81"/>
            <rFont val="Tahoma"/>
            <family val="2"/>
          </rPr>
          <t>user:</t>
        </r>
        <r>
          <rPr>
            <sz val="9"/>
            <color indexed="81"/>
            <rFont val="Tahoma"/>
            <family val="2"/>
          </rPr>
          <t xml:space="preserve">
ESTA SE PAGÓ CARTA 317 RECIBIDA EL 26-08-25 DE LA RED TARAPOTO ESSALUD,  MENCIONANDO QUE HAN PAGADO DOBLE LA FACTURA F001-3603 Y POR LO TANTO SE APLICARA EL PAGO A ESTA FACTURA</t>
        </r>
      </text>
    </comment>
    <comment ref="H274" authorId="2" shapeId="0" xr:uid="{00000000-0006-0000-1500-000043000000}">
      <text>
        <r>
          <rPr>
            <b/>
            <sz val="9"/>
            <color indexed="81"/>
            <rFont val="Tahoma"/>
            <family val="2"/>
          </rPr>
          <t>user:</t>
        </r>
        <r>
          <rPr>
            <sz val="9"/>
            <color indexed="81"/>
            <rFont val="Tahoma"/>
            <family val="2"/>
          </rPr>
          <t xml:space="preserve">
ESTA SE PAGÓ CARTA 317 RECIBIDA EL 26-08-25 DE LA RED TARAPOTO ESSALUD,  MENCIONANDO QUE HAN PAGADO DOBLE LA FACTURA F001-3637 Y POR LO TANTO SE APLICARA EL PAGO A ESTA FACTURA</t>
        </r>
      </text>
    </comment>
    <comment ref="H277" authorId="2" shapeId="0" xr:uid="{00000000-0006-0000-1500-000044000000}">
      <text>
        <r>
          <rPr>
            <b/>
            <sz val="9"/>
            <color indexed="81"/>
            <rFont val="Tahoma"/>
            <family val="2"/>
          </rPr>
          <t>user:</t>
        </r>
        <r>
          <rPr>
            <sz val="9"/>
            <color indexed="81"/>
            <rFont val="Tahoma"/>
            <family val="2"/>
          </rPr>
          <t xml:space="preserve">
F001-4053</t>
        </r>
      </text>
    </comment>
    <comment ref="V283" authorId="2" shapeId="0" xr:uid="{00000000-0006-0000-1500-000045000000}">
      <text>
        <r>
          <rPr>
            <b/>
            <sz val="9"/>
            <color indexed="81"/>
            <rFont val="Tahoma"/>
            <family val="2"/>
          </rPr>
          <t>user:</t>
        </r>
        <r>
          <rPr>
            <sz val="9"/>
            <color indexed="81"/>
            <rFont val="Tahoma"/>
            <family val="2"/>
          </rPr>
          <t xml:space="preserve">
TEEMINO EN CHICLAYO, YA QUE DE AQUÍ SALE CON DESTINO A TINGO MARIA VUELO DEL HOSP REG DE TINGO MARIA</t>
        </r>
      </text>
    </comment>
    <comment ref="B291" authorId="2" shapeId="0" xr:uid="{00000000-0006-0000-1500-000046000000}">
      <text>
        <r>
          <rPr>
            <b/>
            <sz val="9"/>
            <color indexed="81"/>
            <rFont val="Tahoma"/>
            <family val="2"/>
          </rPr>
          <t>user:</t>
        </r>
        <r>
          <rPr>
            <sz val="9"/>
            <color indexed="81"/>
            <rFont val="Tahoma"/>
            <family val="2"/>
          </rPr>
          <t xml:space="preserve">
EL DIA 06-11-25 MENCIONARON SOBRE ADICIONAL</t>
        </r>
      </text>
    </comment>
    <comment ref="C295" authorId="2" shapeId="0" xr:uid="{00000000-0006-0000-1500-000047000000}">
      <text>
        <r>
          <rPr>
            <b/>
            <sz val="9"/>
            <color indexed="81"/>
            <rFont val="Tahoma"/>
            <family val="2"/>
          </rPr>
          <t>user:</t>
        </r>
        <r>
          <rPr>
            <sz val="9"/>
            <color indexed="81"/>
            <rFont val="Tahoma"/>
            <family val="2"/>
          </rPr>
          <t xml:space="preserve">
ESTE VUELO FUE REQUERIDO EN LA RUTA TARAPOTO CHICLAYO, PERO NO SE REALIZÓ DEBIDO AL RIESGO INMINENTE DEL PACIENTE</t>
        </r>
      </text>
    </comment>
    <comment ref="P307" authorId="1" shapeId="0" xr:uid="{00000000-0006-0000-1500-000048000000}">
      <text>
        <r>
          <rPr>
            <b/>
            <sz val="9"/>
            <color indexed="81"/>
            <rFont val="Tahoma"/>
            <family val="2"/>
          </rPr>
          <t>Sonia Diaz:</t>
        </r>
        <r>
          <rPr>
            <sz val="9"/>
            <color indexed="81"/>
            <rFont val="Tahoma"/>
            <family val="2"/>
          </rPr>
          <t xml:space="preserve">
MONTO DEL CONTRATO</t>
        </r>
      </text>
    </comment>
    <comment ref="U307" authorId="1" shapeId="0" xr:uid="{00000000-0006-0000-1500-000049000000}">
      <text>
        <r>
          <rPr>
            <b/>
            <sz val="9"/>
            <color indexed="81"/>
            <rFont val="Tahoma"/>
            <family val="2"/>
          </rPr>
          <t>Sonia Diaz:</t>
        </r>
        <r>
          <rPr>
            <sz val="9"/>
            <color indexed="81"/>
            <rFont val="Tahoma"/>
            <family val="2"/>
          </rPr>
          <t xml:space="preserve">
MONTO DEL CONTRATO + EL ADICIONAL</t>
        </r>
      </text>
    </comment>
    <comment ref="P312" authorId="3" shapeId="0" xr:uid="{00000000-0006-0000-1500-00004A000000}">
      <text>
        <r>
          <rPr>
            <b/>
            <sz val="9"/>
            <color indexed="81"/>
            <rFont val="Tahoma"/>
            <family val="2"/>
          </rPr>
          <t>Admin:</t>
        </r>
        <r>
          <rPr>
            <sz val="9"/>
            <color indexed="81"/>
            <rFont val="Tahoma"/>
            <family val="2"/>
          </rPr>
          <t xml:space="preserve">
X EJECUTAR</t>
        </r>
      </text>
    </comment>
    <comment ref="U312" authorId="3" shapeId="0" xr:uid="{00000000-0006-0000-1500-00004B000000}">
      <text>
        <r>
          <rPr>
            <b/>
            <sz val="9"/>
            <color indexed="81"/>
            <rFont val="Tahoma"/>
            <family val="2"/>
          </rPr>
          <t>Admin:</t>
        </r>
        <r>
          <rPr>
            <sz val="9"/>
            <color indexed="81"/>
            <rFont val="Tahoma"/>
            <family val="2"/>
          </rPr>
          <t xml:space="preserve">
X EJECUTAR</t>
        </r>
      </text>
    </comment>
    <comment ref="P323" authorId="2" shapeId="0" xr:uid="{00000000-0006-0000-1500-00004C000000}">
      <text>
        <r>
          <rPr>
            <b/>
            <sz val="9"/>
            <color indexed="81"/>
            <rFont val="Tahoma"/>
            <family val="2"/>
          </rPr>
          <t>user:</t>
        </r>
        <r>
          <rPr>
            <sz val="9"/>
            <color indexed="81"/>
            <rFont val="Tahoma"/>
            <family val="2"/>
          </rPr>
          <t xml:space="preserve">
CONTRATO COMPLEMENTARIO
</t>
        </r>
      </text>
    </comment>
    <comment ref="U323" authorId="2" shapeId="0" xr:uid="{00000000-0006-0000-1500-00004D000000}">
      <text>
        <r>
          <rPr>
            <b/>
            <sz val="9"/>
            <color indexed="81"/>
            <rFont val="Tahoma"/>
            <family val="2"/>
          </rPr>
          <t>user:</t>
        </r>
        <r>
          <rPr>
            <sz val="9"/>
            <color indexed="81"/>
            <rFont val="Tahoma"/>
            <family val="2"/>
          </rPr>
          <t xml:space="preserve">
CONTRATO COMPLEMENTARIO</t>
        </r>
      </text>
    </comment>
    <comment ref="P328" authorId="3" shapeId="0" xr:uid="{00000000-0006-0000-1500-00004E000000}">
      <text>
        <r>
          <rPr>
            <b/>
            <sz val="9"/>
            <color indexed="81"/>
            <rFont val="Tahoma"/>
            <family val="2"/>
          </rPr>
          <t>Admin:</t>
        </r>
        <r>
          <rPr>
            <sz val="9"/>
            <color indexed="81"/>
            <rFont val="Tahoma"/>
            <family val="2"/>
          </rPr>
          <t xml:space="preserve">
X EJECUTAR</t>
        </r>
      </text>
    </comment>
    <comment ref="U328" authorId="3" shapeId="0" xr:uid="{00000000-0006-0000-1500-00004F000000}">
      <text>
        <r>
          <rPr>
            <b/>
            <sz val="9"/>
            <color indexed="81"/>
            <rFont val="Tahoma"/>
            <family val="2"/>
          </rPr>
          <t>Admin:</t>
        </r>
        <r>
          <rPr>
            <sz val="9"/>
            <color indexed="81"/>
            <rFont val="Tahoma"/>
            <family val="2"/>
          </rPr>
          <t xml:space="preserve">
X EJECUTAR</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J9" authorId="0" shapeId="0" xr:uid="{00000000-0006-0000-1600-000001000000}">
      <text>
        <r>
          <rPr>
            <b/>
            <sz val="9"/>
            <color indexed="81"/>
            <rFont val="Tahoma"/>
            <family val="2"/>
          </rPr>
          <t>user:</t>
        </r>
        <r>
          <rPr>
            <sz val="9"/>
            <color indexed="81"/>
            <rFont val="Tahoma"/>
            <family val="2"/>
          </rPr>
          <t xml:space="preserve">
COMUNICACIÓN CON JEAN FRANCO CASAMAYOR - SOLICITÓ A LA DRA. CARMEN LA CONFORMIDAD-A LA ESPERA RESULTADO</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Sonia Diaz</author>
    <author>user</author>
  </authors>
  <commentList>
    <comment ref="H4" authorId="0" shapeId="0" xr:uid="{00000000-0006-0000-1700-000001000000}">
      <text>
        <r>
          <rPr>
            <b/>
            <sz val="9"/>
            <color indexed="81"/>
            <rFont val="Tahoma"/>
            <family val="2"/>
          </rPr>
          <t>Sonia Diaz:</t>
        </r>
        <r>
          <rPr>
            <sz val="9"/>
            <color indexed="81"/>
            <rFont val="Tahoma"/>
            <family val="2"/>
          </rPr>
          <t xml:space="preserve">
TENIA F001-1072</t>
        </r>
      </text>
    </comment>
    <comment ref="H5" authorId="0" shapeId="0" xr:uid="{00000000-0006-0000-1700-000002000000}">
      <text>
        <r>
          <rPr>
            <b/>
            <sz val="9"/>
            <color indexed="81"/>
            <rFont val="Tahoma"/>
            <family val="2"/>
          </rPr>
          <t>Sonia Diaz:</t>
        </r>
        <r>
          <rPr>
            <sz val="9"/>
            <color indexed="81"/>
            <rFont val="Tahoma"/>
            <family val="2"/>
          </rPr>
          <t xml:space="preserve">
TENIA LA F001-1073</t>
        </r>
      </text>
    </comment>
    <comment ref="H6" authorId="0" shapeId="0" xr:uid="{00000000-0006-0000-1700-000003000000}">
      <text>
        <r>
          <rPr>
            <b/>
            <sz val="9"/>
            <color indexed="81"/>
            <rFont val="Tahoma"/>
            <family val="2"/>
          </rPr>
          <t>Sonia Diaz:</t>
        </r>
        <r>
          <rPr>
            <sz val="9"/>
            <color indexed="81"/>
            <rFont val="Tahoma"/>
            <family val="2"/>
          </rPr>
          <t xml:space="preserve">
TENIA 1104 PERO NO ACEPTARON PRECIO, POSTERIORMENTE TENIA F001-1107</t>
        </r>
      </text>
    </comment>
    <comment ref="H12" authorId="1" shapeId="0" xr:uid="{00000000-0006-0000-1700-000004000000}">
      <text>
        <r>
          <rPr>
            <b/>
            <sz val="9"/>
            <color indexed="81"/>
            <rFont val="Tahoma"/>
            <family val="2"/>
          </rPr>
          <t>user:</t>
        </r>
        <r>
          <rPr>
            <sz val="9"/>
            <color indexed="81"/>
            <rFont val="Tahoma"/>
            <family val="2"/>
          </rPr>
          <t xml:space="preserve">
F001-1994</t>
        </r>
      </text>
    </comment>
    <comment ref="H15" authorId="1" shapeId="0" xr:uid="{00000000-0006-0000-1700-000005000000}">
      <text>
        <r>
          <rPr>
            <b/>
            <sz val="9"/>
            <color indexed="81"/>
            <rFont val="Tahoma"/>
            <family val="2"/>
          </rPr>
          <t>user:</t>
        </r>
        <r>
          <rPr>
            <sz val="9"/>
            <color indexed="81"/>
            <rFont val="Tahoma"/>
            <family val="2"/>
          </rPr>
          <t xml:space="preserve">
SE ANULÓ LA 2875
ESTAS FACTURAS DE COLOR ROSADO DICEN PAGARAN EN 7 DIAS EL DIA 17-10-24</t>
        </r>
      </text>
    </comment>
    <comment ref="G20" authorId="1" shapeId="0" xr:uid="{00000000-0006-0000-1700-000006000000}">
      <text>
        <r>
          <rPr>
            <b/>
            <sz val="9"/>
            <color indexed="81"/>
            <rFont val="Tahoma"/>
            <family val="2"/>
          </rPr>
          <t>user:</t>
        </r>
        <r>
          <rPr>
            <sz val="9"/>
            <color indexed="81"/>
            <rFont val="Tahoma"/>
            <family val="2"/>
          </rPr>
          <t xml:space="preserve">
INC AMBULANCIA LIMA</t>
        </r>
      </text>
    </comment>
    <comment ref="H20" authorId="1" shapeId="0" xr:uid="{00000000-0006-0000-1700-000007000000}">
      <text>
        <r>
          <rPr>
            <b/>
            <sz val="9"/>
            <color indexed="81"/>
            <rFont val="Tahoma"/>
            <family val="2"/>
          </rPr>
          <t>user:</t>
        </r>
        <r>
          <rPr>
            <sz val="9"/>
            <color indexed="81"/>
            <rFont val="Tahoma"/>
            <family val="2"/>
          </rPr>
          <t xml:space="preserve">
F001-3485  EMITI NUEVAMENTE DEBIDO A DESCRIPCION NO PRECISA - VER SI SE HACE NOTA DE CREDITO</t>
        </r>
      </text>
    </comment>
    <comment ref="G21" authorId="1" shapeId="0" xr:uid="{00000000-0006-0000-1700-000008000000}">
      <text>
        <r>
          <rPr>
            <b/>
            <sz val="9"/>
            <color indexed="81"/>
            <rFont val="Tahoma"/>
            <family val="2"/>
          </rPr>
          <t>user:</t>
        </r>
        <r>
          <rPr>
            <sz val="9"/>
            <color indexed="81"/>
            <rFont val="Tahoma"/>
            <family val="2"/>
          </rPr>
          <t xml:space="preserve">
INC AMBULANCIA LIMA</t>
        </r>
      </text>
    </comment>
    <comment ref="H21" authorId="1" shapeId="0" xr:uid="{00000000-0006-0000-1700-000009000000}">
      <text>
        <r>
          <rPr>
            <b/>
            <sz val="9"/>
            <color indexed="81"/>
            <rFont val="Tahoma"/>
            <family val="2"/>
          </rPr>
          <t>user:</t>
        </r>
        <r>
          <rPr>
            <sz val="9"/>
            <color indexed="81"/>
            <rFont val="Tahoma"/>
            <family val="2"/>
          </rPr>
          <t xml:space="preserve">
F001-3486
NUEVAMENTE DEBIDO A DESCRIPCION NO PRECISA - VER SI SE HACE NOTA DE CREDITO</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LENOVO</author>
    <author>user</author>
  </authors>
  <commentList>
    <comment ref="J4" authorId="0" shapeId="0" xr:uid="{00000000-0006-0000-1800-000001000000}">
      <text>
        <r>
          <rPr>
            <b/>
            <sz val="9"/>
            <color indexed="81"/>
            <rFont val="Tahoma"/>
            <family val="2"/>
          </rPr>
          <t>LENOVO:</t>
        </r>
        <r>
          <rPr>
            <sz val="9"/>
            <color indexed="81"/>
            <rFont val="Tahoma"/>
            <family val="2"/>
          </rPr>
          <t xml:space="preserve">
PAGADO 11/08</t>
        </r>
      </text>
    </comment>
    <comment ref="C5" authorId="0" shapeId="0" xr:uid="{00000000-0006-0000-1800-000002000000}">
      <text>
        <r>
          <rPr>
            <b/>
            <sz val="9"/>
            <color indexed="81"/>
            <rFont val="Tahoma"/>
            <family val="2"/>
          </rPr>
          <t>LENOVO:</t>
        </r>
        <r>
          <rPr>
            <sz val="9"/>
            <color indexed="81"/>
            <rFont val="Tahoma"/>
            <family val="2"/>
          </rPr>
          <t xml:space="preserve">
PERNOCTE DIA SIGUIENTE</t>
        </r>
      </text>
    </comment>
    <comment ref="K6" authorId="1" shapeId="0" xr:uid="{00000000-0006-0000-1800-000003000000}">
      <text>
        <r>
          <rPr>
            <b/>
            <sz val="9"/>
            <color indexed="81"/>
            <rFont val="Tahoma"/>
            <family val="2"/>
          </rPr>
          <t>user:</t>
        </r>
        <r>
          <rPr>
            <sz val="9"/>
            <color indexed="81"/>
            <rFont val="Tahoma"/>
            <family val="2"/>
          </rPr>
          <t xml:space="preserve">
EN BBVA 25/04
 PAGÓ EL 08-06-23 10,000  QUE DEBIA</t>
        </r>
      </text>
    </comment>
    <comment ref="V6" authorId="1" shapeId="0" xr:uid="{00000000-0006-0000-1800-000004000000}">
      <text>
        <r>
          <rPr>
            <b/>
            <sz val="9"/>
            <color indexed="81"/>
            <rFont val="Tahoma"/>
            <family val="2"/>
          </rPr>
          <t>user:</t>
        </r>
        <r>
          <rPr>
            <sz val="9"/>
            <color indexed="81"/>
            <rFont val="Tahoma"/>
            <family val="2"/>
          </rPr>
          <t xml:space="preserve">
DIA SIGUIENTE</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V18" authorId="0" shapeId="0" xr:uid="{00000000-0006-0000-1B00-000001000000}">
      <text>
        <r>
          <rPr>
            <b/>
            <sz val="9"/>
            <color indexed="81"/>
            <rFont val="Tahoma"/>
            <family val="2"/>
          </rPr>
          <t>user:</t>
        </r>
        <r>
          <rPr>
            <sz val="9"/>
            <color indexed="81"/>
            <rFont val="Tahoma"/>
            <family val="2"/>
          </rPr>
          <t xml:space="preserve">
NO HAY HORAS EN EL GRUPO B200</t>
        </r>
      </text>
    </comment>
    <comment ref="H31" authorId="0" shapeId="0" xr:uid="{00000000-0006-0000-1B00-000002000000}">
      <text>
        <r>
          <rPr>
            <b/>
            <sz val="9"/>
            <color indexed="81"/>
            <rFont val="Tahoma"/>
            <family val="2"/>
          </rPr>
          <t>user:</t>
        </r>
        <r>
          <rPr>
            <sz val="9"/>
            <color indexed="81"/>
            <rFont val="Tahoma"/>
            <family val="2"/>
          </rPr>
          <t xml:space="preserve">
F001-3267</t>
        </r>
      </text>
    </comment>
    <comment ref="H33" authorId="0" shapeId="0" xr:uid="{00000000-0006-0000-1B00-000003000000}">
      <text>
        <r>
          <rPr>
            <b/>
            <sz val="9"/>
            <color indexed="81"/>
            <rFont val="Tahoma"/>
            <family val="2"/>
          </rPr>
          <t>user:</t>
        </r>
        <r>
          <rPr>
            <sz val="9"/>
            <color indexed="81"/>
            <rFont val="Tahoma"/>
            <family val="2"/>
          </rPr>
          <t xml:space="preserve">
F001-3511</t>
        </r>
      </text>
    </comment>
    <comment ref="H34" authorId="0" shapeId="0" xr:uid="{00000000-0006-0000-1B00-000004000000}">
      <text>
        <r>
          <rPr>
            <b/>
            <sz val="9"/>
            <color indexed="81"/>
            <rFont val="Tahoma"/>
            <family val="2"/>
          </rPr>
          <t>user:</t>
        </r>
        <r>
          <rPr>
            <sz val="9"/>
            <color indexed="81"/>
            <rFont val="Tahoma"/>
            <family val="2"/>
          </rPr>
          <t xml:space="preserve">
F001-3513</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H4" authorId="0" shapeId="0" xr:uid="{00000000-0006-0000-1C00-000001000000}">
      <text>
        <r>
          <rPr>
            <b/>
            <sz val="9"/>
            <color indexed="81"/>
            <rFont val="Tahoma"/>
            <family val="2"/>
          </rPr>
          <t>user:</t>
        </r>
        <r>
          <rPr>
            <sz val="9"/>
            <color indexed="81"/>
            <rFont val="Tahoma"/>
            <family val="2"/>
          </rPr>
          <t xml:space="preserve">
F001-1493  FECHA 16-06</t>
        </r>
      </text>
    </comment>
    <comment ref="H15" authorId="0" shapeId="0" xr:uid="{00000000-0006-0000-1C00-000002000000}">
      <text>
        <r>
          <rPr>
            <b/>
            <sz val="9"/>
            <color indexed="81"/>
            <rFont val="Tahoma"/>
            <family val="2"/>
          </rPr>
          <t>user:</t>
        </r>
        <r>
          <rPr>
            <sz val="9"/>
            <color indexed="81"/>
            <rFont val="Tahoma"/>
            <family val="2"/>
          </rPr>
          <t xml:space="preserve">
F001-3697  F001-3688</t>
        </r>
      </text>
    </comment>
    <comment ref="I15" authorId="0" shapeId="0" xr:uid="{00000000-0006-0000-1C00-000003000000}">
      <text>
        <r>
          <rPr>
            <b/>
            <sz val="9"/>
            <color indexed="81"/>
            <rFont val="Tahoma"/>
            <family val="2"/>
          </rPr>
          <t>user:</t>
        </r>
        <r>
          <rPr>
            <sz val="9"/>
            <color indexed="81"/>
            <rFont val="Tahoma"/>
            <family val="2"/>
          </rPr>
          <t xml:space="preserve">
26229  este es el precio que se cotizó; sin embargo emitieron orden por 27,280; por tal motvo esta esta cifra aquí por cobrar y en la factura tambien
</t>
        </r>
      </text>
    </comment>
    <comment ref="H16" authorId="0" shapeId="0" xr:uid="{00000000-0006-0000-1C00-000004000000}">
      <text>
        <r>
          <rPr>
            <b/>
            <sz val="9"/>
            <color indexed="81"/>
            <rFont val="Tahoma"/>
            <family val="2"/>
          </rPr>
          <t>user:</t>
        </r>
        <r>
          <rPr>
            <sz val="9"/>
            <color indexed="81"/>
            <rFont val="Tahoma"/>
            <family val="2"/>
          </rPr>
          <t xml:space="preserve">
4666</t>
        </r>
      </text>
    </comment>
    <comment ref="G22" authorId="0" shapeId="0" xr:uid="{00000000-0006-0000-1C00-000005000000}">
      <text>
        <r>
          <rPr>
            <b/>
            <sz val="9"/>
            <color indexed="81"/>
            <rFont val="Tahoma"/>
            <family val="2"/>
          </rPr>
          <t>user:</t>
        </r>
        <r>
          <rPr>
            <sz val="9"/>
            <color indexed="81"/>
            <rFont val="Tahoma"/>
            <family val="2"/>
          </rPr>
          <t xml:space="preserve">
SE PIENSA HACER COBERTURA CON CONTRATO DE 3 SERVICIOS</t>
        </r>
      </text>
    </comment>
    <comment ref="G31" authorId="0" shapeId="0" xr:uid="{00000000-0006-0000-1C00-000006000000}">
      <text>
        <r>
          <rPr>
            <b/>
            <sz val="9"/>
            <color indexed="81"/>
            <rFont val="Tahoma"/>
            <family val="2"/>
          </rPr>
          <t>user:</t>
        </r>
        <r>
          <rPr>
            <sz val="9"/>
            <color indexed="81"/>
            <rFont val="Tahoma"/>
            <family val="2"/>
          </rPr>
          <t xml:space="preserve">
HAY JUNTA MEDICA NO SE TRASLADÓ</t>
        </r>
      </text>
    </comment>
    <comment ref="H39" authorId="0" shapeId="0" xr:uid="{00000000-0006-0000-1C00-000007000000}">
      <text>
        <r>
          <rPr>
            <b/>
            <sz val="9"/>
            <color indexed="81"/>
            <rFont val="Tahoma"/>
            <family val="2"/>
          </rPr>
          <t>user:</t>
        </r>
        <r>
          <rPr>
            <sz val="9"/>
            <color indexed="81"/>
            <rFont val="Tahoma"/>
            <family val="2"/>
          </rPr>
          <t xml:space="preserve">
F001-1407, 14 DE JUNIO SE ANULO Y SE EMITIÓ LA NUEVA</t>
        </r>
      </text>
    </comment>
    <comment ref="H80" authorId="0" shapeId="0" xr:uid="{00000000-0006-0000-1C00-000008000000}">
      <text>
        <r>
          <rPr>
            <b/>
            <sz val="9"/>
            <color indexed="81"/>
            <rFont val="Tahoma"/>
            <family val="2"/>
          </rPr>
          <t>user:</t>
        </r>
        <r>
          <rPr>
            <sz val="9"/>
            <color indexed="81"/>
            <rFont val="Tahoma"/>
            <family val="2"/>
          </rPr>
          <t xml:space="preserve">
F001-3781</t>
        </r>
      </text>
    </comment>
    <comment ref="J107" authorId="0" shapeId="0" xr:uid="{00000000-0006-0000-1C00-000009000000}">
      <text>
        <r>
          <rPr>
            <b/>
            <sz val="9"/>
            <color indexed="81"/>
            <rFont val="Tahoma"/>
            <family val="2"/>
          </rPr>
          <t>user:</t>
        </r>
        <r>
          <rPr>
            <sz val="9"/>
            <color indexed="81"/>
            <rFont val="Tahoma"/>
            <family val="2"/>
          </rPr>
          <t xml:space="preserve">
FIRMAR CON FECHA 31-03-2025
LUEGO SE FIRMÓ COMPLEMENTARIO CON FECHA 20 DE FEBRERO DEL 2026 X 04 SERVICIOS CONTRATO 014-2026-HRA</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H3" authorId="0" shapeId="0" xr:uid="{00000000-0006-0000-1E00-000001000000}">
      <text>
        <r>
          <rPr>
            <b/>
            <sz val="9"/>
            <color indexed="81"/>
            <rFont val="Tahoma"/>
            <family val="2"/>
          </rPr>
          <t>LENOVO:</t>
        </r>
        <r>
          <rPr>
            <sz val="9"/>
            <color indexed="81"/>
            <rFont val="Tahoma"/>
            <family val="2"/>
          </rPr>
          <t xml:space="preserve">
CONTACTO DR. ARCE</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D14" authorId="0" shapeId="0" xr:uid="{00000000-0006-0000-1F00-000001000000}">
      <text>
        <r>
          <rPr>
            <b/>
            <sz val="9"/>
            <color indexed="81"/>
            <rFont val="Tahoma"/>
            <family val="2"/>
          </rPr>
          <t>user:</t>
        </r>
        <r>
          <rPr>
            <sz val="9"/>
            <color indexed="81"/>
            <rFont val="Tahoma"/>
            <family val="2"/>
          </rPr>
          <t xml:space="preserve">
FUERON 28 PERO RETORNARON 29</t>
        </r>
      </text>
    </comment>
    <comment ref="V14" authorId="0" shapeId="0" xr:uid="{00000000-0006-0000-1F00-000002000000}">
      <text>
        <r>
          <rPr>
            <b/>
            <sz val="9"/>
            <color indexed="81"/>
            <rFont val="Tahoma"/>
            <family val="2"/>
          </rPr>
          <t>user:</t>
        </r>
        <r>
          <rPr>
            <sz val="9"/>
            <color indexed="81"/>
            <rFont val="Tahoma"/>
            <family val="2"/>
          </rPr>
          <t xml:space="preserve">
MADRUGADA SIGUIENTE</t>
        </r>
      </text>
    </comment>
    <comment ref="D17" authorId="0" shapeId="0" xr:uid="{00000000-0006-0000-1F00-000003000000}">
      <text>
        <r>
          <rPr>
            <b/>
            <sz val="9"/>
            <color indexed="81"/>
            <rFont val="Tahoma"/>
            <family val="2"/>
          </rPr>
          <t>user:</t>
        </r>
        <r>
          <rPr>
            <sz val="9"/>
            <color indexed="81"/>
            <rFont val="Tahoma"/>
            <family val="2"/>
          </rPr>
          <t xml:space="preserve">
SEGÚN LA SRTA DIANA DEL AREA EMERGENCIAS Y AREA CRITICA DEL HOSP REG LAMBAYEQUE INDICÓ A CARLOS AGUIRRE VIA TELEFONICA EL DIA 03-03-2026, QUE SOLAMENTE 6 SERVICIOS SE HABIAN EJECUTADO DEL CONTRATO 32-2025 Y QUE LOS DOS SERVICIOS DE WAJAI Y RUIZ DEL 21-01 Y 24-02 RESPECTIVAMENTE, CORRESPONDEN AL AREA CLINICA POR LO QUE SE SACÓ DICHOS SERVICIOS DEL CONTRATO</t>
        </r>
      </text>
    </comment>
    <comment ref="H17" authorId="0" shapeId="0" xr:uid="{00000000-0006-0000-1F00-000004000000}">
      <text>
        <r>
          <rPr>
            <b/>
            <sz val="9"/>
            <color indexed="81"/>
            <rFont val="Tahoma"/>
            <family val="2"/>
          </rPr>
          <t>user:</t>
        </r>
        <r>
          <rPr>
            <sz val="9"/>
            <color indexed="81"/>
            <rFont val="Tahoma"/>
            <family val="2"/>
          </rPr>
          <t xml:space="preserve">
F001-4779
F001-4786</t>
        </r>
      </text>
    </comment>
    <comment ref="H35" authorId="0" shapeId="0" xr:uid="{00000000-0006-0000-1F00-000005000000}">
      <text>
        <r>
          <rPr>
            <b/>
            <sz val="9"/>
            <color indexed="81"/>
            <rFont val="Tahoma"/>
            <family val="2"/>
          </rPr>
          <t>user:</t>
        </r>
        <r>
          <rPr>
            <sz val="9"/>
            <color indexed="81"/>
            <rFont val="Tahoma"/>
            <family val="2"/>
          </rPr>
          <t xml:space="preserve">
F001-4490</t>
        </r>
      </text>
    </comment>
    <comment ref="H36" authorId="0" shapeId="0" xr:uid="{00000000-0006-0000-1F00-000006000000}">
      <text>
        <r>
          <rPr>
            <b/>
            <sz val="9"/>
            <color indexed="81"/>
            <rFont val="Tahoma"/>
            <family val="2"/>
          </rPr>
          <t>user:</t>
        </r>
        <r>
          <rPr>
            <sz val="9"/>
            <color indexed="81"/>
            <rFont val="Tahoma"/>
            <family val="2"/>
          </rPr>
          <t xml:space="preserve">
F001-4707</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Admin</author>
    <author>user</author>
    <author>Sonia Diaz</author>
    <author>Sonia</author>
  </authors>
  <commentList>
    <comment ref="F8" authorId="0" shapeId="0" xr:uid="{00000000-0006-0000-2000-000001000000}">
      <text>
        <r>
          <rPr>
            <b/>
            <sz val="9"/>
            <color indexed="81"/>
            <rFont val="Tahoma"/>
            <family val="2"/>
          </rPr>
          <t>Admin:</t>
        </r>
        <r>
          <rPr>
            <sz val="9"/>
            <color indexed="81"/>
            <rFont val="Tahoma"/>
            <family val="2"/>
          </rPr>
          <t xml:space="preserve">
FUERA D ECONTRATO</t>
        </r>
      </text>
    </comment>
    <comment ref="J22" authorId="0" shapeId="0" xr:uid="{00000000-0006-0000-2000-000002000000}">
      <text>
        <r>
          <rPr>
            <b/>
            <sz val="9"/>
            <color indexed="81"/>
            <rFont val="Tahoma"/>
            <family val="2"/>
          </rPr>
          <t>Admin:</t>
        </r>
        <r>
          <rPr>
            <sz val="9"/>
            <color indexed="81"/>
            <rFont val="Tahoma"/>
            <family val="2"/>
          </rPr>
          <t xml:space="preserve">
PAGARON EL TOTAL</t>
        </r>
      </text>
    </comment>
    <comment ref="G24" authorId="1" shapeId="0" xr:uid="{00000000-0006-0000-2000-000003000000}">
      <text>
        <r>
          <rPr>
            <b/>
            <sz val="9"/>
            <color indexed="81"/>
            <rFont val="Tahoma"/>
            <family val="2"/>
          </rPr>
          <t>user:</t>
        </r>
        <r>
          <rPr>
            <sz val="9"/>
            <color indexed="81"/>
            <rFont val="Tahoma"/>
            <family val="2"/>
          </rPr>
          <t xml:space="preserve">
F001-1786
F001-2086</t>
        </r>
      </text>
    </comment>
    <comment ref="V24" authorId="1" shapeId="0" xr:uid="{00000000-0006-0000-2000-000004000000}">
      <text>
        <r>
          <rPr>
            <b/>
            <sz val="9"/>
            <color indexed="81"/>
            <rFont val="Tahoma"/>
            <family val="2"/>
          </rPr>
          <t>user:</t>
        </r>
        <r>
          <rPr>
            <sz val="9"/>
            <color indexed="81"/>
            <rFont val="Tahoma"/>
            <family val="2"/>
          </rPr>
          <t xml:space="preserve">
DIA SIGUIENTE</t>
        </r>
      </text>
    </comment>
    <comment ref="G25" authorId="1" shapeId="0" xr:uid="{00000000-0006-0000-2000-000005000000}">
      <text>
        <r>
          <rPr>
            <b/>
            <sz val="9"/>
            <color indexed="81"/>
            <rFont val="Tahoma"/>
            <family val="2"/>
          </rPr>
          <t>user:</t>
        </r>
        <r>
          <rPr>
            <sz val="9"/>
            <color indexed="81"/>
            <rFont val="Tahoma"/>
            <family val="2"/>
          </rPr>
          <t xml:space="preserve">
F001-1787</t>
        </r>
      </text>
    </comment>
    <comment ref="V31" authorId="1" shapeId="0" xr:uid="{00000000-0006-0000-2000-000006000000}">
      <text>
        <r>
          <rPr>
            <b/>
            <sz val="9"/>
            <color indexed="81"/>
            <rFont val="Tahoma"/>
            <family val="2"/>
          </rPr>
          <t>user:</t>
        </r>
        <r>
          <rPr>
            <sz val="9"/>
            <color indexed="81"/>
            <rFont val="Tahoma"/>
            <family val="2"/>
          </rPr>
          <t xml:space="preserve">
DIA SIGUIENTE</t>
        </r>
      </text>
    </comment>
    <comment ref="G34" authorId="1" shapeId="0" xr:uid="{00000000-0006-0000-2000-000007000000}">
      <text>
        <r>
          <rPr>
            <b/>
            <sz val="9"/>
            <color indexed="81"/>
            <rFont val="Tahoma"/>
            <family val="2"/>
          </rPr>
          <t>user:</t>
        </r>
        <r>
          <rPr>
            <sz val="9"/>
            <color indexed="81"/>
            <rFont val="Tahoma"/>
            <family val="2"/>
          </rPr>
          <t xml:space="preserve">
F00-2087</t>
        </r>
      </text>
    </comment>
    <comment ref="G35" authorId="1" shapeId="0" xr:uid="{00000000-0006-0000-2000-000008000000}">
      <text>
        <r>
          <rPr>
            <b/>
            <sz val="9"/>
            <color indexed="81"/>
            <rFont val="Tahoma"/>
            <family val="2"/>
          </rPr>
          <t>user:</t>
        </r>
        <r>
          <rPr>
            <sz val="9"/>
            <color indexed="81"/>
            <rFont val="Tahoma"/>
            <family val="2"/>
          </rPr>
          <t xml:space="preserve">
F001-2088
</t>
        </r>
      </text>
    </comment>
    <comment ref="G36" authorId="1" shapeId="0" xr:uid="{00000000-0006-0000-2000-000009000000}">
      <text>
        <r>
          <rPr>
            <b/>
            <sz val="9"/>
            <color indexed="81"/>
            <rFont val="Tahoma"/>
            <family val="2"/>
          </rPr>
          <t>user:</t>
        </r>
        <r>
          <rPr>
            <sz val="9"/>
            <color indexed="81"/>
            <rFont val="Tahoma"/>
            <family val="2"/>
          </rPr>
          <t xml:space="preserve">
F00-2089</t>
        </r>
      </text>
    </comment>
    <comment ref="G37" authorId="1" shapeId="0" xr:uid="{00000000-0006-0000-2000-00000A000000}">
      <text>
        <r>
          <rPr>
            <b/>
            <sz val="9"/>
            <color indexed="81"/>
            <rFont val="Tahoma"/>
            <family val="2"/>
          </rPr>
          <t>user:</t>
        </r>
        <r>
          <rPr>
            <sz val="9"/>
            <color indexed="81"/>
            <rFont val="Tahoma"/>
            <family val="2"/>
          </rPr>
          <t xml:space="preserve">
F00-2090</t>
        </r>
      </text>
    </comment>
    <comment ref="G38" authorId="1" shapeId="0" xr:uid="{00000000-0006-0000-2000-00000B000000}">
      <text>
        <r>
          <rPr>
            <b/>
            <sz val="9"/>
            <color indexed="81"/>
            <rFont val="Tahoma"/>
            <family val="2"/>
          </rPr>
          <t>user:</t>
        </r>
        <r>
          <rPr>
            <sz val="9"/>
            <color indexed="81"/>
            <rFont val="Tahoma"/>
            <family val="2"/>
          </rPr>
          <t xml:space="preserve">
F001-2091
F001-2273</t>
        </r>
      </text>
    </comment>
    <comment ref="G39" authorId="1" shapeId="0" xr:uid="{00000000-0006-0000-2000-00000C000000}">
      <text>
        <r>
          <rPr>
            <b/>
            <sz val="9"/>
            <color indexed="81"/>
            <rFont val="Tahoma"/>
            <family val="2"/>
          </rPr>
          <t>user:</t>
        </r>
        <r>
          <rPr>
            <sz val="9"/>
            <color indexed="81"/>
            <rFont val="Tahoma"/>
            <family val="2"/>
          </rPr>
          <t xml:space="preserve">
F001-2092
F001-2156</t>
        </r>
      </text>
    </comment>
    <comment ref="V47" authorId="1" shapeId="0" xr:uid="{00000000-0006-0000-2000-00000D000000}">
      <text>
        <r>
          <rPr>
            <b/>
            <sz val="9"/>
            <color indexed="81"/>
            <rFont val="Tahoma"/>
            <family val="2"/>
          </rPr>
          <t>user:</t>
        </r>
        <r>
          <rPr>
            <sz val="9"/>
            <color indexed="81"/>
            <rFont val="Tahoma"/>
            <family val="2"/>
          </rPr>
          <t xml:space="preserve">
DIA SIGUIENTE</t>
        </r>
      </text>
    </comment>
    <comment ref="G49" authorId="1" shapeId="0" xr:uid="{00000000-0006-0000-2000-00000E000000}">
      <text>
        <r>
          <rPr>
            <b/>
            <sz val="9"/>
            <color indexed="81"/>
            <rFont val="Tahoma"/>
            <family val="2"/>
          </rPr>
          <t>user:</t>
        </r>
        <r>
          <rPr>
            <sz val="9"/>
            <color indexed="81"/>
            <rFont val="Tahoma"/>
            <family val="2"/>
          </rPr>
          <t xml:space="preserve">
F001-3414</t>
        </r>
      </text>
    </comment>
    <comment ref="G50" authorId="1" shapeId="0" xr:uid="{00000000-0006-0000-2000-00000F000000}">
      <text>
        <r>
          <rPr>
            <b/>
            <sz val="9"/>
            <color indexed="81"/>
            <rFont val="Tahoma"/>
            <family val="2"/>
          </rPr>
          <t>user:</t>
        </r>
        <r>
          <rPr>
            <sz val="9"/>
            <color indexed="81"/>
            <rFont val="Tahoma"/>
            <family val="2"/>
          </rPr>
          <t xml:space="preserve">
F001-3414</t>
        </r>
      </text>
    </comment>
    <comment ref="G51" authorId="1" shapeId="0" xr:uid="{00000000-0006-0000-2000-000010000000}">
      <text>
        <r>
          <rPr>
            <b/>
            <sz val="9"/>
            <color indexed="81"/>
            <rFont val="Tahoma"/>
            <family val="2"/>
          </rPr>
          <t>user:</t>
        </r>
        <r>
          <rPr>
            <sz val="9"/>
            <color indexed="81"/>
            <rFont val="Tahoma"/>
            <family val="2"/>
          </rPr>
          <t xml:space="preserve">
F001-3414</t>
        </r>
      </text>
    </comment>
    <comment ref="G52" authorId="1" shapeId="0" xr:uid="{00000000-0006-0000-2000-000011000000}">
      <text>
        <r>
          <rPr>
            <b/>
            <sz val="9"/>
            <color indexed="81"/>
            <rFont val="Tahoma"/>
            <family val="2"/>
          </rPr>
          <t>user:</t>
        </r>
        <r>
          <rPr>
            <sz val="9"/>
            <color indexed="81"/>
            <rFont val="Tahoma"/>
            <family val="2"/>
          </rPr>
          <t xml:space="preserve">
F001-3414</t>
        </r>
      </text>
    </comment>
    <comment ref="G53" authorId="1" shapeId="0" xr:uid="{00000000-0006-0000-2000-000012000000}">
      <text>
        <r>
          <rPr>
            <b/>
            <sz val="9"/>
            <color indexed="81"/>
            <rFont val="Tahoma"/>
            <family val="2"/>
          </rPr>
          <t>user:</t>
        </r>
        <r>
          <rPr>
            <sz val="9"/>
            <color indexed="81"/>
            <rFont val="Tahoma"/>
            <family val="2"/>
          </rPr>
          <t xml:space="preserve">
F001-3414</t>
        </r>
      </text>
    </comment>
    <comment ref="G54" authorId="1" shapeId="0" xr:uid="{00000000-0006-0000-2000-000013000000}">
      <text>
        <r>
          <rPr>
            <b/>
            <sz val="9"/>
            <color indexed="81"/>
            <rFont val="Tahoma"/>
            <family val="2"/>
          </rPr>
          <t>user:</t>
        </r>
        <r>
          <rPr>
            <sz val="9"/>
            <color indexed="81"/>
            <rFont val="Tahoma"/>
            <family val="2"/>
          </rPr>
          <t xml:space="preserve">
F001-3414</t>
        </r>
      </text>
    </comment>
    <comment ref="H54" authorId="1" shapeId="0" xr:uid="{00000000-0006-0000-2000-000014000000}">
      <text>
        <r>
          <rPr>
            <b/>
            <sz val="9"/>
            <color indexed="81"/>
            <rFont val="Tahoma"/>
            <family val="2"/>
          </rPr>
          <t>user:</t>
        </r>
        <r>
          <rPr>
            <sz val="9"/>
            <color indexed="81"/>
            <rFont val="Tahoma"/>
            <family val="2"/>
          </rPr>
          <t xml:space="preserve">
VER EL PAGO DE 3762 EL DIA 02-01-25, PORQUE SE PAGÓ SIN DETRACCION ESTA FACTURA EL 06-01-2025</t>
        </r>
      </text>
    </comment>
    <comment ref="G55" authorId="1" shapeId="0" xr:uid="{00000000-0006-0000-2000-000015000000}">
      <text>
        <r>
          <rPr>
            <b/>
            <sz val="9"/>
            <color indexed="81"/>
            <rFont val="Tahoma"/>
            <family val="2"/>
          </rPr>
          <t>user:</t>
        </r>
        <r>
          <rPr>
            <sz val="9"/>
            <color indexed="81"/>
            <rFont val="Tahoma"/>
            <family val="2"/>
          </rPr>
          <t xml:space="preserve">
F001-3414</t>
        </r>
      </text>
    </comment>
    <comment ref="G56" authorId="1" shapeId="0" xr:uid="{00000000-0006-0000-2000-000016000000}">
      <text>
        <r>
          <rPr>
            <b/>
            <sz val="9"/>
            <color indexed="81"/>
            <rFont val="Tahoma"/>
            <family val="2"/>
          </rPr>
          <t>user:</t>
        </r>
        <r>
          <rPr>
            <sz val="9"/>
            <color indexed="81"/>
            <rFont val="Tahoma"/>
            <family val="2"/>
          </rPr>
          <t xml:space="preserve">
F001-3414</t>
        </r>
      </text>
    </comment>
    <comment ref="G57" authorId="1" shapeId="0" xr:uid="{00000000-0006-0000-2000-000017000000}">
      <text>
        <r>
          <rPr>
            <b/>
            <sz val="9"/>
            <color indexed="81"/>
            <rFont val="Tahoma"/>
            <family val="2"/>
          </rPr>
          <t>user:</t>
        </r>
        <r>
          <rPr>
            <sz val="9"/>
            <color indexed="81"/>
            <rFont val="Tahoma"/>
            <family val="2"/>
          </rPr>
          <t xml:space="preserve">
F001-3414</t>
        </r>
      </text>
    </comment>
    <comment ref="G58" authorId="1" shapeId="0" xr:uid="{00000000-0006-0000-2000-000018000000}">
      <text>
        <r>
          <rPr>
            <b/>
            <sz val="9"/>
            <color indexed="81"/>
            <rFont val="Tahoma"/>
            <family val="2"/>
          </rPr>
          <t>user:</t>
        </r>
        <r>
          <rPr>
            <sz val="9"/>
            <color indexed="81"/>
            <rFont val="Tahoma"/>
            <family val="2"/>
          </rPr>
          <t xml:space="preserve">
F001-3414</t>
        </r>
      </text>
    </comment>
    <comment ref="G59" authorId="1" shapeId="0" xr:uid="{00000000-0006-0000-2000-000019000000}">
      <text>
        <r>
          <rPr>
            <b/>
            <sz val="9"/>
            <color indexed="81"/>
            <rFont val="Tahoma"/>
            <family val="2"/>
          </rPr>
          <t>user:</t>
        </r>
        <r>
          <rPr>
            <sz val="9"/>
            <color indexed="81"/>
            <rFont val="Tahoma"/>
            <family val="2"/>
          </rPr>
          <t xml:space="preserve">
F001-3414</t>
        </r>
      </text>
    </comment>
    <comment ref="G60" authorId="1" shapeId="0" xr:uid="{00000000-0006-0000-2000-00001A000000}">
      <text>
        <r>
          <rPr>
            <b/>
            <sz val="9"/>
            <color indexed="81"/>
            <rFont val="Tahoma"/>
            <family val="2"/>
          </rPr>
          <t>user:</t>
        </r>
        <r>
          <rPr>
            <sz val="9"/>
            <color indexed="81"/>
            <rFont val="Tahoma"/>
            <family val="2"/>
          </rPr>
          <t xml:space="preserve">
F001-3414</t>
        </r>
      </text>
    </comment>
    <comment ref="F71" authorId="1" shapeId="0" xr:uid="{00000000-0006-0000-2000-00001B000000}">
      <text>
        <r>
          <rPr>
            <b/>
            <sz val="9"/>
            <color indexed="81"/>
            <rFont val="Tahoma"/>
            <family val="2"/>
          </rPr>
          <t>user:</t>
        </r>
        <r>
          <rPr>
            <sz val="9"/>
            <color indexed="81"/>
            <rFont val="Tahoma"/>
            <family val="2"/>
          </rPr>
          <t xml:space="preserve">
ESTE SERVICIO ES FUERA DE  CONTRATO DIJERON QUE HARIAN ADENDA POR ESO SE UBICÓ JUNTO A SERVICIOS DE CO NTRATO PERO EN VISTA QUE NO HAY CONTRATO ESPERAREMOS - ESTO EN FECHA 06-01-26</t>
        </r>
      </text>
    </comment>
    <comment ref="F72" authorId="1" shapeId="0" xr:uid="{00000000-0006-0000-2000-00001C000000}">
      <text>
        <r>
          <rPr>
            <b/>
            <sz val="9"/>
            <color indexed="81"/>
            <rFont val="Tahoma"/>
            <family val="2"/>
          </rPr>
          <t>user:</t>
        </r>
        <r>
          <rPr>
            <sz val="9"/>
            <color indexed="81"/>
            <rFont val="Tahoma"/>
            <family val="2"/>
          </rPr>
          <t xml:space="preserve">
ESTE SERVICIO ES FUERA DE  CONTRATO DIJERON QUE HARIAN ADENDA POR ESO SE UBICÓ JUNTO A SERVICIOS DE CO NTRATO PERO EN VISTA QUE NO HAY CONTRATO ESPERAREMOS - ESTO EN FECHA 06-01-26</t>
        </r>
      </text>
    </comment>
    <comment ref="D75" authorId="1" shapeId="0" xr:uid="{00000000-0006-0000-2000-00001D000000}">
      <text>
        <r>
          <rPr>
            <b/>
            <sz val="9"/>
            <color indexed="81"/>
            <rFont val="Tahoma"/>
            <family val="2"/>
          </rPr>
          <t>user:</t>
        </r>
        <r>
          <rPr>
            <sz val="9"/>
            <color indexed="81"/>
            <rFont val="Tahoma"/>
            <family val="2"/>
          </rPr>
          <t xml:space="preserve">
LLEGARON 02:55</t>
        </r>
      </text>
    </comment>
    <comment ref="D76" authorId="1" shapeId="0" xr:uid="{00000000-0006-0000-2000-00001E000000}">
      <text>
        <r>
          <rPr>
            <b/>
            <sz val="9"/>
            <color indexed="81"/>
            <rFont val="Tahoma"/>
            <family val="2"/>
          </rPr>
          <t>user:</t>
        </r>
        <r>
          <rPr>
            <sz val="9"/>
            <color indexed="81"/>
            <rFont val="Tahoma"/>
            <family val="2"/>
          </rPr>
          <t xml:space="preserve">
LLEGARON 02:55</t>
        </r>
      </text>
    </comment>
    <comment ref="G89" authorId="1" shapeId="0" xr:uid="{00000000-0006-0000-2000-00001F000000}">
      <text>
        <r>
          <rPr>
            <b/>
            <sz val="9"/>
            <color indexed="81"/>
            <rFont val="Tahoma"/>
            <family val="2"/>
          </rPr>
          <t>user:</t>
        </r>
        <r>
          <rPr>
            <sz val="9"/>
            <color indexed="81"/>
            <rFont val="Tahoma"/>
            <family val="2"/>
          </rPr>
          <t xml:space="preserve">
F001-5035</t>
        </r>
      </text>
    </comment>
    <comment ref="H89" authorId="1" shapeId="0" xr:uid="{00000000-0006-0000-2000-000020000000}">
      <text>
        <r>
          <rPr>
            <b/>
            <sz val="9"/>
            <color indexed="81"/>
            <rFont val="Tahoma"/>
            <family val="2"/>
          </rPr>
          <t>user:</t>
        </r>
        <r>
          <rPr>
            <sz val="9"/>
            <color indexed="81"/>
            <rFont val="Tahoma"/>
            <family val="2"/>
          </rPr>
          <t xml:space="preserve">
ESTE IMPORTE LO PAGARON TOTALMENTE EN LA CUENTA DE DETRACCIONES EL 23-06-26</t>
        </r>
      </text>
    </comment>
    <comment ref="G90" authorId="1" shapeId="0" xr:uid="{00000000-0006-0000-2000-000021000000}">
      <text>
        <r>
          <rPr>
            <b/>
            <sz val="9"/>
            <color indexed="81"/>
            <rFont val="Tahoma"/>
            <family val="2"/>
          </rPr>
          <t>user:</t>
        </r>
        <r>
          <rPr>
            <sz val="9"/>
            <color indexed="81"/>
            <rFont val="Tahoma"/>
            <family val="2"/>
          </rPr>
          <t xml:space="preserve">
F001-5034</t>
        </r>
      </text>
    </comment>
    <comment ref="H94" authorId="2" shapeId="0" xr:uid="{00000000-0006-0000-2000-000022000000}">
      <text>
        <r>
          <rPr>
            <b/>
            <sz val="9"/>
            <color indexed="81"/>
            <rFont val="Tahoma"/>
            <family val="2"/>
          </rPr>
          <t>Sonia Diaz:</t>
        </r>
        <r>
          <rPr>
            <sz val="9"/>
            <color indexed="81"/>
            <rFont val="Tahoma"/>
            <family val="2"/>
          </rPr>
          <t xml:space="preserve">
FUERA DE CONTRATO</t>
        </r>
      </text>
    </comment>
    <comment ref="V118" authorId="1" shapeId="0" xr:uid="{00000000-0006-0000-2000-000023000000}">
      <text>
        <r>
          <rPr>
            <b/>
            <sz val="9"/>
            <color indexed="81"/>
            <rFont val="Tahoma"/>
            <family val="2"/>
          </rPr>
          <t>user:</t>
        </r>
        <r>
          <rPr>
            <sz val="9"/>
            <color indexed="81"/>
            <rFont val="Tahoma"/>
            <family val="2"/>
          </rPr>
          <t xml:space="preserve">
DIA SIGUIENTE</t>
        </r>
      </text>
    </comment>
    <comment ref="B122" authorId="1" shapeId="0" xr:uid="{00000000-0006-0000-2000-000024000000}">
      <text>
        <r>
          <rPr>
            <b/>
            <sz val="9"/>
            <color indexed="81"/>
            <rFont val="Tahoma"/>
            <family val="2"/>
          </rPr>
          <t>user:</t>
        </r>
        <r>
          <rPr>
            <sz val="9"/>
            <color indexed="81"/>
            <rFont val="Tahoma"/>
            <family val="2"/>
          </rPr>
          <t xml:space="preserve">
NO SE HIZO</t>
        </r>
      </text>
    </comment>
    <comment ref="V124" authorId="1" shapeId="0" xr:uid="{00000000-0006-0000-2000-000025000000}">
      <text>
        <r>
          <rPr>
            <b/>
            <sz val="9"/>
            <color indexed="81"/>
            <rFont val="Tahoma"/>
            <family val="2"/>
          </rPr>
          <t>user:</t>
        </r>
        <r>
          <rPr>
            <sz val="9"/>
            <color indexed="81"/>
            <rFont val="Tahoma"/>
            <family val="2"/>
          </rPr>
          <t xml:space="preserve">
DIA SIGUIENTE</t>
        </r>
      </text>
    </comment>
    <comment ref="V125" authorId="1" shapeId="0" xr:uid="{00000000-0006-0000-2000-000026000000}">
      <text>
        <r>
          <rPr>
            <b/>
            <sz val="9"/>
            <color indexed="81"/>
            <rFont val="Tahoma"/>
            <family val="2"/>
          </rPr>
          <t>user:</t>
        </r>
        <r>
          <rPr>
            <sz val="9"/>
            <color indexed="81"/>
            <rFont val="Tahoma"/>
            <family val="2"/>
          </rPr>
          <t xml:space="preserve">
DIA SIGUIENTE</t>
        </r>
      </text>
    </comment>
    <comment ref="V127" authorId="1" shapeId="0" xr:uid="{00000000-0006-0000-2000-000027000000}">
      <text>
        <r>
          <rPr>
            <b/>
            <sz val="9"/>
            <color indexed="81"/>
            <rFont val="Tahoma"/>
            <family val="2"/>
          </rPr>
          <t>user:</t>
        </r>
        <r>
          <rPr>
            <sz val="9"/>
            <color indexed="81"/>
            <rFont val="Tahoma"/>
            <family val="2"/>
          </rPr>
          <t xml:space="preserve">
DIA SIGUIENTE
</t>
        </r>
      </text>
    </comment>
    <comment ref="G150" authorId="1" shapeId="0" xr:uid="{00000000-0006-0000-2000-000028000000}">
      <text>
        <r>
          <rPr>
            <b/>
            <sz val="9"/>
            <color indexed="81"/>
            <rFont val="Tahoma"/>
            <family val="2"/>
          </rPr>
          <t>user:</t>
        </r>
        <r>
          <rPr>
            <sz val="9"/>
            <color indexed="81"/>
            <rFont val="Tahoma"/>
            <family val="2"/>
          </rPr>
          <t xml:space="preserve">
F00-4299</t>
        </r>
      </text>
    </comment>
    <comment ref="G151" authorId="1" shapeId="0" xr:uid="{00000000-0006-0000-2000-000029000000}">
      <text>
        <r>
          <rPr>
            <b/>
            <sz val="9"/>
            <color indexed="81"/>
            <rFont val="Tahoma"/>
            <family val="2"/>
          </rPr>
          <t>user:</t>
        </r>
        <r>
          <rPr>
            <sz val="9"/>
            <color indexed="81"/>
            <rFont val="Tahoma"/>
            <family val="2"/>
          </rPr>
          <t xml:space="preserve">
F00-4299</t>
        </r>
      </text>
    </comment>
    <comment ref="G155" authorId="3" shapeId="0" xr:uid="{00000000-0006-0000-2000-00002A000000}">
      <text>
        <r>
          <rPr>
            <b/>
            <sz val="9"/>
            <color indexed="81"/>
            <rFont val="Tahoma"/>
            <family val="2"/>
          </rPr>
          <t>Sonia:</t>
        </r>
        <r>
          <rPr>
            <sz val="9"/>
            <color indexed="81"/>
            <rFont val="Tahoma"/>
            <family val="2"/>
          </rPr>
          <t xml:space="preserve">
F001-4471</t>
        </r>
      </text>
    </comment>
    <comment ref="G156" authorId="3" shapeId="0" xr:uid="{00000000-0006-0000-2000-00002B000000}">
      <text>
        <r>
          <rPr>
            <b/>
            <sz val="9"/>
            <color indexed="81"/>
            <rFont val="Tahoma"/>
            <family val="2"/>
          </rPr>
          <t>Sonia:</t>
        </r>
        <r>
          <rPr>
            <sz val="9"/>
            <color indexed="81"/>
            <rFont val="Tahoma"/>
            <family val="2"/>
          </rPr>
          <t xml:space="preserve">
F001-4471</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H16" authorId="0" shapeId="0" xr:uid="{00000000-0006-0000-2100-000001000000}">
      <text>
        <r>
          <rPr>
            <b/>
            <sz val="9"/>
            <color indexed="81"/>
            <rFont val="Tahoma"/>
            <family val="2"/>
          </rPr>
          <t>user:</t>
        </r>
        <r>
          <rPr>
            <sz val="9"/>
            <color indexed="81"/>
            <rFont val="Tahoma"/>
            <family val="2"/>
          </rPr>
          <t xml:space="preserve">
F001-2160</t>
        </r>
      </text>
    </comment>
    <comment ref="F19" authorId="0" shapeId="0" xr:uid="{00000000-0006-0000-2100-000002000000}">
      <text>
        <r>
          <rPr>
            <b/>
            <sz val="9"/>
            <color indexed="81"/>
            <rFont val="Tahoma"/>
            <family val="2"/>
          </rPr>
          <t>user:</t>
        </r>
        <r>
          <rPr>
            <sz val="9"/>
            <color indexed="81"/>
            <rFont val="Tahoma"/>
            <family val="2"/>
          </rPr>
          <t xml:space="preserve">
PACIENTE FALLECIÓ Y SE REGRESÓ SIN PACIENTE</t>
        </r>
      </text>
    </comment>
    <comment ref="L27" authorId="0" shapeId="0" xr:uid="{00000000-0006-0000-2100-000003000000}">
      <text>
        <r>
          <rPr>
            <b/>
            <sz val="9"/>
            <color indexed="81"/>
            <rFont val="Tahoma"/>
            <family val="2"/>
          </rPr>
          <t>user:</t>
        </r>
        <r>
          <rPr>
            <sz val="9"/>
            <color indexed="81"/>
            <rFont val="Tahoma"/>
            <family val="2"/>
          </rPr>
          <t xml:space="preserve">
EN CORREO Y FISICO EN OLVA</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H14" authorId="0" shapeId="0" xr:uid="{00000000-0006-0000-2200-000001000000}">
      <text>
        <r>
          <rPr>
            <b/>
            <sz val="9"/>
            <color indexed="81"/>
            <rFont val="Tahoma"/>
            <family val="2"/>
          </rPr>
          <t>user:</t>
        </r>
        <r>
          <rPr>
            <sz val="9"/>
            <color indexed="81"/>
            <rFont val="Tahoma"/>
            <family val="2"/>
          </rPr>
          <t xml:space="preserve">
F001-3011</t>
        </r>
      </text>
    </comment>
    <comment ref="H15" authorId="0" shapeId="0" xr:uid="{00000000-0006-0000-2200-000002000000}">
      <text>
        <r>
          <rPr>
            <b/>
            <sz val="9"/>
            <color indexed="81"/>
            <rFont val="Tahoma"/>
            <family val="2"/>
          </rPr>
          <t>user:</t>
        </r>
        <r>
          <rPr>
            <sz val="9"/>
            <color indexed="81"/>
            <rFont val="Tahoma"/>
            <family val="2"/>
          </rPr>
          <t xml:space="preserve">
F001-3012</t>
        </r>
      </text>
    </comment>
    <comment ref="H16" authorId="0" shapeId="0" xr:uid="{00000000-0006-0000-2200-000003000000}">
      <text>
        <r>
          <rPr>
            <b/>
            <sz val="9"/>
            <color indexed="81"/>
            <rFont val="Tahoma"/>
            <family val="2"/>
          </rPr>
          <t>user:</t>
        </r>
        <r>
          <rPr>
            <sz val="9"/>
            <color indexed="81"/>
            <rFont val="Tahoma"/>
            <family val="2"/>
          </rPr>
          <t xml:space="preserve">
F001-3170</t>
        </r>
      </text>
    </comment>
    <comment ref="H17" authorId="0" shapeId="0" xr:uid="{00000000-0006-0000-2200-000004000000}">
      <text>
        <r>
          <rPr>
            <b/>
            <sz val="9"/>
            <color indexed="81"/>
            <rFont val="Tahoma"/>
            <family val="2"/>
          </rPr>
          <t>user:</t>
        </r>
        <r>
          <rPr>
            <sz val="9"/>
            <color indexed="81"/>
            <rFont val="Tahoma"/>
            <family val="2"/>
          </rPr>
          <t xml:space="preserve">
F001-3171</t>
        </r>
      </text>
    </comment>
    <comment ref="H22" authorId="0" shapeId="0" xr:uid="{00000000-0006-0000-2200-000005000000}">
      <text>
        <r>
          <rPr>
            <b/>
            <sz val="9"/>
            <color indexed="81"/>
            <rFont val="Tahoma"/>
            <family val="2"/>
          </rPr>
          <t>user:</t>
        </r>
        <r>
          <rPr>
            <sz val="9"/>
            <color indexed="81"/>
            <rFont val="Tahoma"/>
            <family val="2"/>
          </rPr>
          <t xml:space="preserve">
F001-4379</t>
        </r>
      </text>
    </comment>
    <comment ref="H26" authorId="0" shapeId="0" xr:uid="{00000000-0006-0000-2200-000006000000}">
      <text>
        <r>
          <rPr>
            <b/>
            <sz val="9"/>
            <color indexed="81"/>
            <rFont val="Tahoma"/>
            <family val="2"/>
          </rPr>
          <t>user:</t>
        </r>
        <r>
          <rPr>
            <sz val="9"/>
            <color indexed="81"/>
            <rFont val="Tahoma"/>
            <family val="2"/>
          </rPr>
          <t xml:space="preserve">
F001-4683</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LENOVO</author>
    <author>user</author>
    <author>Admin</author>
    <author>Sonia</author>
  </authors>
  <commentList>
    <comment ref="Q3" authorId="0" shapeId="0" xr:uid="{00000000-0006-0000-2300-000001000000}">
      <text>
        <r>
          <rPr>
            <b/>
            <sz val="9"/>
            <color indexed="81"/>
            <rFont val="Tahoma"/>
            <family val="2"/>
          </rPr>
          <t>LENOVO:</t>
        </r>
        <r>
          <rPr>
            <sz val="9"/>
            <color indexed="81"/>
            <rFont val="Tahoma"/>
            <family val="2"/>
          </rPr>
          <t xml:space="preserve">
DIA SIGUIENTE</t>
        </r>
      </text>
    </comment>
    <comment ref="G6" authorId="1" shapeId="0" xr:uid="{00000000-0006-0000-2300-000002000000}">
      <text>
        <r>
          <rPr>
            <b/>
            <sz val="9"/>
            <color indexed="81"/>
            <rFont val="Tahoma"/>
            <family val="2"/>
          </rPr>
          <t>user:</t>
        </r>
        <r>
          <rPr>
            <sz val="9"/>
            <color indexed="81"/>
            <rFont val="Tahoma"/>
            <family val="2"/>
          </rPr>
          <t xml:space="preserve">
TENIA 1213, AHORA NO CUENTA CON FACTURA</t>
        </r>
      </text>
    </comment>
    <comment ref="H7" authorId="1" shapeId="0" xr:uid="{00000000-0006-0000-2300-000003000000}">
      <text>
        <r>
          <rPr>
            <b/>
            <sz val="9"/>
            <color indexed="81"/>
            <rFont val="Tahoma"/>
            <family val="2"/>
          </rPr>
          <t>user:</t>
        </r>
        <r>
          <rPr>
            <sz val="9"/>
            <color indexed="81"/>
            <rFont val="Tahoma"/>
            <family val="2"/>
          </rPr>
          <t xml:space="preserve">
AHORA NO CUENTA CON FACTURA</t>
        </r>
      </text>
    </comment>
    <comment ref="H8" authorId="1" shapeId="0" xr:uid="{00000000-0006-0000-2300-000004000000}">
      <text>
        <r>
          <rPr>
            <b/>
            <sz val="9"/>
            <color indexed="81"/>
            <rFont val="Tahoma"/>
            <family val="2"/>
          </rPr>
          <t>user:</t>
        </r>
        <r>
          <rPr>
            <sz val="9"/>
            <color indexed="81"/>
            <rFont val="Tahoma"/>
            <family val="2"/>
          </rPr>
          <t xml:space="preserve">
AHORA NO CUENTA CON FACTURA</t>
        </r>
      </text>
    </comment>
    <comment ref="K9" authorId="1" shapeId="0" xr:uid="{00000000-0006-0000-2300-000005000000}">
      <text>
        <r>
          <rPr>
            <b/>
            <sz val="9"/>
            <color indexed="81"/>
            <rFont val="Tahoma"/>
            <family val="2"/>
          </rPr>
          <t>user:</t>
        </r>
        <r>
          <rPr>
            <sz val="9"/>
            <color indexed="81"/>
            <rFont val="Tahoma"/>
            <family val="2"/>
          </rPr>
          <t xml:space="preserve">
HIZO DETRACCIÓN 10%</t>
        </r>
      </text>
    </comment>
    <comment ref="K10" authorId="1" shapeId="0" xr:uid="{00000000-0006-0000-2300-000006000000}">
      <text>
        <r>
          <rPr>
            <b/>
            <sz val="9"/>
            <color indexed="81"/>
            <rFont val="Tahoma"/>
            <family val="2"/>
          </rPr>
          <t>user:</t>
        </r>
        <r>
          <rPr>
            <sz val="9"/>
            <color indexed="81"/>
            <rFont val="Tahoma"/>
            <family val="2"/>
          </rPr>
          <t xml:space="preserve">
HIZO DETRACCIÓN 10%</t>
        </r>
      </text>
    </comment>
    <comment ref="V10" authorId="1" shapeId="0" xr:uid="{00000000-0006-0000-2300-000007000000}">
      <text>
        <r>
          <rPr>
            <b/>
            <sz val="9"/>
            <color indexed="81"/>
            <rFont val="Tahoma"/>
            <family val="2"/>
          </rPr>
          <t>user:</t>
        </r>
        <r>
          <rPr>
            <sz val="9"/>
            <color indexed="81"/>
            <rFont val="Tahoma"/>
            <family val="2"/>
          </rPr>
          <t xml:space="preserve">
DIA SIGUIENTE</t>
        </r>
      </text>
    </comment>
    <comment ref="H21" authorId="1" shapeId="0" xr:uid="{00000000-0006-0000-2300-000008000000}">
      <text>
        <r>
          <rPr>
            <b/>
            <sz val="9"/>
            <color indexed="81"/>
            <rFont val="Tahoma"/>
            <family val="2"/>
          </rPr>
          <t>user:</t>
        </r>
        <r>
          <rPr>
            <sz val="9"/>
            <color indexed="81"/>
            <rFont val="Tahoma"/>
            <family val="2"/>
          </rPr>
          <t xml:space="preserve">
tenia F001-1805</t>
        </r>
      </text>
    </comment>
    <comment ref="H22" authorId="1" shapeId="0" xr:uid="{00000000-0006-0000-2300-000009000000}">
      <text>
        <r>
          <rPr>
            <b/>
            <sz val="9"/>
            <color indexed="81"/>
            <rFont val="Tahoma"/>
            <family val="2"/>
          </rPr>
          <t>user:</t>
        </r>
        <r>
          <rPr>
            <sz val="9"/>
            <color indexed="81"/>
            <rFont val="Tahoma"/>
            <family val="2"/>
          </rPr>
          <t xml:space="preserve">
TENIA F001-1806</t>
        </r>
      </text>
    </comment>
    <comment ref="H23" authorId="1" shapeId="0" xr:uid="{00000000-0006-0000-2300-00000A000000}">
      <text>
        <r>
          <rPr>
            <b/>
            <sz val="9"/>
            <color indexed="81"/>
            <rFont val="Tahoma"/>
            <family val="2"/>
          </rPr>
          <t>user:</t>
        </r>
        <r>
          <rPr>
            <sz val="9"/>
            <color indexed="81"/>
            <rFont val="Tahoma"/>
            <family val="2"/>
          </rPr>
          <t xml:space="preserve">
TEN IA FACTURA F001-1807</t>
        </r>
      </text>
    </comment>
    <comment ref="H24" authorId="1" shapeId="0" xr:uid="{00000000-0006-0000-2300-00000B000000}">
      <text>
        <r>
          <rPr>
            <b/>
            <sz val="9"/>
            <color indexed="81"/>
            <rFont val="Tahoma"/>
            <family val="2"/>
          </rPr>
          <t>user:</t>
        </r>
        <r>
          <rPr>
            <sz val="9"/>
            <color indexed="81"/>
            <rFont val="Tahoma"/>
            <family val="2"/>
          </rPr>
          <t xml:space="preserve">
tenia F001-1808</t>
        </r>
      </text>
    </comment>
    <comment ref="H25" authorId="1" shapeId="0" xr:uid="{00000000-0006-0000-2300-00000C000000}">
      <text>
        <r>
          <rPr>
            <b/>
            <sz val="9"/>
            <color indexed="81"/>
            <rFont val="Tahoma"/>
            <family val="2"/>
          </rPr>
          <t>user:</t>
        </r>
        <r>
          <rPr>
            <sz val="9"/>
            <color indexed="81"/>
            <rFont val="Tahoma"/>
            <family val="2"/>
          </rPr>
          <t xml:space="preserve">
TENIA F001-1955</t>
        </r>
      </text>
    </comment>
    <comment ref="H26" authorId="1" shapeId="0" xr:uid="{00000000-0006-0000-2300-00000D000000}">
      <text>
        <r>
          <rPr>
            <b/>
            <sz val="9"/>
            <color indexed="81"/>
            <rFont val="Tahoma"/>
            <family val="2"/>
          </rPr>
          <t>user:</t>
        </r>
        <r>
          <rPr>
            <sz val="9"/>
            <color indexed="81"/>
            <rFont val="Tahoma"/>
            <family val="2"/>
          </rPr>
          <t xml:space="preserve">
TENIA F001-1956</t>
        </r>
      </text>
    </comment>
    <comment ref="H27" authorId="1" shapeId="0" xr:uid="{00000000-0006-0000-2300-00000E000000}">
      <text>
        <r>
          <rPr>
            <b/>
            <sz val="9"/>
            <color indexed="81"/>
            <rFont val="Tahoma"/>
            <family val="2"/>
          </rPr>
          <t>user:</t>
        </r>
        <r>
          <rPr>
            <sz val="9"/>
            <color indexed="81"/>
            <rFont val="Tahoma"/>
            <family val="2"/>
          </rPr>
          <t xml:space="preserve">
F001-1957</t>
        </r>
      </text>
    </comment>
    <comment ref="H28" authorId="1" shapeId="0" xr:uid="{00000000-0006-0000-2300-00000F000000}">
      <text>
        <r>
          <rPr>
            <b/>
            <sz val="9"/>
            <color indexed="81"/>
            <rFont val="Tahoma"/>
            <family val="2"/>
          </rPr>
          <t>user:</t>
        </r>
        <r>
          <rPr>
            <sz val="9"/>
            <color indexed="81"/>
            <rFont val="Tahoma"/>
            <family val="2"/>
          </rPr>
          <t xml:space="preserve">
F001-1958</t>
        </r>
      </text>
    </comment>
    <comment ref="H29" authorId="2" shapeId="0" xr:uid="{00000000-0006-0000-2300-000010000000}">
      <text>
        <r>
          <rPr>
            <b/>
            <sz val="9"/>
            <color indexed="81"/>
            <rFont val="Tahoma"/>
            <family val="2"/>
          </rPr>
          <t>Admin:</t>
        </r>
        <r>
          <rPr>
            <sz val="9"/>
            <color indexed="81"/>
            <rFont val="Tahoma"/>
            <family val="2"/>
          </rPr>
          <t xml:space="preserve">
F001-2007</t>
        </r>
      </text>
    </comment>
    <comment ref="H30" authorId="2" shapeId="0" xr:uid="{00000000-0006-0000-2300-000011000000}">
      <text>
        <r>
          <rPr>
            <b/>
            <sz val="9"/>
            <color indexed="81"/>
            <rFont val="Tahoma"/>
            <family val="2"/>
          </rPr>
          <t>Admin:</t>
        </r>
        <r>
          <rPr>
            <sz val="9"/>
            <color indexed="81"/>
            <rFont val="Tahoma"/>
            <family val="2"/>
          </rPr>
          <t xml:space="preserve">
F001-2008</t>
        </r>
      </text>
    </comment>
    <comment ref="H31" authorId="1" shapeId="0" xr:uid="{00000000-0006-0000-2300-000012000000}">
      <text>
        <r>
          <rPr>
            <b/>
            <sz val="9"/>
            <color indexed="81"/>
            <rFont val="Tahoma"/>
            <family val="2"/>
          </rPr>
          <t>user:</t>
        </r>
        <r>
          <rPr>
            <sz val="9"/>
            <color indexed="81"/>
            <rFont val="Tahoma"/>
            <family val="2"/>
          </rPr>
          <t xml:space="preserve">
TENIA F001-2011</t>
        </r>
      </text>
    </comment>
    <comment ref="H32" authorId="1" shapeId="0" xr:uid="{00000000-0006-0000-2300-000013000000}">
      <text>
        <r>
          <rPr>
            <b/>
            <sz val="9"/>
            <color indexed="81"/>
            <rFont val="Tahoma"/>
            <family val="2"/>
          </rPr>
          <t>user:</t>
        </r>
        <r>
          <rPr>
            <sz val="9"/>
            <color indexed="81"/>
            <rFont val="Tahoma"/>
            <family val="2"/>
          </rPr>
          <t xml:space="preserve">
TENIA F001-2012</t>
        </r>
      </text>
    </comment>
    <comment ref="V32" authorId="1" shapeId="0" xr:uid="{00000000-0006-0000-2300-000014000000}">
      <text>
        <r>
          <rPr>
            <b/>
            <sz val="9"/>
            <color indexed="81"/>
            <rFont val="Tahoma"/>
            <family val="2"/>
          </rPr>
          <t>user:</t>
        </r>
        <r>
          <rPr>
            <sz val="9"/>
            <color indexed="81"/>
            <rFont val="Tahoma"/>
            <family val="2"/>
          </rPr>
          <t xml:space="preserve">
DIA SIGUIENTE</t>
        </r>
      </text>
    </comment>
    <comment ref="H33" authorId="1" shapeId="0" xr:uid="{00000000-0006-0000-2300-000015000000}">
      <text>
        <r>
          <rPr>
            <b/>
            <sz val="9"/>
            <color indexed="81"/>
            <rFont val="Tahoma"/>
            <family val="2"/>
          </rPr>
          <t>user:</t>
        </r>
        <r>
          <rPr>
            <sz val="9"/>
            <color indexed="81"/>
            <rFont val="Tahoma"/>
            <family val="2"/>
          </rPr>
          <t xml:space="preserve">
F001-2013</t>
        </r>
      </text>
    </comment>
    <comment ref="H34" authorId="1" shapeId="0" xr:uid="{00000000-0006-0000-2300-000016000000}">
      <text>
        <r>
          <rPr>
            <b/>
            <sz val="9"/>
            <color indexed="81"/>
            <rFont val="Tahoma"/>
            <family val="2"/>
          </rPr>
          <t>user:</t>
        </r>
        <r>
          <rPr>
            <sz val="9"/>
            <color indexed="81"/>
            <rFont val="Tahoma"/>
            <family val="2"/>
          </rPr>
          <t xml:space="preserve">
F001-2014</t>
        </r>
      </text>
    </comment>
    <comment ref="H35" authorId="1" shapeId="0" xr:uid="{00000000-0006-0000-2300-000017000000}">
      <text>
        <r>
          <rPr>
            <b/>
            <sz val="9"/>
            <color indexed="81"/>
            <rFont val="Tahoma"/>
            <family val="2"/>
          </rPr>
          <t>user:</t>
        </r>
        <r>
          <rPr>
            <sz val="9"/>
            <color indexed="81"/>
            <rFont val="Tahoma"/>
            <family val="2"/>
          </rPr>
          <t xml:space="preserve">
F001-2074</t>
        </r>
      </text>
    </comment>
    <comment ref="H36" authorId="1" shapeId="0" xr:uid="{00000000-0006-0000-2300-000018000000}">
      <text>
        <r>
          <rPr>
            <b/>
            <sz val="9"/>
            <color indexed="81"/>
            <rFont val="Tahoma"/>
            <family val="2"/>
          </rPr>
          <t>user:</t>
        </r>
        <r>
          <rPr>
            <sz val="9"/>
            <color indexed="81"/>
            <rFont val="Tahoma"/>
            <family val="2"/>
          </rPr>
          <t xml:space="preserve">
F001-2075</t>
        </r>
      </text>
    </comment>
    <comment ref="H37" authorId="1" shapeId="0" xr:uid="{00000000-0006-0000-2300-000019000000}">
      <text>
        <r>
          <rPr>
            <b/>
            <sz val="9"/>
            <color indexed="81"/>
            <rFont val="Tahoma"/>
            <family val="2"/>
          </rPr>
          <t>user:</t>
        </r>
        <r>
          <rPr>
            <sz val="9"/>
            <color indexed="81"/>
            <rFont val="Tahoma"/>
            <family val="2"/>
          </rPr>
          <t xml:space="preserve">
F001-2093</t>
        </r>
      </text>
    </comment>
    <comment ref="H38" authorId="1" shapeId="0" xr:uid="{00000000-0006-0000-2300-00001A000000}">
      <text>
        <r>
          <rPr>
            <b/>
            <sz val="9"/>
            <color indexed="81"/>
            <rFont val="Tahoma"/>
            <family val="2"/>
          </rPr>
          <t>user:</t>
        </r>
        <r>
          <rPr>
            <sz val="9"/>
            <color indexed="81"/>
            <rFont val="Tahoma"/>
            <family val="2"/>
          </rPr>
          <t xml:space="preserve">
F001-2094</t>
        </r>
      </text>
    </comment>
    <comment ref="H39" authorId="1" shapeId="0" xr:uid="{00000000-0006-0000-2300-00001B000000}">
      <text>
        <r>
          <rPr>
            <b/>
            <sz val="9"/>
            <color indexed="81"/>
            <rFont val="Tahoma"/>
            <family val="2"/>
          </rPr>
          <t>user:</t>
        </r>
        <r>
          <rPr>
            <sz val="9"/>
            <color indexed="81"/>
            <rFont val="Tahoma"/>
            <family val="2"/>
          </rPr>
          <t xml:space="preserve">
F001-2101</t>
        </r>
      </text>
    </comment>
    <comment ref="H40" authorId="1" shapeId="0" xr:uid="{00000000-0006-0000-2300-00001C000000}">
      <text>
        <r>
          <rPr>
            <b/>
            <sz val="9"/>
            <color indexed="81"/>
            <rFont val="Tahoma"/>
            <family val="2"/>
          </rPr>
          <t>user:</t>
        </r>
        <r>
          <rPr>
            <sz val="9"/>
            <color indexed="81"/>
            <rFont val="Tahoma"/>
            <family val="2"/>
          </rPr>
          <t xml:space="preserve">
F001-2102</t>
        </r>
      </text>
    </comment>
    <comment ref="H41" authorId="1" shapeId="0" xr:uid="{00000000-0006-0000-2300-00001D000000}">
      <text>
        <r>
          <rPr>
            <b/>
            <sz val="9"/>
            <color indexed="81"/>
            <rFont val="Tahoma"/>
            <family val="2"/>
          </rPr>
          <t>user:</t>
        </r>
        <r>
          <rPr>
            <sz val="9"/>
            <color indexed="81"/>
            <rFont val="Tahoma"/>
            <family val="2"/>
          </rPr>
          <t xml:space="preserve">
F001-2202</t>
        </r>
      </text>
    </comment>
    <comment ref="H42" authorId="1" shapeId="0" xr:uid="{00000000-0006-0000-2300-00001E000000}">
      <text>
        <r>
          <rPr>
            <b/>
            <sz val="9"/>
            <color indexed="81"/>
            <rFont val="Tahoma"/>
            <family val="2"/>
          </rPr>
          <t>user:</t>
        </r>
        <r>
          <rPr>
            <sz val="9"/>
            <color indexed="81"/>
            <rFont val="Tahoma"/>
            <family val="2"/>
          </rPr>
          <t xml:space="preserve">
F001-2203</t>
        </r>
      </text>
    </comment>
    <comment ref="H47" authorId="1" shapeId="0" xr:uid="{00000000-0006-0000-2300-00001F000000}">
      <text>
        <r>
          <rPr>
            <b/>
            <sz val="9"/>
            <color indexed="81"/>
            <rFont val="Tahoma"/>
            <family val="2"/>
          </rPr>
          <t>user:</t>
        </r>
        <r>
          <rPr>
            <sz val="9"/>
            <color indexed="81"/>
            <rFont val="Tahoma"/>
            <family val="2"/>
          </rPr>
          <t xml:space="preserve">
F001-2319</t>
        </r>
      </text>
    </comment>
    <comment ref="H48" authorId="1" shapeId="0" xr:uid="{00000000-0006-0000-2300-000020000000}">
      <text>
        <r>
          <rPr>
            <b/>
            <sz val="9"/>
            <color indexed="81"/>
            <rFont val="Tahoma"/>
            <family val="2"/>
          </rPr>
          <t>user:</t>
        </r>
        <r>
          <rPr>
            <sz val="9"/>
            <color indexed="81"/>
            <rFont val="Tahoma"/>
            <family val="2"/>
          </rPr>
          <t xml:space="preserve">
F001-2320</t>
        </r>
      </text>
    </comment>
    <comment ref="I49" authorId="1" shapeId="0" xr:uid="{00000000-0006-0000-2300-000021000000}">
      <text>
        <r>
          <rPr>
            <b/>
            <sz val="9"/>
            <color indexed="81"/>
            <rFont val="Tahoma"/>
            <family val="2"/>
          </rPr>
          <t>user:</t>
        </r>
        <r>
          <rPr>
            <sz val="9"/>
            <color indexed="81"/>
            <rFont val="Tahoma"/>
            <family val="2"/>
          </rPr>
          <t xml:space="preserve">
F001-2325</t>
        </r>
      </text>
    </comment>
    <comment ref="H50" authorId="1" shapeId="0" xr:uid="{00000000-0006-0000-2300-000022000000}">
      <text>
        <r>
          <rPr>
            <b/>
            <sz val="9"/>
            <color indexed="81"/>
            <rFont val="Tahoma"/>
            <family val="2"/>
          </rPr>
          <t>user:</t>
        </r>
        <r>
          <rPr>
            <sz val="9"/>
            <color indexed="81"/>
            <rFont val="Tahoma"/>
            <family val="2"/>
          </rPr>
          <t xml:space="preserve">
F001-2326  F001-2400</t>
        </r>
      </text>
    </comment>
    <comment ref="V50" authorId="1" shapeId="0" xr:uid="{00000000-0006-0000-2300-000023000000}">
      <text>
        <r>
          <rPr>
            <b/>
            <sz val="9"/>
            <color indexed="81"/>
            <rFont val="Tahoma"/>
            <family val="2"/>
          </rPr>
          <t>user:</t>
        </r>
        <r>
          <rPr>
            <sz val="9"/>
            <color indexed="81"/>
            <rFont val="Tahoma"/>
            <family val="2"/>
          </rPr>
          <t xml:space="preserve">
DIA SIGUIENTE
</t>
        </r>
      </text>
    </comment>
    <comment ref="H51" authorId="1" shapeId="0" xr:uid="{00000000-0006-0000-2300-000024000000}">
      <text>
        <r>
          <rPr>
            <b/>
            <sz val="9"/>
            <color indexed="81"/>
            <rFont val="Tahoma"/>
            <family val="2"/>
          </rPr>
          <t>user:</t>
        </r>
        <r>
          <rPr>
            <sz val="9"/>
            <color indexed="81"/>
            <rFont val="Tahoma"/>
            <family val="2"/>
          </rPr>
          <t xml:space="preserve">
F001-2366</t>
        </r>
      </text>
    </comment>
    <comment ref="H52" authorId="1" shapeId="0" xr:uid="{00000000-0006-0000-2300-000025000000}">
      <text>
        <r>
          <rPr>
            <b/>
            <sz val="9"/>
            <color indexed="81"/>
            <rFont val="Tahoma"/>
            <family val="2"/>
          </rPr>
          <t>user:</t>
        </r>
        <r>
          <rPr>
            <sz val="9"/>
            <color indexed="81"/>
            <rFont val="Tahoma"/>
            <family val="2"/>
          </rPr>
          <t xml:space="preserve">
F001-2367  F001-2401</t>
        </r>
      </text>
    </comment>
    <comment ref="V52" authorId="1" shapeId="0" xr:uid="{00000000-0006-0000-2300-000026000000}">
      <text>
        <r>
          <rPr>
            <b/>
            <sz val="9"/>
            <color indexed="81"/>
            <rFont val="Tahoma"/>
            <family val="2"/>
          </rPr>
          <t>user:</t>
        </r>
        <r>
          <rPr>
            <sz val="9"/>
            <color indexed="81"/>
            <rFont val="Tahoma"/>
            <family val="2"/>
          </rPr>
          <t xml:space="preserve">
DIA SIGUIENTE</t>
        </r>
      </text>
    </comment>
    <comment ref="H53" authorId="1" shapeId="0" xr:uid="{00000000-0006-0000-2300-000027000000}">
      <text>
        <r>
          <rPr>
            <b/>
            <sz val="9"/>
            <color indexed="81"/>
            <rFont val="Tahoma"/>
            <family val="2"/>
          </rPr>
          <t>user:</t>
        </r>
        <r>
          <rPr>
            <sz val="9"/>
            <color indexed="81"/>
            <rFont val="Tahoma"/>
            <family val="2"/>
          </rPr>
          <t xml:space="preserve">
F001-2369</t>
        </r>
      </text>
    </comment>
    <comment ref="H54" authorId="1" shapeId="0" xr:uid="{00000000-0006-0000-2300-000028000000}">
      <text>
        <r>
          <rPr>
            <b/>
            <sz val="9"/>
            <color indexed="81"/>
            <rFont val="Tahoma"/>
            <family val="2"/>
          </rPr>
          <t>user:</t>
        </r>
        <r>
          <rPr>
            <sz val="9"/>
            <color indexed="81"/>
            <rFont val="Tahoma"/>
            <family val="2"/>
          </rPr>
          <t xml:space="preserve">
F001-2370   F001-2402</t>
        </r>
      </text>
    </comment>
    <comment ref="H55" authorId="1" shapeId="0" xr:uid="{00000000-0006-0000-2300-000029000000}">
      <text>
        <r>
          <rPr>
            <b/>
            <sz val="9"/>
            <color indexed="81"/>
            <rFont val="Tahoma"/>
            <family val="2"/>
          </rPr>
          <t>user:</t>
        </r>
        <r>
          <rPr>
            <sz val="9"/>
            <color indexed="81"/>
            <rFont val="Tahoma"/>
            <family val="2"/>
          </rPr>
          <t xml:space="preserve">
F001-2403</t>
        </r>
      </text>
    </comment>
    <comment ref="H56" authorId="1" shapeId="0" xr:uid="{00000000-0006-0000-2300-00002A000000}">
      <text>
        <r>
          <rPr>
            <b/>
            <sz val="9"/>
            <color indexed="81"/>
            <rFont val="Tahoma"/>
            <family val="2"/>
          </rPr>
          <t>user:</t>
        </r>
        <r>
          <rPr>
            <sz val="9"/>
            <color indexed="81"/>
            <rFont val="Tahoma"/>
            <family val="2"/>
          </rPr>
          <t xml:space="preserve">
F001-2404   F001-2579</t>
        </r>
      </text>
    </comment>
    <comment ref="H57" authorId="1" shapeId="0" xr:uid="{00000000-0006-0000-2300-00002B000000}">
      <text>
        <r>
          <rPr>
            <b/>
            <sz val="9"/>
            <color indexed="81"/>
            <rFont val="Tahoma"/>
            <family val="2"/>
          </rPr>
          <t>user:</t>
        </r>
        <r>
          <rPr>
            <sz val="9"/>
            <color indexed="81"/>
            <rFont val="Tahoma"/>
            <family val="2"/>
          </rPr>
          <t xml:space="preserve">
F001-2428   F001-2574</t>
        </r>
      </text>
    </comment>
    <comment ref="H58" authorId="1" shapeId="0" xr:uid="{00000000-0006-0000-2300-00002C000000}">
      <text>
        <r>
          <rPr>
            <b/>
            <sz val="9"/>
            <color indexed="81"/>
            <rFont val="Tahoma"/>
            <family val="2"/>
          </rPr>
          <t>user:</t>
        </r>
        <r>
          <rPr>
            <sz val="9"/>
            <color indexed="81"/>
            <rFont val="Tahoma"/>
            <family val="2"/>
          </rPr>
          <t xml:space="preserve">
F001-2429</t>
        </r>
      </text>
    </comment>
    <comment ref="I58" authorId="1" shapeId="0" xr:uid="{00000000-0006-0000-2300-00002D000000}">
      <text>
        <r>
          <rPr>
            <b/>
            <sz val="9"/>
            <color indexed="81"/>
            <rFont val="Tahoma"/>
            <family val="2"/>
          </rPr>
          <t>user:</t>
        </r>
        <r>
          <rPr>
            <sz val="9"/>
            <color indexed="81"/>
            <rFont val="Tahoma"/>
            <family val="2"/>
          </rPr>
          <t xml:space="preserve">
ULTIMA FACTURA POR S/ 27266</t>
        </r>
      </text>
    </comment>
    <comment ref="H59" authorId="1" shapeId="0" xr:uid="{00000000-0006-0000-2300-00002E000000}">
      <text>
        <r>
          <rPr>
            <b/>
            <sz val="9"/>
            <color indexed="81"/>
            <rFont val="Tahoma"/>
            <family val="2"/>
          </rPr>
          <t>user:</t>
        </r>
        <r>
          <rPr>
            <sz val="9"/>
            <color indexed="81"/>
            <rFont val="Tahoma"/>
            <family val="2"/>
          </rPr>
          <t xml:space="preserve">
F001-2492</t>
        </r>
      </text>
    </comment>
    <comment ref="H60" authorId="1" shapeId="0" xr:uid="{00000000-0006-0000-2300-00002F000000}">
      <text>
        <r>
          <rPr>
            <b/>
            <sz val="9"/>
            <color indexed="81"/>
            <rFont val="Tahoma"/>
            <family val="2"/>
          </rPr>
          <t>user:</t>
        </r>
        <r>
          <rPr>
            <sz val="9"/>
            <color indexed="81"/>
            <rFont val="Tahoma"/>
            <family val="2"/>
          </rPr>
          <t xml:space="preserve">
TENIA 2493   F001-2511
</t>
        </r>
      </text>
    </comment>
    <comment ref="H61" authorId="3" shapeId="0" xr:uid="{00000000-0006-0000-2300-000030000000}">
      <text>
        <r>
          <rPr>
            <b/>
            <sz val="9"/>
            <color indexed="81"/>
            <rFont val="Tahoma"/>
            <family val="2"/>
          </rPr>
          <t>Sonia:</t>
        </r>
        <r>
          <rPr>
            <sz val="9"/>
            <color indexed="81"/>
            <rFont val="Tahoma"/>
            <family val="2"/>
          </rPr>
          <t xml:space="preserve">
2549</t>
        </r>
      </text>
    </comment>
    <comment ref="H62" authorId="3" shapeId="0" xr:uid="{00000000-0006-0000-2300-000031000000}">
      <text>
        <r>
          <rPr>
            <b/>
            <sz val="9"/>
            <color indexed="81"/>
            <rFont val="Tahoma"/>
            <family val="2"/>
          </rPr>
          <t>Sonia:</t>
        </r>
        <r>
          <rPr>
            <sz val="9"/>
            <color indexed="81"/>
            <rFont val="Tahoma"/>
            <family val="2"/>
          </rPr>
          <t xml:space="preserve">
2550</t>
        </r>
      </text>
    </comment>
    <comment ref="H63" authorId="1" shapeId="0" xr:uid="{00000000-0006-0000-2300-000032000000}">
      <text>
        <r>
          <rPr>
            <b/>
            <sz val="9"/>
            <color indexed="81"/>
            <rFont val="Tahoma"/>
            <family val="2"/>
          </rPr>
          <t>user:</t>
        </r>
        <r>
          <rPr>
            <sz val="9"/>
            <color indexed="81"/>
            <rFont val="Tahoma"/>
            <family val="2"/>
          </rPr>
          <t xml:space="preserve">
F001-2669
F001-3041</t>
        </r>
      </text>
    </comment>
    <comment ref="H64" authorId="1" shapeId="0" xr:uid="{00000000-0006-0000-2300-000033000000}">
      <text>
        <r>
          <rPr>
            <b/>
            <sz val="9"/>
            <color indexed="81"/>
            <rFont val="Tahoma"/>
            <family val="2"/>
          </rPr>
          <t>user:</t>
        </r>
        <r>
          <rPr>
            <sz val="9"/>
            <color indexed="81"/>
            <rFont val="Tahoma"/>
            <family val="2"/>
          </rPr>
          <t xml:space="preserve">
F001-2671
F001-3040</t>
        </r>
      </text>
    </comment>
    <comment ref="H65" authorId="1" shapeId="0" xr:uid="{00000000-0006-0000-2300-000034000000}">
      <text>
        <r>
          <rPr>
            <b/>
            <sz val="9"/>
            <color indexed="81"/>
            <rFont val="Tahoma"/>
            <family val="2"/>
          </rPr>
          <t>user:</t>
        </r>
        <r>
          <rPr>
            <sz val="9"/>
            <color indexed="81"/>
            <rFont val="Tahoma"/>
            <family val="2"/>
          </rPr>
          <t xml:space="preserve">
F001-2687</t>
        </r>
      </text>
    </comment>
    <comment ref="H66" authorId="1" shapeId="0" xr:uid="{00000000-0006-0000-2300-000035000000}">
      <text>
        <r>
          <rPr>
            <b/>
            <sz val="9"/>
            <color indexed="81"/>
            <rFont val="Tahoma"/>
            <family val="2"/>
          </rPr>
          <t>user:</t>
        </r>
        <r>
          <rPr>
            <sz val="9"/>
            <color indexed="81"/>
            <rFont val="Tahoma"/>
            <family val="2"/>
          </rPr>
          <t xml:space="preserve">
F001-2688</t>
        </r>
      </text>
    </comment>
    <comment ref="H67" authorId="1" shapeId="0" xr:uid="{00000000-0006-0000-2300-000036000000}">
      <text>
        <r>
          <rPr>
            <b/>
            <sz val="9"/>
            <color indexed="81"/>
            <rFont val="Tahoma"/>
            <family val="2"/>
          </rPr>
          <t>user:</t>
        </r>
        <r>
          <rPr>
            <sz val="9"/>
            <color indexed="81"/>
            <rFont val="Tahoma"/>
            <family val="2"/>
          </rPr>
          <t xml:space="preserve">
F001-2766  
F001-3044</t>
        </r>
      </text>
    </comment>
    <comment ref="F68" authorId="1" shapeId="0" xr:uid="{00000000-0006-0000-2300-000037000000}">
      <text>
        <r>
          <rPr>
            <b/>
            <sz val="9"/>
            <color indexed="81"/>
            <rFont val="Tahoma"/>
            <family val="2"/>
          </rPr>
          <t>user:</t>
        </r>
        <r>
          <rPr>
            <sz val="9"/>
            <color indexed="81"/>
            <rFont val="Tahoma"/>
            <family val="2"/>
          </rPr>
          <t xml:space="preserve">
2092 atiende hasta las 10 - despegaron de Tumbes a las 00: 39 
se cotabiliza 3 horas ADP 132.5 + IGV X 3 HORAS</t>
        </r>
      </text>
    </comment>
    <comment ref="H68" authorId="1" shapeId="0" xr:uid="{00000000-0006-0000-2300-000038000000}">
      <text>
        <r>
          <rPr>
            <b/>
            <sz val="9"/>
            <color indexed="81"/>
            <rFont val="Tahoma"/>
            <family val="2"/>
          </rPr>
          <t>user:</t>
        </r>
        <r>
          <rPr>
            <sz val="9"/>
            <color indexed="81"/>
            <rFont val="Tahoma"/>
            <family val="2"/>
          </rPr>
          <t xml:space="preserve">
F001-2767
F001-3045</t>
        </r>
      </text>
    </comment>
    <comment ref="I68" authorId="1" shapeId="0" xr:uid="{00000000-0006-0000-2300-000039000000}">
      <text>
        <r>
          <rPr>
            <b/>
            <sz val="9"/>
            <color indexed="81"/>
            <rFont val="Tahoma"/>
            <family val="2"/>
          </rPr>
          <t>user:</t>
        </r>
        <r>
          <rPr>
            <sz val="9"/>
            <color indexed="81"/>
            <rFont val="Tahoma"/>
            <family val="2"/>
          </rPr>
          <t xml:space="preserve">
aumentar de apertura por la hora y exigibilidad de atencion, aceptaran el pago </t>
        </r>
      </text>
    </comment>
    <comment ref="V68" authorId="1" shapeId="0" xr:uid="{00000000-0006-0000-2300-00003A000000}">
      <text>
        <r>
          <rPr>
            <b/>
            <sz val="9"/>
            <color indexed="81"/>
            <rFont val="Tahoma"/>
            <family val="2"/>
          </rPr>
          <t>user:</t>
        </r>
        <r>
          <rPr>
            <sz val="9"/>
            <color indexed="81"/>
            <rFont val="Tahoma"/>
            <family val="2"/>
          </rPr>
          <t xml:space="preserve">
DIA SIGUIENTE</t>
        </r>
      </text>
    </comment>
    <comment ref="H69" authorId="1" shapeId="0" xr:uid="{00000000-0006-0000-2300-00003B000000}">
      <text>
        <r>
          <rPr>
            <b/>
            <sz val="9"/>
            <color indexed="81"/>
            <rFont val="Tahoma"/>
            <family val="2"/>
          </rPr>
          <t>user:</t>
        </r>
        <r>
          <rPr>
            <sz val="9"/>
            <color indexed="81"/>
            <rFont val="Tahoma"/>
            <family val="2"/>
          </rPr>
          <t xml:space="preserve">
F001-2852
F001-3043</t>
        </r>
      </text>
    </comment>
    <comment ref="H70" authorId="1" shapeId="0" xr:uid="{00000000-0006-0000-2300-00003C000000}">
      <text>
        <r>
          <rPr>
            <b/>
            <sz val="9"/>
            <color indexed="81"/>
            <rFont val="Tahoma"/>
            <family val="2"/>
          </rPr>
          <t>user:</t>
        </r>
        <r>
          <rPr>
            <sz val="9"/>
            <color indexed="81"/>
            <rFont val="Tahoma"/>
            <family val="2"/>
          </rPr>
          <t xml:space="preserve">
F001-2853
F001-3042</t>
        </r>
      </text>
    </comment>
    <comment ref="I70" authorId="1" shapeId="0" xr:uid="{00000000-0006-0000-2300-00003D000000}">
      <text>
        <r>
          <rPr>
            <b/>
            <sz val="9"/>
            <color indexed="81"/>
            <rFont val="Tahoma"/>
            <family val="2"/>
          </rPr>
          <t>user:</t>
        </r>
        <r>
          <rPr>
            <sz val="9"/>
            <color indexed="81"/>
            <rFont val="Tahoma"/>
            <family val="2"/>
          </rPr>
          <t xml:space="preserve">
4 HORAS DE APERTURA ADP TUMBES $ X H 137092
</t>
        </r>
      </text>
    </comment>
    <comment ref="H71" authorId="1" shapeId="0" xr:uid="{00000000-0006-0000-2300-00003E000000}">
      <text>
        <r>
          <rPr>
            <b/>
            <sz val="9"/>
            <color indexed="81"/>
            <rFont val="Tahoma"/>
            <family val="2"/>
          </rPr>
          <t>user:</t>
        </r>
        <r>
          <rPr>
            <sz val="9"/>
            <color indexed="81"/>
            <rFont val="Tahoma"/>
            <family val="2"/>
          </rPr>
          <t xml:space="preserve">
F001-2906   F001-3946</t>
        </r>
      </text>
    </comment>
    <comment ref="H72" authorId="1" shapeId="0" xr:uid="{00000000-0006-0000-2300-00003F000000}">
      <text>
        <r>
          <rPr>
            <b/>
            <sz val="9"/>
            <color indexed="81"/>
            <rFont val="Tahoma"/>
            <family val="2"/>
          </rPr>
          <t>user:</t>
        </r>
        <r>
          <rPr>
            <sz val="9"/>
            <color indexed="81"/>
            <rFont val="Tahoma"/>
            <family val="2"/>
          </rPr>
          <t xml:space="preserve">
F001-2911  F001-3947</t>
        </r>
      </text>
    </comment>
    <comment ref="H73" authorId="1" shapeId="0" xr:uid="{00000000-0006-0000-2300-000040000000}">
      <text>
        <r>
          <rPr>
            <b/>
            <sz val="9"/>
            <color indexed="81"/>
            <rFont val="Tahoma"/>
            <family val="2"/>
          </rPr>
          <t>user:</t>
        </r>
        <r>
          <rPr>
            <sz val="9"/>
            <color indexed="81"/>
            <rFont val="Tahoma"/>
            <family val="2"/>
          </rPr>
          <t xml:space="preserve">
F001-3523</t>
        </r>
      </text>
    </comment>
    <comment ref="H74" authorId="1" shapeId="0" xr:uid="{00000000-0006-0000-2300-000041000000}">
      <text>
        <r>
          <rPr>
            <b/>
            <sz val="9"/>
            <color indexed="81"/>
            <rFont val="Tahoma"/>
            <family val="2"/>
          </rPr>
          <t>user:</t>
        </r>
        <r>
          <rPr>
            <sz val="9"/>
            <color indexed="81"/>
            <rFont val="Tahoma"/>
            <family val="2"/>
          </rPr>
          <t xml:space="preserve">
F001-3524</t>
        </r>
      </text>
    </comment>
    <comment ref="H75" authorId="1" shapeId="0" xr:uid="{00000000-0006-0000-2300-000042000000}">
      <text>
        <r>
          <rPr>
            <b/>
            <sz val="9"/>
            <color indexed="81"/>
            <rFont val="Tahoma"/>
            <family val="2"/>
          </rPr>
          <t>user:</t>
        </r>
        <r>
          <rPr>
            <sz val="9"/>
            <color indexed="81"/>
            <rFont val="Tahoma"/>
            <family val="2"/>
          </rPr>
          <t xml:space="preserve">
F001-3525</t>
        </r>
      </text>
    </comment>
    <comment ref="H76" authorId="1" shapeId="0" xr:uid="{00000000-0006-0000-2300-000043000000}">
      <text>
        <r>
          <rPr>
            <b/>
            <sz val="9"/>
            <color indexed="81"/>
            <rFont val="Tahoma"/>
            <family val="2"/>
          </rPr>
          <t>user:</t>
        </r>
        <r>
          <rPr>
            <sz val="9"/>
            <color indexed="81"/>
            <rFont val="Tahoma"/>
            <family val="2"/>
          </rPr>
          <t xml:space="preserve">
F001-3526</t>
        </r>
      </text>
    </comment>
    <comment ref="H77" authorId="1" shapeId="0" xr:uid="{00000000-0006-0000-2300-000044000000}">
      <text>
        <r>
          <rPr>
            <b/>
            <sz val="9"/>
            <color indexed="81"/>
            <rFont val="Tahoma"/>
            <family val="2"/>
          </rPr>
          <t>user:</t>
        </r>
        <r>
          <rPr>
            <sz val="9"/>
            <color indexed="81"/>
            <rFont val="Tahoma"/>
            <family val="2"/>
          </rPr>
          <t xml:space="preserve">
F001-3562  F001-3801</t>
        </r>
      </text>
    </comment>
    <comment ref="H78" authorId="1" shapeId="0" xr:uid="{00000000-0006-0000-2300-000045000000}">
      <text>
        <r>
          <rPr>
            <b/>
            <sz val="9"/>
            <color indexed="81"/>
            <rFont val="Tahoma"/>
            <family val="2"/>
          </rPr>
          <t>user:</t>
        </r>
        <r>
          <rPr>
            <sz val="9"/>
            <color indexed="81"/>
            <rFont val="Tahoma"/>
            <family val="2"/>
          </rPr>
          <t xml:space="preserve">
F001-3564   F001-3802 3830</t>
        </r>
      </text>
    </comment>
    <comment ref="H79" authorId="3" shapeId="0" xr:uid="{00000000-0006-0000-2300-000046000000}">
      <text>
        <r>
          <rPr>
            <b/>
            <sz val="9"/>
            <color indexed="81"/>
            <rFont val="Tahoma"/>
            <family val="2"/>
          </rPr>
          <t>Sonia:</t>
        </r>
        <r>
          <rPr>
            <sz val="9"/>
            <color indexed="81"/>
            <rFont val="Tahoma"/>
            <family val="2"/>
          </rPr>
          <t xml:space="preserve">
F001-3760</t>
        </r>
      </text>
    </comment>
    <comment ref="J79" authorId="1" shapeId="0" xr:uid="{00000000-0006-0000-2300-000047000000}">
      <text>
        <r>
          <rPr>
            <b/>
            <sz val="9"/>
            <color indexed="81"/>
            <rFont val="Tahoma"/>
            <family val="2"/>
          </rPr>
          <t>user:</t>
        </r>
        <r>
          <rPr>
            <sz val="9"/>
            <color indexed="81"/>
            <rFont val="Tahoma"/>
            <family val="2"/>
          </rPr>
          <t xml:space="preserve">
A ESTAS FACTURAS APLIQUE EL PAGO DE LA FECHA 14-10-2025</t>
        </r>
      </text>
    </comment>
    <comment ref="H80" authorId="3" shapeId="0" xr:uid="{00000000-0006-0000-2300-000048000000}">
      <text>
        <r>
          <rPr>
            <b/>
            <sz val="9"/>
            <color indexed="81"/>
            <rFont val="Tahoma"/>
            <family val="2"/>
          </rPr>
          <t>Sonia:</t>
        </r>
        <r>
          <rPr>
            <sz val="9"/>
            <color indexed="81"/>
            <rFont val="Tahoma"/>
            <family val="2"/>
          </rPr>
          <t xml:space="preserve">
F001-3760</t>
        </r>
      </text>
    </comment>
    <comment ref="H81" authorId="1" shapeId="0" xr:uid="{00000000-0006-0000-2300-000049000000}">
      <text>
        <r>
          <rPr>
            <b/>
            <sz val="9"/>
            <color indexed="81"/>
            <rFont val="Tahoma"/>
            <family val="2"/>
          </rPr>
          <t>user:</t>
        </r>
        <r>
          <rPr>
            <sz val="9"/>
            <color indexed="81"/>
            <rFont val="Tahoma"/>
            <family val="2"/>
          </rPr>
          <t xml:space="preserve">
F001-3762</t>
        </r>
      </text>
    </comment>
    <comment ref="H82" authorId="1" shapeId="0" xr:uid="{00000000-0006-0000-2300-00004A000000}">
      <text>
        <r>
          <rPr>
            <b/>
            <sz val="9"/>
            <color indexed="81"/>
            <rFont val="Tahoma"/>
            <family val="2"/>
          </rPr>
          <t>user:</t>
        </r>
        <r>
          <rPr>
            <sz val="9"/>
            <color indexed="81"/>
            <rFont val="Tahoma"/>
            <family val="2"/>
          </rPr>
          <t xml:space="preserve">
F001-3763</t>
        </r>
      </text>
    </comment>
    <comment ref="H105" authorId="3" shapeId="0" xr:uid="{00000000-0006-0000-2300-00004B000000}">
      <text>
        <r>
          <rPr>
            <b/>
            <sz val="9"/>
            <color indexed="81"/>
            <rFont val="Tahoma"/>
            <family val="2"/>
          </rPr>
          <t>Sonia:</t>
        </r>
        <r>
          <rPr>
            <sz val="9"/>
            <color indexed="81"/>
            <rFont val="Tahoma"/>
            <family val="2"/>
          </rPr>
          <t xml:space="preserve">
F001-3406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K3" authorId="0" shapeId="0" xr:uid="{00000000-0006-0000-2400-000001000000}">
      <text>
        <r>
          <rPr>
            <b/>
            <sz val="9"/>
            <color indexed="81"/>
            <rFont val="Tahoma"/>
            <family val="2"/>
          </rPr>
          <t>LENOVO:</t>
        </r>
        <r>
          <rPr>
            <sz val="9"/>
            <color indexed="81"/>
            <rFont val="Tahoma"/>
            <family val="2"/>
          </rPr>
          <t xml:space="preserve">
PAGO 27325 VER A QUE COMPROBANTES AFECTARA</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user</author>
    <author>Sonia</author>
  </authors>
  <commentList>
    <comment ref="H12" authorId="0" shapeId="0" xr:uid="{00000000-0006-0000-2500-000001000000}">
      <text>
        <r>
          <rPr>
            <b/>
            <sz val="9"/>
            <color indexed="81"/>
            <rFont val="Tahoma"/>
            <family val="2"/>
          </rPr>
          <t>user:</t>
        </r>
        <r>
          <rPr>
            <sz val="9"/>
            <color indexed="81"/>
            <rFont val="Tahoma"/>
            <family val="2"/>
          </rPr>
          <t xml:space="preserve">
TENIA FACTURA F001-1381</t>
        </r>
      </text>
    </comment>
    <comment ref="H38" authorId="1" shapeId="0" xr:uid="{00000000-0006-0000-2500-000002000000}">
      <text>
        <r>
          <rPr>
            <b/>
            <sz val="9"/>
            <color indexed="81"/>
            <rFont val="Tahoma"/>
            <family val="2"/>
          </rPr>
          <t>Sonia:</t>
        </r>
        <r>
          <rPr>
            <sz val="9"/>
            <color indexed="81"/>
            <rFont val="Tahoma"/>
            <family val="2"/>
          </rPr>
          <t xml:space="preserve">
F001-3641
F001-3768</t>
        </r>
      </text>
    </comment>
    <comment ref="H39" authorId="1" shapeId="0" xr:uid="{00000000-0006-0000-2500-000003000000}">
      <text>
        <r>
          <rPr>
            <b/>
            <sz val="9"/>
            <color indexed="81"/>
            <rFont val="Tahoma"/>
            <family val="2"/>
          </rPr>
          <t>Sonia:</t>
        </r>
        <r>
          <rPr>
            <sz val="9"/>
            <color indexed="81"/>
            <rFont val="Tahoma"/>
            <family val="2"/>
          </rPr>
          <t xml:space="preserve">
F001-3685</t>
        </r>
      </text>
    </comment>
    <comment ref="I39" authorId="0" shapeId="0" xr:uid="{00000000-0006-0000-2500-000004000000}">
      <text>
        <r>
          <rPr>
            <b/>
            <sz val="9"/>
            <color indexed="81"/>
            <rFont val="Tahoma"/>
            <family val="2"/>
          </rPr>
          <t>user:</t>
        </r>
        <r>
          <rPr>
            <sz val="9"/>
            <color indexed="81"/>
            <rFont val="Tahoma"/>
            <family val="2"/>
          </rPr>
          <t xml:space="preserve">
PORQUE ESTE PRECIO??? SEGÚN LA ORDEN</t>
        </r>
      </text>
    </comment>
    <comment ref="H41" authorId="1" shapeId="0" xr:uid="{00000000-0006-0000-2500-000005000000}">
      <text>
        <r>
          <rPr>
            <b/>
            <sz val="9"/>
            <color indexed="81"/>
            <rFont val="Tahoma"/>
            <family val="2"/>
          </rPr>
          <t>Sonia:</t>
        </r>
        <r>
          <rPr>
            <sz val="9"/>
            <color indexed="81"/>
            <rFont val="Tahoma"/>
            <family val="2"/>
          </rPr>
          <t xml:space="preserve">
F001-3714 F001-3736</t>
        </r>
      </text>
    </comment>
    <comment ref="H46" authorId="0" shapeId="0" xr:uid="{00000000-0006-0000-2500-000006000000}">
      <text>
        <r>
          <rPr>
            <b/>
            <sz val="9"/>
            <color indexed="81"/>
            <rFont val="Tahoma"/>
            <family val="2"/>
          </rPr>
          <t>user:</t>
        </r>
        <r>
          <rPr>
            <sz val="9"/>
            <color indexed="81"/>
            <rFont val="Tahoma"/>
            <family val="2"/>
          </rPr>
          <t xml:space="preserve">
F001-4643</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Admin</author>
    <author>user</author>
  </authors>
  <commentList>
    <comment ref="H3" authorId="0" shapeId="0" xr:uid="{00000000-0006-0000-2600-000001000000}">
      <text>
        <r>
          <rPr>
            <b/>
            <sz val="9"/>
            <color indexed="81"/>
            <rFont val="Tahoma"/>
            <family val="2"/>
          </rPr>
          <t>Admin:</t>
        </r>
        <r>
          <rPr>
            <sz val="9"/>
            <color indexed="81"/>
            <rFont val="Tahoma"/>
            <family val="2"/>
          </rPr>
          <t xml:space="preserve">
TENIA FACTURA 1030 ENVIADA EL 21-11-22 FUE MODIFICADA </t>
        </r>
      </text>
    </comment>
    <comment ref="H12" authorId="1" shapeId="0" xr:uid="{00000000-0006-0000-2600-000002000000}">
      <text>
        <r>
          <rPr>
            <b/>
            <sz val="9"/>
            <color indexed="81"/>
            <rFont val="Tahoma"/>
            <family val="2"/>
          </rPr>
          <t>user:</t>
        </r>
        <r>
          <rPr>
            <sz val="9"/>
            <color indexed="81"/>
            <rFont val="Tahoma"/>
            <family val="2"/>
          </rPr>
          <t xml:space="preserve">
F001-2878</t>
        </r>
      </text>
    </comment>
    <comment ref="H13" authorId="1" shapeId="0" xr:uid="{00000000-0006-0000-2600-000003000000}">
      <text>
        <r>
          <rPr>
            <b/>
            <sz val="9"/>
            <color indexed="81"/>
            <rFont val="Tahoma"/>
            <family val="2"/>
          </rPr>
          <t>user:</t>
        </r>
        <r>
          <rPr>
            <sz val="9"/>
            <color indexed="81"/>
            <rFont val="Tahoma"/>
            <family val="2"/>
          </rPr>
          <t xml:space="preserve">
F001-2879</t>
        </r>
      </text>
    </comment>
    <comment ref="H14" authorId="1" shapeId="0" xr:uid="{00000000-0006-0000-2600-000004000000}">
      <text>
        <r>
          <rPr>
            <b/>
            <sz val="9"/>
            <color indexed="81"/>
            <rFont val="Tahoma"/>
            <family val="2"/>
          </rPr>
          <t>user:</t>
        </r>
        <r>
          <rPr>
            <sz val="9"/>
            <color indexed="81"/>
            <rFont val="Tahoma"/>
            <family val="2"/>
          </rPr>
          <t xml:space="preserve">
2880</t>
        </r>
      </text>
    </comment>
    <comment ref="H15" authorId="1" shapeId="0" xr:uid="{00000000-0006-0000-2600-000005000000}">
      <text>
        <r>
          <rPr>
            <b/>
            <sz val="9"/>
            <color indexed="81"/>
            <rFont val="Tahoma"/>
            <family val="2"/>
          </rPr>
          <t>user:</t>
        </r>
        <r>
          <rPr>
            <sz val="9"/>
            <color indexed="81"/>
            <rFont val="Tahoma"/>
            <family val="2"/>
          </rPr>
          <t xml:space="preserve">
F001-2881</t>
        </r>
      </text>
    </comment>
    <comment ref="G16" authorId="1" shapeId="0" xr:uid="{00000000-0006-0000-2600-000006000000}">
      <text>
        <r>
          <rPr>
            <b/>
            <sz val="9"/>
            <color indexed="81"/>
            <rFont val="Tahoma"/>
            <family val="2"/>
          </rPr>
          <t>user:</t>
        </r>
        <r>
          <rPr>
            <sz val="9"/>
            <color indexed="81"/>
            <rFont val="Tahoma"/>
            <family val="2"/>
          </rPr>
          <t xml:space="preserve">
CON AMARILLO SE ENVIO PARA OFERTA</t>
        </r>
      </text>
    </comment>
    <comment ref="H27" authorId="1" shapeId="0" xr:uid="{00000000-0006-0000-2600-000007000000}">
      <text>
        <r>
          <rPr>
            <b/>
            <sz val="9"/>
            <color indexed="81"/>
            <rFont val="Tahoma"/>
            <family val="2"/>
          </rPr>
          <t>user:</t>
        </r>
        <r>
          <rPr>
            <sz val="9"/>
            <color indexed="81"/>
            <rFont val="Tahoma"/>
            <family val="2"/>
          </rPr>
          <t xml:space="preserve">
F001-4200</t>
        </r>
      </text>
    </comment>
    <comment ref="H38" authorId="1" shapeId="0" xr:uid="{00000000-0006-0000-2600-000008000000}">
      <text>
        <r>
          <rPr>
            <b/>
            <sz val="9"/>
            <color indexed="81"/>
            <rFont val="Tahoma"/>
            <family val="2"/>
          </rPr>
          <t>user:</t>
        </r>
        <r>
          <rPr>
            <sz val="9"/>
            <color indexed="81"/>
            <rFont val="Tahoma"/>
            <family val="2"/>
          </rPr>
          <t xml:space="preserve">
F001-5187</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LENOVO</author>
    <author>user</author>
    <author>Carlos</author>
  </authors>
  <commentList>
    <comment ref="H5" authorId="0" shapeId="0" xr:uid="{00000000-0006-0000-2700-000001000000}">
      <text>
        <r>
          <rPr>
            <b/>
            <sz val="9"/>
            <color indexed="81"/>
            <rFont val="Tahoma"/>
            <family val="2"/>
          </rPr>
          <t>LENOVO:</t>
        </r>
        <r>
          <rPr>
            <sz val="9"/>
            <color indexed="81"/>
            <rFont val="Tahoma"/>
            <family val="2"/>
          </rPr>
          <t xml:space="preserve">
llego orden de servicio el 05-09-22</t>
        </r>
      </text>
    </comment>
    <comment ref="C6" authorId="0" shapeId="0" xr:uid="{00000000-0006-0000-2700-000002000000}">
      <text>
        <r>
          <rPr>
            <b/>
            <sz val="9"/>
            <color indexed="81"/>
            <rFont val="Tahoma"/>
            <family val="2"/>
          </rPr>
          <t>LENOVO:</t>
        </r>
        <r>
          <rPr>
            <sz val="9"/>
            <color indexed="81"/>
            <rFont val="Tahoma"/>
            <family val="2"/>
          </rPr>
          <t xml:space="preserve">
2104 tuvo problemas de ventanas SALIO DE LIMA A 07:19 MOYA - PEREA 8:22 ATERRIZO </t>
        </r>
      </text>
    </comment>
    <comment ref="I6" authorId="0" shapeId="0" xr:uid="{00000000-0006-0000-2700-000003000000}">
      <text>
        <r>
          <rPr>
            <b/>
            <sz val="9"/>
            <color indexed="81"/>
            <rFont val="Tahoma"/>
            <family val="2"/>
          </rPr>
          <t>LENOVO:</t>
        </r>
        <r>
          <rPr>
            <sz val="9"/>
            <color indexed="81"/>
            <rFont val="Tahoma"/>
            <family val="2"/>
          </rPr>
          <t xml:space="preserve">
MODIFICADA F001-867</t>
        </r>
      </text>
    </comment>
    <comment ref="I7" authorId="0" shapeId="0" xr:uid="{00000000-0006-0000-2700-000004000000}">
      <text>
        <r>
          <rPr>
            <b/>
            <sz val="9"/>
            <color indexed="81"/>
            <rFont val="Tahoma"/>
            <family val="2"/>
          </rPr>
          <t>LENOVO:</t>
        </r>
        <r>
          <rPr>
            <sz val="9"/>
            <color indexed="81"/>
            <rFont val="Tahoma"/>
            <family val="2"/>
          </rPr>
          <t xml:space="preserve">
MODIFICADA F001-917</t>
        </r>
      </text>
    </comment>
    <comment ref="H20" authorId="1" shapeId="0" xr:uid="{00000000-0006-0000-2700-000005000000}">
      <text>
        <r>
          <rPr>
            <b/>
            <sz val="9"/>
            <color indexed="81"/>
            <rFont val="Tahoma"/>
            <family val="2"/>
          </rPr>
          <t>user:</t>
        </r>
        <r>
          <rPr>
            <sz val="9"/>
            <color indexed="81"/>
            <rFont val="Tahoma"/>
            <family val="2"/>
          </rPr>
          <t xml:space="preserve">
SE MODIFICÓ NOMBRE DE PACIENTE INTERNAMENTE EN FACTURACION</t>
        </r>
      </text>
    </comment>
    <comment ref="G28" authorId="2" shapeId="0" xr:uid="{00000000-0006-0000-2700-000006000000}">
      <text>
        <r>
          <rPr>
            <b/>
            <sz val="9"/>
            <color indexed="81"/>
            <rFont val="Tahoma"/>
            <family val="2"/>
          </rPr>
          <t>Carlos:</t>
        </r>
        <r>
          <rPr>
            <sz val="9"/>
            <color indexed="81"/>
            <rFont val="Tahoma"/>
            <family val="2"/>
          </rPr>
          <t xml:space="preserve">
Servicio fuera de contrato, se esta tramitando la adenda con la Srta Kathy (20/07/26)</t>
        </r>
      </text>
    </comment>
    <comment ref="G29" authorId="2" shapeId="0" xr:uid="{00000000-0006-0000-2700-000007000000}">
      <text>
        <r>
          <rPr>
            <b/>
            <sz val="9"/>
            <color indexed="81"/>
            <rFont val="Tahoma"/>
            <family val="2"/>
          </rPr>
          <t>Carlos:</t>
        </r>
        <r>
          <rPr>
            <sz val="9"/>
            <color indexed="81"/>
            <rFont val="Tahoma"/>
            <family val="2"/>
          </rPr>
          <t xml:space="preserve">
Servicio fuera de contrato, se esta tramitando la adenda con la Srta Kathy (30/07/26)</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H15" authorId="0" shapeId="0" xr:uid="{00000000-0006-0000-2800-000001000000}">
      <text>
        <r>
          <rPr>
            <b/>
            <sz val="9"/>
            <color indexed="81"/>
            <rFont val="Tahoma"/>
            <family val="2"/>
          </rPr>
          <t>user:</t>
        </r>
        <r>
          <rPr>
            <sz val="9"/>
            <color indexed="81"/>
            <rFont val="Tahoma"/>
            <family val="2"/>
          </rPr>
          <t xml:space="preserve">
F001-1789 SIN OC</t>
        </r>
      </text>
    </comment>
    <comment ref="H16" authorId="0" shapeId="0" xr:uid="{00000000-0006-0000-2800-000002000000}">
      <text>
        <r>
          <rPr>
            <b/>
            <sz val="9"/>
            <color indexed="81"/>
            <rFont val="Tahoma"/>
            <family val="2"/>
          </rPr>
          <t>user:</t>
        </r>
        <r>
          <rPr>
            <sz val="9"/>
            <color indexed="81"/>
            <rFont val="Tahoma"/>
            <family val="2"/>
          </rPr>
          <t xml:space="preserve">
SE FACTURÓ SIN TENER LA OC</t>
        </r>
      </text>
    </comment>
    <comment ref="H17" authorId="0" shapeId="0" xr:uid="{00000000-0006-0000-2800-000003000000}">
      <text>
        <r>
          <rPr>
            <b/>
            <sz val="9"/>
            <color indexed="81"/>
            <rFont val="Tahoma"/>
            <family val="2"/>
          </rPr>
          <t>user:</t>
        </r>
        <r>
          <rPr>
            <sz val="9"/>
            <color indexed="81"/>
            <rFont val="Tahoma"/>
            <family val="2"/>
          </rPr>
          <t xml:space="preserve">
SIN OC</t>
        </r>
      </text>
    </comment>
    <comment ref="D25" authorId="0" shapeId="0" xr:uid="{00000000-0006-0000-2800-000004000000}">
      <text>
        <r>
          <rPr>
            <b/>
            <sz val="9"/>
            <color indexed="81"/>
            <rFont val="Tahoma"/>
            <family val="2"/>
          </rPr>
          <t>user:</t>
        </r>
        <r>
          <rPr>
            <sz val="9"/>
            <color indexed="81"/>
            <rFont val="Tahoma"/>
            <family val="2"/>
          </rPr>
          <t xml:space="preserve">
NO SE TRASLADÓ POR ESTADO DE PACIENTE</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user</author>
    <author>Sonia</author>
  </authors>
  <commentList>
    <comment ref="K40" authorId="0" shapeId="0" xr:uid="{00000000-0006-0000-2900-000001000000}">
      <text>
        <r>
          <rPr>
            <b/>
            <sz val="9"/>
            <color indexed="81"/>
            <rFont val="Tahoma"/>
            <family val="2"/>
          </rPr>
          <t>user:</t>
        </r>
        <r>
          <rPr>
            <sz val="9"/>
            <color indexed="81"/>
            <rFont val="Tahoma"/>
            <family val="2"/>
          </rPr>
          <t xml:space="preserve">
COMPENSACIÓN CON SERVICIO DE CUSCO DEL 31-12-23 FACTURA FF001-000006(INCA) Y; MENOS FACTURA F001-2159(MANTENIMIENTO MAJORO). DESPUES D ELA COM PENSACIÓN MAJORO DEBE PAGAR A INCA EL SALDO POR S/ 3271 Y TAMBIEN PAGAR EL 12% DE LA DETRACCIÓN DE LA FACTURA 6</t>
        </r>
      </text>
    </comment>
    <comment ref="J41" authorId="0" shapeId="0" xr:uid="{00000000-0006-0000-2900-000002000000}">
      <text>
        <r>
          <rPr>
            <b/>
            <sz val="9"/>
            <color indexed="81"/>
            <rFont val="Tahoma"/>
            <family val="2"/>
          </rPr>
          <t>user:</t>
        </r>
        <r>
          <rPr>
            <sz val="9"/>
            <color indexed="81"/>
            <rFont val="Tahoma"/>
            <family val="2"/>
          </rPr>
          <t xml:space="preserve">
SE PAGÓ 1817.2 BBVA Y LA DETRACCIÓN BN POR S/ 2592 - LA DIFERENCIA FUE POR S/3270.96 SE HA COMPENSADO CON LA FACTURA F001-06</t>
        </r>
      </text>
    </comment>
    <comment ref="H43" authorId="0" shapeId="0" xr:uid="{00000000-0006-0000-2900-000003000000}">
      <text>
        <r>
          <rPr>
            <b/>
            <sz val="9"/>
            <color indexed="81"/>
            <rFont val="Tahoma"/>
            <family val="2"/>
          </rPr>
          <t>user:</t>
        </r>
        <r>
          <rPr>
            <sz val="9"/>
            <color indexed="81"/>
            <rFont val="Tahoma"/>
            <family val="2"/>
          </rPr>
          <t xml:space="preserve">
F001-2101</t>
        </r>
      </text>
    </comment>
    <comment ref="I44" authorId="0" shapeId="0" xr:uid="{00000000-0006-0000-2900-000004000000}">
      <text>
        <r>
          <rPr>
            <b/>
            <sz val="9"/>
            <color indexed="81"/>
            <rFont val="Tahoma"/>
            <family val="2"/>
          </rPr>
          <t>user:</t>
        </r>
        <r>
          <rPr>
            <sz val="9"/>
            <color indexed="81"/>
            <rFont val="Tahoma"/>
            <family val="2"/>
          </rPr>
          <t xml:space="preserve">
VER EL PRECIO</t>
        </r>
      </text>
    </comment>
    <comment ref="J56" authorId="0" shapeId="0" xr:uid="{00000000-0006-0000-2900-000005000000}">
      <text>
        <r>
          <rPr>
            <b/>
            <sz val="9"/>
            <color indexed="81"/>
            <rFont val="Tahoma"/>
            <family val="2"/>
          </rPr>
          <t>user:</t>
        </r>
        <r>
          <rPr>
            <sz val="9"/>
            <color indexed="81"/>
            <rFont val="Tahoma"/>
            <family val="2"/>
          </rPr>
          <t xml:space="preserve">
PAGÓ EN SOLES A T.C 3.72542</t>
        </r>
      </text>
    </comment>
    <comment ref="K57" authorId="0" shapeId="0" xr:uid="{00000000-0006-0000-2900-000006000000}">
      <text>
        <r>
          <rPr>
            <b/>
            <sz val="9"/>
            <color indexed="81"/>
            <rFont val="Tahoma"/>
            <family val="2"/>
          </rPr>
          <t>user:</t>
        </r>
        <r>
          <rPr>
            <sz val="9"/>
            <color indexed="81"/>
            <rFont val="Tahoma"/>
            <family val="2"/>
          </rPr>
          <t xml:space="preserve">
HA TRANSFERIDO A LA CUENTA EN SOLES</t>
        </r>
      </text>
    </comment>
    <comment ref="I58" authorId="0" shapeId="0" xr:uid="{00000000-0006-0000-2900-000007000000}">
      <text>
        <r>
          <rPr>
            <b/>
            <sz val="9"/>
            <color indexed="81"/>
            <rFont val="Tahoma"/>
            <family val="2"/>
          </rPr>
          <t>user:</t>
        </r>
        <r>
          <rPr>
            <sz val="9"/>
            <color indexed="81"/>
            <rFont val="Tahoma"/>
            <family val="2"/>
          </rPr>
          <t xml:space="preserve">
SE CONTEMPLO DOS HORAS DE APERTURA</t>
        </r>
      </text>
    </comment>
    <comment ref="J58" authorId="0" shapeId="0" xr:uid="{00000000-0006-0000-2900-000008000000}">
      <text>
        <r>
          <rPr>
            <b/>
            <sz val="9"/>
            <color indexed="81"/>
            <rFont val="Tahoma"/>
            <family val="2"/>
          </rPr>
          <t>user:</t>
        </r>
        <r>
          <rPr>
            <sz val="9"/>
            <color indexed="81"/>
            <rFont val="Tahoma"/>
            <family val="2"/>
          </rPr>
          <t xml:space="preserve">
OJO DEPOSITÓ $ 8,797.44 Y; SEGÚN REFIERE SR. JORGE TRANSFIRIÓ A LA CUENTA EN SOLES, LOS CUALES LLEGÓ EN CUENTA D EBANCO S/ 31,908.31. REVISAR PORQUE EL MONTO ABONADO EN DOLARES ES SUPERIOR AL DEL NETO DE DETRACCIÓN</t>
        </r>
      </text>
    </comment>
    <comment ref="J61" authorId="0" shapeId="0" xr:uid="{00000000-0006-0000-2900-000009000000}">
      <text>
        <r>
          <rPr>
            <b/>
            <sz val="9"/>
            <color indexed="81"/>
            <rFont val="Tahoma"/>
            <family val="2"/>
          </rPr>
          <t>user:</t>
        </r>
        <r>
          <rPr>
            <sz val="9"/>
            <color indexed="81"/>
            <rFont val="Tahoma"/>
            <family val="2"/>
          </rPr>
          <t xml:space="preserve">
1483.66 en soles, al tipo de cambio el monto de 394.6 tc 3.76 21-04</t>
        </r>
      </text>
    </comment>
    <comment ref="I62" authorId="0" shapeId="0" xr:uid="{00000000-0006-0000-2900-00000A000000}">
      <text>
        <r>
          <rPr>
            <b/>
            <sz val="9"/>
            <color indexed="81"/>
            <rFont val="Tahoma"/>
            <family val="2"/>
          </rPr>
          <t>user:</t>
        </r>
        <r>
          <rPr>
            <sz val="9"/>
            <color indexed="81"/>
            <rFont val="Tahoma"/>
            <family val="2"/>
          </rPr>
          <t xml:space="preserve">
pagó 9864.8</t>
        </r>
      </text>
    </comment>
    <comment ref="J63" authorId="0" shapeId="0" xr:uid="{00000000-0006-0000-2900-00000B000000}">
      <text>
        <r>
          <rPr>
            <b/>
            <sz val="9"/>
            <color indexed="81"/>
            <rFont val="Tahoma"/>
            <family val="2"/>
          </rPr>
          <t>user:</t>
        </r>
        <r>
          <rPr>
            <sz val="9"/>
            <color indexed="81"/>
            <rFont val="Tahoma"/>
            <family val="2"/>
          </rPr>
          <t xml:space="preserve">
1972.8 DEL PAGO DEL DIA 13-05 Y 6313.80 PAGÓ EL 21/05
</t>
        </r>
      </text>
    </comment>
    <comment ref="I74" authorId="0" shapeId="0" xr:uid="{00000000-0006-0000-2900-00000C000000}">
      <text>
        <r>
          <rPr>
            <b/>
            <sz val="9"/>
            <color indexed="81"/>
            <rFont val="Tahoma"/>
            <family val="2"/>
          </rPr>
          <t>user:</t>
        </r>
        <r>
          <rPr>
            <sz val="9"/>
            <color indexed="81"/>
            <rFont val="Tahoma"/>
            <family val="2"/>
          </rPr>
          <t xml:space="preserve">
PAGÓ A 3.57 TIPO D ECAMBIO</t>
        </r>
      </text>
    </comment>
    <comment ref="J74" authorId="0" shapeId="0" xr:uid="{00000000-0006-0000-2900-00000D000000}">
      <text>
        <r>
          <rPr>
            <b/>
            <sz val="9"/>
            <color indexed="81"/>
            <rFont val="Tahoma"/>
            <family val="2"/>
          </rPr>
          <t>user:</t>
        </r>
        <r>
          <rPr>
            <sz val="9"/>
            <color indexed="81"/>
            <rFont val="Tahoma"/>
            <family val="2"/>
          </rPr>
          <t xml:space="preserve">
EN SOLES PAGÓ A TIPO D CAMBIO 3.57</t>
        </r>
      </text>
    </comment>
    <comment ref="I81" authorId="0" shapeId="0" xr:uid="{00000000-0006-0000-2900-00000E000000}">
      <text>
        <r>
          <rPr>
            <b/>
            <sz val="9"/>
            <color indexed="81"/>
            <rFont val="Tahoma"/>
            <family val="2"/>
          </rPr>
          <t>user:</t>
        </r>
        <r>
          <rPr>
            <sz val="9"/>
            <color indexed="81"/>
            <rFont val="Tahoma"/>
            <family val="2"/>
          </rPr>
          <t xml:space="preserve">
PAGÓ EN SOLES s/ 38,653.06 A TIPO DE CAMBIO 3.5792</t>
        </r>
      </text>
    </comment>
    <comment ref="I83" authorId="0" shapeId="0" xr:uid="{00000000-0006-0000-2900-00000F000000}">
      <text>
        <r>
          <rPr>
            <b/>
            <sz val="9"/>
            <color indexed="81"/>
            <rFont val="Tahoma"/>
            <family val="2"/>
          </rPr>
          <t>user:</t>
        </r>
        <r>
          <rPr>
            <sz val="9"/>
            <color indexed="81"/>
            <rFont val="Tahoma"/>
            <family val="2"/>
          </rPr>
          <t xml:space="preserve">
PAGÓ EL 05-08</t>
        </r>
      </text>
    </comment>
    <comment ref="I84" authorId="0" shapeId="0" xr:uid="{00000000-0006-0000-2900-000010000000}">
      <text>
        <r>
          <rPr>
            <b/>
            <sz val="9"/>
            <color indexed="81"/>
            <rFont val="Tahoma"/>
            <family val="2"/>
          </rPr>
          <t>user:</t>
        </r>
        <r>
          <rPr>
            <sz val="9"/>
            <color indexed="81"/>
            <rFont val="Tahoma"/>
            <family val="2"/>
          </rPr>
          <t xml:space="preserve">
10,799.36 PAGO DIA ANTERIOR</t>
        </r>
      </text>
    </comment>
    <comment ref="H85" authorId="0" shapeId="0" xr:uid="{00000000-0006-0000-2900-000011000000}">
      <text>
        <r>
          <rPr>
            <b/>
            <sz val="9"/>
            <color indexed="81"/>
            <rFont val="Tahoma"/>
            <family val="2"/>
          </rPr>
          <t>user:</t>
        </r>
        <r>
          <rPr>
            <sz val="9"/>
            <color indexed="81"/>
            <rFont val="Tahoma"/>
            <family val="2"/>
          </rPr>
          <t xml:space="preserve">
F001-4197</t>
        </r>
      </text>
    </comment>
    <comment ref="H86" authorId="0" shapeId="0" xr:uid="{00000000-0006-0000-2900-000012000000}">
      <text>
        <r>
          <rPr>
            <b/>
            <sz val="9"/>
            <color indexed="81"/>
            <rFont val="Tahoma"/>
            <family val="2"/>
          </rPr>
          <t>user:</t>
        </r>
        <r>
          <rPr>
            <sz val="9"/>
            <color indexed="81"/>
            <rFont val="Tahoma"/>
            <family val="2"/>
          </rPr>
          <t xml:space="preserve">
F001-4198</t>
        </r>
      </text>
    </comment>
    <comment ref="J88" authorId="0" shapeId="0" xr:uid="{00000000-0006-0000-2900-000013000000}">
      <text>
        <r>
          <rPr>
            <b/>
            <sz val="9"/>
            <color indexed="81"/>
            <rFont val="Tahoma"/>
            <family val="2"/>
          </rPr>
          <t>user:</t>
        </r>
        <r>
          <rPr>
            <sz val="9"/>
            <color indexed="81"/>
            <rFont val="Tahoma"/>
            <family val="2"/>
          </rPr>
          <t xml:space="preserve">
TARIFA MAS 1 HORA EXTRAORDINARIA</t>
        </r>
      </text>
    </comment>
    <comment ref="H89" authorId="0" shapeId="0" xr:uid="{00000000-0006-0000-2900-000014000000}">
      <text>
        <r>
          <rPr>
            <b/>
            <sz val="9"/>
            <color indexed="81"/>
            <rFont val="Tahoma"/>
            <family val="2"/>
          </rPr>
          <t>user:</t>
        </r>
        <r>
          <rPr>
            <sz val="9"/>
            <color indexed="81"/>
            <rFont val="Tahoma"/>
            <family val="2"/>
          </rPr>
          <t xml:space="preserve">
4329 Y 4330</t>
        </r>
      </text>
    </comment>
    <comment ref="H90" authorId="0" shapeId="0" xr:uid="{00000000-0006-0000-2900-000015000000}">
      <text>
        <r>
          <rPr>
            <b/>
            <sz val="9"/>
            <color indexed="81"/>
            <rFont val="Tahoma"/>
            <family val="2"/>
          </rPr>
          <t>user:</t>
        </r>
        <r>
          <rPr>
            <sz val="9"/>
            <color indexed="81"/>
            <rFont val="Tahoma"/>
            <family val="2"/>
          </rPr>
          <t xml:space="preserve">
F001-4336</t>
        </r>
      </text>
    </comment>
    <comment ref="H91" authorId="0" shapeId="0" xr:uid="{00000000-0006-0000-2900-000016000000}">
      <text>
        <r>
          <rPr>
            <b/>
            <sz val="9"/>
            <color indexed="81"/>
            <rFont val="Tahoma"/>
            <family val="2"/>
          </rPr>
          <t>user:</t>
        </r>
        <r>
          <rPr>
            <sz val="9"/>
            <color indexed="81"/>
            <rFont val="Tahoma"/>
            <family val="2"/>
          </rPr>
          <t xml:space="preserve">
F001-4337</t>
        </r>
      </text>
    </comment>
    <comment ref="I95" authorId="1" shapeId="0" xr:uid="{00000000-0006-0000-2900-000017000000}">
      <text>
        <r>
          <rPr>
            <b/>
            <sz val="9"/>
            <color indexed="81"/>
            <rFont val="Tahoma"/>
            <family val="2"/>
          </rPr>
          <t>Sonia:</t>
        </r>
        <r>
          <rPr>
            <sz val="9"/>
            <color indexed="81"/>
            <rFont val="Tahoma"/>
            <family val="2"/>
          </rPr>
          <t xml:space="preserve">
SE APLICÓ EL ABONO RECIBIDO EL 28-09-25 $ 8,119.67+ ABONO RECIBIDO EN ESTA FECHA $ 2,579.69 Y DEBE $ 100.00</t>
        </r>
      </text>
    </comment>
    <comment ref="I98" authorId="0" shapeId="0" xr:uid="{00000000-0006-0000-2900-000018000000}">
      <text>
        <r>
          <rPr>
            <b/>
            <sz val="9"/>
            <color indexed="81"/>
            <rFont val="Tahoma"/>
            <family val="2"/>
          </rPr>
          <t>user:</t>
        </r>
        <r>
          <rPr>
            <sz val="9"/>
            <color indexed="81"/>
            <rFont val="Tahoma"/>
            <family val="2"/>
          </rPr>
          <t xml:space="preserve">
PAGÓ EL LA AMBULANCIA TERRESTRE EN CUSCO</t>
        </r>
      </text>
    </comment>
    <comment ref="I106" authorId="0" shapeId="0" xr:uid="{00000000-0006-0000-2900-000019000000}">
      <text>
        <r>
          <rPr>
            <b/>
            <sz val="9"/>
            <color indexed="81"/>
            <rFont val="Tahoma"/>
            <family val="2"/>
          </rPr>
          <t>user:</t>
        </r>
        <r>
          <rPr>
            <sz val="9"/>
            <color indexed="81"/>
            <rFont val="Tahoma"/>
            <family val="2"/>
          </rPr>
          <t xml:space="preserve">
AMBULANCIA TERRESTRE EN LA PAZ QUERIA COBRAR DOLARES 500 </t>
        </r>
      </text>
    </comment>
    <comment ref="J109" authorId="0" shapeId="0" xr:uid="{00000000-0006-0000-2900-00001A000000}">
      <text>
        <r>
          <rPr>
            <b/>
            <sz val="9"/>
            <color indexed="81"/>
            <rFont val="Tahoma"/>
            <family val="2"/>
          </rPr>
          <t>user:</t>
        </r>
        <r>
          <rPr>
            <sz val="9"/>
            <color indexed="81"/>
            <rFont val="Tahoma"/>
            <family val="2"/>
          </rPr>
          <t xml:space="preserve">
el 01-05--26</t>
        </r>
      </text>
    </comment>
    <comment ref="J110" authorId="0" shapeId="0" xr:uid="{00000000-0006-0000-2900-00001B000000}">
      <text>
        <r>
          <rPr>
            <b/>
            <sz val="9"/>
            <color indexed="81"/>
            <rFont val="Tahoma"/>
            <family val="2"/>
          </rPr>
          <t>user:</t>
        </r>
        <r>
          <rPr>
            <sz val="9"/>
            <color indexed="81"/>
            <rFont val="Tahoma"/>
            <family val="2"/>
          </rPr>
          <t xml:space="preserve">
PAGÓ 5,425.83 y descopntado S/ 14,520
el 01-05--26
</t>
        </r>
      </text>
    </comment>
    <comment ref="I136" authorId="0" shapeId="0" xr:uid="{00000000-0006-0000-2900-00001C000000}">
      <text>
        <r>
          <rPr>
            <b/>
            <sz val="9"/>
            <color indexed="81"/>
            <rFont val="Tahoma"/>
            <family val="2"/>
          </rPr>
          <t>user:</t>
        </r>
        <r>
          <rPr>
            <sz val="9"/>
            <color indexed="81"/>
            <rFont val="Tahoma"/>
            <family val="2"/>
          </rPr>
          <t xml:space="preserve">
OJITO ESTÁ RESTANDO DEL TOTAL LOS PAGOS HECHOS Y NO APLICADOS A NINGUNA FACTURA S/ 7462   EL 10-07 - 2025, PAGO CONJUNTO REALIZADO PARA EL VUELO DE CAJAMARCA DEL 11-07-25 
POSTERIORMENTE SE APLICÓ LA DIFERENCIA A LA 3953 YSUMADO A LOS
 395.08 QUE TENIAN A FAVOR EN FECHA ANTERIOR
QUEDA ACTUALMENTE UNA DEUDA DE 1072.76 DE DICHA FACTURA</t>
        </r>
      </text>
    </comment>
    <comment ref="H144" authorId="0" shapeId="0" xr:uid="{00000000-0006-0000-2900-00001D000000}">
      <text>
        <r>
          <rPr>
            <b/>
            <sz val="9"/>
            <color indexed="81"/>
            <rFont val="Tahoma"/>
            <family val="2"/>
          </rPr>
          <t>user:</t>
        </r>
        <r>
          <rPr>
            <sz val="9"/>
            <color indexed="81"/>
            <rFont val="Tahoma"/>
            <family val="2"/>
          </rPr>
          <t xml:space="preserve">
PAGARON DETRACCION DE 04 FACTURAS QUE ESTABAN ANULADAS PORQUE YA HAY OTRAS QUE LAS REEMPLAZARON  
F001-4197 LA REEMPLAZA LA 4219
F001-4198 LA REEMPLAZA LA 4220
F001-4329 Y F001-4330 LA REEMPLAZA LA 4335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H3" authorId="0" shapeId="0" xr:uid="{00000000-0006-0000-2A00-000001000000}">
      <text>
        <r>
          <rPr>
            <b/>
            <sz val="9"/>
            <color indexed="81"/>
            <rFont val="Tahoma"/>
            <family val="2"/>
          </rPr>
          <t>Admin:</t>
        </r>
        <r>
          <rPr>
            <sz val="9"/>
            <color indexed="81"/>
            <rFont val="Tahoma"/>
            <family val="2"/>
          </rPr>
          <t xml:space="preserve">
antes tenia factura f001-942</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jorge.vallejos@airmajoro.com</author>
    <author>LENOVO</author>
    <author>Sonia Diaz</author>
    <author>user</author>
    <author>Admin</author>
  </authors>
  <commentList>
    <comment ref="H5" authorId="0" shapeId="0" xr:uid="{00000000-0006-0000-2C00-000001000000}">
      <text>
        <r>
          <rPr>
            <b/>
            <sz val="9"/>
            <color indexed="81"/>
            <rFont val="Tahoma"/>
            <family val="2"/>
          </rPr>
          <t>jorge.vallejos@airmajoro.com:</t>
        </r>
        <r>
          <rPr>
            <sz val="9"/>
            <color indexed="81"/>
            <rFont val="Tahoma"/>
            <family val="2"/>
          </rPr>
          <t xml:space="preserve">
REEMPLAZA A LA FACTURA 001-447
</t>
        </r>
      </text>
    </comment>
    <comment ref="H10" authorId="1" shapeId="0" xr:uid="{00000000-0006-0000-2C00-000002000000}">
      <text>
        <r>
          <rPr>
            <b/>
            <sz val="9"/>
            <color indexed="81"/>
            <rFont val="Tahoma"/>
            <family val="2"/>
          </rPr>
          <t>LENOVO:</t>
        </r>
        <r>
          <rPr>
            <sz val="9"/>
            <color indexed="81"/>
            <rFont val="Tahoma"/>
            <family val="2"/>
          </rPr>
          <t xml:space="preserve">
F001-838</t>
        </r>
      </text>
    </comment>
    <comment ref="H12" authorId="1" shapeId="0" xr:uid="{00000000-0006-0000-2C00-000003000000}">
      <text>
        <r>
          <rPr>
            <b/>
            <sz val="9"/>
            <color indexed="81"/>
            <rFont val="Tahoma"/>
            <family val="2"/>
          </rPr>
          <t>LENOVO:</t>
        </r>
        <r>
          <rPr>
            <sz val="9"/>
            <color indexed="81"/>
            <rFont val="Tahoma"/>
            <family val="2"/>
          </rPr>
          <t xml:space="preserve">
TENIA FACTURA 862</t>
        </r>
      </text>
    </comment>
    <comment ref="H13" authorId="1" shapeId="0" xr:uid="{00000000-0006-0000-2C00-000004000000}">
      <text>
        <r>
          <rPr>
            <b/>
            <sz val="9"/>
            <color indexed="81"/>
            <rFont val="Tahoma"/>
            <family val="2"/>
          </rPr>
          <t>LENOVO:</t>
        </r>
        <r>
          <rPr>
            <sz val="9"/>
            <color indexed="81"/>
            <rFont val="Tahoma"/>
            <family val="2"/>
          </rPr>
          <t xml:space="preserve">
TENIA FACTURA 863</t>
        </r>
      </text>
    </comment>
    <comment ref="H17" authorId="1" shapeId="0" xr:uid="{00000000-0006-0000-2C00-000005000000}">
      <text>
        <r>
          <rPr>
            <b/>
            <sz val="9"/>
            <color indexed="81"/>
            <rFont val="Tahoma"/>
            <family val="2"/>
          </rPr>
          <t>LENOVO:</t>
        </r>
        <r>
          <rPr>
            <sz val="9"/>
            <color indexed="81"/>
            <rFont val="Tahoma"/>
            <family val="2"/>
          </rPr>
          <t xml:space="preserve">
SE MODIFICO FACTURA EL 11/10/22 TENIA 966</t>
        </r>
      </text>
    </comment>
    <comment ref="H18" authorId="1" shapeId="0" xr:uid="{00000000-0006-0000-2C00-000006000000}">
      <text>
        <r>
          <rPr>
            <b/>
            <sz val="9"/>
            <color indexed="81"/>
            <rFont val="Tahoma"/>
            <family val="2"/>
          </rPr>
          <t>LENOVO:</t>
        </r>
        <r>
          <rPr>
            <sz val="9"/>
            <color indexed="81"/>
            <rFont val="Tahoma"/>
            <family val="2"/>
          </rPr>
          <t xml:space="preserve">
SE MODIFICO FACTURA EL 11/10/22 TENIA 967</t>
        </r>
      </text>
    </comment>
    <comment ref="I34" authorId="2" shapeId="0" xr:uid="{00000000-0006-0000-2C00-000007000000}">
      <text>
        <r>
          <rPr>
            <b/>
            <sz val="9"/>
            <color indexed="81"/>
            <rFont val="Tahoma"/>
            <family val="2"/>
          </rPr>
          <t>Sonia Diaz:</t>
        </r>
        <r>
          <rPr>
            <sz val="9"/>
            <color indexed="81"/>
            <rFont val="Tahoma"/>
            <family val="2"/>
          </rPr>
          <t xml:space="preserve">
ADICIONAL E SPOR APERTURA EN DOMINGO</t>
        </r>
      </text>
    </comment>
    <comment ref="H39" authorId="3" shapeId="0" xr:uid="{00000000-0006-0000-2C00-000008000000}">
      <text>
        <r>
          <rPr>
            <b/>
            <sz val="9"/>
            <color indexed="81"/>
            <rFont val="Tahoma"/>
            <family val="2"/>
          </rPr>
          <t>user:</t>
        </r>
        <r>
          <rPr>
            <sz val="9"/>
            <color indexed="81"/>
            <rFont val="Tahoma"/>
            <family val="2"/>
          </rPr>
          <t xml:space="preserve">
SE ANULÓ LA FACTURA F001-1668</t>
        </r>
      </text>
    </comment>
    <comment ref="H67" authorId="3" shapeId="0" xr:uid="{00000000-0006-0000-2C00-000009000000}">
      <text>
        <r>
          <rPr>
            <b/>
            <sz val="9"/>
            <color indexed="81"/>
            <rFont val="Tahoma"/>
            <family val="2"/>
          </rPr>
          <t>user:</t>
        </r>
        <r>
          <rPr>
            <sz val="9"/>
            <color indexed="81"/>
            <rFont val="Tahoma"/>
            <family val="2"/>
          </rPr>
          <t xml:space="preserve">
F001-2799</t>
        </r>
      </text>
    </comment>
    <comment ref="G71" authorId="3" shapeId="0" xr:uid="{00000000-0006-0000-2C00-00000A000000}">
      <text>
        <r>
          <rPr>
            <b/>
            <sz val="9"/>
            <color indexed="81"/>
            <rFont val="Tahoma"/>
            <family val="2"/>
          </rPr>
          <t>user:</t>
        </r>
        <r>
          <rPr>
            <sz val="9"/>
            <color indexed="81"/>
            <rFont val="Tahoma"/>
            <family val="2"/>
          </rPr>
          <t xml:space="preserve">
MOYOBAMBA</t>
        </r>
      </text>
    </comment>
    <comment ref="H71" authorId="3" shapeId="0" xr:uid="{00000000-0006-0000-2C00-00000B000000}">
      <text>
        <r>
          <rPr>
            <b/>
            <sz val="9"/>
            <color indexed="81"/>
            <rFont val="Tahoma"/>
            <family val="2"/>
          </rPr>
          <t>user:</t>
        </r>
        <r>
          <rPr>
            <sz val="9"/>
            <color indexed="81"/>
            <rFont val="Tahoma"/>
            <family val="2"/>
          </rPr>
          <t xml:space="preserve">
F001-3537</t>
        </r>
      </text>
    </comment>
    <comment ref="H72" authorId="3" shapeId="0" xr:uid="{00000000-0006-0000-2C00-00000C000000}">
      <text>
        <r>
          <rPr>
            <b/>
            <sz val="9"/>
            <color indexed="81"/>
            <rFont val="Tahoma"/>
            <family val="2"/>
          </rPr>
          <t>user:</t>
        </r>
        <r>
          <rPr>
            <sz val="9"/>
            <color indexed="81"/>
            <rFont val="Tahoma"/>
            <family val="2"/>
          </rPr>
          <t xml:space="preserve">
F001-3538</t>
        </r>
      </text>
    </comment>
    <comment ref="L72" authorId="3" shapeId="0" xr:uid="{00000000-0006-0000-2C00-00000D000000}">
      <text>
        <r>
          <rPr>
            <b/>
            <sz val="9"/>
            <color indexed="81"/>
            <rFont val="Tahoma"/>
            <family val="2"/>
          </rPr>
          <t>user:</t>
        </r>
        <r>
          <rPr>
            <sz val="9"/>
            <color indexed="81"/>
            <rFont val="Tahoma"/>
            <family val="2"/>
          </rPr>
          <t xml:space="preserve">
VER SI CORRESPONDE APLICAR PAGOS DEL 28-03-25 A ESTAS FACTURAS</t>
        </r>
      </text>
    </comment>
    <comment ref="G73" authorId="3" shapeId="0" xr:uid="{00000000-0006-0000-2C00-00000E000000}">
      <text>
        <r>
          <rPr>
            <b/>
            <sz val="9"/>
            <color indexed="81"/>
            <rFont val="Tahoma"/>
            <family val="2"/>
          </rPr>
          <t>user:</t>
        </r>
        <r>
          <rPr>
            <sz val="9"/>
            <color indexed="81"/>
            <rFont val="Tahoma"/>
            <family val="2"/>
          </rPr>
          <t xml:space="preserve">
MOYOBAMBA</t>
        </r>
      </text>
    </comment>
    <comment ref="H73" authorId="3" shapeId="0" xr:uid="{00000000-0006-0000-2C00-00000F000000}">
      <text>
        <r>
          <rPr>
            <b/>
            <sz val="9"/>
            <color indexed="81"/>
            <rFont val="Tahoma"/>
            <family val="2"/>
          </rPr>
          <t>user:</t>
        </r>
        <r>
          <rPr>
            <sz val="9"/>
            <color indexed="81"/>
            <rFont val="Tahoma"/>
            <family val="2"/>
          </rPr>
          <t xml:space="preserve">
F001-3539</t>
        </r>
      </text>
    </comment>
    <comment ref="G74" authorId="3" shapeId="0" xr:uid="{00000000-0006-0000-2C00-000010000000}">
      <text>
        <r>
          <rPr>
            <b/>
            <sz val="9"/>
            <color indexed="81"/>
            <rFont val="Tahoma"/>
            <family val="2"/>
          </rPr>
          <t>user:</t>
        </r>
        <r>
          <rPr>
            <sz val="9"/>
            <color indexed="81"/>
            <rFont val="Tahoma"/>
            <family val="2"/>
          </rPr>
          <t xml:space="preserve">
MOYOBAMBA</t>
        </r>
      </text>
    </comment>
    <comment ref="H74" authorId="3" shapeId="0" xr:uid="{00000000-0006-0000-2C00-000011000000}">
      <text>
        <r>
          <rPr>
            <b/>
            <sz val="9"/>
            <color indexed="81"/>
            <rFont val="Tahoma"/>
            <family val="2"/>
          </rPr>
          <t>user:</t>
        </r>
        <r>
          <rPr>
            <sz val="9"/>
            <color indexed="81"/>
            <rFont val="Tahoma"/>
            <family val="2"/>
          </rPr>
          <t xml:space="preserve">
F001-3540</t>
        </r>
      </text>
    </comment>
    <comment ref="G76" authorId="3" shapeId="0" xr:uid="{00000000-0006-0000-2C00-000012000000}">
      <text>
        <r>
          <rPr>
            <b/>
            <sz val="9"/>
            <color indexed="81"/>
            <rFont val="Tahoma"/>
            <family val="2"/>
          </rPr>
          <t>user:</t>
        </r>
        <r>
          <rPr>
            <sz val="9"/>
            <color indexed="81"/>
            <rFont val="Tahoma"/>
            <family val="2"/>
          </rPr>
          <t xml:space="preserve">
MOYOBAMBA</t>
        </r>
      </text>
    </comment>
    <comment ref="H77" authorId="3" shapeId="0" xr:uid="{00000000-0006-0000-2C00-000013000000}">
      <text>
        <r>
          <rPr>
            <b/>
            <sz val="9"/>
            <color indexed="81"/>
            <rFont val="Tahoma"/>
            <family val="2"/>
          </rPr>
          <t>user:</t>
        </r>
        <r>
          <rPr>
            <sz val="9"/>
            <color indexed="81"/>
            <rFont val="Tahoma"/>
            <family val="2"/>
          </rPr>
          <t xml:space="preserve">
F001-3600</t>
        </r>
      </text>
    </comment>
    <comment ref="G78" authorId="3" shapeId="0" xr:uid="{00000000-0006-0000-2C00-000014000000}">
      <text>
        <r>
          <rPr>
            <b/>
            <sz val="9"/>
            <color indexed="81"/>
            <rFont val="Tahoma"/>
            <family val="2"/>
          </rPr>
          <t>user:</t>
        </r>
        <r>
          <rPr>
            <sz val="9"/>
            <color indexed="81"/>
            <rFont val="Tahoma"/>
            <family val="2"/>
          </rPr>
          <t xml:space="preserve">
MOYOBAMBA</t>
        </r>
      </text>
    </comment>
    <comment ref="H80" authorId="3" shapeId="0" xr:uid="{00000000-0006-0000-2C00-000015000000}">
      <text>
        <r>
          <rPr>
            <b/>
            <sz val="9"/>
            <color indexed="81"/>
            <rFont val="Tahoma"/>
            <family val="2"/>
          </rPr>
          <t>user:</t>
        </r>
        <r>
          <rPr>
            <sz val="9"/>
            <color indexed="81"/>
            <rFont val="Tahoma"/>
            <family val="2"/>
          </rPr>
          <t xml:space="preserve">
F001-3628</t>
        </r>
      </text>
    </comment>
    <comment ref="H81" authorId="3" shapeId="0" xr:uid="{00000000-0006-0000-2C00-000016000000}">
      <text>
        <r>
          <rPr>
            <b/>
            <sz val="9"/>
            <color indexed="81"/>
            <rFont val="Tahoma"/>
            <family val="2"/>
          </rPr>
          <t>user:</t>
        </r>
        <r>
          <rPr>
            <sz val="9"/>
            <color indexed="81"/>
            <rFont val="Tahoma"/>
            <family val="2"/>
          </rPr>
          <t xml:space="preserve">
ESTE SERVICIO CORRESPONDE A OGESS ALTO MAYO PERO POR ERROR SE FACTURÓ A OGESS ESPECIALIZADA</t>
        </r>
      </text>
    </comment>
    <comment ref="H82" authorId="3" shapeId="0" xr:uid="{00000000-0006-0000-2C00-000017000000}">
      <text>
        <r>
          <rPr>
            <b/>
            <sz val="9"/>
            <color indexed="81"/>
            <rFont val="Tahoma"/>
            <family val="2"/>
          </rPr>
          <t>user:</t>
        </r>
        <r>
          <rPr>
            <sz val="9"/>
            <color indexed="81"/>
            <rFont val="Tahoma"/>
            <family val="2"/>
          </rPr>
          <t xml:space="preserve">
F001-4172</t>
        </r>
      </text>
    </comment>
    <comment ref="H83" authorId="3" shapeId="0" xr:uid="{00000000-0006-0000-2C00-000018000000}">
      <text>
        <r>
          <rPr>
            <b/>
            <sz val="9"/>
            <color indexed="81"/>
            <rFont val="Tahoma"/>
            <family val="2"/>
          </rPr>
          <t>user:</t>
        </r>
        <r>
          <rPr>
            <sz val="9"/>
            <color indexed="81"/>
            <rFont val="Tahoma"/>
            <family val="2"/>
          </rPr>
          <t xml:space="preserve">
F001-4172</t>
        </r>
      </text>
    </comment>
    <comment ref="H85" authorId="3" shapeId="0" xr:uid="{00000000-0006-0000-2C00-000019000000}">
      <text>
        <r>
          <rPr>
            <b/>
            <sz val="9"/>
            <color indexed="81"/>
            <rFont val="Tahoma"/>
            <family val="2"/>
          </rPr>
          <t>user:</t>
        </r>
        <r>
          <rPr>
            <sz val="9"/>
            <color indexed="81"/>
            <rFont val="Tahoma"/>
            <family val="2"/>
          </rPr>
          <t xml:space="preserve">
F001-3874</t>
        </r>
      </text>
    </comment>
    <comment ref="G87" authorId="3" shapeId="0" xr:uid="{00000000-0006-0000-2C00-00001A000000}">
      <text>
        <r>
          <rPr>
            <b/>
            <sz val="9"/>
            <color indexed="81"/>
            <rFont val="Tahoma"/>
            <family val="2"/>
          </rPr>
          <t>user:</t>
        </r>
        <r>
          <rPr>
            <sz val="9"/>
            <color indexed="81"/>
            <rFont val="Tahoma"/>
            <family val="2"/>
          </rPr>
          <t xml:space="preserve">
AMBULANCIA EN RIOJA LA PAGÓ MAJORO</t>
        </r>
      </text>
    </comment>
    <comment ref="H87" authorId="3" shapeId="0" xr:uid="{00000000-0006-0000-2C00-00001B000000}">
      <text>
        <r>
          <rPr>
            <b/>
            <sz val="9"/>
            <color indexed="81"/>
            <rFont val="Tahoma"/>
            <family val="2"/>
          </rPr>
          <t>user:</t>
        </r>
        <r>
          <rPr>
            <sz val="9"/>
            <color indexed="81"/>
            <rFont val="Tahoma"/>
            <family val="2"/>
          </rPr>
          <t xml:space="preserve">
ESTE SERVICIO NO LO TINE OGESS ALTO MAYO REGISTRADO Y REEFIEREN QUE YA ESTA PAGADO PERO EN LA CONCILIACION D EPAGOS NO HAY TANTO EN SU REGISTRO DE OGESS ASI COMO DE MAJORO</t>
        </r>
      </text>
    </comment>
    <comment ref="G88" authorId="3" shapeId="0" xr:uid="{00000000-0006-0000-2C00-00001C000000}">
      <text>
        <r>
          <rPr>
            <b/>
            <sz val="9"/>
            <color indexed="81"/>
            <rFont val="Tahoma"/>
            <family val="2"/>
          </rPr>
          <t>user:</t>
        </r>
        <r>
          <rPr>
            <sz val="9"/>
            <color indexed="81"/>
            <rFont val="Tahoma"/>
            <family val="2"/>
          </rPr>
          <t xml:space="preserve">
ME PARECE QUE ESTA FACTURA NO HA SIDO PAGADA EL 02 D EOCTUBRE YO APLIQYE UN PAGO A ESTA; PERO EL DIA 17-12 RECEPCIONAMOS ORDENES Y CREO QUE ESTA SIGUE PENDIENTE D EPAGO</t>
        </r>
      </text>
    </comment>
    <comment ref="I89" authorId="3" shapeId="0" xr:uid="{00000000-0006-0000-2C00-00001D000000}">
      <text>
        <r>
          <rPr>
            <b/>
            <sz val="9"/>
            <color indexed="81"/>
            <rFont val="Tahoma"/>
            <family val="2"/>
          </rPr>
          <t>user:</t>
        </r>
        <r>
          <rPr>
            <sz val="9"/>
            <color indexed="81"/>
            <rFont val="Tahoma"/>
            <family val="2"/>
          </rPr>
          <t xml:space="preserve">
AD 347-25
</t>
        </r>
      </text>
    </comment>
    <comment ref="I90" authorId="3" shapeId="0" xr:uid="{00000000-0006-0000-2C00-00001E000000}">
      <text>
        <r>
          <rPr>
            <b/>
            <sz val="9"/>
            <color indexed="81"/>
            <rFont val="Tahoma"/>
            <family val="2"/>
          </rPr>
          <t>user:</t>
        </r>
        <r>
          <rPr>
            <sz val="9"/>
            <color indexed="81"/>
            <rFont val="Tahoma"/>
            <family val="2"/>
          </rPr>
          <t xml:space="preserve">
AD 350-25</t>
        </r>
      </text>
    </comment>
    <comment ref="U90" authorId="3" shapeId="0" xr:uid="{00000000-0006-0000-2C00-00001F000000}">
      <text>
        <r>
          <rPr>
            <b/>
            <sz val="9"/>
            <color indexed="81"/>
            <rFont val="Tahoma"/>
            <family val="2"/>
          </rPr>
          <t>user:</t>
        </r>
        <r>
          <rPr>
            <sz val="9"/>
            <color indexed="81"/>
            <rFont val="Tahoma"/>
            <family val="2"/>
          </rPr>
          <t xml:space="preserve">
13:02 LLEGADA RIOJA
14:11 LLEGADA CHICLAYO
</t>
        </r>
      </text>
    </comment>
    <comment ref="I91" authorId="3" shapeId="0" xr:uid="{00000000-0006-0000-2C00-000020000000}">
      <text>
        <r>
          <rPr>
            <b/>
            <sz val="9"/>
            <color indexed="81"/>
            <rFont val="Tahoma"/>
            <family val="2"/>
          </rPr>
          <t>user:</t>
        </r>
        <r>
          <rPr>
            <sz val="9"/>
            <color indexed="81"/>
            <rFont val="Tahoma"/>
            <family val="2"/>
          </rPr>
          <t xml:space="preserve">
AD 351-25</t>
        </r>
      </text>
    </comment>
    <comment ref="H96" authorId="3" shapeId="0" xr:uid="{00000000-0006-0000-2C00-000021000000}">
      <text>
        <r>
          <rPr>
            <b/>
            <sz val="9"/>
            <color indexed="81"/>
            <rFont val="Tahoma"/>
            <family val="2"/>
          </rPr>
          <t>user:</t>
        </r>
        <r>
          <rPr>
            <sz val="9"/>
            <color indexed="81"/>
            <rFont val="Tahoma"/>
            <family val="2"/>
          </rPr>
          <t xml:space="preserve">
F001-4730</t>
        </r>
      </text>
    </comment>
    <comment ref="H97" authorId="3" shapeId="0" xr:uid="{00000000-0006-0000-2C00-000022000000}">
      <text>
        <r>
          <rPr>
            <b/>
            <sz val="9"/>
            <color indexed="81"/>
            <rFont val="Tahoma"/>
            <family val="2"/>
          </rPr>
          <t>user:</t>
        </r>
        <r>
          <rPr>
            <sz val="9"/>
            <color indexed="81"/>
            <rFont val="Tahoma"/>
            <family val="2"/>
          </rPr>
          <t xml:space="preserve">
F001-4731</t>
        </r>
      </text>
    </comment>
    <comment ref="H112" authorId="1" shapeId="0" xr:uid="{00000000-0006-0000-2C00-000023000000}">
      <text>
        <r>
          <rPr>
            <b/>
            <sz val="9"/>
            <color indexed="81"/>
            <rFont val="Tahoma"/>
            <family val="2"/>
          </rPr>
          <t>LENOVO:</t>
        </r>
        <r>
          <rPr>
            <sz val="9"/>
            <color indexed="81"/>
            <rFont val="Tahoma"/>
            <family val="2"/>
          </rPr>
          <t xml:space="preserve">
TENIA LA FACTURA 877</t>
        </r>
      </text>
    </comment>
    <comment ref="H124" authorId="3" shapeId="0" xr:uid="{00000000-0006-0000-2C00-000024000000}">
      <text>
        <r>
          <rPr>
            <b/>
            <sz val="9"/>
            <color indexed="81"/>
            <rFont val="Tahoma"/>
            <family val="2"/>
          </rPr>
          <t>user:</t>
        </r>
        <r>
          <rPr>
            <sz val="9"/>
            <color indexed="81"/>
            <rFont val="Tahoma"/>
            <family val="2"/>
          </rPr>
          <t xml:space="preserve">
TENIA F001-2176</t>
        </r>
      </text>
    </comment>
    <comment ref="H125" authorId="3" shapeId="0" xr:uid="{00000000-0006-0000-2C00-000025000000}">
      <text>
        <r>
          <rPr>
            <b/>
            <sz val="9"/>
            <color indexed="81"/>
            <rFont val="Tahoma"/>
            <family val="2"/>
          </rPr>
          <t>user:</t>
        </r>
        <r>
          <rPr>
            <sz val="9"/>
            <color indexed="81"/>
            <rFont val="Tahoma"/>
            <family val="2"/>
          </rPr>
          <t xml:space="preserve">
TENIA F001-2179</t>
        </r>
      </text>
    </comment>
    <comment ref="H126" authorId="3" shapeId="0" xr:uid="{00000000-0006-0000-2C00-000026000000}">
      <text>
        <r>
          <rPr>
            <b/>
            <sz val="9"/>
            <color indexed="81"/>
            <rFont val="Tahoma"/>
            <family val="2"/>
          </rPr>
          <t>user:</t>
        </r>
        <r>
          <rPr>
            <sz val="9"/>
            <color indexed="81"/>
            <rFont val="Tahoma"/>
            <family val="2"/>
          </rPr>
          <t xml:space="preserve">
TENIA F001-2178</t>
        </r>
      </text>
    </comment>
    <comment ref="H145" authorId="3" shapeId="0" xr:uid="{00000000-0006-0000-2C00-000027000000}">
      <text>
        <r>
          <rPr>
            <b/>
            <sz val="9"/>
            <color indexed="81"/>
            <rFont val="Tahoma"/>
            <family val="2"/>
          </rPr>
          <t>user:</t>
        </r>
        <r>
          <rPr>
            <sz val="9"/>
            <color indexed="81"/>
            <rFont val="Tahoma"/>
            <family val="2"/>
          </rPr>
          <t xml:space="preserve">
F001-2867
F001-2886</t>
        </r>
      </text>
    </comment>
    <comment ref="H146" authorId="3" shapeId="0" xr:uid="{00000000-0006-0000-2C00-000028000000}">
      <text>
        <r>
          <rPr>
            <b/>
            <sz val="9"/>
            <color indexed="81"/>
            <rFont val="Tahoma"/>
            <family val="2"/>
          </rPr>
          <t>user:</t>
        </r>
        <r>
          <rPr>
            <sz val="9"/>
            <color indexed="81"/>
            <rFont val="Tahoma"/>
            <family val="2"/>
          </rPr>
          <t xml:space="preserve">
F001-2868
F001-2887</t>
        </r>
      </text>
    </comment>
    <comment ref="H147" authorId="3" shapeId="0" xr:uid="{00000000-0006-0000-2C00-000029000000}">
      <text>
        <r>
          <rPr>
            <b/>
            <sz val="9"/>
            <color indexed="81"/>
            <rFont val="Tahoma"/>
            <family val="2"/>
          </rPr>
          <t>user:</t>
        </r>
        <r>
          <rPr>
            <sz val="9"/>
            <color indexed="81"/>
            <rFont val="Tahoma"/>
            <family val="2"/>
          </rPr>
          <t xml:space="preserve">
F001-2907</t>
        </r>
      </text>
    </comment>
    <comment ref="H148" authorId="3" shapeId="0" xr:uid="{00000000-0006-0000-2C00-00002A000000}">
      <text>
        <r>
          <rPr>
            <b/>
            <sz val="9"/>
            <color indexed="81"/>
            <rFont val="Tahoma"/>
            <family val="2"/>
          </rPr>
          <t>user:</t>
        </r>
        <r>
          <rPr>
            <sz val="9"/>
            <color indexed="81"/>
            <rFont val="Tahoma"/>
            <family val="2"/>
          </rPr>
          <t xml:space="preserve">
F001-2990</t>
        </r>
      </text>
    </comment>
    <comment ref="H149" authorId="3" shapeId="0" xr:uid="{00000000-0006-0000-2C00-00002B000000}">
      <text>
        <r>
          <rPr>
            <b/>
            <sz val="9"/>
            <color indexed="81"/>
            <rFont val="Tahoma"/>
            <family val="2"/>
          </rPr>
          <t>user:</t>
        </r>
        <r>
          <rPr>
            <sz val="9"/>
            <color indexed="81"/>
            <rFont val="Tahoma"/>
            <family val="2"/>
          </rPr>
          <t xml:space="preserve">
F001-2991</t>
        </r>
      </text>
    </comment>
    <comment ref="F150" authorId="3" shapeId="0" xr:uid="{00000000-0006-0000-2C00-00002C000000}">
      <text>
        <r>
          <rPr>
            <b/>
            <sz val="9"/>
            <color indexed="81"/>
            <rFont val="Tahoma"/>
            <family val="2"/>
          </rPr>
          <t>user:</t>
        </r>
        <r>
          <rPr>
            <sz val="9"/>
            <color indexed="81"/>
            <rFont val="Tahoma"/>
            <family val="2"/>
          </rPr>
          <t xml:space="preserve">
RIJ-LIM   ESTA ERA LA RUTA, PERO POR CUESTIONES METEREOLOGICAS, TUVO QUE PERNOCTAR HASTA EL DIA SIGUIENTE EN TARAPOTO  FUERON EL 07 Y VOLVIÓ EL 08-08-24</t>
        </r>
      </text>
    </comment>
    <comment ref="H150" authorId="3" shapeId="0" xr:uid="{00000000-0006-0000-2C00-00002D000000}">
      <text>
        <r>
          <rPr>
            <b/>
            <sz val="9"/>
            <color indexed="81"/>
            <rFont val="Tahoma"/>
            <family val="2"/>
          </rPr>
          <t>user:</t>
        </r>
        <r>
          <rPr>
            <sz val="9"/>
            <color indexed="81"/>
            <rFont val="Tahoma"/>
            <family val="2"/>
          </rPr>
          <t xml:space="preserve">
F001-2992</t>
        </r>
      </text>
    </comment>
    <comment ref="H151" authorId="3" shapeId="0" xr:uid="{00000000-0006-0000-2C00-00002E000000}">
      <text>
        <r>
          <rPr>
            <b/>
            <sz val="9"/>
            <color indexed="81"/>
            <rFont val="Tahoma"/>
            <family val="2"/>
          </rPr>
          <t>user:</t>
        </r>
        <r>
          <rPr>
            <sz val="9"/>
            <color indexed="81"/>
            <rFont val="Tahoma"/>
            <family val="2"/>
          </rPr>
          <t xml:space="preserve">
F001-2994</t>
        </r>
      </text>
    </comment>
    <comment ref="H152" authorId="3" shapeId="0" xr:uid="{00000000-0006-0000-2C00-00002F000000}">
      <text>
        <r>
          <rPr>
            <b/>
            <sz val="9"/>
            <color indexed="81"/>
            <rFont val="Tahoma"/>
            <family val="2"/>
          </rPr>
          <t>user:</t>
        </r>
        <r>
          <rPr>
            <sz val="9"/>
            <color indexed="81"/>
            <rFont val="Tahoma"/>
            <family val="2"/>
          </rPr>
          <t xml:space="preserve">
F001-2995</t>
        </r>
      </text>
    </comment>
    <comment ref="H155" authorId="3" shapeId="0" xr:uid="{00000000-0006-0000-2C00-000030000000}">
      <text>
        <r>
          <rPr>
            <b/>
            <sz val="9"/>
            <color indexed="81"/>
            <rFont val="Tahoma"/>
            <family val="2"/>
          </rPr>
          <t>user:</t>
        </r>
        <r>
          <rPr>
            <sz val="9"/>
            <color indexed="81"/>
            <rFont val="Tahoma"/>
            <family val="2"/>
          </rPr>
          <t xml:space="preserve">
F001-3122
F001-3221 F001-3256</t>
        </r>
      </text>
    </comment>
    <comment ref="H156" authorId="3" shapeId="0" xr:uid="{00000000-0006-0000-2C00-000031000000}">
      <text>
        <r>
          <rPr>
            <b/>
            <sz val="9"/>
            <color indexed="81"/>
            <rFont val="Tahoma"/>
            <family val="2"/>
          </rPr>
          <t>user:</t>
        </r>
        <r>
          <rPr>
            <sz val="9"/>
            <color indexed="81"/>
            <rFont val="Tahoma"/>
            <family val="2"/>
          </rPr>
          <t xml:space="preserve">
F001-3122   F001-3222
F001-3256</t>
        </r>
      </text>
    </comment>
    <comment ref="H157" authorId="3" shapeId="0" xr:uid="{00000000-0006-0000-2C00-000032000000}">
      <text>
        <r>
          <rPr>
            <b/>
            <sz val="9"/>
            <color indexed="81"/>
            <rFont val="Tahoma"/>
            <family val="2"/>
          </rPr>
          <t>user:</t>
        </r>
        <r>
          <rPr>
            <sz val="9"/>
            <color indexed="81"/>
            <rFont val="Tahoma"/>
            <family val="2"/>
          </rPr>
          <t xml:space="preserve">
F001-3120
F001-3223
F001-3257</t>
        </r>
      </text>
    </comment>
    <comment ref="H158" authorId="3" shapeId="0" xr:uid="{00000000-0006-0000-2C00-000033000000}">
      <text>
        <r>
          <rPr>
            <b/>
            <sz val="9"/>
            <color indexed="81"/>
            <rFont val="Tahoma"/>
            <family val="2"/>
          </rPr>
          <t>user:</t>
        </r>
        <r>
          <rPr>
            <sz val="9"/>
            <color indexed="81"/>
            <rFont val="Tahoma"/>
            <family val="2"/>
          </rPr>
          <t xml:space="preserve">
F001-31201
F001-3224
F001-3257</t>
        </r>
      </text>
    </comment>
    <comment ref="H159" authorId="3" shapeId="0" xr:uid="{00000000-0006-0000-2C00-000034000000}">
      <text>
        <r>
          <rPr>
            <b/>
            <sz val="9"/>
            <color indexed="81"/>
            <rFont val="Tahoma"/>
            <family val="2"/>
          </rPr>
          <t>user:</t>
        </r>
        <r>
          <rPr>
            <sz val="9"/>
            <color indexed="81"/>
            <rFont val="Tahoma"/>
            <family val="2"/>
          </rPr>
          <t xml:space="preserve">
F001-3121</t>
        </r>
      </text>
    </comment>
    <comment ref="O171" authorId="2" shapeId="0" xr:uid="{00000000-0006-0000-2C00-000035000000}">
      <text>
        <r>
          <rPr>
            <b/>
            <sz val="9"/>
            <color indexed="81"/>
            <rFont val="Tahoma"/>
            <family val="2"/>
          </rPr>
          <t>Sonia Diaz:</t>
        </r>
        <r>
          <rPr>
            <sz val="9"/>
            <color indexed="81"/>
            <rFont val="Tahoma"/>
            <family val="2"/>
          </rPr>
          <t xml:space="preserve">
MONTO DEL CONTRATO</t>
        </r>
      </text>
    </comment>
    <comment ref="O176" authorId="4" shapeId="0" xr:uid="{00000000-0006-0000-2C00-000036000000}">
      <text>
        <r>
          <rPr>
            <b/>
            <sz val="9"/>
            <color indexed="81"/>
            <rFont val="Tahoma"/>
            <family val="2"/>
          </rPr>
          <t>Admin:</t>
        </r>
        <r>
          <rPr>
            <sz val="9"/>
            <color indexed="81"/>
            <rFont val="Tahoma"/>
            <family val="2"/>
          </rPr>
          <t xml:space="preserve">
X EJECUTAR</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H3" authorId="0" shapeId="0" xr:uid="{00000000-0006-0000-2D00-000001000000}">
      <text>
        <r>
          <rPr>
            <b/>
            <sz val="9"/>
            <color indexed="81"/>
            <rFont val="Tahoma"/>
            <family val="2"/>
          </rPr>
          <t>LENOVO:</t>
        </r>
        <r>
          <rPr>
            <sz val="9"/>
            <color indexed="81"/>
            <rFont val="Tahoma"/>
            <family val="2"/>
          </rPr>
          <t xml:space="preserve">
TENIA FACTURA 875 SE ENVIO 05/07</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H3" authorId="0" shapeId="0" xr:uid="{00000000-0006-0000-2E00-000001000000}">
      <text>
        <r>
          <rPr>
            <b/>
            <sz val="9"/>
            <color indexed="81"/>
            <rFont val="Tahoma"/>
            <family val="2"/>
          </rPr>
          <t>LENOVO:</t>
        </r>
        <r>
          <rPr>
            <sz val="9"/>
            <color indexed="81"/>
            <rFont val="Tahoma"/>
            <family val="2"/>
          </rPr>
          <t xml:space="preserve">
SE CAMBIO DE FACTURA EL 22-08-22, TENIA 880 Y 913 FUERON ANULADAS Y EMITIDAS NUEVAMENTE</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LENOVO</author>
    <author>Sonia Diaz</author>
    <author>jorge.vallejos@airmajoro.com</author>
    <author>Sonia</author>
    <author>user</author>
  </authors>
  <commentList>
    <comment ref="J7" authorId="0" shapeId="0" xr:uid="{00000000-0006-0000-2F00-000001000000}">
      <text>
        <r>
          <rPr>
            <b/>
            <sz val="9"/>
            <color indexed="81"/>
            <rFont val="Tahoma"/>
            <family val="2"/>
          </rPr>
          <t>LENOVO:</t>
        </r>
        <r>
          <rPr>
            <sz val="9"/>
            <color indexed="81"/>
            <rFont val="Tahoma"/>
            <family val="2"/>
          </rPr>
          <t xml:space="preserve">
FACTURA 164 SE TENIA POR COBRAR HASTA CRUCE DE INFORMACION DE SALUDPOL EL 06-10-22 INFORMÓ QUE SE ENCUENTRA PAGADA</t>
        </r>
      </text>
    </comment>
    <comment ref="I12" authorId="1" shapeId="0" xr:uid="{00000000-0006-0000-2F00-000002000000}">
      <text>
        <r>
          <rPr>
            <b/>
            <sz val="9"/>
            <color indexed="81"/>
            <rFont val="Tahoma"/>
            <family val="2"/>
          </rPr>
          <t>Sonia Diaz:</t>
        </r>
        <r>
          <rPr>
            <sz val="9"/>
            <color indexed="81"/>
            <rFont val="Tahoma"/>
            <family val="2"/>
          </rPr>
          <t xml:space="preserve">
F001-329 ANTES CON MONTO DE S/ 28497</t>
        </r>
      </text>
    </comment>
    <comment ref="J15" authorId="2" shapeId="0" xr:uid="{00000000-0006-0000-2F00-000003000000}">
      <text>
        <r>
          <rPr>
            <b/>
            <sz val="9"/>
            <color indexed="81"/>
            <rFont val="Tahoma"/>
            <family val="2"/>
          </rPr>
          <t>jorge.vallejos@airmajoro.com:</t>
        </r>
        <r>
          <rPr>
            <sz val="9"/>
            <color indexed="81"/>
            <rFont val="Tahoma"/>
            <family val="2"/>
          </rPr>
          <t xml:space="preserve">
inicialmentese cotizo 51.825, pero se cancelo el vuelo por falta de cama, habiendose realizado gastos. EL 20/05/2022 SE VOLVIÓ A REFACTURAR CON EL PRIMER PRECIO, ANULANDO LA FACTURA 356 POR 56025
</t>
        </r>
      </text>
    </comment>
    <comment ref="G16" authorId="2" shapeId="0" xr:uid="{00000000-0006-0000-2F00-000004000000}">
      <text>
        <r>
          <rPr>
            <b/>
            <sz val="9"/>
            <color indexed="81"/>
            <rFont val="Tahoma"/>
            <family val="2"/>
          </rPr>
          <t>jorge.vallejos@airmajoro.com:
CARTA GARANTIA</t>
        </r>
        <r>
          <rPr>
            <sz val="9"/>
            <color indexed="81"/>
            <rFont val="Tahoma"/>
            <family val="2"/>
          </rPr>
          <t xml:space="preserve">
HN05-202100051
VICTOR CANTO HERRERA</t>
        </r>
      </text>
    </comment>
    <comment ref="G17" authorId="2" shapeId="0" xr:uid="{00000000-0006-0000-2F00-000005000000}">
      <text>
        <r>
          <rPr>
            <b/>
            <sz val="9"/>
            <color indexed="81"/>
            <rFont val="Tahoma"/>
            <family val="2"/>
          </rPr>
          <t>jorge.vallejos@airmajoro.com:</t>
        </r>
        <r>
          <rPr>
            <sz val="9"/>
            <color indexed="81"/>
            <rFont val="Tahoma"/>
            <family val="2"/>
          </rPr>
          <t xml:space="preserve">
CARTA GARANTIA
HN05-202100070</t>
        </r>
      </text>
    </comment>
    <comment ref="W35" authorId="3" shapeId="0" xr:uid="{00000000-0006-0000-2F00-000006000000}">
      <text>
        <r>
          <rPr>
            <b/>
            <sz val="9"/>
            <color indexed="81"/>
            <rFont val="Tahoma"/>
            <family val="2"/>
          </rPr>
          <t>Sonia:</t>
        </r>
        <r>
          <rPr>
            <sz val="9"/>
            <color indexed="81"/>
            <rFont val="Tahoma"/>
            <family val="2"/>
          </rPr>
          <t xml:space="preserve">
DIA SIGUIENTE</t>
        </r>
      </text>
    </comment>
    <comment ref="B39" authorId="4" shapeId="0" xr:uid="{00000000-0006-0000-2F00-000007000000}">
      <text>
        <r>
          <rPr>
            <b/>
            <sz val="9"/>
            <color indexed="81"/>
            <rFont val="Tahoma"/>
            <family val="2"/>
          </rPr>
          <t>user:</t>
        </r>
        <r>
          <rPr>
            <sz val="9"/>
            <color indexed="81"/>
            <rFont val="Tahoma"/>
            <family val="2"/>
          </rPr>
          <t xml:space="preserve">
CONBTRATACION DIRECTA</t>
        </r>
      </text>
    </comment>
    <comment ref="W42" authorId="3" shapeId="0" xr:uid="{00000000-0006-0000-2F00-000008000000}">
      <text>
        <r>
          <rPr>
            <b/>
            <sz val="9"/>
            <color indexed="81"/>
            <rFont val="Tahoma"/>
            <family val="2"/>
          </rPr>
          <t>Sonia:</t>
        </r>
        <r>
          <rPr>
            <sz val="9"/>
            <color indexed="81"/>
            <rFont val="Tahoma"/>
            <family val="2"/>
          </rPr>
          <t xml:space="preserve">
PERNOCTÓ Y RETORNÓ EL DIA SIGUIENTE</t>
        </r>
      </text>
    </comment>
    <comment ref="I58" authorId="4" shapeId="0" xr:uid="{00000000-0006-0000-2F00-000009000000}">
      <text>
        <r>
          <rPr>
            <b/>
            <sz val="9"/>
            <color indexed="81"/>
            <rFont val="Tahoma"/>
            <family val="2"/>
          </rPr>
          <t>user:</t>
        </r>
        <r>
          <rPr>
            <sz val="9"/>
            <color indexed="81"/>
            <rFont val="Tahoma"/>
            <family val="2"/>
          </rPr>
          <t xml:space="preserve">
F001-4108</t>
        </r>
      </text>
    </comment>
    <comment ref="J58" authorId="4" shapeId="0" xr:uid="{00000000-0006-0000-2F00-00000A000000}">
      <text>
        <r>
          <rPr>
            <b/>
            <sz val="9"/>
            <color indexed="81"/>
            <rFont val="Tahoma"/>
            <family val="2"/>
          </rPr>
          <t>user:</t>
        </r>
        <r>
          <rPr>
            <sz val="9"/>
            <color indexed="81"/>
            <rFont val="Tahoma"/>
            <family val="2"/>
          </rPr>
          <t xml:space="preserve">
SEGUUN CARTA DE GARANTIA
</t>
        </r>
      </text>
    </comment>
    <comment ref="J89" authorId="4" shapeId="0" xr:uid="{00000000-0006-0000-2F00-00000B000000}">
      <text>
        <r>
          <rPr>
            <b/>
            <sz val="9"/>
            <color indexed="81"/>
            <rFont val="Tahoma"/>
            <family val="2"/>
          </rPr>
          <t>user:</t>
        </r>
        <r>
          <rPr>
            <sz val="9"/>
            <color indexed="81"/>
            <rFont val="Tahoma"/>
            <family val="2"/>
          </rPr>
          <t xml:space="preserve">
DEBERIAMOS COBRAR COSTO DEL VUELO QUE SE HIZO DOBLE - INICIO DE VUELO 53</t>
        </r>
      </text>
    </comment>
    <comment ref="I91" authorId="4" shapeId="0" xr:uid="{00000000-0006-0000-2F00-00000C000000}">
      <text>
        <r>
          <rPr>
            <b/>
            <sz val="9"/>
            <color indexed="81"/>
            <rFont val="Tahoma"/>
            <family val="2"/>
          </rPr>
          <t>user:</t>
        </r>
        <r>
          <rPr>
            <sz val="9"/>
            <color indexed="81"/>
            <rFont val="Tahoma"/>
            <family val="2"/>
          </rPr>
          <t xml:space="preserve">
F001-4526</t>
        </r>
      </text>
    </comment>
    <comment ref="F103" authorId="3" shapeId="0" xr:uid="{00000000-0006-0000-2F00-00000D000000}">
      <text>
        <r>
          <rPr>
            <b/>
            <sz val="9"/>
            <color indexed="81"/>
            <rFont val="Tahoma"/>
            <family val="2"/>
          </rPr>
          <t>Sonia:</t>
        </r>
        <r>
          <rPr>
            <sz val="9"/>
            <color indexed="81"/>
            <rFont val="Tahoma"/>
            <family val="2"/>
          </rPr>
          <t xml:space="preserve">
por ruta no tiene cobertura del contrato</t>
        </r>
      </text>
    </comment>
    <comment ref="B116" authorId="4" shapeId="0" xr:uid="{00000000-0006-0000-2F00-00000E000000}">
      <text>
        <r>
          <rPr>
            <b/>
            <sz val="9"/>
            <color indexed="81"/>
            <rFont val="Tahoma"/>
            <family val="2"/>
          </rPr>
          <t>user:</t>
        </r>
        <r>
          <rPr>
            <sz val="9"/>
            <color indexed="81"/>
            <rFont val="Tahoma"/>
            <family val="2"/>
          </rPr>
          <t xml:space="preserve">
OJO SALUDPOL EN UN PRIMER ENVÍO DEL EXPEDIENTE COMPLEMENTARIO OBSERVÓ ARGUMENTANDO QUE NO HAY APM, POR QUE NO HUBO RESPUESTA DE ITINERARIO Y NO HUBO MAS COORDIANCIONES, SIMPLEMENTE NUESTRA TRIPULACIÓN INDICÓ INTRANSPORTABLE, NO HUBO COORDINACIÓN ANTERIOR, SE PRESUNME QUE LA NO COORDIANCION CORRESPONDE A QUE SE PROYECTABA QUE LA MISMA TRIPULACION MEDICA QUE VENIA DE CHACHAPOYAS HACIENDO UN SERVICIO DE ESSALUD HACIA CHICLAYO, ATENDERIAN A DICHO PACINETE DE SALUDPOL  
NO SE VCOLVIÓ A ENVIAR Y SE RETITRA DEL EXPEDIENTE ACEPTANDO LA DENEGACIÓN DEL PAGO PORQUE NO CONTAMOS CON HERRAMIENTAS FEHACIENTES PARA SUSTENTAR LA NO EJECUCIÓN DEL VUELO. PÓR LO TANTO NO HABRÁ PAGO, SE QUEDA EN REGISTRO PARA CONTROL Y FINES ADMINISTRATIVOS</t>
        </r>
      </text>
    </comment>
    <comment ref="B118" authorId="4" shapeId="0" xr:uid="{00000000-0006-0000-2F00-00000F000000}">
      <text>
        <r>
          <rPr>
            <b/>
            <sz val="9"/>
            <color indexed="81"/>
            <rFont val="Tahoma"/>
            <family val="2"/>
          </rPr>
          <t>user:</t>
        </r>
        <r>
          <rPr>
            <sz val="9"/>
            <color indexed="81"/>
            <rFont val="Tahoma"/>
            <family val="2"/>
          </rPr>
          <t xml:space="preserve">
NO TRAJERON AL PACIENTE</t>
        </r>
      </text>
    </comment>
    <comment ref="C118" authorId="4" shapeId="0" xr:uid="{00000000-0006-0000-2F00-000010000000}">
      <text>
        <r>
          <rPr>
            <b/>
            <sz val="9"/>
            <color indexed="81"/>
            <rFont val="Tahoma"/>
            <family val="2"/>
          </rPr>
          <t>user:</t>
        </r>
        <r>
          <rPr>
            <sz val="9"/>
            <color indexed="81"/>
            <rFont val="Tahoma"/>
            <family val="2"/>
          </rPr>
          <t xml:space="preserve">
SE SEPARÓ DEL EXPEDIENTE EL DIA 07-05-26, CONVERSAMOS CON MARÍA PARA VER EL ENVÍO DE ESTA NUEVA FACTURA</t>
        </r>
      </text>
    </comment>
    <comment ref="I118" authorId="4" shapeId="0" xr:uid="{00000000-0006-0000-2F00-000011000000}">
      <text>
        <r>
          <rPr>
            <b/>
            <sz val="9"/>
            <color indexed="81"/>
            <rFont val="Tahoma"/>
            <family val="2"/>
          </rPr>
          <t>user:</t>
        </r>
        <r>
          <rPr>
            <sz val="9"/>
            <color indexed="81"/>
            <rFont val="Tahoma"/>
            <family val="2"/>
          </rPr>
          <t xml:space="preserve">
ENVIADO NUEVAMENTE SOLO ESTE SERVICIO-PORQIE ESTE FUE SEPARADO DEL EXPEDIENTE DEL MES, SE ENVIÓ 30-07</t>
        </r>
      </text>
    </comment>
    <comment ref="E119" authorId="4" shapeId="0" xr:uid="{00000000-0006-0000-2F00-000012000000}">
      <text>
        <r>
          <rPr>
            <b/>
            <sz val="9"/>
            <color indexed="81"/>
            <rFont val="Tahoma"/>
            <family val="2"/>
          </rPr>
          <t>user:</t>
        </r>
        <r>
          <rPr>
            <sz val="9"/>
            <color indexed="81"/>
            <rFont val="Tahoma"/>
            <family val="2"/>
          </rPr>
          <t xml:space="preserve">
F001-5086</t>
        </r>
      </text>
    </comment>
    <comment ref="D152" authorId="4" shapeId="0" xr:uid="{00000000-0006-0000-2F00-000013000000}">
      <text>
        <r>
          <rPr>
            <b/>
            <sz val="9"/>
            <color indexed="81"/>
            <rFont val="Tahoma"/>
            <family val="2"/>
          </rPr>
          <t>user:</t>
        </r>
        <r>
          <rPr>
            <sz val="9"/>
            <color indexed="81"/>
            <rFont val="Tahoma"/>
            <family val="2"/>
          </rPr>
          <t xml:space="preserve">
CANTIDAD SEGÚN PROYECTADO SALUDPOL-CONTRATO-PUEDE MODIFICARSE</t>
        </r>
      </text>
    </comment>
    <comment ref="C154" authorId="4" shapeId="0" xr:uid="{00000000-0006-0000-2F00-000014000000}">
      <text>
        <r>
          <rPr>
            <b/>
            <sz val="9"/>
            <color indexed="81"/>
            <rFont val="Tahoma"/>
            <family val="2"/>
          </rPr>
          <t>user:</t>
        </r>
        <r>
          <rPr>
            <sz val="9"/>
            <color indexed="81"/>
            <rFont val="Tahoma"/>
            <family val="2"/>
          </rPr>
          <t xml:space="preserve">
SALIÓ 16-VUELO SE HIZO EL 17</t>
        </r>
      </text>
    </comment>
    <comment ref="B173" authorId="4" shapeId="0" xr:uid="{00000000-0006-0000-2F00-000015000000}">
      <text>
        <r>
          <rPr>
            <b/>
            <sz val="9"/>
            <color indexed="81"/>
            <rFont val="Tahoma"/>
            <family val="2"/>
          </rPr>
          <t>user:</t>
        </r>
        <r>
          <rPr>
            <sz val="9"/>
            <color indexed="81"/>
            <rFont val="Tahoma"/>
            <family val="2"/>
          </rPr>
          <t xml:space="preserve">
PACIENTE INTRANSPORTABLE- ENTIDAD SOLICITA INFORME</t>
        </r>
      </text>
    </comment>
    <comment ref="W173" authorId="4" shapeId="0" xr:uid="{00000000-0006-0000-2F00-000016000000}">
      <text>
        <r>
          <rPr>
            <b/>
            <sz val="9"/>
            <color indexed="81"/>
            <rFont val="Tahoma"/>
            <family val="2"/>
          </rPr>
          <t>user:</t>
        </r>
        <r>
          <rPr>
            <sz val="9"/>
            <color indexed="81"/>
            <rFont val="Tahoma"/>
            <family val="2"/>
          </rPr>
          <t xml:space="preserve">
DIA SIGUIENTE</t>
        </r>
      </text>
    </comment>
    <comment ref="I185" authorId="4" shapeId="0" xr:uid="{00000000-0006-0000-2F00-000017000000}">
      <text>
        <r>
          <rPr>
            <b/>
            <sz val="9"/>
            <color indexed="81"/>
            <rFont val="Tahoma"/>
            <family val="2"/>
          </rPr>
          <t>user:</t>
        </r>
        <r>
          <rPr>
            <sz val="9"/>
            <color indexed="81"/>
            <rFont val="Tahoma"/>
            <family val="2"/>
          </rPr>
          <t xml:space="preserve">
F001-2809</t>
        </r>
      </text>
    </comment>
    <comment ref="J191" authorId="4" shapeId="0" xr:uid="{00000000-0006-0000-2F00-000018000000}">
      <text>
        <r>
          <rPr>
            <b/>
            <sz val="9"/>
            <color indexed="81"/>
            <rFont val="Tahoma"/>
            <family val="2"/>
          </rPr>
          <t>user:</t>
        </r>
        <r>
          <rPr>
            <sz val="9"/>
            <color indexed="81"/>
            <rFont val="Tahoma"/>
            <family val="2"/>
          </rPr>
          <t xml:space="preserve">
43612.8</t>
        </r>
      </text>
    </comment>
    <comment ref="K223" authorId="3" shapeId="0" xr:uid="{00000000-0006-0000-2F00-000019000000}">
      <text>
        <r>
          <rPr>
            <b/>
            <sz val="9"/>
            <color indexed="81"/>
            <rFont val="Tahoma"/>
            <family val="2"/>
          </rPr>
          <t>Sonia:</t>
        </r>
        <r>
          <rPr>
            <sz val="9"/>
            <color indexed="81"/>
            <rFont val="Tahoma"/>
            <family val="2"/>
          </rPr>
          <t xml:space="preserve">
PAGARON 614067.80 02 SOLES MENOS</t>
        </r>
      </text>
    </comment>
    <comment ref="U235" authorId="4" shapeId="0" xr:uid="{00000000-0006-0000-2F00-00001A000000}">
      <text>
        <r>
          <rPr>
            <b/>
            <sz val="9"/>
            <color indexed="81"/>
            <rFont val="Tahoma"/>
            <family val="2"/>
          </rPr>
          <t>user:</t>
        </r>
        <r>
          <rPr>
            <sz val="9"/>
            <color indexed="81"/>
            <rFont val="Tahoma"/>
            <family val="2"/>
          </rPr>
          <t xml:space="preserve">
AL ATERRIZAJE DICE BENAVENTE/SANCHEZ</t>
        </r>
      </text>
    </comment>
    <comment ref="W243" authorId="4" shapeId="0" xr:uid="{00000000-0006-0000-2F00-00001B000000}">
      <text>
        <r>
          <rPr>
            <b/>
            <sz val="9"/>
            <color indexed="81"/>
            <rFont val="Tahoma"/>
            <family val="2"/>
          </rPr>
          <t>user:</t>
        </r>
        <r>
          <rPr>
            <sz val="9"/>
            <color indexed="81"/>
            <rFont val="Tahoma"/>
            <family val="2"/>
          </rPr>
          <t xml:space="preserve">
DIA SIGUIENTE</t>
        </r>
      </text>
    </comment>
    <comment ref="W253" authorId="4" shapeId="0" xr:uid="{00000000-0006-0000-2F00-00001C000000}">
      <text>
        <r>
          <rPr>
            <b/>
            <sz val="9"/>
            <color indexed="81"/>
            <rFont val="Tahoma"/>
            <family val="2"/>
          </rPr>
          <t>user:</t>
        </r>
        <r>
          <rPr>
            <sz val="9"/>
            <color indexed="81"/>
            <rFont val="Tahoma"/>
            <family val="2"/>
          </rPr>
          <t xml:space="preserve">
DIA SIGUIENTE</t>
        </r>
      </text>
    </comment>
    <comment ref="I272" authorId="4" shapeId="0" xr:uid="{00000000-0006-0000-2F00-00001D000000}">
      <text>
        <r>
          <rPr>
            <b/>
            <sz val="9"/>
            <color indexed="81"/>
            <rFont val="Tahoma"/>
            <family val="2"/>
          </rPr>
          <t>user:</t>
        </r>
        <r>
          <rPr>
            <sz val="9"/>
            <color indexed="81"/>
            <rFont val="Tahoma"/>
            <family val="2"/>
          </rPr>
          <t xml:space="preserve">
F001-3383</t>
        </r>
      </text>
    </comment>
    <comment ref="I285" authorId="4" shapeId="0" xr:uid="{00000000-0006-0000-2F00-00001E000000}">
      <text>
        <r>
          <rPr>
            <b/>
            <sz val="9"/>
            <color indexed="81"/>
            <rFont val="Tahoma"/>
            <family val="2"/>
          </rPr>
          <t>user:</t>
        </r>
        <r>
          <rPr>
            <sz val="9"/>
            <color indexed="81"/>
            <rFont val="Tahoma"/>
            <family val="2"/>
          </rPr>
          <t xml:space="preserve">
F001-3499  SE MODIFICÓ DEBIDO A QUE PIRO GOMEZ NO SE PUDO TRASLADAR POR INTRANSPORTABLE Y SE SACÓ DEL EXPEDIENTE, LUEGO SE ENVIARA POR SIACASO PARA INTENTAR COBRO INDEPENDIENTE
</t>
        </r>
      </text>
    </comment>
    <comment ref="L312" authorId="4" shapeId="0" xr:uid="{00000000-0006-0000-2F00-00001F000000}">
      <text>
        <r>
          <rPr>
            <b/>
            <sz val="9"/>
            <color indexed="81"/>
            <rFont val="Tahoma"/>
            <family val="2"/>
          </rPr>
          <t>user:</t>
        </r>
        <r>
          <rPr>
            <sz val="9"/>
            <color indexed="81"/>
            <rFont val="Tahoma"/>
            <family val="2"/>
          </rPr>
          <t xml:space="preserve">
FIRMADO VIERNES 8-11-24
</t>
        </r>
      </text>
    </comment>
    <comment ref="I318" authorId="4" shapeId="0" xr:uid="{00000000-0006-0000-2F00-000020000000}">
      <text>
        <r>
          <rPr>
            <b/>
            <sz val="9"/>
            <color indexed="81"/>
            <rFont val="Tahoma"/>
            <family val="2"/>
          </rPr>
          <t>user:</t>
        </r>
        <r>
          <rPr>
            <sz val="9"/>
            <color indexed="81"/>
            <rFont val="Tahoma"/>
            <family val="2"/>
          </rPr>
          <t xml:space="preserve">
F001-3779</t>
        </r>
      </text>
    </comment>
    <comment ref="K345" authorId="4" shapeId="0" xr:uid="{00000000-0006-0000-2F00-000021000000}">
      <text>
        <r>
          <rPr>
            <b/>
            <sz val="9"/>
            <color indexed="81"/>
            <rFont val="Tahoma"/>
            <family val="2"/>
          </rPr>
          <t>user:</t>
        </r>
        <r>
          <rPr>
            <sz val="9"/>
            <color indexed="81"/>
            <rFont val="Tahoma"/>
            <family val="2"/>
          </rPr>
          <t xml:space="preserve">
VERIFICAR LOS TRES PAGOS SUMAN EL TOTAL DE LA DEUDA NETO DE DETRACCION DE ESTA FACTURA
</t>
        </r>
      </text>
    </comment>
    <comment ref="W350" authorId="4" shapeId="0" xr:uid="{00000000-0006-0000-2F00-000022000000}">
      <text>
        <r>
          <rPr>
            <b/>
            <sz val="9"/>
            <color indexed="81"/>
            <rFont val="Tahoma"/>
            <family val="2"/>
          </rPr>
          <t>user:</t>
        </r>
        <r>
          <rPr>
            <sz val="9"/>
            <color indexed="81"/>
            <rFont val="Tahoma"/>
            <family val="2"/>
          </rPr>
          <t xml:space="preserve">
NO HAY HORAS EN EL GRUPO B200</t>
        </r>
      </text>
    </comment>
    <comment ref="U370" authorId="4" shapeId="0" xr:uid="{00000000-0006-0000-2F00-000023000000}">
      <text>
        <r>
          <rPr>
            <b/>
            <sz val="9"/>
            <color indexed="81"/>
            <rFont val="Tahoma"/>
            <family val="2"/>
          </rPr>
          <t>user:</t>
        </r>
        <r>
          <rPr>
            <sz val="9"/>
            <color indexed="81"/>
            <rFont val="Tahoma"/>
            <family val="2"/>
          </rPr>
          <t xml:space="preserve">
DIA SIGUIENTE</t>
        </r>
      </text>
    </comment>
    <comment ref="I384" authorId="4" shapeId="0" xr:uid="{00000000-0006-0000-2F00-000024000000}">
      <text>
        <r>
          <rPr>
            <b/>
            <sz val="9"/>
            <color indexed="81"/>
            <rFont val="Tahoma"/>
            <family val="2"/>
          </rPr>
          <t>user:</t>
        </r>
        <r>
          <rPr>
            <sz val="9"/>
            <color indexed="81"/>
            <rFont val="Tahoma"/>
            <family val="2"/>
          </rPr>
          <t xml:space="preserve">
F001-4728 SE MODIFICÓ PORQUE SE RETIRÓ A ZAPATA QUE LOS FAMILIARES NO QUISIERON QUE SE ENTUBE Y NO PERMITIERONE L TRASLADO</t>
        </r>
      </text>
    </comment>
    <comment ref="F410" authorId="4" shapeId="0" xr:uid="{00000000-0006-0000-2F00-000025000000}">
      <text>
        <r>
          <rPr>
            <b/>
            <sz val="9"/>
            <color indexed="81"/>
            <rFont val="Tahoma"/>
            <family val="2"/>
          </rPr>
          <t>user:</t>
        </r>
        <r>
          <rPr>
            <sz val="9"/>
            <color indexed="81"/>
            <rFont val="Tahoma"/>
            <family val="2"/>
          </rPr>
          <t xml:space="preserve">
ESTE VUELO ES DE BAGUA - VIA CHICLAYO</t>
        </r>
      </text>
    </comment>
    <comment ref="F451" authorId="4" shapeId="0" xr:uid="{00000000-0006-0000-2F00-000026000000}">
      <text>
        <r>
          <rPr>
            <b/>
            <sz val="9"/>
            <color indexed="81"/>
            <rFont val="Tahoma"/>
            <family val="2"/>
          </rPr>
          <t>user:</t>
        </r>
        <r>
          <rPr>
            <sz val="9"/>
            <color indexed="81"/>
            <rFont val="Tahoma"/>
            <family val="2"/>
          </rPr>
          <t xml:space="preserve">
LA RUTA DEL PACIENTE FUE YURIMAGUAS, SIN EMBARGO NO APLICA PRECIO DE LORETO PORQUE EN LAS RUTAS ESTÁ SOLAMENTE LORETO IQUITOS</t>
        </r>
      </text>
    </comment>
    <comment ref="I454" authorId="4" shapeId="0" xr:uid="{00000000-0006-0000-2F00-000027000000}">
      <text>
        <r>
          <rPr>
            <b/>
            <sz val="9"/>
            <color indexed="81"/>
            <rFont val="Tahoma"/>
            <family val="2"/>
          </rPr>
          <t>user:</t>
        </r>
        <r>
          <rPr>
            <sz val="9"/>
            <color indexed="81"/>
            <rFont val="Tahoma"/>
            <family val="2"/>
          </rPr>
          <t xml:space="preserve">
F001-5086 SE ACMBIÓ DE FACTURA POR MOTIVO DE - SE RETIRÓ SERVICIO DEL 17-06</t>
        </r>
      </text>
    </comment>
    <comment ref="B479" authorId="4" shapeId="0" xr:uid="{00000000-0006-0000-2F00-000028000000}">
      <text>
        <r>
          <rPr>
            <b/>
            <sz val="9"/>
            <color indexed="81"/>
            <rFont val="Tahoma"/>
            <family val="2"/>
          </rPr>
          <t>user:</t>
        </r>
        <r>
          <rPr>
            <sz val="9"/>
            <color indexed="81"/>
            <rFont val="Tahoma"/>
            <family val="2"/>
          </rPr>
          <t xml:space="preserve">
AMAZONAS- BAGUA GRANDE</t>
        </r>
      </text>
    </comment>
    <comment ref="M510" authorId="4" shapeId="0" xr:uid="{00000000-0006-0000-2F00-000029000000}">
      <text>
        <r>
          <rPr>
            <b/>
            <sz val="9"/>
            <color indexed="81"/>
            <rFont val="Tahoma"/>
            <family val="2"/>
          </rPr>
          <t>user:</t>
        </r>
        <r>
          <rPr>
            <sz val="9"/>
            <color indexed="81"/>
            <rFont val="Tahoma"/>
            <family val="2"/>
          </rPr>
          <t xml:space="preserve">
SE ESTÁ SUMANDO EL SERVICIO QUE FUE SEPARADO DEKL EXPEDIENTE POR QUE LA FAMILIA NO CONSINTIÓ EL TRASLADO
</t>
        </r>
      </text>
    </comment>
    <comment ref="L513" authorId="4" shapeId="0" xr:uid="{00000000-0006-0000-2F00-00002A000000}">
      <text>
        <r>
          <rPr>
            <b/>
            <sz val="9"/>
            <color indexed="81"/>
            <rFont val="Tahoma"/>
            <family val="2"/>
          </rPr>
          <t>user:</t>
        </r>
        <r>
          <rPr>
            <sz val="9"/>
            <color indexed="81"/>
            <rFont val="Tahoma"/>
            <family val="2"/>
          </rPr>
          <t xml:space="preserve">
FIRMADO CON FECHA JUEVES 20 DE NOVIEMBRE DEL 2025</t>
        </r>
      </text>
    </comment>
    <comment ref="I548" authorId="4" shapeId="0" xr:uid="{00000000-0006-0000-2F00-00002B000000}">
      <text>
        <r>
          <rPr>
            <b/>
            <sz val="9"/>
            <color indexed="81"/>
            <rFont val="Tahoma"/>
            <family val="2"/>
          </rPr>
          <t>user:</t>
        </r>
        <r>
          <rPr>
            <sz val="9"/>
            <color indexed="81"/>
            <rFont val="Tahoma"/>
            <family val="2"/>
          </rPr>
          <t xml:space="preserve">
TUMBES</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LENOVO</author>
    <author>Admin</author>
    <author>Sonia Diaz</author>
    <author>user</author>
  </authors>
  <commentList>
    <comment ref="C24" authorId="0" shapeId="0" xr:uid="{00000000-0006-0000-3000-000001000000}">
      <text>
        <r>
          <rPr>
            <b/>
            <sz val="9"/>
            <color indexed="81"/>
            <rFont val="Tahoma"/>
            <family val="2"/>
          </rPr>
          <t>LENOVO:</t>
        </r>
        <r>
          <rPr>
            <sz val="9"/>
            <color indexed="81"/>
            <rFont val="Tahoma"/>
            <family val="2"/>
          </rPr>
          <t xml:space="preserve">
PERNOCTE</t>
        </r>
      </text>
    </comment>
    <comment ref="C26" authorId="0" shapeId="0" xr:uid="{00000000-0006-0000-3000-000002000000}">
      <text>
        <r>
          <rPr>
            <b/>
            <sz val="9"/>
            <color indexed="81"/>
            <rFont val="Tahoma"/>
            <family val="2"/>
          </rPr>
          <t>LENOVO:</t>
        </r>
        <r>
          <rPr>
            <sz val="9"/>
            <color indexed="81"/>
            <rFont val="Tahoma"/>
            <family val="2"/>
          </rPr>
          <t xml:space="preserve">
OERNOCTE HASTA EL DIA SIGUIENTE</t>
        </r>
      </text>
    </comment>
    <comment ref="D26" authorId="1" shapeId="0" xr:uid="{00000000-0006-0000-3000-000003000000}">
      <text>
        <r>
          <rPr>
            <b/>
            <sz val="9"/>
            <color indexed="81"/>
            <rFont val="Tahoma"/>
            <family val="2"/>
          </rPr>
          <t>Admin:</t>
        </r>
        <r>
          <rPr>
            <sz val="9"/>
            <color indexed="81"/>
            <rFont val="Tahoma"/>
            <family val="2"/>
          </rPr>
          <t xml:space="preserve">
EN LA FACTURA DICE 10/10</t>
        </r>
      </text>
    </comment>
    <comment ref="B27" authorId="0" shapeId="0" xr:uid="{00000000-0006-0000-3000-000004000000}">
      <text>
        <r>
          <rPr>
            <b/>
            <sz val="9"/>
            <color indexed="81"/>
            <rFont val="Tahoma"/>
            <family val="2"/>
          </rPr>
          <t>LENOVO:</t>
        </r>
        <r>
          <rPr>
            <sz val="9"/>
            <color indexed="81"/>
            <rFont val="Tahoma"/>
            <family val="2"/>
          </rPr>
          <t xml:space="preserve">
NO SE TRASLADO PACIENTE FALLECIO EN ORIGEN</t>
        </r>
      </text>
    </comment>
    <comment ref="H27" authorId="1" shapeId="0" xr:uid="{00000000-0006-0000-3000-000005000000}">
      <text>
        <r>
          <rPr>
            <b/>
            <sz val="9"/>
            <color indexed="81"/>
            <rFont val="Tahoma"/>
            <family val="2"/>
          </rPr>
          <t>Admin:</t>
        </r>
        <r>
          <rPr>
            <sz val="9"/>
            <color indexed="81"/>
            <rFont val="Tahoma"/>
            <family val="2"/>
          </rPr>
          <t xml:space="preserve">
SE FACTURÓ COMO TRASLADO 26400</t>
        </r>
      </text>
    </comment>
    <comment ref="H28" authorId="1" shapeId="0" xr:uid="{00000000-0006-0000-3000-000006000000}">
      <text>
        <r>
          <rPr>
            <b/>
            <sz val="9"/>
            <color indexed="81"/>
            <rFont val="Tahoma"/>
            <family val="2"/>
          </rPr>
          <t>Admin:</t>
        </r>
        <r>
          <rPr>
            <sz val="9"/>
            <color indexed="81"/>
            <rFont val="Tahoma"/>
            <family val="2"/>
          </rPr>
          <t xml:space="preserve">
FACTURA SOLO POR LA DIFERENCIA DE SUS SERVICIOS</t>
        </r>
      </text>
    </comment>
    <comment ref="U34" authorId="2" shapeId="0" xr:uid="{00000000-0006-0000-3000-000007000000}">
      <text>
        <r>
          <rPr>
            <b/>
            <sz val="9"/>
            <color indexed="81"/>
            <rFont val="Tahoma"/>
            <family val="2"/>
          </rPr>
          <t>Sonia Diaz:</t>
        </r>
        <r>
          <rPr>
            <sz val="9"/>
            <color indexed="81"/>
            <rFont val="Tahoma"/>
            <family val="2"/>
          </rPr>
          <t xml:space="preserve">
DIA SIGUIENTE
</t>
        </r>
      </text>
    </comment>
    <comment ref="I38" authorId="2" shapeId="0" xr:uid="{00000000-0006-0000-3000-000008000000}">
      <text>
        <r>
          <rPr>
            <b/>
            <sz val="9"/>
            <color indexed="81"/>
            <rFont val="Tahoma"/>
            <family val="2"/>
          </rPr>
          <t>Sonia Diaz:</t>
        </r>
        <r>
          <rPr>
            <sz val="9"/>
            <color indexed="81"/>
            <rFont val="Tahoma"/>
            <family val="2"/>
          </rPr>
          <t xml:space="preserve">
VER ESTE MONTO</t>
        </r>
      </text>
    </comment>
    <comment ref="J38" authorId="2" shapeId="0" xr:uid="{00000000-0006-0000-3000-000009000000}">
      <text>
        <r>
          <rPr>
            <b/>
            <sz val="9"/>
            <color indexed="81"/>
            <rFont val="Tahoma"/>
            <family val="2"/>
          </rPr>
          <t>Sonia Diaz:</t>
        </r>
        <r>
          <rPr>
            <sz val="9"/>
            <color indexed="81"/>
            <rFont val="Tahoma"/>
            <family val="2"/>
          </rPr>
          <t xml:space="preserve">
VER ESTE MONTO</t>
        </r>
      </text>
    </comment>
    <comment ref="C43" authorId="3" shapeId="0" xr:uid="{00000000-0006-0000-3000-00000A000000}">
      <text>
        <r>
          <rPr>
            <b/>
            <sz val="9"/>
            <color indexed="81"/>
            <rFont val="Tahoma"/>
            <family val="2"/>
          </rPr>
          <t>user:</t>
        </r>
        <r>
          <rPr>
            <sz val="9"/>
            <color indexed="81"/>
            <rFont val="Tahoma"/>
            <family val="2"/>
          </rPr>
          <t xml:space="preserve">
PERNO TÓ HASTA EL DIA SIGUIENTE
</t>
        </r>
      </text>
    </comment>
    <comment ref="H52" authorId="3" shapeId="0" xr:uid="{00000000-0006-0000-3000-00000B000000}">
      <text>
        <r>
          <rPr>
            <b/>
            <sz val="9"/>
            <color indexed="81"/>
            <rFont val="Tahoma"/>
            <family val="2"/>
          </rPr>
          <t>user:</t>
        </r>
        <r>
          <rPr>
            <sz val="9"/>
            <color indexed="81"/>
            <rFont val="Tahoma"/>
            <family val="2"/>
          </rPr>
          <t xml:space="preserve">
TUVO APERTURA ADICIONAL DE CORPAC $ 277.86   
1000 SOLES FACTURADO SEGÚN F006-4686</t>
        </r>
      </text>
    </comment>
    <comment ref="V55" authorId="3" shapeId="0" xr:uid="{00000000-0006-0000-3000-00000C000000}">
      <text>
        <r>
          <rPr>
            <b/>
            <sz val="9"/>
            <color indexed="81"/>
            <rFont val="Tahoma"/>
            <family val="2"/>
          </rPr>
          <t>user:</t>
        </r>
        <r>
          <rPr>
            <sz val="9"/>
            <color indexed="81"/>
            <rFont val="Tahoma"/>
            <family val="2"/>
          </rPr>
          <t xml:space="preserve">
DIA SIGUIENTE</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H4" authorId="0" shapeId="0" xr:uid="{00000000-0006-0000-3100-000001000000}">
      <text>
        <r>
          <rPr>
            <b/>
            <sz val="9"/>
            <color indexed="81"/>
            <rFont val="Tahoma"/>
            <family val="2"/>
          </rPr>
          <t>Admin:</t>
        </r>
        <r>
          <rPr>
            <sz val="9"/>
            <color indexed="81"/>
            <rFont val="Tahoma"/>
            <family val="2"/>
          </rPr>
          <t xml:space="preserve">
TENIA FACTURA CON IGV F006-88</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LENOVO</author>
    <author>Sonia Diaz</author>
    <author>user</author>
  </authors>
  <commentList>
    <comment ref="M7" authorId="0" shapeId="0" xr:uid="{00000000-0006-0000-3200-000001000000}">
      <text>
        <r>
          <rPr>
            <b/>
            <sz val="9"/>
            <color indexed="81"/>
            <rFont val="Tahoma"/>
            <family val="2"/>
          </rPr>
          <t>LENOVO:</t>
        </r>
        <r>
          <rPr>
            <sz val="9"/>
            <color indexed="81"/>
            <rFont val="Tahoma"/>
            <family val="2"/>
          </rPr>
          <t xml:space="preserve">
NO SE HIZO EL SERVICIO Y SE DEJO A 28,000 SOLES PARA DAR FACILIDADES</t>
        </r>
      </text>
    </comment>
    <comment ref="O7" authorId="0" shapeId="0" xr:uid="{00000000-0006-0000-3200-000002000000}">
      <text>
        <r>
          <rPr>
            <b/>
            <sz val="9"/>
            <color indexed="81"/>
            <rFont val="Tahoma"/>
            <family val="2"/>
          </rPr>
          <t>LENOVO:</t>
        </r>
        <r>
          <rPr>
            <sz val="9"/>
            <color indexed="81"/>
            <rFont val="Tahoma"/>
            <family val="2"/>
          </rPr>
          <t xml:space="preserve">
10000</t>
        </r>
      </text>
    </comment>
    <comment ref="I12" authorId="0" shapeId="0" xr:uid="{00000000-0006-0000-3200-000003000000}">
      <text>
        <r>
          <rPr>
            <b/>
            <sz val="9"/>
            <color indexed="81"/>
            <rFont val="Tahoma"/>
            <family val="2"/>
          </rPr>
          <t>LENOVO:</t>
        </r>
        <r>
          <rPr>
            <sz val="9"/>
            <color indexed="81"/>
            <rFont val="Tahoma"/>
            <family val="2"/>
          </rPr>
          <t xml:space="preserve">
30000 Pago 20,000 29-06-2022</t>
        </r>
      </text>
    </comment>
    <comment ref="M12" authorId="0" shapeId="0" xr:uid="{00000000-0006-0000-3200-000004000000}">
      <text>
        <r>
          <rPr>
            <b/>
            <sz val="9"/>
            <color indexed="81"/>
            <rFont val="Tahoma"/>
            <family val="2"/>
          </rPr>
          <t>LENOVO:</t>
        </r>
        <r>
          <rPr>
            <sz val="9"/>
            <color indexed="81"/>
            <rFont val="Tahoma"/>
            <family val="2"/>
          </rPr>
          <t xml:space="preserve">
10000</t>
        </r>
      </text>
    </comment>
    <comment ref="C15" authorId="0" shapeId="0" xr:uid="{00000000-0006-0000-3200-000005000000}">
      <text>
        <r>
          <rPr>
            <b/>
            <sz val="9"/>
            <color indexed="81"/>
            <rFont val="Tahoma"/>
            <family val="2"/>
          </rPr>
          <t>LENOVO:</t>
        </r>
        <r>
          <rPr>
            <sz val="9"/>
            <color indexed="81"/>
            <rFont val="Tahoma"/>
            <family val="2"/>
          </rPr>
          <t xml:space="preserve">
PERNOCTO HSTA EL DIA SIGUIENTE</t>
        </r>
      </text>
    </comment>
    <comment ref="K17" authorId="0" shapeId="0" xr:uid="{00000000-0006-0000-3200-000006000000}">
      <text>
        <r>
          <rPr>
            <b/>
            <sz val="9"/>
            <color indexed="81"/>
            <rFont val="Tahoma"/>
            <family val="2"/>
          </rPr>
          <t>LENOVO:</t>
        </r>
        <r>
          <rPr>
            <sz val="9"/>
            <color indexed="81"/>
            <rFont val="Tahoma"/>
            <family val="2"/>
          </rPr>
          <t xml:space="preserve">
PAGARA 01-08 10000 Y EL 02-08 9800</t>
        </r>
      </text>
    </comment>
    <comment ref="N17" authorId="0" shapeId="0" xr:uid="{00000000-0006-0000-3200-000007000000}">
      <text>
        <r>
          <rPr>
            <b/>
            <sz val="9"/>
            <color indexed="81"/>
            <rFont val="Tahoma"/>
            <family val="2"/>
          </rPr>
          <t>LENOVO:</t>
        </r>
        <r>
          <rPr>
            <sz val="9"/>
            <color indexed="81"/>
            <rFont val="Tahoma"/>
            <family val="2"/>
          </rPr>
          <t xml:space="preserve">
02/08 BBVA 2000+8000 BCP
11/08 5300+4500 BCP</t>
        </r>
      </text>
    </comment>
    <comment ref="I18" authorId="1" shapeId="0" xr:uid="{00000000-0006-0000-3200-000008000000}">
      <text>
        <r>
          <rPr>
            <b/>
            <sz val="9"/>
            <color indexed="81"/>
            <rFont val="Tahoma"/>
            <family val="2"/>
          </rPr>
          <t>Sonia Diaz:</t>
        </r>
        <r>
          <rPr>
            <sz val="9"/>
            <color indexed="81"/>
            <rFont val="Tahoma"/>
            <family val="2"/>
          </rPr>
          <t xml:space="preserve">
DEBE 8000
</t>
        </r>
      </text>
    </comment>
    <comment ref="K18" authorId="0" shapeId="0" xr:uid="{00000000-0006-0000-3200-000009000000}">
      <text>
        <r>
          <rPr>
            <b/>
            <sz val="9"/>
            <color indexed="81"/>
            <rFont val="Tahoma"/>
            <family val="2"/>
          </rPr>
          <t>LENOVO:</t>
        </r>
        <r>
          <rPr>
            <sz val="9"/>
            <color indexed="81"/>
            <rFont val="Tahoma"/>
            <family val="2"/>
          </rPr>
          <t xml:space="preserve">
PAGADA 04/09 12000 Y FALTA PAGAR 18000, PAGO 10000 EL 21-09
ULTIMO PAGO DE 8000 FUE EL 17-01
</t>
        </r>
      </text>
    </comment>
    <comment ref="L18" authorId="0" shapeId="0" xr:uid="{00000000-0006-0000-3200-00000A000000}">
      <text>
        <r>
          <rPr>
            <b/>
            <sz val="9"/>
            <color indexed="81"/>
            <rFont val="Tahoma"/>
            <family val="2"/>
          </rPr>
          <t>LENOVO:</t>
        </r>
        <r>
          <rPr>
            <sz val="9"/>
            <color indexed="81"/>
            <rFont val="Tahoma"/>
            <family val="2"/>
          </rPr>
          <t xml:space="preserve">
PAGADA 12000 04-
09-22 QUEDA X PAGAR 18000</t>
        </r>
      </text>
    </comment>
    <comment ref="C24" authorId="0" shapeId="0" xr:uid="{00000000-0006-0000-3200-00000B000000}">
      <text>
        <r>
          <rPr>
            <b/>
            <sz val="9"/>
            <color indexed="81"/>
            <rFont val="Tahoma"/>
            <family val="2"/>
          </rPr>
          <t>LENOVO:</t>
        </r>
        <r>
          <rPr>
            <sz val="9"/>
            <color indexed="81"/>
            <rFont val="Tahoma"/>
            <family val="2"/>
          </rPr>
          <t xml:space="preserve">
PERNOCTE</t>
        </r>
      </text>
    </comment>
    <comment ref="L26" authorId="1" shapeId="0" xr:uid="{00000000-0006-0000-3200-00000C000000}">
      <text>
        <r>
          <rPr>
            <b/>
            <sz val="9"/>
            <color indexed="81"/>
            <rFont val="Tahoma"/>
            <family val="2"/>
          </rPr>
          <t>Sonia Diaz:</t>
        </r>
        <r>
          <rPr>
            <sz val="9"/>
            <color indexed="81"/>
            <rFont val="Tahoma"/>
            <family val="2"/>
          </rPr>
          <t xml:space="preserve">
PAGADA 15000 EL 01-02-23 Y 5800 EL 02-02-23 AMS</t>
        </r>
      </text>
    </comment>
    <comment ref="K27" authorId="1" shapeId="0" xr:uid="{00000000-0006-0000-3200-00000D000000}">
      <text>
        <r>
          <rPr>
            <b/>
            <sz val="9"/>
            <color indexed="81"/>
            <rFont val="Tahoma"/>
            <family val="2"/>
          </rPr>
          <t>Sonia Diaz:</t>
        </r>
        <r>
          <rPr>
            <sz val="9"/>
            <color indexed="81"/>
            <rFont val="Tahoma"/>
            <family val="2"/>
          </rPr>
          <t xml:space="preserve">
12760 EL 26/01
PAGO DE 20800 DEL 17-01-23 SE APLICARA A ESTE SERVICIO</t>
        </r>
      </text>
    </comment>
    <comment ref="L34" authorId="1" shapeId="0" xr:uid="{00000000-0006-0000-3200-00000E000000}">
      <text>
        <r>
          <rPr>
            <b/>
            <sz val="9"/>
            <color indexed="81"/>
            <rFont val="Tahoma"/>
            <family val="2"/>
          </rPr>
          <t>Sonia Diaz:</t>
        </r>
        <r>
          <rPr>
            <sz val="9"/>
            <color indexed="81"/>
            <rFont val="Tahoma"/>
            <family val="2"/>
          </rPr>
          <t xml:space="preserve">
30000 08/03-23 BCP MAJORO</t>
        </r>
      </text>
    </comment>
    <comment ref="K36" authorId="2" shapeId="0" xr:uid="{00000000-0006-0000-3200-00000F000000}">
      <text>
        <r>
          <rPr>
            <b/>
            <sz val="9"/>
            <color indexed="81"/>
            <rFont val="Tahoma"/>
            <family val="2"/>
          </rPr>
          <t>user:</t>
        </r>
        <r>
          <rPr>
            <sz val="9"/>
            <color indexed="81"/>
            <rFont val="Tahoma"/>
            <family val="2"/>
          </rPr>
          <t xml:space="preserve">
X VERIFICAR BCP CTA MAJORO PREGUNTAR A JENNY 31-03-23</t>
        </r>
      </text>
    </comment>
    <comment ref="V46" authorId="2" shapeId="0" xr:uid="{00000000-0006-0000-3200-000010000000}">
      <text>
        <r>
          <rPr>
            <b/>
            <sz val="9"/>
            <color indexed="81"/>
            <rFont val="Tahoma"/>
            <family val="2"/>
          </rPr>
          <t>user:</t>
        </r>
        <r>
          <rPr>
            <sz val="9"/>
            <color indexed="81"/>
            <rFont val="Tahoma"/>
            <family val="2"/>
          </rPr>
          <t xml:space="preserve">
DIA SIGUIENTE</t>
        </r>
      </text>
    </comment>
    <comment ref="T65" authorId="2" shapeId="0" xr:uid="{00000000-0006-0000-3200-000011000000}">
      <text>
        <r>
          <rPr>
            <b/>
            <sz val="9"/>
            <color indexed="81"/>
            <rFont val="Tahoma"/>
            <family val="2"/>
          </rPr>
          <t>user:</t>
        </r>
        <r>
          <rPr>
            <sz val="9"/>
            <color indexed="81"/>
            <rFont val="Tahoma"/>
            <family val="2"/>
          </rPr>
          <t xml:space="preserve">
VER EN UNA PARTE DICE VALLES</t>
        </r>
      </text>
    </comment>
    <comment ref="I73" authorId="2" shapeId="0" xr:uid="{00000000-0006-0000-3200-000012000000}">
      <text>
        <r>
          <rPr>
            <b/>
            <sz val="9"/>
            <color indexed="81"/>
            <rFont val="Tahoma"/>
            <family val="2"/>
          </rPr>
          <t>user:</t>
        </r>
        <r>
          <rPr>
            <sz val="9"/>
            <color indexed="81"/>
            <rFont val="Tahoma"/>
            <family val="2"/>
          </rPr>
          <t xml:space="preserve">
AQUÍ PAGARON SOLO 32200 FALTARIA 1360</t>
        </r>
      </text>
    </comment>
    <comment ref="I74" authorId="2" shapeId="0" xr:uid="{00000000-0006-0000-3200-000013000000}">
      <text>
        <r>
          <rPr>
            <b/>
            <sz val="9"/>
            <color indexed="81"/>
            <rFont val="Tahoma"/>
            <family val="2"/>
          </rPr>
          <t>user:</t>
        </r>
        <r>
          <rPr>
            <sz val="9"/>
            <color indexed="81"/>
            <rFont val="Tahoma"/>
            <family val="2"/>
          </rPr>
          <t xml:space="preserve">
PAGÓ 5000 EL 14-05-25 A CUENTA D EESSTÁ FACTURA, ESTÁ DESCONTANDO EN EL TOTAL D ELA DEUDA
4000 PAGÓ EL 12 DE JUNIO 25 A CTA
3,000 a cta 18-07-25
PAGÓ 3000 EL 12 DE SETIEMBRE 2025
3,000 PAGÓ EL 17-10-25</t>
        </r>
      </text>
    </comment>
    <comment ref="I76" authorId="2" shapeId="0" xr:uid="{00000000-0006-0000-3200-000014000000}">
      <text>
        <r>
          <rPr>
            <b/>
            <sz val="9"/>
            <color indexed="81"/>
            <rFont val="Tahoma"/>
            <family val="2"/>
          </rPr>
          <t>user:</t>
        </r>
        <r>
          <rPr>
            <sz val="9"/>
            <color indexed="81"/>
            <rFont val="Tahoma"/>
            <family val="2"/>
          </rPr>
          <t xml:space="preserve">
DEJÓ A CUENTA 10,000 PARA PODER ATENDER POR TAL MOTIVO SE APLICA PRECIO 32,200, Ojo de los tres pagos del 
14-02-25  BCP 10,000
20-02-25 BBVA PCL 10,000 
26-02-25 BBVA PCL 10,000 + 
11-03-25 1,200 BCP
13-03-25 1,000 BBVA PCL 
SE COMPLETÓ EL PAGO DE UN SERVICIO DE 32,200.00</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Sonia Diaz</author>
    <author>user</author>
    <author>Sonia</author>
    <author>Carlos</author>
  </authors>
  <commentList>
    <comment ref="C7" authorId="0" shapeId="0" xr:uid="{00000000-0006-0000-3300-000001000000}">
      <text>
        <r>
          <rPr>
            <b/>
            <sz val="9"/>
            <color indexed="81"/>
            <rFont val="Tahoma"/>
            <family val="2"/>
          </rPr>
          <t>Sonia Diaz:</t>
        </r>
        <r>
          <rPr>
            <sz val="9"/>
            <color indexed="81"/>
            <rFont val="Tahoma"/>
            <family val="2"/>
          </rPr>
          <t xml:space="preserve">
PERNOCTE</t>
        </r>
      </text>
    </comment>
    <comment ref="C22" authorId="0" shapeId="0" xr:uid="{00000000-0006-0000-3300-000002000000}">
      <text>
        <r>
          <rPr>
            <b/>
            <sz val="9"/>
            <color indexed="81"/>
            <rFont val="Tahoma"/>
            <family val="2"/>
          </rPr>
          <t>Sonia Diaz:</t>
        </r>
        <r>
          <rPr>
            <sz val="9"/>
            <color indexed="81"/>
            <rFont val="Tahoma"/>
            <family val="2"/>
          </rPr>
          <t xml:space="preserve">
FUERON DIA ANTERIOR Y PERNOCTARON DOS PACIENTES TRASLADARON</t>
        </r>
      </text>
    </comment>
    <comment ref="C29" authorId="1" shapeId="0" xr:uid="{00000000-0006-0000-3300-000003000000}">
      <text>
        <r>
          <rPr>
            <b/>
            <sz val="9"/>
            <color indexed="81"/>
            <rFont val="Tahoma"/>
            <family val="2"/>
          </rPr>
          <t>user:</t>
        </r>
        <r>
          <rPr>
            <sz val="9"/>
            <color indexed="81"/>
            <rFont val="Tahoma"/>
            <family val="2"/>
          </rPr>
          <t xml:space="preserve">
PERNOCATARON RETORNARON POR TRUJILLO - VLO CIA</t>
        </r>
      </text>
    </comment>
    <comment ref="C35" authorId="1" shapeId="0" xr:uid="{00000000-0006-0000-3300-000004000000}">
      <text>
        <r>
          <rPr>
            <b/>
            <sz val="9"/>
            <color indexed="81"/>
            <rFont val="Tahoma"/>
            <family val="2"/>
          </rPr>
          <t>user:</t>
        </r>
        <r>
          <rPr>
            <sz val="9"/>
            <color indexed="81"/>
            <rFont val="Tahoma"/>
            <family val="2"/>
          </rPr>
          <t xml:space="preserve">
PERNOCTÓ HASTA EL DIA SIGUIENTE</t>
        </r>
      </text>
    </comment>
    <comment ref="C36" authorId="1" shapeId="0" xr:uid="{00000000-0006-0000-3300-000005000000}">
      <text>
        <r>
          <rPr>
            <b/>
            <sz val="9"/>
            <color indexed="81"/>
            <rFont val="Tahoma"/>
            <family val="2"/>
          </rPr>
          <t>user:</t>
        </r>
        <r>
          <rPr>
            <sz val="9"/>
            <color indexed="81"/>
            <rFont val="Tahoma"/>
            <family val="2"/>
          </rPr>
          <t xml:space="preserve">
PERNOCTÓ HASTA EL DIA SIGUIENTE</t>
        </r>
      </text>
    </comment>
    <comment ref="H39" authorId="1" shapeId="0" xr:uid="{00000000-0006-0000-3300-000006000000}">
      <text>
        <r>
          <rPr>
            <b/>
            <sz val="9"/>
            <color indexed="81"/>
            <rFont val="Tahoma"/>
            <family val="2"/>
          </rPr>
          <t>user:</t>
        </r>
        <r>
          <rPr>
            <sz val="9"/>
            <color indexed="81"/>
            <rFont val="Tahoma"/>
            <family val="2"/>
          </rPr>
          <t xml:space="preserve">
TENIA F001-1464</t>
        </r>
      </text>
    </comment>
    <comment ref="C40" authorId="1" shapeId="0" xr:uid="{00000000-0006-0000-3300-000007000000}">
      <text>
        <r>
          <rPr>
            <b/>
            <sz val="9"/>
            <color indexed="81"/>
            <rFont val="Tahoma"/>
            <family val="2"/>
          </rPr>
          <t>user:</t>
        </r>
        <r>
          <rPr>
            <sz val="9"/>
            <color indexed="81"/>
            <rFont val="Tahoma"/>
            <family val="2"/>
          </rPr>
          <t xml:space="preserve">
PERNOCTE HASTA&lt; EL DIA SIGUIENTE
</t>
        </r>
      </text>
    </comment>
    <comment ref="H45" authorId="1" shapeId="0" xr:uid="{00000000-0006-0000-3300-000008000000}">
      <text>
        <r>
          <rPr>
            <b/>
            <sz val="9"/>
            <color indexed="81"/>
            <rFont val="Tahoma"/>
            <family val="2"/>
          </rPr>
          <t>user:</t>
        </r>
        <r>
          <rPr>
            <sz val="9"/>
            <color indexed="81"/>
            <rFont val="Tahoma"/>
            <family val="2"/>
          </rPr>
          <t xml:space="preserve">
TENIA F001-1474</t>
        </r>
      </text>
    </comment>
    <comment ref="C46" authorId="1" shapeId="0" xr:uid="{00000000-0006-0000-3300-000009000000}">
      <text>
        <r>
          <rPr>
            <b/>
            <sz val="9"/>
            <color indexed="81"/>
            <rFont val="Tahoma"/>
            <family val="2"/>
          </rPr>
          <t>user:</t>
        </r>
        <r>
          <rPr>
            <sz val="9"/>
            <color indexed="81"/>
            <rFont val="Tahoma"/>
            <family val="2"/>
          </rPr>
          <t xml:space="preserve">
PERNOCTE HASTA EL DIA SIGUIENTE</t>
        </r>
      </text>
    </comment>
    <comment ref="H46" authorId="1" shapeId="0" xr:uid="{00000000-0006-0000-3300-00000A000000}">
      <text>
        <r>
          <rPr>
            <b/>
            <sz val="9"/>
            <color indexed="81"/>
            <rFont val="Tahoma"/>
            <family val="2"/>
          </rPr>
          <t>user:</t>
        </r>
        <r>
          <rPr>
            <sz val="9"/>
            <color indexed="81"/>
            <rFont val="Tahoma"/>
            <family val="2"/>
          </rPr>
          <t xml:space="preserve">
F001-1477  </t>
        </r>
      </text>
    </comment>
    <comment ref="H47" authorId="1" shapeId="0" xr:uid="{00000000-0006-0000-3300-00000B000000}">
      <text>
        <r>
          <rPr>
            <b/>
            <sz val="9"/>
            <color indexed="81"/>
            <rFont val="Tahoma"/>
            <family val="2"/>
          </rPr>
          <t>user:</t>
        </r>
        <r>
          <rPr>
            <sz val="9"/>
            <color indexed="81"/>
            <rFont val="Tahoma"/>
            <family val="2"/>
          </rPr>
          <t xml:space="preserve">
FACTURA  F001-1481; 1681</t>
        </r>
      </text>
    </comment>
    <comment ref="O47" authorId="1" shapeId="0" xr:uid="{00000000-0006-0000-3300-00000C000000}">
      <text>
        <r>
          <rPr>
            <b/>
            <sz val="9"/>
            <color indexed="81"/>
            <rFont val="Tahoma"/>
            <family val="2"/>
          </rPr>
          <t>user:</t>
        </r>
        <r>
          <rPr>
            <sz val="9"/>
            <color indexed="81"/>
            <rFont val="Tahoma"/>
            <family val="2"/>
          </rPr>
          <t xml:space="preserve">
DICEN QUE PAGARON EL MIERCOLES 19-07-23 </t>
        </r>
      </text>
    </comment>
    <comment ref="H48" authorId="1" shapeId="0" xr:uid="{00000000-0006-0000-3300-00000D000000}">
      <text>
        <r>
          <rPr>
            <b/>
            <sz val="9"/>
            <color indexed="81"/>
            <rFont val="Tahoma"/>
            <family val="2"/>
          </rPr>
          <t>user:</t>
        </r>
        <r>
          <rPr>
            <sz val="9"/>
            <color indexed="81"/>
            <rFont val="Tahoma"/>
            <family val="2"/>
          </rPr>
          <t xml:space="preserve">
TENIA F001-1491</t>
        </r>
      </text>
    </comment>
    <comment ref="H49" authorId="1" shapeId="0" xr:uid="{00000000-0006-0000-3300-00000E000000}">
      <text>
        <r>
          <rPr>
            <b/>
            <sz val="9"/>
            <color indexed="81"/>
            <rFont val="Tahoma"/>
            <family val="2"/>
          </rPr>
          <t>user:</t>
        </r>
        <r>
          <rPr>
            <sz val="9"/>
            <color indexed="81"/>
            <rFont val="Tahoma"/>
            <family val="2"/>
          </rPr>
          <t xml:space="preserve">
TENIA ANTES ESTA FACTURA F001-1495</t>
        </r>
      </text>
    </comment>
    <comment ref="H50" authorId="1" shapeId="0" xr:uid="{00000000-0006-0000-3300-00000F000000}">
      <text>
        <r>
          <rPr>
            <b/>
            <sz val="9"/>
            <color indexed="81"/>
            <rFont val="Tahoma"/>
            <family val="2"/>
          </rPr>
          <t>user:</t>
        </r>
        <r>
          <rPr>
            <sz val="9"/>
            <color indexed="81"/>
            <rFont val="Tahoma"/>
            <family val="2"/>
          </rPr>
          <t xml:space="preserve">
TENIA F001-1496</t>
        </r>
      </text>
    </comment>
    <comment ref="H51" authorId="1" shapeId="0" xr:uid="{00000000-0006-0000-3300-000010000000}">
      <text>
        <r>
          <rPr>
            <b/>
            <sz val="9"/>
            <color indexed="81"/>
            <rFont val="Tahoma"/>
            <family val="2"/>
          </rPr>
          <t>user:</t>
        </r>
        <r>
          <rPr>
            <sz val="9"/>
            <color indexed="81"/>
            <rFont val="Tahoma"/>
            <family val="2"/>
          </rPr>
          <t xml:space="preserve">
F001-1497</t>
        </r>
      </text>
    </comment>
    <comment ref="H52" authorId="1" shapeId="0" xr:uid="{00000000-0006-0000-3300-000011000000}">
      <text>
        <r>
          <rPr>
            <b/>
            <sz val="9"/>
            <color indexed="81"/>
            <rFont val="Tahoma"/>
            <family val="2"/>
          </rPr>
          <t>user:</t>
        </r>
        <r>
          <rPr>
            <sz val="9"/>
            <color indexed="81"/>
            <rFont val="Tahoma"/>
            <family val="2"/>
          </rPr>
          <t xml:space="preserve">
TENIA F001-1500</t>
        </r>
      </text>
    </comment>
    <comment ref="H53" authorId="1" shapeId="0" xr:uid="{00000000-0006-0000-3300-000012000000}">
      <text>
        <r>
          <rPr>
            <b/>
            <sz val="9"/>
            <color indexed="81"/>
            <rFont val="Tahoma"/>
            <family val="2"/>
          </rPr>
          <t>user:</t>
        </r>
        <r>
          <rPr>
            <sz val="9"/>
            <color indexed="81"/>
            <rFont val="Tahoma"/>
            <family val="2"/>
          </rPr>
          <t xml:space="preserve">
F001-1526</t>
        </r>
      </text>
    </comment>
    <comment ref="C54" authorId="1" shapeId="0" xr:uid="{00000000-0006-0000-3300-000013000000}">
      <text>
        <r>
          <rPr>
            <b/>
            <sz val="9"/>
            <color indexed="81"/>
            <rFont val="Tahoma"/>
            <family val="2"/>
          </rPr>
          <t>user:</t>
        </r>
        <r>
          <rPr>
            <sz val="9"/>
            <color indexed="81"/>
            <rFont val="Tahoma"/>
            <family val="2"/>
          </rPr>
          <t xml:space="preserve">
VUELO A CHANCHAMAYO  SE HIZO  PERO  NO FUE RECONOCIDO  DE MAZAMARI SE VOLÓ A PUCALLPA PARA TRASLASDO</t>
        </r>
      </text>
    </comment>
    <comment ref="H54" authorId="1" shapeId="0" xr:uid="{00000000-0006-0000-3300-000014000000}">
      <text>
        <r>
          <rPr>
            <b/>
            <sz val="9"/>
            <color indexed="81"/>
            <rFont val="Tahoma"/>
            <family val="2"/>
          </rPr>
          <t>user:</t>
        </r>
        <r>
          <rPr>
            <sz val="9"/>
            <color indexed="81"/>
            <rFont val="Tahoma"/>
            <family val="2"/>
          </rPr>
          <t xml:space="preserve">
F001-1527</t>
        </r>
      </text>
    </comment>
    <comment ref="H55" authorId="1" shapeId="0" xr:uid="{00000000-0006-0000-3300-000015000000}">
      <text>
        <r>
          <rPr>
            <b/>
            <sz val="9"/>
            <color indexed="81"/>
            <rFont val="Tahoma"/>
            <family val="2"/>
          </rPr>
          <t>user:</t>
        </r>
        <r>
          <rPr>
            <sz val="9"/>
            <color indexed="81"/>
            <rFont val="Tahoma"/>
            <family val="2"/>
          </rPr>
          <t xml:space="preserve">
F001-1534</t>
        </r>
      </text>
    </comment>
    <comment ref="H56" authorId="1" shapeId="0" xr:uid="{00000000-0006-0000-3300-000016000000}">
      <text>
        <r>
          <rPr>
            <b/>
            <sz val="9"/>
            <color indexed="81"/>
            <rFont val="Tahoma"/>
            <family val="2"/>
          </rPr>
          <t>user:</t>
        </r>
        <r>
          <rPr>
            <sz val="9"/>
            <color indexed="81"/>
            <rFont val="Tahoma"/>
            <family val="2"/>
          </rPr>
          <t xml:space="preserve">
F001-1551</t>
        </r>
      </text>
    </comment>
    <comment ref="H57" authorId="1" shapeId="0" xr:uid="{00000000-0006-0000-3300-000017000000}">
      <text>
        <r>
          <rPr>
            <b/>
            <sz val="9"/>
            <color indexed="81"/>
            <rFont val="Tahoma"/>
            <family val="2"/>
          </rPr>
          <t>user:</t>
        </r>
        <r>
          <rPr>
            <sz val="9"/>
            <color indexed="81"/>
            <rFont val="Tahoma"/>
            <family val="2"/>
          </rPr>
          <t xml:space="preserve">
F001-1563</t>
        </r>
      </text>
    </comment>
    <comment ref="H58" authorId="1" shapeId="0" xr:uid="{00000000-0006-0000-3300-000018000000}">
      <text>
        <r>
          <rPr>
            <b/>
            <sz val="9"/>
            <color indexed="81"/>
            <rFont val="Tahoma"/>
            <family val="2"/>
          </rPr>
          <t>user:</t>
        </r>
        <r>
          <rPr>
            <sz val="9"/>
            <color indexed="81"/>
            <rFont val="Tahoma"/>
            <family val="2"/>
          </rPr>
          <t xml:space="preserve">
F001-1593</t>
        </r>
      </text>
    </comment>
    <comment ref="H59" authorId="1" shapeId="0" xr:uid="{00000000-0006-0000-3300-000019000000}">
      <text>
        <r>
          <rPr>
            <b/>
            <sz val="9"/>
            <color indexed="81"/>
            <rFont val="Tahoma"/>
            <family val="2"/>
          </rPr>
          <t>user:</t>
        </r>
        <r>
          <rPr>
            <sz val="9"/>
            <color indexed="81"/>
            <rFont val="Tahoma"/>
            <family val="2"/>
          </rPr>
          <t xml:space="preserve">
F001-1575</t>
        </r>
      </text>
    </comment>
    <comment ref="H60" authorId="1" shapeId="0" xr:uid="{00000000-0006-0000-3300-00001A000000}">
      <text>
        <r>
          <rPr>
            <b/>
            <sz val="9"/>
            <color indexed="81"/>
            <rFont val="Tahoma"/>
            <family val="2"/>
          </rPr>
          <t>user:</t>
        </r>
        <r>
          <rPr>
            <sz val="9"/>
            <color indexed="81"/>
            <rFont val="Tahoma"/>
            <family val="2"/>
          </rPr>
          <t xml:space="preserve">
F001-1594</t>
        </r>
      </text>
    </comment>
    <comment ref="H61" authorId="1" shapeId="0" xr:uid="{00000000-0006-0000-3300-00001B000000}">
      <text>
        <r>
          <rPr>
            <b/>
            <sz val="9"/>
            <color indexed="81"/>
            <rFont val="Tahoma"/>
            <family val="2"/>
          </rPr>
          <t>user:</t>
        </r>
        <r>
          <rPr>
            <sz val="9"/>
            <color indexed="81"/>
            <rFont val="Tahoma"/>
            <family val="2"/>
          </rPr>
          <t xml:space="preserve">
001-1605</t>
        </r>
      </text>
    </comment>
    <comment ref="H62" authorId="1" shapeId="0" xr:uid="{00000000-0006-0000-3300-00001C000000}">
      <text>
        <r>
          <rPr>
            <b/>
            <sz val="9"/>
            <color indexed="81"/>
            <rFont val="Tahoma"/>
            <family val="2"/>
          </rPr>
          <t>user:</t>
        </r>
        <r>
          <rPr>
            <sz val="9"/>
            <color indexed="81"/>
            <rFont val="Tahoma"/>
            <family val="2"/>
          </rPr>
          <t xml:space="preserve">
1607
</t>
        </r>
      </text>
    </comment>
    <comment ref="H63" authorId="1" shapeId="0" xr:uid="{00000000-0006-0000-3300-00001D000000}">
      <text>
        <r>
          <rPr>
            <b/>
            <sz val="9"/>
            <color indexed="81"/>
            <rFont val="Tahoma"/>
            <family val="2"/>
          </rPr>
          <t>user:</t>
        </r>
        <r>
          <rPr>
            <sz val="9"/>
            <color indexed="81"/>
            <rFont val="Tahoma"/>
            <family val="2"/>
          </rPr>
          <t xml:space="preserve">
F001-1608</t>
        </r>
      </text>
    </comment>
    <comment ref="H64" authorId="1" shapeId="0" xr:uid="{00000000-0006-0000-3300-00001E000000}">
      <text>
        <r>
          <rPr>
            <b/>
            <sz val="9"/>
            <color indexed="81"/>
            <rFont val="Tahoma"/>
            <family val="2"/>
          </rPr>
          <t>user:</t>
        </r>
        <r>
          <rPr>
            <sz val="9"/>
            <color indexed="81"/>
            <rFont val="Tahoma"/>
            <family val="2"/>
          </rPr>
          <t xml:space="preserve">
F001-1612</t>
        </r>
      </text>
    </comment>
    <comment ref="H65" authorId="1" shapeId="0" xr:uid="{00000000-0006-0000-3300-00001F000000}">
      <text>
        <r>
          <rPr>
            <b/>
            <sz val="9"/>
            <color indexed="81"/>
            <rFont val="Tahoma"/>
            <family val="2"/>
          </rPr>
          <t>user:</t>
        </r>
        <r>
          <rPr>
            <sz val="9"/>
            <color indexed="81"/>
            <rFont val="Tahoma"/>
            <family val="2"/>
          </rPr>
          <t xml:space="preserve">
F001-1620</t>
        </r>
      </text>
    </comment>
    <comment ref="U65" authorId="1" shapeId="0" xr:uid="{00000000-0006-0000-3300-000020000000}">
      <text>
        <r>
          <rPr>
            <b/>
            <sz val="9"/>
            <color indexed="81"/>
            <rFont val="Tahoma"/>
            <family val="2"/>
          </rPr>
          <t>user:</t>
        </r>
        <r>
          <rPr>
            <sz val="9"/>
            <color indexed="81"/>
            <rFont val="Tahoma"/>
            <family val="2"/>
          </rPr>
          <t xml:space="preserve">
PERNOCTE HASTA EL DIA SIGUIENTE</t>
        </r>
      </text>
    </comment>
    <comment ref="H66" authorId="1" shapeId="0" xr:uid="{00000000-0006-0000-3300-000021000000}">
      <text>
        <r>
          <rPr>
            <b/>
            <sz val="9"/>
            <color indexed="81"/>
            <rFont val="Tahoma"/>
            <family val="2"/>
          </rPr>
          <t>user:</t>
        </r>
        <r>
          <rPr>
            <sz val="9"/>
            <color indexed="81"/>
            <rFont val="Tahoma"/>
            <family val="2"/>
          </rPr>
          <t xml:space="preserve">
F001-1621</t>
        </r>
      </text>
    </comment>
    <comment ref="H67" authorId="1" shapeId="0" xr:uid="{00000000-0006-0000-3300-000022000000}">
      <text>
        <r>
          <rPr>
            <b/>
            <sz val="9"/>
            <color indexed="81"/>
            <rFont val="Tahoma"/>
            <family val="2"/>
          </rPr>
          <t>user:</t>
        </r>
        <r>
          <rPr>
            <sz val="9"/>
            <color indexed="81"/>
            <rFont val="Tahoma"/>
            <family val="2"/>
          </rPr>
          <t xml:space="preserve">
F001-1622</t>
        </r>
      </text>
    </comment>
    <comment ref="H68" authorId="1" shapeId="0" xr:uid="{00000000-0006-0000-3300-000023000000}">
      <text>
        <r>
          <rPr>
            <b/>
            <sz val="9"/>
            <color indexed="81"/>
            <rFont val="Tahoma"/>
            <family val="2"/>
          </rPr>
          <t>user:</t>
        </r>
        <r>
          <rPr>
            <sz val="9"/>
            <color indexed="81"/>
            <rFont val="Tahoma"/>
            <family val="2"/>
          </rPr>
          <t xml:space="preserve">
F001-1636</t>
        </r>
      </text>
    </comment>
    <comment ref="H69" authorId="1" shapeId="0" xr:uid="{00000000-0006-0000-3300-000024000000}">
      <text>
        <r>
          <rPr>
            <b/>
            <sz val="9"/>
            <color indexed="81"/>
            <rFont val="Tahoma"/>
            <family val="2"/>
          </rPr>
          <t>user:</t>
        </r>
        <r>
          <rPr>
            <sz val="9"/>
            <color indexed="81"/>
            <rFont val="Tahoma"/>
            <family val="2"/>
          </rPr>
          <t xml:space="preserve">
F001-1637</t>
        </r>
      </text>
    </comment>
    <comment ref="C70" authorId="1" shapeId="0" xr:uid="{00000000-0006-0000-3300-000025000000}">
      <text>
        <r>
          <rPr>
            <b/>
            <sz val="9"/>
            <color indexed="81"/>
            <rFont val="Tahoma"/>
            <family val="2"/>
          </rPr>
          <t>user:</t>
        </r>
        <r>
          <rPr>
            <sz val="9"/>
            <color indexed="81"/>
            <rFont val="Tahoma"/>
            <family val="2"/>
          </rPr>
          <t xml:space="preserve">
EJERCITO PERUANO ALQUILER</t>
        </r>
      </text>
    </comment>
    <comment ref="H70" authorId="1" shapeId="0" xr:uid="{00000000-0006-0000-3300-000026000000}">
      <text>
        <r>
          <rPr>
            <b/>
            <sz val="9"/>
            <color indexed="81"/>
            <rFont val="Tahoma"/>
            <family val="2"/>
          </rPr>
          <t>user:</t>
        </r>
        <r>
          <rPr>
            <sz val="9"/>
            <color indexed="81"/>
            <rFont val="Tahoma"/>
            <family val="2"/>
          </rPr>
          <t xml:space="preserve">
F001-1682</t>
        </r>
      </text>
    </comment>
    <comment ref="H71" authorId="1" shapeId="0" xr:uid="{00000000-0006-0000-3300-000027000000}">
      <text>
        <r>
          <rPr>
            <b/>
            <sz val="9"/>
            <color indexed="81"/>
            <rFont val="Tahoma"/>
            <family val="2"/>
          </rPr>
          <t>user:</t>
        </r>
        <r>
          <rPr>
            <sz val="9"/>
            <color indexed="81"/>
            <rFont val="Tahoma"/>
            <family val="2"/>
          </rPr>
          <t xml:space="preserve">
F001-1683</t>
        </r>
      </text>
    </comment>
    <comment ref="H72" authorId="1" shapeId="0" xr:uid="{00000000-0006-0000-3300-000028000000}">
      <text>
        <r>
          <rPr>
            <b/>
            <sz val="9"/>
            <color indexed="81"/>
            <rFont val="Tahoma"/>
            <family val="2"/>
          </rPr>
          <t>user:</t>
        </r>
        <r>
          <rPr>
            <sz val="9"/>
            <color indexed="81"/>
            <rFont val="Tahoma"/>
            <family val="2"/>
          </rPr>
          <t xml:space="preserve">
F001-1685</t>
        </r>
      </text>
    </comment>
    <comment ref="H73" authorId="1" shapeId="0" xr:uid="{00000000-0006-0000-3300-000029000000}">
      <text>
        <r>
          <rPr>
            <b/>
            <sz val="9"/>
            <color indexed="81"/>
            <rFont val="Tahoma"/>
            <family val="2"/>
          </rPr>
          <t>user:</t>
        </r>
        <r>
          <rPr>
            <sz val="9"/>
            <color indexed="81"/>
            <rFont val="Tahoma"/>
            <family val="2"/>
          </rPr>
          <t xml:space="preserve">
F001-1684</t>
        </r>
      </text>
    </comment>
    <comment ref="H74" authorId="1" shapeId="0" xr:uid="{00000000-0006-0000-3300-00002A000000}">
      <text>
        <r>
          <rPr>
            <b/>
            <sz val="9"/>
            <color indexed="81"/>
            <rFont val="Tahoma"/>
            <family val="2"/>
          </rPr>
          <t>user:</t>
        </r>
        <r>
          <rPr>
            <sz val="9"/>
            <color indexed="81"/>
            <rFont val="Tahoma"/>
            <family val="2"/>
          </rPr>
          <t xml:space="preserve">
F001-1700</t>
        </r>
      </text>
    </comment>
    <comment ref="H77" authorId="1" shapeId="0" xr:uid="{00000000-0006-0000-3300-00002B000000}">
      <text>
        <r>
          <rPr>
            <b/>
            <sz val="9"/>
            <color indexed="81"/>
            <rFont val="Tahoma"/>
            <family val="2"/>
          </rPr>
          <t>user:</t>
        </r>
        <r>
          <rPr>
            <sz val="9"/>
            <color indexed="81"/>
            <rFont val="Tahoma"/>
            <family val="2"/>
          </rPr>
          <t xml:space="preserve">
F001-1753</t>
        </r>
      </text>
    </comment>
    <comment ref="T78" authorId="1" shapeId="0" xr:uid="{00000000-0006-0000-3300-00002C000000}">
      <text>
        <r>
          <rPr>
            <b/>
            <sz val="9"/>
            <color indexed="81"/>
            <rFont val="Tahoma"/>
            <family val="2"/>
          </rPr>
          <t>user:</t>
        </r>
        <r>
          <rPr>
            <sz val="9"/>
            <color indexed="81"/>
            <rFont val="Tahoma"/>
            <family val="2"/>
          </rPr>
          <t xml:space="preserve">
DEL DIA SIGUIENTE</t>
        </r>
      </text>
    </comment>
    <comment ref="H94" authorId="1" shapeId="0" xr:uid="{00000000-0006-0000-3300-00002D000000}">
      <text>
        <r>
          <rPr>
            <b/>
            <sz val="9"/>
            <color indexed="81"/>
            <rFont val="Tahoma"/>
            <family val="2"/>
          </rPr>
          <t>user:</t>
        </r>
        <r>
          <rPr>
            <sz val="9"/>
            <color indexed="81"/>
            <rFont val="Tahoma"/>
            <family val="2"/>
          </rPr>
          <t xml:space="preserve">
TENIA 1978</t>
        </r>
      </text>
    </comment>
    <comment ref="G101" authorId="1" shapeId="0" xr:uid="{00000000-0006-0000-3300-00002E000000}">
      <text>
        <r>
          <rPr>
            <b/>
            <sz val="9"/>
            <color indexed="81"/>
            <rFont val="Tahoma"/>
            <family val="2"/>
          </rPr>
          <t>user:</t>
        </r>
        <r>
          <rPr>
            <sz val="9"/>
            <color indexed="81"/>
            <rFont val="Tahoma"/>
            <family val="2"/>
          </rPr>
          <t xml:space="preserve">
FACTURA DICEV 22-09-23</t>
        </r>
      </text>
    </comment>
    <comment ref="H101" authorId="1" shapeId="0" xr:uid="{00000000-0006-0000-3300-00002F000000}">
      <text>
        <r>
          <rPr>
            <b/>
            <sz val="9"/>
            <color indexed="81"/>
            <rFont val="Tahoma"/>
            <family val="2"/>
          </rPr>
          <t>user:</t>
        </r>
        <r>
          <rPr>
            <sz val="9"/>
            <color indexed="81"/>
            <rFont val="Tahoma"/>
            <family val="2"/>
          </rPr>
          <t xml:space="preserve">
F001-2018</t>
        </r>
      </text>
    </comment>
    <comment ref="H103" authorId="1" shapeId="0" xr:uid="{00000000-0006-0000-3300-000030000000}">
      <text>
        <r>
          <rPr>
            <b/>
            <sz val="9"/>
            <color indexed="81"/>
            <rFont val="Tahoma"/>
            <family val="2"/>
          </rPr>
          <t>user:</t>
        </r>
        <r>
          <rPr>
            <sz val="9"/>
            <color indexed="81"/>
            <rFont val="Tahoma"/>
            <family val="2"/>
          </rPr>
          <t xml:space="preserve">
tenia F001-2039</t>
        </r>
      </text>
    </comment>
    <comment ref="H116" authorId="1" shapeId="0" xr:uid="{00000000-0006-0000-3300-000031000000}">
      <text>
        <r>
          <rPr>
            <b/>
            <sz val="9"/>
            <color indexed="81"/>
            <rFont val="Tahoma"/>
            <family val="2"/>
          </rPr>
          <t>user:</t>
        </r>
        <r>
          <rPr>
            <sz val="9"/>
            <color indexed="81"/>
            <rFont val="Tahoma"/>
            <family val="2"/>
          </rPr>
          <t xml:space="preserve">
F001-2138</t>
        </r>
      </text>
    </comment>
    <comment ref="T123" authorId="1" shapeId="0" xr:uid="{00000000-0006-0000-3300-000032000000}">
      <text>
        <r>
          <rPr>
            <b/>
            <sz val="9"/>
            <color indexed="81"/>
            <rFont val="Tahoma"/>
            <family val="2"/>
          </rPr>
          <t>user:</t>
        </r>
        <r>
          <rPr>
            <sz val="9"/>
            <color indexed="81"/>
            <rFont val="Tahoma"/>
            <family val="2"/>
          </rPr>
          <t xml:space="preserve">
DIA SIGUIENTE</t>
        </r>
      </text>
    </comment>
    <comment ref="H129" authorId="1" shapeId="0" xr:uid="{00000000-0006-0000-3300-000033000000}">
      <text>
        <r>
          <rPr>
            <b/>
            <sz val="9"/>
            <color indexed="81"/>
            <rFont val="Tahoma"/>
            <family val="2"/>
          </rPr>
          <t>user:</t>
        </r>
        <r>
          <rPr>
            <sz val="9"/>
            <color indexed="81"/>
            <rFont val="Tahoma"/>
            <family val="2"/>
          </rPr>
          <t xml:space="preserve">
ESTA FUE ANULADA POR ERROR, PARA EFECTOS DE NO TENER INCIDENCIA, SE ESTA EMITIENDO UNA NUEVA   F001-2334</t>
        </r>
      </text>
    </comment>
    <comment ref="K149" authorId="2" shapeId="0" xr:uid="{00000000-0006-0000-3300-000034000000}">
      <text>
        <r>
          <rPr>
            <b/>
            <sz val="9"/>
            <color indexed="81"/>
            <rFont val="Tahoma"/>
            <family val="2"/>
          </rPr>
          <t>Sonia:</t>
        </r>
        <r>
          <rPr>
            <sz val="9"/>
            <color indexed="81"/>
            <rFont val="Tahoma"/>
            <family val="2"/>
          </rPr>
          <t xml:space="preserve">
OJITO EN ESTE PAGO A JANNINA LE FALTA ABONAR UNA FACTURA POR LO QUE SE ACOPLÓ A SU REPORTE CON LA FINALIDAD DE QUE ELLA INVESTIGU EN DICHA FECHA A QUE FACTURA SE APLICA LOS 22,014 DE DIFERENCIA ENTRE EL PAGO Y LO APLICADO ACTUALMENTE, SIN EMBARGO, SE RESTARÁ DEL TOTAL PARA TENER EL SALDO EFECTIVO DE LA DEUDA DE CONTRATO PUCALLPA CON ESALUD</t>
        </r>
      </text>
    </comment>
    <comment ref="T170" authorId="1" shapeId="0" xr:uid="{00000000-0006-0000-3300-000035000000}">
      <text>
        <r>
          <rPr>
            <b/>
            <sz val="9"/>
            <color indexed="81"/>
            <rFont val="Tahoma"/>
            <family val="2"/>
          </rPr>
          <t>user:</t>
        </r>
        <r>
          <rPr>
            <sz val="9"/>
            <color indexed="81"/>
            <rFont val="Tahoma"/>
            <family val="2"/>
          </rPr>
          <t xml:space="preserve">
DIA SIGUIENTE</t>
        </r>
      </text>
    </comment>
    <comment ref="H188" authorId="1" shapeId="0" xr:uid="{00000000-0006-0000-3300-000036000000}">
      <text>
        <r>
          <rPr>
            <b/>
            <sz val="9"/>
            <color indexed="81"/>
            <rFont val="Tahoma"/>
            <family val="2"/>
          </rPr>
          <t>user:</t>
        </r>
        <r>
          <rPr>
            <sz val="9"/>
            <color indexed="81"/>
            <rFont val="Tahoma"/>
            <family val="2"/>
          </rPr>
          <t xml:space="preserve">
F001-2752
F001-2754</t>
        </r>
      </text>
    </comment>
    <comment ref="H202" authorId="1" shapeId="0" xr:uid="{00000000-0006-0000-3300-000037000000}">
      <text>
        <r>
          <rPr>
            <b/>
            <sz val="9"/>
            <color indexed="81"/>
            <rFont val="Tahoma"/>
            <family val="2"/>
          </rPr>
          <t>user:</t>
        </r>
        <r>
          <rPr>
            <sz val="9"/>
            <color indexed="81"/>
            <rFont val="Tahoma"/>
            <family val="2"/>
          </rPr>
          <t xml:space="preserve">
TENIA F001-2873</t>
        </r>
      </text>
    </comment>
    <comment ref="H211" authorId="1" shapeId="0" xr:uid="{00000000-0006-0000-3300-000038000000}">
      <text>
        <r>
          <rPr>
            <b/>
            <sz val="9"/>
            <color indexed="81"/>
            <rFont val="Tahoma"/>
            <family val="2"/>
          </rPr>
          <t>user:</t>
        </r>
        <r>
          <rPr>
            <sz val="9"/>
            <color indexed="81"/>
            <rFont val="Tahoma"/>
            <family val="2"/>
          </rPr>
          <t xml:space="preserve">
F001-2927
F001-2964</t>
        </r>
      </text>
    </comment>
    <comment ref="H212" authorId="1" shapeId="0" xr:uid="{00000000-0006-0000-3300-000039000000}">
      <text>
        <r>
          <rPr>
            <b/>
            <sz val="9"/>
            <color indexed="81"/>
            <rFont val="Tahoma"/>
            <family val="2"/>
          </rPr>
          <t>user:</t>
        </r>
        <r>
          <rPr>
            <sz val="9"/>
            <color indexed="81"/>
            <rFont val="Tahoma"/>
            <family val="2"/>
          </rPr>
          <t xml:space="preserve">
F001-2928</t>
        </r>
      </text>
    </comment>
    <comment ref="J217" authorId="2" shapeId="0" xr:uid="{00000000-0006-0000-3300-00003A000000}">
      <text>
        <r>
          <rPr>
            <b/>
            <sz val="9"/>
            <color indexed="81"/>
            <rFont val="Tahoma"/>
            <family val="2"/>
          </rPr>
          <t>Sonia:</t>
        </r>
        <r>
          <rPr>
            <sz val="9"/>
            <color indexed="81"/>
            <rFont val="Tahoma"/>
            <family val="2"/>
          </rPr>
          <t xml:space="preserve">
EN ESTE PAGO JANNINA TIENE UNA FACTURA POR APLICAR DE S/  22,014 POR LO QUE SE ACOPLA A SU REPORTE, SIN EMBARGO, SE RESTARÁ AL SALDO TOTAL DE LA DEUDA PARA MEJOR CONTROL DE LA DEUDA REAL DE ESSALUD</t>
        </r>
      </text>
    </comment>
    <comment ref="K217" authorId="2" shapeId="0" xr:uid="{00000000-0006-0000-3300-00003B000000}">
      <text>
        <r>
          <rPr>
            <b/>
            <sz val="9"/>
            <color indexed="81"/>
            <rFont val="Tahoma"/>
            <family val="2"/>
          </rPr>
          <t>Sonia:</t>
        </r>
        <r>
          <rPr>
            <sz val="9"/>
            <color indexed="81"/>
            <rFont val="Tahoma"/>
            <family val="2"/>
          </rPr>
          <t xml:space="preserve">
EN ESTE PAGO JANNINA TIENE UNA FACTURA POR APLICAR DE S/  22,014 POR LO QUE SE ACOPLA A SU REPORTE, SIN EMBARGO, SE RESTARÁ AL SALDO TOTAL DE LA DEUDA PARA MEJOR CONTROL DE LA DEUDA REAL DE ESSALUD</t>
        </r>
      </text>
    </comment>
    <comment ref="L218" authorId="1" shapeId="0" xr:uid="{00000000-0006-0000-3300-00003C000000}">
      <text>
        <r>
          <rPr>
            <b/>
            <sz val="9"/>
            <color indexed="81"/>
            <rFont val="Tahoma"/>
            <family val="2"/>
          </rPr>
          <t>user:</t>
        </r>
        <r>
          <rPr>
            <sz val="9"/>
            <color indexed="81"/>
            <rFont val="Tahoma"/>
            <family val="2"/>
          </rPr>
          <t xml:space="preserve">
APLIQUE ESTAFACTURA PARA EL PAGO DE FECHA 21-10-2024, PREVIA BUSQUEDA EN CUENTA DE DETRACCIONES MARIA EUSTAQUIO EL 27-03-2025 -TRABAJO DE CONCILIACION D EPAGOS - AVISAR A JANNINA</t>
        </r>
      </text>
    </comment>
    <comment ref="H221" authorId="1" shapeId="0" xr:uid="{00000000-0006-0000-3300-00003D000000}">
      <text>
        <r>
          <rPr>
            <b/>
            <sz val="9"/>
            <color indexed="81"/>
            <rFont val="Tahoma"/>
            <family val="2"/>
          </rPr>
          <t>user:</t>
        </r>
        <r>
          <rPr>
            <sz val="9"/>
            <color indexed="81"/>
            <rFont val="Tahoma"/>
            <family val="2"/>
          </rPr>
          <t xml:space="preserve">
SE ENCUENTRA EN EL ABOGADO F001-3021
F001-3021</t>
        </r>
      </text>
    </comment>
    <comment ref="T231" authorId="1" shapeId="0" xr:uid="{00000000-0006-0000-3300-00003E000000}">
      <text>
        <r>
          <rPr>
            <b/>
            <sz val="9"/>
            <color indexed="81"/>
            <rFont val="Tahoma"/>
            <family val="2"/>
          </rPr>
          <t>user:</t>
        </r>
        <r>
          <rPr>
            <sz val="9"/>
            <color indexed="81"/>
            <rFont val="Tahoma"/>
            <family val="2"/>
          </rPr>
          <t xml:space="preserve">
PERNOPCTÓ REGRESÓ AL DIA SIGUIENTE</t>
        </r>
      </text>
    </comment>
    <comment ref="K233" authorId="2" shapeId="0" xr:uid="{00000000-0006-0000-3300-00003F000000}">
      <text>
        <r>
          <rPr>
            <b/>
            <sz val="9"/>
            <color indexed="81"/>
            <rFont val="Tahoma"/>
            <family val="2"/>
          </rPr>
          <t>Sonia:</t>
        </r>
        <r>
          <rPr>
            <sz val="9"/>
            <color indexed="81"/>
            <rFont val="Tahoma"/>
            <family val="2"/>
          </rPr>
          <t xml:space="preserve">
EN ESTE ABONO A PESAR DE QUE INGRESO 253,485 SOLAMENTE SE APLICARÁ EL MONTO DE 134,991, YA QUE 18,494 CORREPONDE A LA PRIMERA EMISIÓN DE UNA FACTURA POR ERROR EN MENOR MONTO, POR LO TANTO SE DEVOLVIÓ LA DIFERENCIA A ESSALUD Y POSTERIORMENTE HICIERON EL PAGO DE LA NUEVA FACTURA COMPLETA EN ENERO 2025</t>
        </r>
      </text>
    </comment>
    <comment ref="H237" authorId="2" shapeId="0" xr:uid="{00000000-0006-0000-3300-000040000000}">
      <text>
        <r>
          <rPr>
            <b/>
            <sz val="9"/>
            <color indexed="81"/>
            <rFont val="Tahoma"/>
            <family val="2"/>
          </rPr>
          <t>Sonia:</t>
        </r>
        <r>
          <rPr>
            <sz val="9"/>
            <color indexed="81"/>
            <rFont val="Tahoma"/>
            <family val="2"/>
          </rPr>
          <t xml:space="preserve">
F001-3127
pagaron con el precio deS/ 21,016 esta el 21-11-24, pero es 25,016 
POSTERIORMENTE SE REFACTURÓ Y SE DEVOLVIÓ EL DINERO (INCLUIDA LA DETRACCION EN DISTINTA FECHA) AESSALUD LUEGO  TRAS LA NUEVA FACTURACION EL PAGO DEL 21-01-25 HAGO EL CAMBIO </t>
        </r>
      </text>
    </comment>
    <comment ref="I237" authorId="1" shapeId="0" xr:uid="{00000000-0006-0000-3300-000041000000}">
      <text>
        <r>
          <rPr>
            <b/>
            <sz val="9"/>
            <color indexed="81"/>
            <rFont val="Tahoma"/>
            <family val="2"/>
          </rPr>
          <t>user:</t>
        </r>
        <r>
          <rPr>
            <sz val="9"/>
            <color indexed="81"/>
            <rFont val="Tahoma"/>
            <family val="2"/>
          </rPr>
          <t xml:space="preserve">
21016</t>
        </r>
      </text>
    </comment>
    <comment ref="K237" authorId="1" shapeId="0" xr:uid="{00000000-0006-0000-3300-000042000000}">
      <text>
        <r>
          <rPr>
            <b/>
            <sz val="9"/>
            <color indexed="81"/>
            <rFont val="Tahoma"/>
            <family val="2"/>
          </rPr>
          <t>user:</t>
        </r>
        <r>
          <rPr>
            <sz val="9"/>
            <color indexed="81"/>
            <rFont val="Tahoma"/>
            <family val="2"/>
          </rPr>
          <t xml:space="preserve">
OJO EN ESTA FECHA PAGARON 155,351 TOTAL DEPOSITO DE LAS CUALES SOLAMENTE 140,391 CORRESPONDE A LOS VUELOS DE LIMA 6 FACTURAS, EN ESE PAGO QUE INGRESÓ TAMBIEN SE PAGÓ SERVICIOS FACTURADOS CON MAJORO S.A. PERO QUE SON CONTRATACIONES DIRECTAS  14,960 3 FACTURAS SERIE 006 QUE ESTAMOS EN FALTA CON SUNAT YA QUE EN SU DETERMINADO MOMENTO DEBEREMOS CALCULAR SOBRE ESTA BASE UN IGV</t>
        </r>
      </text>
    </comment>
    <comment ref="H243" authorId="1" shapeId="0" xr:uid="{00000000-0006-0000-3300-000043000000}">
      <text>
        <r>
          <rPr>
            <b/>
            <sz val="9"/>
            <color indexed="81"/>
            <rFont val="Tahoma"/>
            <family val="2"/>
          </rPr>
          <t>user:</t>
        </r>
        <r>
          <rPr>
            <sz val="9"/>
            <color indexed="81"/>
            <rFont val="Tahoma"/>
            <family val="2"/>
          </rPr>
          <t xml:space="preserve">
FINANZAS LE HAN DADO PROCESO D EPAGO DICEN QUE HAN PAGADO , PERO NO NOS HAN PAGADO TENIA FACTURA F001-3216</t>
        </r>
      </text>
    </comment>
    <comment ref="H244" authorId="1" shapeId="0" xr:uid="{00000000-0006-0000-3300-000044000000}">
      <text>
        <r>
          <rPr>
            <b/>
            <sz val="9"/>
            <color indexed="81"/>
            <rFont val="Tahoma"/>
            <family val="2"/>
          </rPr>
          <t>user:</t>
        </r>
        <r>
          <rPr>
            <sz val="9"/>
            <color indexed="81"/>
            <rFont val="Tahoma"/>
            <family val="2"/>
          </rPr>
          <t xml:space="preserve">
ESTUVO EN CONTABILIDAD HASTA LA ULTIMA VEZ QUE FUISTE A HACER SEGUIMIENTO ESO EN JUNIO DELK2025 APROX
TENIA FACTURA  F001-3217
</t>
        </r>
      </text>
    </comment>
    <comment ref="I288" authorId="2" shapeId="0" xr:uid="{00000000-0006-0000-3300-000045000000}">
      <text>
        <r>
          <rPr>
            <b/>
            <sz val="9"/>
            <color indexed="81"/>
            <rFont val="Tahoma"/>
            <family val="2"/>
          </rPr>
          <t>Sonia:</t>
        </r>
        <r>
          <rPr>
            <sz val="9"/>
            <color indexed="81"/>
            <rFont val="Tahoma"/>
            <family val="2"/>
          </rPr>
          <t xml:space="preserve">
SE ESTAN RESTANDO DOS FACTURAS, PORQUE YA SE ENCUENTRAN PAGADAS, SIN EMBARGO, NO TENEMOS LA INDICACIÓN DE ESSALUD A CUAL APLICAR LOS PAGOS DE DOS FECHAS
12-04-2024  POR S/ 22,014
21-10-2024  POR S/ 22,014</t>
        </r>
      </text>
    </comment>
    <comment ref="H314" authorId="2" shapeId="0" xr:uid="{00000000-0006-0000-3300-000046000000}">
      <text>
        <r>
          <rPr>
            <b/>
            <sz val="9"/>
            <color indexed="81"/>
            <rFont val="Tahoma"/>
            <family val="2"/>
          </rPr>
          <t>Sonia:</t>
        </r>
        <r>
          <rPr>
            <sz val="9"/>
            <color indexed="81"/>
            <rFont val="Tahoma"/>
            <family val="2"/>
          </rPr>
          <t xml:space="preserve">
F001-3502</t>
        </r>
      </text>
    </comment>
    <comment ref="H320" authorId="2" shapeId="0" xr:uid="{00000000-0006-0000-3300-000047000000}">
      <text>
        <r>
          <rPr>
            <b/>
            <sz val="9"/>
            <color indexed="81"/>
            <rFont val="Tahoma"/>
            <family val="2"/>
          </rPr>
          <t>Sonia:</t>
        </r>
        <r>
          <rPr>
            <sz val="9"/>
            <color indexed="81"/>
            <rFont val="Tahoma"/>
            <family val="2"/>
          </rPr>
          <t xml:space="preserve">
F001-3532</t>
        </r>
      </text>
    </comment>
    <comment ref="H324" authorId="2" shapeId="0" xr:uid="{00000000-0006-0000-3300-000048000000}">
      <text>
        <r>
          <rPr>
            <b/>
            <sz val="9"/>
            <color indexed="81"/>
            <rFont val="Tahoma"/>
            <family val="2"/>
          </rPr>
          <t>Sonia:</t>
        </r>
        <r>
          <rPr>
            <sz val="9"/>
            <color indexed="81"/>
            <rFont val="Tahoma"/>
            <family val="2"/>
          </rPr>
          <t xml:space="preserve">
F001-3589 F001-3966</t>
        </r>
      </text>
    </comment>
    <comment ref="I324" authorId="2" shapeId="0" xr:uid="{00000000-0006-0000-3300-000049000000}">
      <text>
        <r>
          <rPr>
            <b/>
            <sz val="9"/>
            <color indexed="81"/>
            <rFont val="Tahoma"/>
            <family val="2"/>
          </rPr>
          <t>Sonia:</t>
        </r>
        <r>
          <rPr>
            <sz val="9"/>
            <color indexed="81"/>
            <rFont val="Tahoma"/>
            <family val="2"/>
          </rPr>
          <t xml:space="preserve">
</t>
        </r>
      </text>
    </comment>
    <comment ref="L324" authorId="1" shapeId="0" xr:uid="{00000000-0006-0000-3300-00004A000000}">
      <text>
        <r>
          <rPr>
            <b/>
            <sz val="9"/>
            <color indexed="81"/>
            <rFont val="Tahoma"/>
            <family val="2"/>
          </rPr>
          <t>user:</t>
        </r>
        <r>
          <rPr>
            <sz val="9"/>
            <color indexed="81"/>
            <rFont val="Tahoma"/>
            <family val="2"/>
          </rPr>
          <t xml:space="preserve">
LO TENIA CON FECHA 20-04-25, pero me pasaron el pago del 04-07-25</t>
        </r>
      </text>
    </comment>
    <comment ref="H326" authorId="1" shapeId="0" xr:uid="{00000000-0006-0000-3300-00004B000000}">
      <text>
        <r>
          <rPr>
            <b/>
            <sz val="9"/>
            <color indexed="81"/>
            <rFont val="Tahoma"/>
            <family val="2"/>
          </rPr>
          <t>user:</t>
        </r>
        <r>
          <rPr>
            <sz val="9"/>
            <color indexed="81"/>
            <rFont val="Tahoma"/>
            <family val="2"/>
          </rPr>
          <t xml:space="preserve">
F001-3615</t>
        </r>
      </text>
    </comment>
    <comment ref="H344" authorId="1" shapeId="0" xr:uid="{00000000-0006-0000-3300-00004C000000}">
      <text>
        <r>
          <rPr>
            <b/>
            <sz val="9"/>
            <color indexed="81"/>
            <rFont val="Tahoma"/>
            <family val="2"/>
          </rPr>
          <t>user:</t>
        </r>
        <r>
          <rPr>
            <sz val="9"/>
            <color indexed="81"/>
            <rFont val="Tahoma"/>
            <family val="2"/>
          </rPr>
          <t xml:space="preserve">
F001-3773</t>
        </r>
      </text>
    </comment>
    <comment ref="I344" authorId="1" shapeId="0" xr:uid="{00000000-0006-0000-3300-00004D000000}">
      <text>
        <r>
          <rPr>
            <b/>
            <sz val="9"/>
            <color indexed="81"/>
            <rFont val="Tahoma"/>
            <family val="2"/>
          </rPr>
          <t>user:</t>
        </r>
        <r>
          <rPr>
            <sz val="9"/>
            <color indexed="81"/>
            <rFont val="Tahoma"/>
            <family val="2"/>
          </rPr>
          <t xml:space="preserve">
36768</t>
        </r>
      </text>
    </comment>
    <comment ref="H348" authorId="1" shapeId="0" xr:uid="{00000000-0006-0000-3300-00004E000000}">
      <text>
        <r>
          <rPr>
            <b/>
            <sz val="9"/>
            <color indexed="81"/>
            <rFont val="Tahoma"/>
            <family val="2"/>
          </rPr>
          <t>user:</t>
        </r>
        <r>
          <rPr>
            <sz val="9"/>
            <color indexed="81"/>
            <rFont val="Tahoma"/>
            <family val="2"/>
          </rPr>
          <t xml:space="preserve">
F001-3777</t>
        </r>
      </text>
    </comment>
    <comment ref="H350" authorId="1" shapeId="0" xr:uid="{00000000-0006-0000-3300-00004F000000}">
      <text>
        <r>
          <rPr>
            <b/>
            <sz val="9"/>
            <color indexed="81"/>
            <rFont val="Tahoma"/>
            <family val="2"/>
          </rPr>
          <t>user:</t>
        </r>
        <r>
          <rPr>
            <sz val="9"/>
            <color indexed="81"/>
            <rFont val="Tahoma"/>
            <family val="2"/>
          </rPr>
          <t xml:space="preserve">
F001-3807</t>
        </r>
      </text>
    </comment>
    <comment ref="H351" authorId="1" shapeId="0" xr:uid="{00000000-0006-0000-3300-000050000000}">
      <text>
        <r>
          <rPr>
            <b/>
            <sz val="9"/>
            <color indexed="81"/>
            <rFont val="Tahoma"/>
            <family val="2"/>
          </rPr>
          <t>user:</t>
        </r>
        <r>
          <rPr>
            <sz val="9"/>
            <color indexed="81"/>
            <rFont val="Tahoma"/>
            <family val="2"/>
          </rPr>
          <t xml:space="preserve">
F001-3808</t>
        </r>
      </text>
    </comment>
    <comment ref="H352" authorId="1" shapeId="0" xr:uid="{00000000-0006-0000-3300-000051000000}">
      <text>
        <r>
          <rPr>
            <b/>
            <sz val="9"/>
            <color indexed="81"/>
            <rFont val="Tahoma"/>
            <family val="2"/>
          </rPr>
          <t>user:</t>
        </r>
        <r>
          <rPr>
            <sz val="9"/>
            <color indexed="81"/>
            <rFont val="Tahoma"/>
            <family val="2"/>
          </rPr>
          <t xml:space="preserve">
F001-3821</t>
        </r>
      </text>
    </comment>
    <comment ref="H353" authorId="1" shapeId="0" xr:uid="{00000000-0006-0000-3300-000052000000}">
      <text>
        <r>
          <rPr>
            <b/>
            <sz val="9"/>
            <color indexed="81"/>
            <rFont val="Tahoma"/>
            <family val="2"/>
          </rPr>
          <t>user:</t>
        </r>
        <r>
          <rPr>
            <sz val="9"/>
            <color indexed="81"/>
            <rFont val="Tahoma"/>
            <family val="2"/>
          </rPr>
          <t xml:space="preserve">
F001-3819</t>
        </r>
      </text>
    </comment>
    <comment ref="H354" authorId="1" shapeId="0" xr:uid="{00000000-0006-0000-3300-000053000000}">
      <text>
        <r>
          <rPr>
            <b/>
            <sz val="9"/>
            <color indexed="81"/>
            <rFont val="Tahoma"/>
            <family val="2"/>
          </rPr>
          <t>user:</t>
        </r>
        <r>
          <rPr>
            <sz val="9"/>
            <color indexed="81"/>
            <rFont val="Tahoma"/>
            <family val="2"/>
          </rPr>
          <t xml:space="preserve">
F001-3822</t>
        </r>
      </text>
    </comment>
    <comment ref="H355" authorId="1" shapeId="0" xr:uid="{00000000-0006-0000-3300-000054000000}">
      <text>
        <r>
          <rPr>
            <b/>
            <sz val="9"/>
            <color indexed="81"/>
            <rFont val="Tahoma"/>
            <family val="2"/>
          </rPr>
          <t>user:</t>
        </r>
        <r>
          <rPr>
            <sz val="9"/>
            <color indexed="81"/>
            <rFont val="Tahoma"/>
            <family val="2"/>
          </rPr>
          <t xml:space="preserve">
F001-3842</t>
        </r>
      </text>
    </comment>
    <comment ref="H356" authorId="1" shapeId="0" xr:uid="{00000000-0006-0000-3300-000055000000}">
      <text>
        <r>
          <rPr>
            <b/>
            <sz val="9"/>
            <color indexed="81"/>
            <rFont val="Tahoma"/>
            <family val="2"/>
          </rPr>
          <t>user:</t>
        </r>
        <r>
          <rPr>
            <sz val="9"/>
            <color indexed="81"/>
            <rFont val="Tahoma"/>
            <family val="2"/>
          </rPr>
          <t xml:space="preserve">
F001-3844</t>
        </r>
      </text>
    </comment>
    <comment ref="A357" authorId="1" shapeId="0" xr:uid="{00000000-0006-0000-3300-000056000000}">
      <text>
        <r>
          <rPr>
            <b/>
            <sz val="9"/>
            <color indexed="81"/>
            <rFont val="Tahoma"/>
            <family val="2"/>
          </rPr>
          <t>user:</t>
        </r>
        <r>
          <rPr>
            <sz val="9"/>
            <color indexed="81"/>
            <rFont val="Tahoma"/>
            <family val="2"/>
          </rPr>
          <t xml:space="preserve">
SERVICIO FUE PARA EL DIA SABADO 17, PERO NO SE HIZO AERONAVE RETORNÓ TENIA REPORTE
</t>
        </r>
      </text>
    </comment>
    <comment ref="H362" authorId="1" shapeId="0" xr:uid="{00000000-0006-0000-3300-000057000000}">
      <text>
        <r>
          <rPr>
            <b/>
            <sz val="9"/>
            <color indexed="81"/>
            <rFont val="Tahoma"/>
            <family val="2"/>
          </rPr>
          <t>user:</t>
        </r>
        <r>
          <rPr>
            <sz val="9"/>
            <color indexed="81"/>
            <rFont val="Tahoma"/>
            <family val="2"/>
          </rPr>
          <t xml:space="preserve">
F001-3888 F001-4022</t>
        </r>
      </text>
    </comment>
    <comment ref="H369" authorId="1" shapeId="0" xr:uid="{00000000-0006-0000-3300-000058000000}">
      <text>
        <r>
          <rPr>
            <b/>
            <sz val="9"/>
            <color indexed="81"/>
            <rFont val="Tahoma"/>
            <family val="2"/>
          </rPr>
          <t>user:</t>
        </r>
        <r>
          <rPr>
            <sz val="9"/>
            <color indexed="81"/>
            <rFont val="Tahoma"/>
            <family val="2"/>
          </rPr>
          <t xml:space="preserve">
F001-3934</t>
        </r>
      </text>
    </comment>
    <comment ref="H370" authorId="1" shapeId="0" xr:uid="{00000000-0006-0000-3300-000059000000}">
      <text>
        <r>
          <rPr>
            <b/>
            <sz val="9"/>
            <color indexed="81"/>
            <rFont val="Tahoma"/>
            <family val="2"/>
          </rPr>
          <t>user:</t>
        </r>
        <r>
          <rPr>
            <sz val="9"/>
            <color indexed="81"/>
            <rFont val="Tahoma"/>
            <family val="2"/>
          </rPr>
          <t xml:space="preserve">
F001-3935</t>
        </r>
      </text>
    </comment>
    <comment ref="H381" authorId="1" shapeId="0" xr:uid="{00000000-0006-0000-3300-00005A000000}">
      <text>
        <r>
          <rPr>
            <b/>
            <sz val="9"/>
            <color indexed="81"/>
            <rFont val="Tahoma"/>
            <family val="2"/>
          </rPr>
          <t>user:</t>
        </r>
        <r>
          <rPr>
            <sz val="9"/>
            <color indexed="81"/>
            <rFont val="Tahoma"/>
            <family val="2"/>
          </rPr>
          <t xml:space="preserve">
F001-4115</t>
        </r>
      </text>
    </comment>
    <comment ref="H382" authorId="1" shapeId="0" xr:uid="{00000000-0006-0000-3300-00005B000000}">
      <text>
        <r>
          <rPr>
            <b/>
            <sz val="9"/>
            <color indexed="81"/>
            <rFont val="Tahoma"/>
            <family val="2"/>
          </rPr>
          <t>user:</t>
        </r>
        <r>
          <rPr>
            <sz val="9"/>
            <color indexed="81"/>
            <rFont val="Tahoma"/>
            <family val="2"/>
          </rPr>
          <t xml:space="preserve">
F001-4127</t>
        </r>
      </text>
    </comment>
    <comment ref="H383" authorId="1" shapeId="0" xr:uid="{00000000-0006-0000-3300-00005C000000}">
      <text>
        <r>
          <rPr>
            <b/>
            <sz val="9"/>
            <color indexed="81"/>
            <rFont val="Tahoma"/>
            <family val="2"/>
          </rPr>
          <t>user:</t>
        </r>
        <r>
          <rPr>
            <sz val="9"/>
            <color indexed="81"/>
            <rFont val="Tahoma"/>
            <family val="2"/>
          </rPr>
          <t xml:space="preserve">
F001-4136</t>
        </r>
      </text>
    </comment>
    <comment ref="H390" authorId="1" shapeId="0" xr:uid="{00000000-0006-0000-3300-00005D000000}">
      <text>
        <r>
          <rPr>
            <b/>
            <sz val="9"/>
            <color indexed="81"/>
            <rFont val="Tahoma"/>
            <family val="2"/>
          </rPr>
          <t>user:</t>
        </r>
        <r>
          <rPr>
            <sz val="9"/>
            <color indexed="81"/>
            <rFont val="Tahoma"/>
            <family val="2"/>
          </rPr>
          <t xml:space="preserve">
F001-4426</t>
        </r>
      </text>
    </comment>
    <comment ref="V390" authorId="1" shapeId="0" xr:uid="{00000000-0006-0000-3300-00005E000000}">
      <text>
        <r>
          <rPr>
            <b/>
            <sz val="9"/>
            <color indexed="81"/>
            <rFont val="Tahoma"/>
            <family val="2"/>
          </rPr>
          <t>user:</t>
        </r>
        <r>
          <rPr>
            <sz val="9"/>
            <color indexed="81"/>
            <rFont val="Tahoma"/>
            <family val="2"/>
          </rPr>
          <t xml:space="preserve">
DIA SIGUIENTE</t>
        </r>
      </text>
    </comment>
    <comment ref="H391" authorId="1" shapeId="0" xr:uid="{00000000-0006-0000-3300-00005F000000}">
      <text>
        <r>
          <rPr>
            <b/>
            <sz val="9"/>
            <color indexed="81"/>
            <rFont val="Tahoma"/>
            <family val="2"/>
          </rPr>
          <t>user:</t>
        </r>
        <r>
          <rPr>
            <sz val="9"/>
            <color indexed="81"/>
            <rFont val="Tahoma"/>
            <family val="2"/>
          </rPr>
          <t xml:space="preserve">
F001-4451</t>
        </r>
      </text>
    </comment>
    <comment ref="H393" authorId="1" shapeId="0" xr:uid="{00000000-0006-0000-3300-000060000000}">
      <text>
        <r>
          <rPr>
            <b/>
            <sz val="9"/>
            <color indexed="81"/>
            <rFont val="Tahoma"/>
            <family val="2"/>
          </rPr>
          <t>user:</t>
        </r>
        <r>
          <rPr>
            <sz val="9"/>
            <color indexed="81"/>
            <rFont val="Tahoma"/>
            <family val="2"/>
          </rPr>
          <t xml:space="preserve">
F001-4511</t>
        </r>
      </text>
    </comment>
    <comment ref="B396" authorId="1" shapeId="0" xr:uid="{00000000-0006-0000-3300-000061000000}">
      <text>
        <r>
          <rPr>
            <b/>
            <sz val="9"/>
            <color indexed="81"/>
            <rFont val="Tahoma"/>
            <family val="2"/>
          </rPr>
          <t>user:</t>
        </r>
        <r>
          <rPr>
            <sz val="9"/>
            <color indexed="81"/>
            <rFont val="Tahoma"/>
            <family val="2"/>
          </rPr>
          <t xml:space="preserve">
FACTURARÓ SELVA ES DE ELLOS ELS ERVICIO CON LA 2221 PERO VOLVIERON AFACTURAR Y AHORA CON MAJORO SA</t>
        </r>
      </text>
    </comment>
    <comment ref="G407" authorId="1" shapeId="0" xr:uid="{00000000-0006-0000-3300-000062000000}">
      <text>
        <r>
          <rPr>
            <b/>
            <sz val="9"/>
            <color indexed="81"/>
            <rFont val="Tahoma"/>
            <family val="2"/>
          </rPr>
          <t xml:space="preserve">user:FUE TRASLADO Y SE COBRÓ ESTE PRECIO PORQUE ACOPLARON OTRA PERSONA
</t>
        </r>
      </text>
    </comment>
    <comment ref="H422" authorId="1" shapeId="0" xr:uid="{00000000-0006-0000-3300-000063000000}">
      <text>
        <r>
          <rPr>
            <b/>
            <sz val="9"/>
            <color indexed="81"/>
            <rFont val="Tahoma"/>
            <family val="2"/>
          </rPr>
          <t>user:</t>
        </r>
        <r>
          <rPr>
            <sz val="9"/>
            <color indexed="81"/>
            <rFont val="Tahoma"/>
            <family val="2"/>
          </rPr>
          <t xml:space="preserve">
5077</t>
        </r>
      </text>
    </comment>
    <comment ref="H424" authorId="3" shapeId="0" xr:uid="{00000000-0006-0000-3300-000064000000}">
      <text>
        <r>
          <rPr>
            <b/>
            <sz val="9"/>
            <color indexed="81"/>
            <rFont val="Tahoma"/>
            <family val="2"/>
          </rPr>
          <t>Carlos:</t>
        </r>
        <r>
          <rPr>
            <sz val="9"/>
            <color indexed="81"/>
            <rFont val="Tahoma"/>
            <family val="2"/>
          </rPr>
          <t xml:space="preserve">
F001-5116</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user</author>
    <author>Sonia</author>
  </authors>
  <commentList>
    <comment ref="H4" authorId="0" shapeId="0" xr:uid="{00000000-0006-0000-3400-000001000000}">
      <text>
        <r>
          <rPr>
            <b/>
            <sz val="9"/>
            <color indexed="81"/>
            <rFont val="Tahoma"/>
            <family val="2"/>
          </rPr>
          <t>user:</t>
        </r>
        <r>
          <rPr>
            <sz val="9"/>
            <color indexed="81"/>
            <rFont val="Tahoma"/>
            <family val="2"/>
          </rPr>
          <t xml:space="preserve">
F001-2470</t>
        </r>
      </text>
    </comment>
    <comment ref="H5" authorId="0" shapeId="0" xr:uid="{00000000-0006-0000-3400-000002000000}">
      <text>
        <r>
          <rPr>
            <b/>
            <sz val="9"/>
            <color indexed="81"/>
            <rFont val="Tahoma"/>
            <family val="2"/>
          </rPr>
          <t>user:</t>
        </r>
        <r>
          <rPr>
            <sz val="9"/>
            <color indexed="81"/>
            <rFont val="Tahoma"/>
            <family val="2"/>
          </rPr>
          <t xml:space="preserve">
estas tres facturas en amarillo, se van a dejar en stand by y no ingresar a sistema, esto debido a que segua ALICIA HUALLPA NO VAN A PASAR A PAGO Y ELLA VA A TRAMITAR LA ORDEN A MAS TARDAR HASTA EL DIA VIERNES, AL PARECER SE TIENEN QUE ANULAR
F001-3329</t>
        </r>
      </text>
    </comment>
    <comment ref="H6" authorId="0" shapeId="0" xr:uid="{00000000-0006-0000-3400-000003000000}">
      <text>
        <r>
          <rPr>
            <b/>
            <sz val="9"/>
            <color indexed="81"/>
            <rFont val="Tahoma"/>
            <family val="2"/>
          </rPr>
          <t>user:</t>
        </r>
        <r>
          <rPr>
            <sz val="9"/>
            <color indexed="81"/>
            <rFont val="Tahoma"/>
            <family val="2"/>
          </rPr>
          <t xml:space="preserve">
F001-3330</t>
        </r>
      </text>
    </comment>
    <comment ref="H7" authorId="0" shapeId="0" xr:uid="{00000000-0006-0000-3400-000004000000}">
      <text>
        <r>
          <rPr>
            <b/>
            <sz val="9"/>
            <color indexed="81"/>
            <rFont val="Tahoma"/>
            <family val="2"/>
          </rPr>
          <t>user:</t>
        </r>
        <r>
          <rPr>
            <sz val="9"/>
            <color indexed="81"/>
            <rFont val="Tahoma"/>
            <family val="2"/>
          </rPr>
          <t xml:space="preserve">
ERROR EN PRECIO D ELA ORDEN AL 05-12-24- SE MANDARA MODIFICAR
F001-3331</t>
        </r>
      </text>
    </comment>
    <comment ref="J7" authorId="1" shapeId="0" xr:uid="{00000000-0006-0000-3400-000005000000}">
      <text>
        <r>
          <rPr>
            <b/>
            <sz val="9"/>
            <color indexed="81"/>
            <rFont val="Tahoma"/>
            <family val="2"/>
          </rPr>
          <t>Sonia:</t>
        </r>
        <r>
          <rPr>
            <sz val="9"/>
            <color indexed="81"/>
            <rFont val="Tahoma"/>
            <family val="2"/>
          </rPr>
          <t xml:space="preserve">
ESTA PAGARON SIN IGV
</t>
        </r>
      </text>
    </comment>
    <comment ref="H10" authorId="0" shapeId="0" xr:uid="{00000000-0006-0000-3400-000006000000}">
      <text>
        <r>
          <rPr>
            <b/>
            <sz val="9"/>
            <color indexed="81"/>
            <rFont val="Tahoma"/>
            <family val="2"/>
          </rPr>
          <t>user:</t>
        </r>
        <r>
          <rPr>
            <sz val="9"/>
            <color indexed="81"/>
            <rFont val="Tahoma"/>
            <family val="2"/>
          </rPr>
          <t xml:space="preserve">
F001-3336
F001-3343</t>
        </r>
      </text>
    </comment>
    <comment ref="J10" authorId="0" shapeId="0" xr:uid="{00000000-0006-0000-3400-000007000000}">
      <text>
        <r>
          <rPr>
            <b/>
            <sz val="9"/>
            <color indexed="81"/>
            <rFont val="Tahoma"/>
            <family val="2"/>
          </rPr>
          <t>user:</t>
        </r>
        <r>
          <rPr>
            <sz val="9"/>
            <color indexed="81"/>
            <rFont val="Tahoma"/>
            <family val="2"/>
          </rPr>
          <t xml:space="preserve">
18242.38  APLICARON MAL LA DETRACCIÓN</t>
        </r>
      </text>
    </comment>
    <comment ref="H11" authorId="0" shapeId="0" xr:uid="{00000000-0006-0000-3400-000008000000}">
      <text>
        <r>
          <rPr>
            <b/>
            <sz val="9"/>
            <color indexed="81"/>
            <rFont val="Tahoma"/>
            <family val="2"/>
          </rPr>
          <t>user:</t>
        </r>
        <r>
          <rPr>
            <sz val="9"/>
            <color indexed="81"/>
            <rFont val="Tahoma"/>
            <family val="2"/>
          </rPr>
          <t xml:space="preserve">
F001-3337
F001-3344</t>
        </r>
      </text>
    </comment>
    <comment ref="I34" authorId="1" shapeId="0" xr:uid="{00000000-0006-0000-3400-000009000000}">
      <text>
        <r>
          <rPr>
            <b/>
            <sz val="9"/>
            <color indexed="81"/>
            <rFont val="Tahoma"/>
            <family val="2"/>
          </rPr>
          <t>Sonia:</t>
        </r>
        <r>
          <rPr>
            <sz val="9"/>
            <color indexed="81"/>
            <rFont val="Tahoma"/>
            <family val="2"/>
          </rPr>
          <t xml:space="preserve">
3360 PAGARON 3 DE ENERO LA DIFERENCIA ASE AGREGO A LA COTIZACIÓN D ELOS ULTIMOS SERVICIOS DE RIOJA ACC MOVIL</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H3" authorId="0" shapeId="0" xr:uid="{00000000-0006-0000-3500-000001000000}">
      <text>
        <r>
          <rPr>
            <b/>
            <sz val="9"/>
            <color indexed="81"/>
            <rFont val="Tahoma"/>
            <family val="2"/>
          </rPr>
          <t>user:</t>
        </r>
        <r>
          <rPr>
            <sz val="9"/>
            <color indexed="81"/>
            <rFont val="Tahoma"/>
            <family val="2"/>
          </rPr>
          <t xml:space="preserve">
F001-1748</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H5" authorId="0" shapeId="0" xr:uid="{00000000-0006-0000-3700-000001000000}">
      <text>
        <r>
          <rPr>
            <b/>
            <sz val="9"/>
            <color indexed="81"/>
            <rFont val="Tahoma"/>
            <family val="2"/>
          </rPr>
          <t>user:</t>
        </r>
        <r>
          <rPr>
            <sz val="9"/>
            <color indexed="81"/>
            <rFont val="Tahoma"/>
            <family val="2"/>
          </rPr>
          <t xml:space="preserve">
F001-1746</t>
        </r>
      </text>
    </comment>
    <comment ref="H6" authorId="0" shapeId="0" xr:uid="{00000000-0006-0000-3700-000002000000}">
      <text>
        <r>
          <rPr>
            <b/>
            <sz val="9"/>
            <color indexed="81"/>
            <rFont val="Tahoma"/>
            <family val="2"/>
          </rPr>
          <t>user:</t>
        </r>
        <r>
          <rPr>
            <sz val="9"/>
            <color indexed="81"/>
            <rFont val="Tahoma"/>
            <family val="2"/>
          </rPr>
          <t xml:space="preserve">
F001-1747</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H7" authorId="0" shapeId="0" xr:uid="{00000000-0006-0000-3800-000001000000}">
      <text>
        <r>
          <rPr>
            <b/>
            <sz val="9"/>
            <color indexed="81"/>
            <rFont val="Tahoma"/>
            <family val="2"/>
          </rPr>
          <t>user:</t>
        </r>
        <r>
          <rPr>
            <sz val="9"/>
            <color indexed="81"/>
            <rFont val="Tahoma"/>
            <family val="2"/>
          </rPr>
          <t xml:space="preserve">
F001-1895</t>
        </r>
      </text>
    </comment>
    <comment ref="H9" authorId="0" shapeId="0" xr:uid="{00000000-0006-0000-3800-000002000000}">
      <text>
        <r>
          <rPr>
            <b/>
            <sz val="9"/>
            <color indexed="81"/>
            <rFont val="Tahoma"/>
            <family val="2"/>
          </rPr>
          <t>user:</t>
        </r>
        <r>
          <rPr>
            <sz val="9"/>
            <color indexed="81"/>
            <rFont val="Tahoma"/>
            <family val="2"/>
          </rPr>
          <t xml:space="preserve">
F001-2053</t>
        </r>
      </text>
    </comment>
    <comment ref="V33" authorId="0" shapeId="0" xr:uid="{00000000-0006-0000-3800-000003000000}">
      <text>
        <r>
          <rPr>
            <b/>
            <sz val="9"/>
            <color indexed="81"/>
            <rFont val="Tahoma"/>
            <family val="2"/>
          </rPr>
          <t>user:</t>
        </r>
        <r>
          <rPr>
            <sz val="9"/>
            <color indexed="81"/>
            <rFont val="Tahoma"/>
            <family val="2"/>
          </rPr>
          <t xml:space="preserve">
DIA SIGUIENTE</t>
        </r>
      </text>
    </comment>
    <comment ref="H42" authorId="0" shapeId="0" xr:uid="{00000000-0006-0000-3800-000004000000}">
      <text>
        <r>
          <rPr>
            <b/>
            <sz val="9"/>
            <color indexed="81"/>
            <rFont val="Tahoma"/>
            <family val="2"/>
          </rPr>
          <t>user:</t>
        </r>
        <r>
          <rPr>
            <sz val="9"/>
            <color indexed="81"/>
            <rFont val="Tahoma"/>
            <family val="2"/>
          </rPr>
          <t xml:space="preserve">
F001-4193  F001-4263  F001-4360  F001-4361
F001-4560</t>
        </r>
      </text>
    </comment>
    <comment ref="H46" authorId="0" shapeId="0" xr:uid="{00000000-0006-0000-3800-000005000000}">
      <text>
        <r>
          <rPr>
            <b/>
            <sz val="9"/>
            <color indexed="81"/>
            <rFont val="Tahoma"/>
            <family val="2"/>
          </rPr>
          <t>user:</t>
        </r>
        <r>
          <rPr>
            <sz val="9"/>
            <color indexed="81"/>
            <rFont val="Tahoma"/>
            <family val="2"/>
          </rPr>
          <t xml:space="preserve">
F001-4514   F001-4546  F001-4629 F001-4655
</t>
        </r>
      </text>
    </comment>
    <comment ref="C48" authorId="0" shapeId="0" xr:uid="{00000000-0006-0000-3800-000006000000}">
      <text>
        <r>
          <rPr>
            <b/>
            <sz val="9"/>
            <color indexed="81"/>
            <rFont val="Tahoma"/>
            <family val="2"/>
          </rPr>
          <t>user:</t>
        </r>
        <r>
          <rPr>
            <sz val="9"/>
            <color indexed="81"/>
            <rFont val="Tahoma"/>
            <family val="2"/>
          </rPr>
          <t xml:space="preserve">
EN EL OB1630</t>
        </r>
      </text>
    </comment>
    <comment ref="H50" authorId="0" shapeId="0" xr:uid="{00000000-0006-0000-3800-000007000000}">
      <text>
        <r>
          <rPr>
            <b/>
            <sz val="9"/>
            <color indexed="81"/>
            <rFont val="Tahoma"/>
            <family val="2"/>
          </rPr>
          <t>user:</t>
        </r>
        <r>
          <rPr>
            <sz val="9"/>
            <color indexed="81"/>
            <rFont val="Tahoma"/>
            <family val="2"/>
          </rPr>
          <t xml:space="preserve">
F001-4700   </t>
        </r>
      </text>
    </comment>
    <comment ref="H60" authorId="0" shapeId="0" xr:uid="{00000000-0006-0000-3800-000008000000}">
      <text>
        <r>
          <rPr>
            <b/>
            <sz val="9"/>
            <color indexed="81"/>
            <rFont val="Tahoma"/>
            <family val="2"/>
          </rPr>
          <t>user:</t>
        </r>
        <r>
          <rPr>
            <sz val="9"/>
            <color indexed="81"/>
            <rFont val="Tahoma"/>
            <family val="2"/>
          </rPr>
          <t xml:space="preserve">
F001-5040</t>
        </r>
      </text>
    </comment>
    <comment ref="H61" authorId="0" shapeId="0" xr:uid="{00000000-0006-0000-3800-000009000000}">
      <text>
        <r>
          <rPr>
            <b/>
            <sz val="9"/>
            <color indexed="81"/>
            <rFont val="Tahoma"/>
            <family val="2"/>
          </rPr>
          <t>user:</t>
        </r>
        <r>
          <rPr>
            <sz val="9"/>
            <color indexed="81"/>
            <rFont val="Tahoma"/>
            <family val="2"/>
          </rPr>
          <t xml:space="preserve">
F001-5087</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user</author>
    <author>Sonia</author>
  </authors>
  <commentList>
    <comment ref="H4" authorId="0" shapeId="0" xr:uid="{00000000-0006-0000-3A00-000001000000}">
      <text>
        <r>
          <rPr>
            <b/>
            <sz val="9"/>
            <color indexed="81"/>
            <rFont val="Tahoma"/>
            <family val="2"/>
          </rPr>
          <t>user:</t>
        </r>
        <r>
          <rPr>
            <sz val="9"/>
            <color indexed="81"/>
            <rFont val="Tahoma"/>
            <family val="2"/>
          </rPr>
          <t xml:space="preserve">
F001-2043   F001-2167</t>
        </r>
      </text>
    </comment>
    <comment ref="G5" authorId="0" shapeId="0" xr:uid="{00000000-0006-0000-3A00-000002000000}">
      <text>
        <r>
          <rPr>
            <b/>
            <sz val="9"/>
            <color indexed="81"/>
            <rFont val="Tahoma"/>
            <family val="2"/>
          </rPr>
          <t>user:</t>
        </r>
        <r>
          <rPr>
            <sz val="9"/>
            <color indexed="81"/>
            <rFont val="Tahoma"/>
            <family val="2"/>
          </rPr>
          <t xml:space="preserve">
SE PASARA COMO COMPLEMENTARIO, SIN EMBARGO FALTARIA UNA DIFERENCIA Y LO HARAN CON ORDEN ADICIONAL, YA QUE EL COMPLEMENTARIO ES POOR 30/100 Y NO ALCANZA A 45,430</t>
        </r>
      </text>
    </comment>
    <comment ref="H12" authorId="0" shapeId="0" xr:uid="{00000000-0006-0000-3A00-000003000000}">
      <text>
        <r>
          <rPr>
            <b/>
            <sz val="9"/>
            <color indexed="81"/>
            <rFont val="Tahoma"/>
            <family val="2"/>
          </rPr>
          <t>user:</t>
        </r>
        <r>
          <rPr>
            <sz val="9"/>
            <color indexed="81"/>
            <rFont val="Tahoma"/>
            <family val="2"/>
          </rPr>
          <t xml:space="preserve">
SE FACTURÓ PARA COBRAR, PERO NO SE TRASLADÓ AL PACIENTE F001-3984
posteriormente el dia 16-07-25 se refacturó en dos facturas de acuerdo a las ordenes emitidas por el Hospital</t>
        </r>
      </text>
    </comment>
    <comment ref="H13" authorId="0" shapeId="0" xr:uid="{00000000-0006-0000-3A00-000004000000}">
      <text>
        <r>
          <rPr>
            <b/>
            <sz val="9"/>
            <color indexed="81"/>
            <rFont val="Tahoma"/>
            <family val="2"/>
          </rPr>
          <t>user:</t>
        </r>
        <r>
          <rPr>
            <sz val="9"/>
            <color indexed="81"/>
            <rFont val="Tahoma"/>
            <family val="2"/>
          </rPr>
          <t xml:space="preserve">
SE FACTURÓ PARA COBRAR, PERO NO SE TRASLADÓ AL PACIENTE F001-3984
posteriormente el dia 16-07-25 se refacturó en dos facturas de acuerdo a las ordenes emitidas por el Hospital</t>
        </r>
      </text>
    </comment>
    <comment ref="H18" authorId="1" shapeId="0" xr:uid="{00000000-0006-0000-3A00-000005000000}">
      <text>
        <r>
          <rPr>
            <b/>
            <sz val="9"/>
            <color indexed="81"/>
            <rFont val="Tahoma"/>
            <family val="2"/>
          </rPr>
          <t>Sonia:</t>
        </r>
        <r>
          <rPr>
            <sz val="9"/>
            <color indexed="81"/>
            <rFont val="Tahoma"/>
            <family val="2"/>
          </rPr>
          <t xml:space="preserve">
F001-4209</t>
        </r>
      </text>
    </comment>
    <comment ref="H19" authorId="1" shapeId="0" xr:uid="{00000000-0006-0000-3A00-000006000000}">
      <text>
        <r>
          <rPr>
            <b/>
            <sz val="9"/>
            <color indexed="81"/>
            <rFont val="Tahoma"/>
            <family val="2"/>
          </rPr>
          <t>Sonia:</t>
        </r>
        <r>
          <rPr>
            <sz val="9"/>
            <color indexed="81"/>
            <rFont val="Tahoma"/>
            <family val="2"/>
          </rPr>
          <t xml:space="preserve">
F001-4208</t>
        </r>
      </text>
    </comment>
    <comment ref="H28" authorId="0" shapeId="0" xr:uid="{00000000-0006-0000-3A00-000007000000}">
      <text>
        <r>
          <rPr>
            <b/>
            <sz val="9"/>
            <color indexed="81"/>
            <rFont val="Tahoma"/>
            <family val="2"/>
          </rPr>
          <t>user:</t>
        </r>
        <r>
          <rPr>
            <sz val="9"/>
            <color indexed="81"/>
            <rFont val="Tahoma"/>
            <family val="2"/>
          </rPr>
          <t xml:space="preserve">
F001-2373</t>
        </r>
      </text>
    </comment>
    <comment ref="H29" authorId="0" shapeId="0" xr:uid="{00000000-0006-0000-3A00-000008000000}">
      <text>
        <r>
          <rPr>
            <b/>
            <sz val="9"/>
            <color indexed="81"/>
            <rFont val="Tahoma"/>
            <family val="2"/>
          </rPr>
          <t>user:</t>
        </r>
        <r>
          <rPr>
            <sz val="9"/>
            <color indexed="81"/>
            <rFont val="Tahoma"/>
            <family val="2"/>
          </rPr>
          <t xml:space="preserve">
F001-2589</t>
        </r>
      </text>
    </comment>
    <comment ref="G31" authorId="0" shapeId="0" xr:uid="{00000000-0006-0000-3A00-000009000000}">
      <text>
        <r>
          <rPr>
            <b/>
            <sz val="9"/>
            <color indexed="81"/>
            <rFont val="Tahoma"/>
            <family val="2"/>
          </rPr>
          <t>user:</t>
        </r>
        <r>
          <rPr>
            <sz val="9"/>
            <color indexed="81"/>
            <rFont val="Tahoma"/>
            <family val="2"/>
          </rPr>
          <t xml:space="preserve">
SE PASARA COMO COMPLEMENTARIO, SIN EMBARGO FALTARIA UNA DIFERENCIA Y LO HARAN CON ORDEN ADICIONAL, YA QUE EL COMPLEMENTARIO ES POOR 30/100 Y NO ALCANZA A 45,430</t>
        </r>
      </text>
    </comment>
    <comment ref="H41" authorId="0" shapeId="0" xr:uid="{00000000-0006-0000-3A00-00000A000000}">
      <text>
        <r>
          <rPr>
            <b/>
            <sz val="9"/>
            <color indexed="81"/>
            <rFont val="Tahoma"/>
            <family val="2"/>
          </rPr>
          <t>user:</t>
        </r>
        <r>
          <rPr>
            <sz val="9"/>
            <color indexed="81"/>
            <rFont val="Tahoma"/>
            <family val="2"/>
          </rPr>
          <t xml:space="preserve">
F001-3196</t>
        </r>
      </text>
    </comment>
    <comment ref="H42" authorId="0" shapeId="0" xr:uid="{00000000-0006-0000-3A00-00000B000000}">
      <text>
        <r>
          <rPr>
            <b/>
            <sz val="9"/>
            <color indexed="81"/>
            <rFont val="Tahoma"/>
            <family val="2"/>
          </rPr>
          <t>user:</t>
        </r>
        <r>
          <rPr>
            <sz val="9"/>
            <color indexed="81"/>
            <rFont val="Tahoma"/>
            <family val="2"/>
          </rPr>
          <t xml:space="preserve">
F001-3176</t>
        </r>
      </text>
    </comment>
    <comment ref="H45" authorId="0" shapeId="0" xr:uid="{00000000-0006-0000-3A00-00000C000000}">
      <text>
        <r>
          <rPr>
            <b/>
            <sz val="9"/>
            <color indexed="81"/>
            <rFont val="Tahoma"/>
            <family val="2"/>
          </rPr>
          <t>user:</t>
        </r>
        <r>
          <rPr>
            <sz val="9"/>
            <color indexed="81"/>
            <rFont val="Tahoma"/>
            <family val="2"/>
          </rPr>
          <t xml:space="preserve">
SE EMITIÓ EN 2024 CON LA FINALIDAD DE QUE PROVISAIONEN LA FACTURA </t>
        </r>
      </text>
    </comment>
    <comment ref="A46" authorId="0" shapeId="0" xr:uid="{00000000-0006-0000-3A00-00000D000000}">
      <text>
        <r>
          <rPr>
            <b/>
            <sz val="9"/>
            <color indexed="81"/>
            <rFont val="Tahoma"/>
            <family val="2"/>
          </rPr>
          <t>user:</t>
        </r>
        <r>
          <rPr>
            <sz val="9"/>
            <color indexed="81"/>
            <rFont val="Tahoma"/>
            <family val="2"/>
          </rPr>
          <t xml:space="preserve">
Don Jorge me indico que es del contrato complementario pero no lo encontre en el folder blanco.</t>
        </r>
      </text>
    </comment>
    <comment ref="L52" authorId="0" shapeId="0" xr:uid="{00000000-0006-0000-3A00-00000E000000}">
      <text>
        <r>
          <rPr>
            <b/>
            <sz val="9"/>
            <color indexed="81"/>
            <rFont val="Tahoma"/>
            <family val="2"/>
          </rPr>
          <t>user:</t>
        </r>
        <r>
          <rPr>
            <sz val="9"/>
            <color indexed="81"/>
            <rFont val="Tahoma"/>
            <family val="2"/>
          </rPr>
          <t xml:space="preserve">
SERVICIO DEL 24-04-25 VERIFICAR SI ES DE COMPLEMENTARIO?</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H5" authorId="0" shapeId="0" xr:uid="{00000000-0006-0000-3B00-000001000000}">
      <text>
        <r>
          <rPr>
            <b/>
            <sz val="9"/>
            <color indexed="81"/>
            <rFont val="Tahoma"/>
            <family val="2"/>
          </rPr>
          <t>user:</t>
        </r>
        <r>
          <rPr>
            <sz val="9"/>
            <color indexed="81"/>
            <rFont val="Tahoma"/>
            <family val="2"/>
          </rPr>
          <t xml:space="preserve">
TENIA F001-2399</t>
        </r>
      </text>
    </comment>
    <comment ref="H6" authorId="0" shapeId="0" xr:uid="{00000000-0006-0000-3B00-000002000000}">
      <text>
        <r>
          <rPr>
            <b/>
            <sz val="9"/>
            <color indexed="81"/>
            <rFont val="Tahoma"/>
            <family val="2"/>
          </rPr>
          <t>user:</t>
        </r>
        <r>
          <rPr>
            <sz val="9"/>
            <color indexed="81"/>
            <rFont val="Tahoma"/>
            <family val="2"/>
          </rPr>
          <t xml:space="preserve">
TENIA 
F001-2420</t>
        </r>
      </text>
    </comment>
    <comment ref="H7" authorId="0" shapeId="0" xr:uid="{00000000-0006-0000-3B00-000003000000}">
      <text>
        <r>
          <rPr>
            <b/>
            <sz val="9"/>
            <color indexed="81"/>
            <rFont val="Tahoma"/>
            <family val="2"/>
          </rPr>
          <t>user:</t>
        </r>
        <r>
          <rPr>
            <sz val="9"/>
            <color indexed="81"/>
            <rFont val="Tahoma"/>
            <family val="2"/>
          </rPr>
          <t xml:space="preserve">
F001-2421</t>
        </r>
      </text>
    </comment>
    <comment ref="H10" authorId="0" shapeId="0" xr:uid="{00000000-0006-0000-3B00-000004000000}">
      <text>
        <r>
          <rPr>
            <b/>
            <sz val="9"/>
            <color indexed="81"/>
            <rFont val="Tahoma"/>
            <family val="2"/>
          </rPr>
          <t>user:</t>
        </r>
        <r>
          <rPr>
            <sz val="9"/>
            <color indexed="81"/>
            <rFont val="Tahoma"/>
            <family val="2"/>
          </rPr>
          <t xml:space="preserve">
F001-3142</t>
        </r>
      </text>
    </comment>
    <comment ref="V15" authorId="0" shapeId="0" xr:uid="{00000000-0006-0000-3B00-000005000000}">
      <text>
        <r>
          <rPr>
            <b/>
            <sz val="9"/>
            <color indexed="81"/>
            <rFont val="Tahoma"/>
            <family val="2"/>
          </rPr>
          <t>user:</t>
        </r>
        <r>
          <rPr>
            <sz val="9"/>
            <color indexed="81"/>
            <rFont val="Tahoma"/>
            <family val="2"/>
          </rPr>
          <t xml:space="preserve">
DIA SIGUIENTE</t>
        </r>
      </text>
    </comment>
    <comment ref="H17" authorId="0" shapeId="0" xr:uid="{00000000-0006-0000-3B00-000006000000}">
      <text>
        <r>
          <rPr>
            <b/>
            <sz val="9"/>
            <color indexed="81"/>
            <rFont val="Tahoma"/>
            <family val="2"/>
          </rPr>
          <t>user:</t>
        </r>
        <r>
          <rPr>
            <sz val="9"/>
            <color indexed="81"/>
            <rFont val="Tahoma"/>
            <family val="2"/>
          </rPr>
          <t xml:space="preserve">
F001-3958</t>
        </r>
      </text>
    </comment>
    <comment ref="I17" authorId="0" shapeId="0" xr:uid="{00000000-0006-0000-3B00-000007000000}">
      <text>
        <r>
          <rPr>
            <b/>
            <sz val="9"/>
            <color indexed="81"/>
            <rFont val="Tahoma"/>
            <family val="2"/>
          </rPr>
          <t>user:</t>
        </r>
        <r>
          <rPr>
            <sz val="9"/>
            <color indexed="81"/>
            <rFont val="Tahoma"/>
            <family val="2"/>
          </rPr>
          <t xml:space="preserve">
37150</t>
        </r>
      </text>
    </comment>
    <comment ref="H19" authorId="0" shapeId="0" xr:uid="{00000000-0006-0000-3B00-000008000000}">
      <text>
        <r>
          <rPr>
            <b/>
            <sz val="9"/>
            <color indexed="81"/>
            <rFont val="Tahoma"/>
            <family val="2"/>
          </rPr>
          <t>user:</t>
        </r>
        <r>
          <rPr>
            <sz val="9"/>
            <color indexed="81"/>
            <rFont val="Tahoma"/>
            <family val="2"/>
          </rPr>
          <t xml:space="preserve">
F001-3995</t>
        </r>
      </text>
    </comment>
    <comment ref="H23" authorId="0" shapeId="0" xr:uid="{00000000-0006-0000-3B00-000009000000}">
      <text>
        <r>
          <rPr>
            <b/>
            <sz val="9"/>
            <color indexed="81"/>
            <rFont val="Tahoma"/>
            <family val="2"/>
          </rPr>
          <t>user:</t>
        </r>
        <r>
          <rPr>
            <sz val="9"/>
            <color indexed="81"/>
            <rFont val="Tahoma"/>
            <family val="2"/>
          </rPr>
          <t xml:space="preserve">
F001-4087
F001-4201</t>
        </r>
      </text>
    </comment>
    <comment ref="H27" authorId="0" shapeId="0" xr:uid="{00000000-0006-0000-3B00-00000A000000}">
      <text>
        <r>
          <rPr>
            <b/>
            <sz val="9"/>
            <color indexed="81"/>
            <rFont val="Tahoma"/>
            <family val="2"/>
          </rPr>
          <t>user:</t>
        </r>
        <r>
          <rPr>
            <sz val="9"/>
            <color indexed="81"/>
            <rFont val="Tahoma"/>
            <family val="2"/>
          </rPr>
          <t xml:space="preserve">
F001-4092
F001-4202</t>
        </r>
      </text>
    </comment>
    <comment ref="H28" authorId="0" shapeId="0" xr:uid="{00000000-0006-0000-3B00-00000B000000}">
      <text>
        <r>
          <rPr>
            <b/>
            <sz val="9"/>
            <color indexed="81"/>
            <rFont val="Tahoma"/>
            <family val="2"/>
          </rPr>
          <t>user:</t>
        </r>
        <r>
          <rPr>
            <sz val="9"/>
            <color indexed="81"/>
            <rFont val="Tahoma"/>
            <family val="2"/>
          </rPr>
          <t xml:space="preserve">
F001-4084
F001-4203</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5" authorId="0" shapeId="0" xr:uid="{00000000-0006-0000-3D00-000001000000}">
      <text>
        <r>
          <rPr>
            <b/>
            <sz val="9"/>
            <color indexed="81"/>
            <rFont val="Tahoma"/>
            <family val="2"/>
          </rPr>
          <t>user:</t>
        </r>
        <r>
          <rPr>
            <sz val="9"/>
            <color indexed="81"/>
            <rFont val="Tahoma"/>
            <family val="2"/>
          </rPr>
          <t xml:space="preserve">
pago 10000 el 29/09 23 y el 13-10-23 la diferencia</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17" authorId="0" shapeId="0" xr:uid="{00000000-0006-0000-3E00-000001000000}">
      <text>
        <r>
          <rPr>
            <b/>
            <sz val="9"/>
            <color indexed="81"/>
            <rFont val="Tahoma"/>
            <family val="2"/>
          </rPr>
          <t>user:</t>
        </r>
        <r>
          <rPr>
            <sz val="9"/>
            <color indexed="81"/>
            <rFont val="Tahoma"/>
            <family val="2"/>
          </rPr>
          <t xml:space="preserve">
VER SI APLICA A ESTAS FACTURAS EL PAGO</t>
        </r>
      </text>
    </comment>
    <comment ref="H25" authorId="0" shapeId="0" xr:uid="{00000000-0006-0000-3E00-000002000000}">
      <text>
        <r>
          <rPr>
            <b/>
            <sz val="9"/>
            <color indexed="81"/>
            <rFont val="Tahoma"/>
            <family val="2"/>
          </rPr>
          <t>user:</t>
        </r>
        <r>
          <rPr>
            <sz val="9"/>
            <color indexed="81"/>
            <rFont val="Tahoma"/>
            <family val="2"/>
          </rPr>
          <t xml:space="preserve">
ESTAMOS ESPERANDO QUE INDIQUEN SI SE CAMBIARÁ LA ORDEN</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H3" authorId="0" shapeId="0" xr:uid="{00000000-0006-0000-3F00-000001000000}">
      <text>
        <r>
          <rPr>
            <b/>
            <sz val="9"/>
            <color indexed="81"/>
            <rFont val="Tahoma"/>
            <family val="2"/>
          </rPr>
          <t>user:</t>
        </r>
        <r>
          <rPr>
            <sz val="9"/>
            <color indexed="81"/>
            <rFont val="Tahoma"/>
            <family val="2"/>
          </rPr>
          <t xml:space="preserve">
F001-2016</t>
        </r>
      </text>
    </comment>
    <comment ref="K4" authorId="0" shapeId="0" xr:uid="{00000000-0006-0000-3F00-000002000000}">
      <text>
        <r>
          <rPr>
            <b/>
            <sz val="9"/>
            <color indexed="81"/>
            <rFont val="Tahoma"/>
            <family val="2"/>
          </rPr>
          <t>user:</t>
        </r>
        <r>
          <rPr>
            <sz val="9"/>
            <color indexed="81"/>
            <rFont val="Tahoma"/>
            <family val="2"/>
          </rPr>
          <t xml:space="preserve">
SE RECONOCIÓ EN DOCUEMNTOS PERO NO PAGARON DEBIDO A LA INEXISTENCIA DE PRESUPUESTO
</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I8" authorId="0" shapeId="0" xr:uid="{00000000-0006-0000-4100-000001000000}">
      <text>
        <r>
          <rPr>
            <b/>
            <sz val="9"/>
            <color indexed="81"/>
            <rFont val="Tahoma"/>
            <family val="2"/>
          </rPr>
          <t>user:</t>
        </r>
        <r>
          <rPr>
            <sz val="9"/>
            <color indexed="81"/>
            <rFont val="Tahoma"/>
            <family val="2"/>
          </rPr>
          <t xml:space="preserve">
EN ESTE SERVICIO SE COTIZO INCLUYENDO SERV. DEL 16-11-23 s/ 7110</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3" authorId="0" shapeId="0" xr:uid="{00000000-0006-0000-4200-000001000000}">
      <text>
        <r>
          <rPr>
            <b/>
            <sz val="9"/>
            <color indexed="81"/>
            <rFont val="Tahoma"/>
            <family val="2"/>
          </rPr>
          <t>user:</t>
        </r>
        <r>
          <rPr>
            <sz val="9"/>
            <color indexed="81"/>
            <rFont val="Tahoma"/>
            <family val="2"/>
          </rPr>
          <t xml:space="preserve">
PAGÓ EN EFECTIVO</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user</author>
    <author>Sonia</author>
  </authors>
  <commentList>
    <comment ref="I3" authorId="0" shapeId="0" xr:uid="{00000000-0006-0000-4300-000001000000}">
      <text>
        <r>
          <rPr>
            <b/>
            <sz val="9"/>
            <color indexed="81"/>
            <rFont val="Tahoma"/>
            <family val="2"/>
          </rPr>
          <t>user:</t>
        </r>
        <r>
          <rPr>
            <sz val="9"/>
            <color indexed="81"/>
            <rFont val="Tahoma"/>
            <family val="2"/>
          </rPr>
          <t xml:space="preserve">
EN SOLES
</t>
        </r>
      </text>
    </comment>
    <comment ref="H4" authorId="0" shapeId="0" xr:uid="{00000000-0006-0000-4300-000002000000}">
      <text>
        <r>
          <rPr>
            <b/>
            <sz val="9"/>
            <color indexed="81"/>
            <rFont val="Tahoma"/>
            <family val="2"/>
          </rPr>
          <t>user:</t>
        </r>
        <r>
          <rPr>
            <sz val="9"/>
            <color indexed="81"/>
            <rFont val="Tahoma"/>
            <family val="2"/>
          </rPr>
          <t xml:space="preserve">
F001-2948</t>
        </r>
      </text>
    </comment>
    <comment ref="K4" authorId="0" shapeId="0" xr:uid="{00000000-0006-0000-4300-000003000000}">
      <text>
        <r>
          <rPr>
            <b/>
            <sz val="9"/>
            <color indexed="81"/>
            <rFont val="Tahoma"/>
            <family val="2"/>
          </rPr>
          <t>user:</t>
        </r>
        <r>
          <rPr>
            <sz val="9"/>
            <color indexed="81"/>
            <rFont val="Tahoma"/>
            <family val="2"/>
          </rPr>
          <t xml:space="preserve">
OJO SOLO PAGARON NETO DE DETRACCION Y PAGARON DETRACCION SOLAMENTE PAGARON 1416 CLON FECHA ANTERIOR - ENERO 2025</t>
        </r>
      </text>
    </comment>
    <comment ref="J5" authorId="1" shapeId="0" xr:uid="{00000000-0006-0000-4300-000004000000}">
      <text>
        <r>
          <rPr>
            <b/>
            <sz val="9"/>
            <color indexed="81"/>
            <rFont val="Tahoma"/>
            <family val="2"/>
          </rPr>
          <t>Sonia:</t>
        </r>
        <r>
          <rPr>
            <sz val="9"/>
            <color indexed="81"/>
            <rFont val="Tahoma"/>
            <family val="2"/>
          </rPr>
          <t xml:space="preserve">
PAGARON 10632
PORQUE REFIEREN HAY EMBARGO TELEMATICO</t>
        </r>
      </text>
    </comment>
    <comment ref="I10" authorId="0" shapeId="0" xr:uid="{00000000-0006-0000-4300-000005000000}">
      <text>
        <r>
          <rPr>
            <b/>
            <sz val="9"/>
            <color indexed="81"/>
            <rFont val="Tahoma"/>
            <family val="2"/>
          </rPr>
          <t>user:</t>
        </r>
        <r>
          <rPr>
            <sz val="9"/>
            <color indexed="81"/>
            <rFont val="Tahoma"/>
            <family val="2"/>
          </rPr>
          <t xml:space="preserve">
46180 EN SOLES.35,000 ESTÁ CON CARTA GARANTÍA Y LA DIFERENCIA 11,180 PAGÓ EL ASEGURADO</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H20" authorId="0" shapeId="0" xr:uid="{00000000-0006-0000-4500-000001000000}">
      <text>
        <r>
          <rPr>
            <b/>
            <sz val="9"/>
            <color indexed="81"/>
            <rFont val="Tahoma"/>
            <family val="2"/>
          </rPr>
          <t>user:</t>
        </r>
        <r>
          <rPr>
            <sz val="9"/>
            <color indexed="81"/>
            <rFont val="Tahoma"/>
            <family val="2"/>
          </rPr>
          <t xml:space="preserve">
F001-4431</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H8" authorId="0" shapeId="0" xr:uid="{00000000-0006-0000-4600-000001000000}">
      <text>
        <r>
          <rPr>
            <b/>
            <sz val="9"/>
            <color indexed="81"/>
            <rFont val="Tahoma"/>
            <family val="2"/>
          </rPr>
          <t>user:</t>
        </r>
        <r>
          <rPr>
            <sz val="9"/>
            <color indexed="81"/>
            <rFont val="Tahoma"/>
            <family val="2"/>
          </rPr>
          <t xml:space="preserve">
RECONOCIMIENTO DE DEUDA ENVIADO EL 03-04-2025</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K4" authorId="0" shapeId="0" xr:uid="{00000000-0006-0000-4900-000001000000}">
      <text>
        <r>
          <rPr>
            <b/>
            <sz val="9"/>
            <color indexed="81"/>
            <rFont val="Tahoma"/>
            <family val="2"/>
          </rPr>
          <t>user:</t>
        </r>
        <r>
          <rPr>
            <sz val="9"/>
            <color indexed="81"/>
            <rFont val="Tahoma"/>
            <family val="2"/>
          </rPr>
          <t xml:space="preserve">
PAGÓ 41,099.00</t>
        </r>
      </text>
    </comment>
    <comment ref="I7" authorId="0" shapeId="0" xr:uid="{00000000-0006-0000-4900-000002000000}">
      <text>
        <r>
          <rPr>
            <b/>
            <sz val="9"/>
            <color indexed="81"/>
            <rFont val="Tahoma"/>
            <family val="2"/>
          </rPr>
          <t>user:</t>
        </r>
        <r>
          <rPr>
            <sz val="9"/>
            <color indexed="81"/>
            <rFont val="Tahoma"/>
            <family val="2"/>
          </rPr>
          <t xml:space="preserve">
45690</t>
        </r>
      </text>
    </comment>
    <comment ref="H9" authorId="0" shapeId="0" xr:uid="{00000000-0006-0000-4900-000003000000}">
      <text>
        <r>
          <rPr>
            <b/>
            <sz val="9"/>
            <color indexed="81"/>
            <rFont val="Tahoma"/>
            <family val="2"/>
          </rPr>
          <t>user:</t>
        </r>
        <r>
          <rPr>
            <sz val="9"/>
            <color indexed="81"/>
            <rFont val="Tahoma"/>
            <family val="2"/>
          </rPr>
          <t xml:space="preserve">
F001-3378</t>
        </r>
      </text>
    </comment>
    <comment ref="H10" authorId="0" shapeId="0" xr:uid="{00000000-0006-0000-4900-000004000000}">
      <text>
        <r>
          <rPr>
            <b/>
            <sz val="9"/>
            <color indexed="81"/>
            <rFont val="Tahoma"/>
            <family val="2"/>
          </rPr>
          <t>user:</t>
        </r>
        <r>
          <rPr>
            <sz val="9"/>
            <color indexed="81"/>
            <rFont val="Tahoma"/>
            <family val="2"/>
          </rPr>
          <t xml:space="preserve">
F001-3378</t>
        </r>
      </text>
    </comment>
    <comment ref="H11" authorId="0" shapeId="0" xr:uid="{00000000-0006-0000-4900-000005000000}">
      <text>
        <r>
          <rPr>
            <b/>
            <sz val="9"/>
            <color indexed="81"/>
            <rFont val="Tahoma"/>
            <family val="2"/>
          </rPr>
          <t>user:</t>
        </r>
        <r>
          <rPr>
            <sz val="9"/>
            <color indexed="81"/>
            <rFont val="Tahoma"/>
            <family val="2"/>
          </rPr>
          <t xml:space="preserve">
F001-3378</t>
        </r>
      </text>
    </comment>
    <comment ref="H12" authorId="0" shapeId="0" xr:uid="{00000000-0006-0000-4900-000006000000}">
      <text>
        <r>
          <rPr>
            <b/>
            <sz val="9"/>
            <color indexed="81"/>
            <rFont val="Tahoma"/>
            <family val="2"/>
          </rPr>
          <t>user:</t>
        </r>
        <r>
          <rPr>
            <sz val="9"/>
            <color indexed="81"/>
            <rFont val="Tahoma"/>
            <family val="2"/>
          </rPr>
          <t xml:space="preserve">
F001-3378</t>
        </r>
      </text>
    </comment>
    <comment ref="H13" authorId="0" shapeId="0" xr:uid="{00000000-0006-0000-4900-000007000000}">
      <text>
        <r>
          <rPr>
            <b/>
            <sz val="9"/>
            <color indexed="81"/>
            <rFont val="Tahoma"/>
            <family val="2"/>
          </rPr>
          <t>user:</t>
        </r>
        <r>
          <rPr>
            <sz val="9"/>
            <color indexed="81"/>
            <rFont val="Tahoma"/>
            <family val="2"/>
          </rPr>
          <t xml:space="preserve">
F001-3378</t>
        </r>
      </text>
    </comment>
    <comment ref="H15" authorId="0" shapeId="0" xr:uid="{00000000-0006-0000-4900-000008000000}">
      <text>
        <r>
          <rPr>
            <b/>
            <sz val="9"/>
            <color indexed="81"/>
            <rFont val="Tahoma"/>
            <family val="2"/>
          </rPr>
          <t>user:</t>
        </r>
        <r>
          <rPr>
            <sz val="9"/>
            <color indexed="81"/>
            <rFont val="Tahoma"/>
            <family val="2"/>
          </rPr>
          <t xml:space="preserve">
F001-4787 se mandó a anular el 26-02, ya que refieren tanto la Dra, as´pi como peronal de logistica que pese a que hay Resolución a dicha fecha, aun no cuentan con presupuesto</t>
        </r>
      </text>
    </comment>
    <comment ref="V16" authorId="0" shapeId="0" xr:uid="{00000000-0006-0000-4900-000009000000}">
      <text>
        <r>
          <rPr>
            <b/>
            <sz val="9"/>
            <color indexed="81"/>
            <rFont val="Tahoma"/>
            <family val="2"/>
          </rPr>
          <t>user:</t>
        </r>
        <r>
          <rPr>
            <sz val="9"/>
            <color indexed="81"/>
            <rFont val="Tahoma"/>
            <family val="2"/>
          </rPr>
          <t xml:space="preserve">
DIA siguiente</t>
        </r>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V3" authorId="0" shapeId="0" xr:uid="{00000000-0006-0000-4A00-000001000000}">
      <text>
        <r>
          <rPr>
            <b/>
            <sz val="9"/>
            <color indexed="81"/>
            <rFont val="Tahoma"/>
            <family val="2"/>
          </rPr>
          <t>user:</t>
        </r>
        <r>
          <rPr>
            <sz val="9"/>
            <color indexed="81"/>
            <rFont val="Tahoma"/>
            <family val="2"/>
          </rPr>
          <t xml:space="preserve">
LUNES 25-03-24</t>
        </r>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Sonia</author>
  </authors>
  <commentList>
    <comment ref="H5" authorId="0" shapeId="0" xr:uid="{00000000-0006-0000-4B00-000001000000}">
      <text>
        <r>
          <rPr>
            <b/>
            <sz val="9"/>
            <color indexed="81"/>
            <rFont val="Tahoma"/>
            <family val="2"/>
          </rPr>
          <t>Sonia:</t>
        </r>
        <r>
          <rPr>
            <sz val="9"/>
            <color indexed="81"/>
            <rFont val="Tahoma"/>
            <family val="2"/>
          </rPr>
          <t xml:space="preserve">
F001-3521</t>
        </r>
      </text>
    </comment>
    <comment ref="H6" authorId="0" shapeId="0" xr:uid="{00000000-0006-0000-4B00-000002000000}">
      <text>
        <r>
          <rPr>
            <b/>
            <sz val="9"/>
            <color indexed="81"/>
            <rFont val="Tahoma"/>
            <family val="2"/>
          </rPr>
          <t>Sonia:</t>
        </r>
        <r>
          <rPr>
            <sz val="9"/>
            <color indexed="81"/>
            <rFont val="Tahoma"/>
            <family val="2"/>
          </rPr>
          <t xml:space="preserve">
F001-3521</t>
        </r>
      </text>
    </comment>
  </commentList>
</comments>
</file>

<file path=xl/comments6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I4" authorId="0" shapeId="0" xr:uid="{00000000-0006-0000-4C00-000001000000}">
      <text>
        <r>
          <rPr>
            <b/>
            <sz val="9"/>
            <color indexed="81"/>
            <rFont val="Tahoma"/>
            <family val="2"/>
          </rPr>
          <t>user:</t>
        </r>
        <r>
          <rPr>
            <sz val="9"/>
            <color indexed="81"/>
            <rFont val="Tahoma"/>
            <family val="2"/>
          </rPr>
          <t xml:space="preserve">
14160 dolares al tipo de cambio
</t>
        </r>
      </text>
    </comment>
    <comment ref="I5" authorId="0" shapeId="0" xr:uid="{00000000-0006-0000-4C00-000002000000}">
      <text>
        <r>
          <rPr>
            <b/>
            <sz val="9"/>
            <color indexed="81"/>
            <rFont val="Tahoma"/>
            <family val="2"/>
          </rPr>
          <t>user:</t>
        </r>
        <r>
          <rPr>
            <sz val="9"/>
            <color indexed="81"/>
            <rFont val="Tahoma"/>
            <family val="2"/>
          </rPr>
          <t xml:space="preserve">
SE USÓ 3.8 EL TIPO DE CAMBIO</t>
        </r>
      </text>
    </comment>
    <comment ref="V6" authorId="0" shapeId="0" xr:uid="{00000000-0006-0000-4C00-000003000000}">
      <text>
        <r>
          <rPr>
            <b/>
            <sz val="9"/>
            <color indexed="81"/>
            <rFont val="Tahoma"/>
            <family val="2"/>
          </rPr>
          <t>user:</t>
        </r>
        <r>
          <rPr>
            <sz val="9"/>
            <color indexed="81"/>
            <rFont val="Tahoma"/>
            <family val="2"/>
          </rPr>
          <t xml:space="preserve">
DIA SIGUIENTE</t>
        </r>
      </text>
    </comment>
    <comment ref="I8" authorId="0" shapeId="0" xr:uid="{00000000-0006-0000-4C00-000004000000}">
      <text>
        <r>
          <rPr>
            <b/>
            <sz val="9"/>
            <color indexed="81"/>
            <rFont val="Tahoma"/>
            <family val="2"/>
          </rPr>
          <t>user:</t>
        </r>
        <r>
          <rPr>
            <sz val="9"/>
            <color indexed="81"/>
            <rFont val="Tahoma"/>
            <family val="2"/>
          </rPr>
          <t xml:space="preserve">
se emitió nota de credito ya que el tipo de cambio que manejaron al tarifario dio como resultado un menor precio en soles</t>
        </r>
      </text>
    </comment>
    <comment ref="V9" authorId="0" shapeId="0" xr:uid="{00000000-0006-0000-4C00-000005000000}">
      <text>
        <r>
          <rPr>
            <b/>
            <sz val="9"/>
            <color indexed="81"/>
            <rFont val="Tahoma"/>
            <family val="2"/>
          </rPr>
          <t>user:</t>
        </r>
        <r>
          <rPr>
            <sz val="9"/>
            <color indexed="81"/>
            <rFont val="Tahoma"/>
            <family val="2"/>
          </rPr>
          <t xml:space="preserve">
DIA SIGUIENTE</t>
        </r>
      </text>
    </comment>
    <comment ref="D12" authorId="0" shapeId="0" xr:uid="{00000000-0006-0000-4C00-000006000000}">
      <text>
        <r>
          <rPr>
            <b/>
            <sz val="9"/>
            <color indexed="81"/>
            <rFont val="Tahoma"/>
            <family val="2"/>
          </rPr>
          <t>user:</t>
        </r>
        <r>
          <rPr>
            <sz val="9"/>
            <color indexed="81"/>
            <rFont val="Tahoma"/>
            <family val="2"/>
          </rPr>
          <t xml:space="preserve">
SE HIZO EL DIA SIGUIENTE</t>
        </r>
      </text>
    </comment>
  </commentList>
</comments>
</file>

<file path=xl/comments6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H5" authorId="0" shapeId="0" xr:uid="{00000000-0006-0000-4D00-000001000000}">
      <text>
        <r>
          <rPr>
            <b/>
            <sz val="9"/>
            <color indexed="81"/>
            <rFont val="Tahoma"/>
            <family val="2"/>
          </rPr>
          <t>user:</t>
        </r>
        <r>
          <rPr>
            <sz val="9"/>
            <color indexed="81"/>
            <rFont val="Tahoma"/>
            <family val="2"/>
          </rPr>
          <t xml:space="preserve">
F001-3605</t>
        </r>
      </text>
    </comment>
    <comment ref="I14" authorId="0" shapeId="0" xr:uid="{00000000-0006-0000-4D00-000002000000}">
      <text>
        <r>
          <rPr>
            <b/>
            <sz val="9"/>
            <color indexed="81"/>
            <rFont val="Tahoma"/>
            <family val="2"/>
          </rPr>
          <t>user:</t>
        </r>
        <r>
          <rPr>
            <sz val="9"/>
            <color indexed="81"/>
            <rFont val="Tahoma"/>
            <family val="2"/>
          </rPr>
          <t xml:space="preserve">
PRECIO INCLUYE HORAS DE APERTURA DOMIGO</t>
        </r>
      </text>
    </comment>
    <comment ref="I15" authorId="0" shapeId="0" xr:uid="{00000000-0006-0000-4D00-000003000000}">
      <text>
        <r>
          <rPr>
            <b/>
            <sz val="9"/>
            <color indexed="81"/>
            <rFont val="Tahoma"/>
            <family val="2"/>
          </rPr>
          <t>user:</t>
        </r>
        <r>
          <rPr>
            <sz val="9"/>
            <color indexed="81"/>
            <rFont val="Tahoma"/>
            <family val="2"/>
          </rPr>
          <t xml:space="preserve">
PRECIO INCLUYE HORAS DE APERTURA DOMIGO</t>
        </r>
      </text>
    </comment>
    <comment ref="I16" authorId="0" shapeId="0" xr:uid="{00000000-0006-0000-4D00-000004000000}">
      <text>
        <r>
          <rPr>
            <b/>
            <sz val="9"/>
            <color indexed="81"/>
            <rFont val="Tahoma"/>
            <family val="2"/>
          </rPr>
          <t>user:</t>
        </r>
        <r>
          <rPr>
            <sz val="9"/>
            <color indexed="81"/>
            <rFont val="Tahoma"/>
            <family val="2"/>
          </rPr>
          <t xml:space="preserve">
PRECIO INCLUYE HORAS DE APERTURA DOMIGO</t>
        </r>
      </text>
    </comment>
    <comment ref="I17" authorId="0" shapeId="0" xr:uid="{00000000-0006-0000-4D00-000005000000}">
      <text>
        <r>
          <rPr>
            <b/>
            <sz val="9"/>
            <color indexed="81"/>
            <rFont val="Tahoma"/>
            <family val="2"/>
          </rPr>
          <t>user:</t>
        </r>
        <r>
          <rPr>
            <sz val="9"/>
            <color indexed="81"/>
            <rFont val="Tahoma"/>
            <family val="2"/>
          </rPr>
          <t xml:space="preserve">
AD 352-25</t>
        </r>
      </text>
    </comment>
    <comment ref="B27" authorId="0" shapeId="0" xr:uid="{00000000-0006-0000-4D00-000006000000}">
      <text>
        <r>
          <rPr>
            <b/>
            <sz val="9"/>
            <color indexed="81"/>
            <rFont val="Tahoma"/>
            <family val="2"/>
          </rPr>
          <t>user:</t>
        </r>
        <r>
          <rPr>
            <sz val="9"/>
            <color indexed="81"/>
            <rFont val="Tahoma"/>
            <family val="2"/>
          </rPr>
          <t xml:space="preserve">
POSIBLE PENALIDAD POR NO VOLAR CON ITINERARIO DE SABADO-COTIZACION</t>
        </r>
      </text>
    </comment>
  </commentList>
</comments>
</file>

<file path=xl/comments64.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I3" authorId="0" shapeId="0" xr:uid="{00000000-0006-0000-5000-000001000000}">
      <text>
        <r>
          <rPr>
            <b/>
            <sz val="9"/>
            <color indexed="81"/>
            <rFont val="Tahoma"/>
            <family val="2"/>
          </rPr>
          <t>user:</t>
        </r>
        <r>
          <rPr>
            <sz val="9"/>
            <color indexed="81"/>
            <rFont val="Tahoma"/>
            <family val="2"/>
          </rPr>
          <t xml:space="preserve">
26950, se bajó 1,000 soles por no haber incurrido en uso de ambulancia en Lima</t>
        </r>
      </text>
    </comment>
  </commentList>
</comments>
</file>

<file path=xl/comments65.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H14" authorId="0" shapeId="0" xr:uid="{00000000-0006-0000-5100-000001000000}">
      <text>
        <r>
          <rPr>
            <b/>
            <sz val="9"/>
            <color indexed="81"/>
            <rFont val="Tahoma"/>
            <family val="2"/>
          </rPr>
          <t>user:</t>
        </r>
        <r>
          <rPr>
            <sz val="9"/>
            <color indexed="81"/>
            <rFont val="Tahoma"/>
            <family val="2"/>
          </rPr>
          <t xml:space="preserve">
F001-4950</t>
        </r>
      </text>
    </comment>
    <comment ref="H23" authorId="0" shapeId="0" xr:uid="{00000000-0006-0000-5100-000002000000}">
      <text>
        <r>
          <rPr>
            <b/>
            <sz val="9"/>
            <color indexed="81"/>
            <rFont val="Tahoma"/>
            <family val="2"/>
          </rPr>
          <t>user:</t>
        </r>
        <r>
          <rPr>
            <sz val="9"/>
            <color indexed="81"/>
            <rFont val="Tahoma"/>
            <family val="2"/>
          </rPr>
          <t xml:space="preserve">
F001-4898</t>
        </r>
      </text>
    </comment>
    <comment ref="K34" authorId="0" shapeId="0" xr:uid="{00000000-0006-0000-5100-000003000000}">
      <text>
        <r>
          <rPr>
            <b/>
            <sz val="9"/>
            <color indexed="81"/>
            <rFont val="Tahoma"/>
            <family val="2"/>
          </rPr>
          <t>user:</t>
        </r>
        <r>
          <rPr>
            <sz val="9"/>
            <color indexed="81"/>
            <rFont val="Tahoma"/>
            <family val="2"/>
          </rPr>
          <t xml:space="preserve">
FIRMADO CON FIRMA DIGITAL EL 25-02-2026</t>
        </r>
      </text>
    </comment>
  </commentList>
</comments>
</file>

<file path=xl/comments66.xml><?xml version="1.0" encoding="utf-8"?>
<comments xmlns="http://schemas.openxmlformats.org/spreadsheetml/2006/main" xmlns:mc="http://schemas.openxmlformats.org/markup-compatibility/2006" xmlns:xr="http://schemas.microsoft.com/office/spreadsheetml/2014/revision" mc:Ignorable="xr">
  <authors>
    <author>user</author>
    <author>Carlos</author>
    <author>Sonia</author>
  </authors>
  <commentList>
    <comment ref="B14" authorId="0" shapeId="0" xr:uid="{00000000-0006-0000-5700-000001000000}">
      <text>
        <r>
          <rPr>
            <b/>
            <sz val="9"/>
            <color indexed="81"/>
            <rFont val="Tahoma"/>
            <family val="2"/>
          </rPr>
          <t>user:</t>
        </r>
        <r>
          <rPr>
            <sz val="9"/>
            <color indexed="81"/>
            <rFont val="Tahoma"/>
            <family val="2"/>
          </rPr>
          <t xml:space="preserve">
FERNANDES GONCALVES
IGOR</t>
        </r>
      </text>
    </comment>
    <comment ref="E14" authorId="0" shapeId="0" xr:uid="{00000000-0006-0000-5700-000002000000}">
      <text>
        <r>
          <rPr>
            <b/>
            <sz val="9"/>
            <color indexed="81"/>
            <rFont val="Tahoma"/>
            <family val="2"/>
          </rPr>
          <t>user:</t>
        </r>
        <r>
          <rPr>
            <sz val="9"/>
            <color indexed="81"/>
            <rFont val="Tahoma"/>
            <family val="2"/>
          </rPr>
          <t xml:space="preserve">
B001-95</t>
        </r>
      </text>
    </comment>
    <comment ref="N32" authorId="0" shapeId="0" xr:uid="{00000000-0006-0000-5700-000003000000}">
      <text>
        <r>
          <rPr>
            <b/>
            <sz val="9"/>
            <color indexed="81"/>
            <rFont val="Tahoma"/>
            <family val="2"/>
          </rPr>
          <t>user:</t>
        </r>
        <r>
          <rPr>
            <sz val="9"/>
            <color indexed="81"/>
            <rFont val="Tahoma"/>
            <family val="2"/>
          </rPr>
          <t xml:space="preserve">
BCP PAGÓ</t>
        </r>
      </text>
    </comment>
    <comment ref="N33" authorId="0" shapeId="0" xr:uid="{00000000-0006-0000-5700-000004000000}">
      <text>
        <r>
          <rPr>
            <b/>
            <sz val="9"/>
            <color indexed="81"/>
            <rFont val="Tahoma"/>
            <family val="2"/>
          </rPr>
          <t>user:</t>
        </r>
        <r>
          <rPr>
            <sz val="9"/>
            <color indexed="81"/>
            <rFont val="Tahoma"/>
            <family val="2"/>
          </rPr>
          <t xml:space="preserve">
pagó SELVA el 16-01</t>
        </r>
      </text>
    </comment>
    <comment ref="B34" authorId="0" shapeId="0" xr:uid="{00000000-0006-0000-5700-000005000000}">
      <text>
        <r>
          <rPr>
            <b/>
            <sz val="9"/>
            <color indexed="81"/>
            <rFont val="Tahoma"/>
            <family val="2"/>
          </rPr>
          <t>user:</t>
        </r>
        <r>
          <rPr>
            <sz val="9"/>
            <color indexed="81"/>
            <rFont val="Tahoma"/>
            <family val="2"/>
          </rPr>
          <t xml:space="preserve">
NO TRAJERON AL PACIENTE</t>
        </r>
      </text>
    </comment>
    <comment ref="N36" authorId="0" shapeId="0" xr:uid="{00000000-0006-0000-5700-000006000000}">
      <text>
        <r>
          <rPr>
            <b/>
            <sz val="9"/>
            <color indexed="81"/>
            <rFont val="Tahoma"/>
            <family val="2"/>
          </rPr>
          <t>user:</t>
        </r>
        <r>
          <rPr>
            <sz val="9"/>
            <color indexed="81"/>
            <rFont val="Tahoma"/>
            <family val="2"/>
          </rPr>
          <t xml:space="preserve">
PAGADO EL 20/01
</t>
        </r>
      </text>
    </comment>
    <comment ref="E42" authorId="0" shapeId="0" xr:uid="{00000000-0006-0000-5700-000007000000}">
      <text>
        <r>
          <rPr>
            <b/>
            <sz val="9"/>
            <color indexed="81"/>
            <rFont val="Tahoma"/>
            <family val="2"/>
          </rPr>
          <t>user:</t>
        </r>
        <r>
          <rPr>
            <sz val="9"/>
            <color indexed="81"/>
            <rFont val="Tahoma"/>
            <family val="2"/>
          </rPr>
          <t xml:space="preserve">
F001-4771</t>
        </r>
      </text>
    </comment>
    <comment ref="E48" authorId="0" shapeId="0" xr:uid="{00000000-0006-0000-5700-000008000000}">
      <text>
        <r>
          <rPr>
            <b/>
            <sz val="9"/>
            <color indexed="81"/>
            <rFont val="Tahoma"/>
            <family val="2"/>
          </rPr>
          <t>user:</t>
        </r>
        <r>
          <rPr>
            <sz val="9"/>
            <color indexed="81"/>
            <rFont val="Tahoma"/>
            <family val="2"/>
          </rPr>
          <t xml:space="preserve">
F001-4950</t>
        </r>
      </text>
    </comment>
    <comment ref="B52" authorId="0" shapeId="0" xr:uid="{00000000-0006-0000-5700-000009000000}">
      <text>
        <r>
          <rPr>
            <b/>
            <sz val="9"/>
            <color indexed="81"/>
            <rFont val="Tahoma"/>
            <family val="2"/>
          </rPr>
          <t>user:</t>
        </r>
        <r>
          <rPr>
            <sz val="9"/>
            <color indexed="81"/>
            <rFont val="Tahoma"/>
            <family val="2"/>
          </rPr>
          <t xml:space="preserve">
PAGÓ AL CONTADO - PACIENTE ES DE ESSALUD RALO</t>
        </r>
      </text>
    </comment>
    <comment ref="B54" authorId="0" shapeId="0" xr:uid="{00000000-0006-0000-5700-00000A000000}">
      <text>
        <r>
          <rPr>
            <b/>
            <sz val="9"/>
            <color indexed="81"/>
            <rFont val="Tahoma"/>
            <family val="2"/>
          </rPr>
          <t>user:</t>
        </r>
        <r>
          <rPr>
            <sz val="9"/>
            <color indexed="81"/>
            <rFont val="Tahoma"/>
            <family val="2"/>
          </rPr>
          <t xml:space="preserve">
PAGÓ AL CONTADO - PACIENTE ES DE ESSALUD RALO</t>
        </r>
      </text>
    </comment>
    <comment ref="E64" authorId="0" shapeId="0" xr:uid="{00000000-0006-0000-5700-00000B000000}">
      <text>
        <r>
          <rPr>
            <b/>
            <sz val="9"/>
            <color indexed="81"/>
            <rFont val="Tahoma"/>
            <family val="2"/>
          </rPr>
          <t>user:</t>
        </r>
        <r>
          <rPr>
            <sz val="9"/>
            <color indexed="81"/>
            <rFont val="Tahoma"/>
            <family val="2"/>
          </rPr>
          <t xml:space="preserve">
F001-4729
</t>
        </r>
      </text>
    </comment>
    <comment ref="B66" authorId="0" shapeId="0" xr:uid="{00000000-0006-0000-5700-00000C000000}">
      <text>
        <r>
          <rPr>
            <b/>
            <sz val="9"/>
            <color indexed="81"/>
            <rFont val="Tahoma"/>
            <family val="2"/>
          </rPr>
          <t>user:</t>
        </r>
        <r>
          <rPr>
            <sz val="9"/>
            <color indexed="81"/>
            <rFont val="Tahoma"/>
            <family val="2"/>
          </rPr>
          <t xml:space="preserve">
NOTA: SR. INTERESADO DEPOSITARA DOS DEPOSITOS UNO DE 20000 Y OTRO DE 4000; COMO GARANTIA LOS 20000 PORQUE IGLESIA MORMON LO APOYARÁ Y DEPOSITARA LOS 20000; CUANDO ESTO SUCEDA SE LE DEVOLVERÁ AL SR. SUS 20,000 SOLES</t>
        </r>
      </text>
    </comment>
    <comment ref="M69" authorId="0" shapeId="0" xr:uid="{00000000-0006-0000-5700-00000D000000}">
      <text>
        <r>
          <rPr>
            <b/>
            <sz val="9"/>
            <color indexed="81"/>
            <rFont val="Tahoma"/>
            <family val="2"/>
          </rPr>
          <t>user:</t>
        </r>
        <r>
          <rPr>
            <sz val="9"/>
            <color indexed="81"/>
            <rFont val="Tahoma"/>
            <family val="2"/>
          </rPr>
          <t xml:space="preserve">
PAGADO AL CONTADO</t>
        </r>
      </text>
    </comment>
    <comment ref="D74" authorId="0" shapeId="0" xr:uid="{00000000-0006-0000-5700-00000E000000}">
      <text>
        <r>
          <rPr>
            <b/>
            <sz val="9"/>
            <color indexed="81"/>
            <rFont val="Tahoma"/>
            <family val="2"/>
          </rPr>
          <t>user:</t>
        </r>
        <r>
          <rPr>
            <sz val="9"/>
            <color indexed="81"/>
            <rFont val="Tahoma"/>
            <family val="2"/>
          </rPr>
          <t xml:space="preserve">
LLEGARON 02:55</t>
        </r>
      </text>
    </comment>
    <comment ref="B86" authorId="0" shapeId="0" xr:uid="{00000000-0006-0000-5700-00000F000000}">
      <text>
        <r>
          <rPr>
            <b/>
            <sz val="9"/>
            <color indexed="81"/>
            <rFont val="Tahoma"/>
            <family val="2"/>
          </rPr>
          <t>user:</t>
        </r>
        <r>
          <rPr>
            <sz val="9"/>
            <color indexed="81"/>
            <rFont val="Tahoma"/>
            <family val="2"/>
          </rPr>
          <t xml:space="preserve">
SE HARA EN LA TARDE DEL DIA 13-02 DEBIDO A QUE HUBO MAL TIEMPO POR ESO RETORNÓ </t>
        </r>
      </text>
    </comment>
    <comment ref="E87" authorId="0" shapeId="0" xr:uid="{00000000-0006-0000-5700-000010000000}">
      <text>
        <r>
          <rPr>
            <b/>
            <sz val="9"/>
            <color indexed="81"/>
            <rFont val="Tahoma"/>
            <family val="2"/>
          </rPr>
          <t>user:</t>
        </r>
        <r>
          <rPr>
            <sz val="9"/>
            <color indexed="81"/>
            <rFont val="Tahoma"/>
            <family val="2"/>
          </rPr>
          <t xml:space="preserve">
F001-4854</t>
        </r>
      </text>
    </comment>
    <comment ref="E95" authorId="0" shapeId="0" xr:uid="{00000000-0006-0000-5700-000011000000}">
      <text>
        <r>
          <rPr>
            <b/>
            <sz val="9"/>
            <color indexed="81"/>
            <rFont val="Tahoma"/>
            <family val="2"/>
          </rPr>
          <t>user:</t>
        </r>
        <r>
          <rPr>
            <sz val="9"/>
            <color indexed="81"/>
            <rFont val="Tahoma"/>
            <family val="2"/>
          </rPr>
          <t xml:space="preserve">
F001-4855
</t>
        </r>
      </text>
    </comment>
    <comment ref="M98" authorId="0" shapeId="0" xr:uid="{00000000-0006-0000-5700-000012000000}">
      <text>
        <r>
          <rPr>
            <b/>
            <sz val="9"/>
            <color indexed="81"/>
            <rFont val="Tahoma"/>
            <family val="2"/>
          </rPr>
          <t>user:</t>
        </r>
        <r>
          <rPr>
            <sz val="9"/>
            <color indexed="81"/>
            <rFont val="Tahoma"/>
            <family val="2"/>
          </rPr>
          <t xml:space="preserve">
PAGADO EL 17-02-2026</t>
        </r>
      </text>
    </comment>
    <comment ref="B108" authorId="0" shapeId="0" xr:uid="{00000000-0006-0000-5700-000013000000}">
      <text>
        <r>
          <rPr>
            <b/>
            <sz val="9"/>
            <color indexed="81"/>
            <rFont val="Tahoma"/>
            <family val="2"/>
          </rPr>
          <t>user:</t>
        </r>
        <r>
          <rPr>
            <sz val="9"/>
            <color indexed="81"/>
            <rFont val="Tahoma"/>
            <family val="2"/>
          </rPr>
          <t xml:space="preserve">
SALIO EL VUELO Y PASANDO 50 MINUTOS ATERRIZÓ POR PROBLEMAS EN AERONAVE Y SE SUSTENTÓ POR CAUSAS METEREOLOGICAS - COINCIDENCIA</t>
        </r>
      </text>
    </comment>
    <comment ref="N112" authorId="0" shapeId="0" xr:uid="{00000000-0006-0000-5700-000014000000}">
      <text>
        <r>
          <rPr>
            <b/>
            <sz val="9"/>
            <color indexed="81"/>
            <rFont val="Tahoma"/>
            <family val="2"/>
          </rPr>
          <t>user:</t>
        </r>
        <r>
          <rPr>
            <sz val="9"/>
            <color indexed="81"/>
            <rFont val="Tahoma"/>
            <family val="2"/>
          </rPr>
          <t xml:space="preserve">
AMBULANCIA TERRESTRE EN LA PAZ QUERIA COBRAR DOLARES 500 </t>
        </r>
      </text>
    </comment>
    <comment ref="M120" authorId="0" shapeId="0" xr:uid="{00000000-0006-0000-5700-000015000000}">
      <text>
        <r>
          <rPr>
            <b/>
            <sz val="9"/>
            <color indexed="81"/>
            <rFont val="Tahoma"/>
            <family val="2"/>
          </rPr>
          <t>user:</t>
        </r>
        <r>
          <rPr>
            <sz val="9"/>
            <color indexed="81"/>
            <rFont val="Tahoma"/>
            <family val="2"/>
          </rPr>
          <t xml:space="preserve">
LE DIO A ESTE PRECIO PORQUE ACOPLARON A UNA PERSONA SENTADO , SEGÚN REFIERE SR. JORGE QUE ORLANDO LE MENCIONÓ</t>
        </r>
      </text>
    </comment>
    <comment ref="F136" authorId="0" shapeId="0" xr:uid="{00000000-0006-0000-5700-000016000000}">
      <text>
        <r>
          <rPr>
            <b/>
            <sz val="9"/>
            <color indexed="81"/>
            <rFont val="Tahoma"/>
            <family val="2"/>
          </rPr>
          <t>user:</t>
        </r>
        <r>
          <rPr>
            <sz val="9"/>
            <color indexed="81"/>
            <rFont val="Tahoma"/>
            <family val="2"/>
          </rPr>
          <t xml:space="preserve">
ESTE VUELO ES DE BAGUA - VIA CHICLAYO</t>
        </r>
      </text>
    </comment>
    <comment ref="E140" authorId="0" shapeId="0" xr:uid="{00000000-0006-0000-5700-000017000000}">
      <text>
        <r>
          <rPr>
            <b/>
            <sz val="9"/>
            <color indexed="81"/>
            <rFont val="Tahoma"/>
            <family val="2"/>
          </rPr>
          <t>user:</t>
        </r>
        <r>
          <rPr>
            <sz val="9"/>
            <color indexed="81"/>
            <rFont val="Tahoma"/>
            <family val="2"/>
          </rPr>
          <t xml:space="preserve">
F001-4839</t>
        </r>
      </text>
    </comment>
    <comment ref="E164" authorId="0" shapeId="0" xr:uid="{00000000-0006-0000-5700-000018000000}">
      <text>
        <r>
          <rPr>
            <b/>
            <sz val="9"/>
            <color indexed="81"/>
            <rFont val="Tahoma"/>
            <family val="2"/>
          </rPr>
          <t>user:</t>
        </r>
        <r>
          <rPr>
            <sz val="9"/>
            <color indexed="81"/>
            <rFont val="Tahoma"/>
            <family val="2"/>
          </rPr>
          <t xml:space="preserve">
SOLO SE FACTURÓ 43500 POR TRANSPORTE FALTA ASIST MEDICA</t>
        </r>
      </text>
    </comment>
    <comment ref="E165" authorId="0" shapeId="0" xr:uid="{00000000-0006-0000-5700-000019000000}">
      <text>
        <r>
          <rPr>
            <b/>
            <sz val="9"/>
            <color indexed="81"/>
            <rFont val="Tahoma"/>
            <family val="2"/>
          </rPr>
          <t>user:</t>
        </r>
        <r>
          <rPr>
            <sz val="9"/>
            <color indexed="81"/>
            <rFont val="Tahoma"/>
            <family val="2"/>
          </rPr>
          <t xml:space="preserve">
F001-4852
F001-4853</t>
        </r>
      </text>
    </comment>
    <comment ref="M175" authorId="0" shapeId="0" xr:uid="{00000000-0006-0000-5700-00001A000000}">
      <text>
        <r>
          <rPr>
            <b/>
            <sz val="9"/>
            <color indexed="81"/>
            <rFont val="Tahoma"/>
            <family val="2"/>
          </rPr>
          <t>user:</t>
        </r>
        <r>
          <rPr>
            <sz val="9"/>
            <color indexed="81"/>
            <rFont val="Tahoma"/>
            <family val="2"/>
          </rPr>
          <t xml:space="preserve">
PAGÓ EL 20-03-2026 EN BCP</t>
        </r>
      </text>
    </comment>
    <comment ref="D201" authorId="0" shapeId="0" xr:uid="{00000000-0006-0000-5700-00001B000000}">
      <text>
        <r>
          <rPr>
            <b/>
            <sz val="9"/>
            <color indexed="81"/>
            <rFont val="Tahoma"/>
            <family val="2"/>
          </rPr>
          <t>user:</t>
        </r>
        <r>
          <rPr>
            <sz val="9"/>
            <color indexed="81"/>
            <rFont val="Tahoma"/>
            <family val="2"/>
          </rPr>
          <t xml:space="preserve">
05/04 LLEGARON</t>
        </r>
      </text>
    </comment>
    <comment ref="B211" authorId="0" shapeId="0" xr:uid="{00000000-0006-0000-5700-00001C000000}">
      <text>
        <r>
          <rPr>
            <b/>
            <sz val="9"/>
            <color indexed="81"/>
            <rFont val="Tahoma"/>
            <family val="2"/>
          </rPr>
          <t>user:</t>
        </r>
        <r>
          <rPr>
            <sz val="9"/>
            <color indexed="81"/>
            <rFont val="Tahoma"/>
            <family val="2"/>
          </rPr>
          <t xml:space="preserve">
SALIERON EL 9 PERO EL RETORNO FUE EL DIA 10 EN LA MADRUGADA
</t>
        </r>
      </text>
    </comment>
    <comment ref="E225" authorId="0" shapeId="0" xr:uid="{00000000-0006-0000-5700-00001D000000}">
      <text>
        <r>
          <rPr>
            <b/>
            <sz val="9"/>
            <color indexed="81"/>
            <rFont val="Tahoma"/>
            <family val="2"/>
          </rPr>
          <t>user:</t>
        </r>
        <r>
          <rPr>
            <sz val="9"/>
            <color indexed="81"/>
            <rFont val="Tahoma"/>
            <family val="2"/>
          </rPr>
          <t xml:space="preserve">
TAMBIEN INVOICE</t>
        </r>
      </text>
    </comment>
    <comment ref="N232" authorId="0" shapeId="0" xr:uid="{00000000-0006-0000-5700-00001E000000}">
      <text>
        <r>
          <rPr>
            <b/>
            <sz val="9"/>
            <color indexed="81"/>
            <rFont val="Tahoma"/>
            <family val="2"/>
          </rPr>
          <t>user:</t>
        </r>
        <r>
          <rPr>
            <sz val="9"/>
            <color indexed="81"/>
            <rFont val="Tahoma"/>
            <family val="2"/>
          </rPr>
          <t xml:space="preserve">
DEPOSIT'O 10,173</t>
        </r>
      </text>
    </comment>
    <comment ref="E236" authorId="0" shapeId="0" xr:uid="{00000000-0006-0000-5700-00001F000000}">
      <text>
        <r>
          <rPr>
            <b/>
            <sz val="9"/>
            <color indexed="81"/>
            <rFont val="Tahoma"/>
            <family val="2"/>
          </rPr>
          <t>user:</t>
        </r>
        <r>
          <rPr>
            <sz val="9"/>
            <color indexed="81"/>
            <rFont val="Tahoma"/>
            <family val="2"/>
          </rPr>
          <t xml:space="preserve">
F001-4946</t>
        </r>
      </text>
    </comment>
    <comment ref="E237" authorId="0" shapeId="0" xr:uid="{00000000-0006-0000-5700-000020000000}">
      <text>
        <r>
          <rPr>
            <b/>
            <sz val="9"/>
            <color indexed="81"/>
            <rFont val="Tahoma"/>
            <family val="2"/>
          </rPr>
          <t>user:</t>
        </r>
        <r>
          <rPr>
            <sz val="9"/>
            <color indexed="81"/>
            <rFont val="Tahoma"/>
            <family val="2"/>
          </rPr>
          <t xml:space="preserve">
F001-4944</t>
        </r>
      </text>
    </comment>
    <comment ref="E272" authorId="0" shapeId="0" xr:uid="{00000000-0006-0000-5700-000021000000}">
      <text>
        <r>
          <rPr>
            <b/>
            <sz val="9"/>
            <color indexed="81"/>
            <rFont val="Tahoma"/>
            <family val="2"/>
          </rPr>
          <t>user:</t>
        </r>
        <r>
          <rPr>
            <sz val="9"/>
            <color indexed="81"/>
            <rFont val="Tahoma"/>
            <family val="2"/>
          </rPr>
          <t xml:space="preserve">
F001-4990</t>
        </r>
      </text>
    </comment>
    <comment ref="E279" authorId="0" shapeId="0" xr:uid="{00000000-0006-0000-5700-000022000000}">
      <text>
        <r>
          <rPr>
            <b/>
            <sz val="9"/>
            <color indexed="81"/>
            <rFont val="Tahoma"/>
            <family val="2"/>
          </rPr>
          <t>user:</t>
        </r>
        <r>
          <rPr>
            <sz val="9"/>
            <color indexed="81"/>
            <rFont val="Tahoma"/>
            <family val="2"/>
          </rPr>
          <t xml:space="preserve">
F001-4991</t>
        </r>
      </text>
    </comment>
    <comment ref="F296" authorId="0" shapeId="0" xr:uid="{00000000-0006-0000-5700-000023000000}">
      <text>
        <r>
          <rPr>
            <b/>
            <sz val="9"/>
            <color indexed="81"/>
            <rFont val="Tahoma"/>
            <family val="2"/>
          </rPr>
          <t>user:</t>
        </r>
        <r>
          <rPr>
            <sz val="9"/>
            <color indexed="81"/>
            <rFont val="Tahoma"/>
            <family val="2"/>
          </rPr>
          <t xml:space="preserve">
LA RUTA DEL PACIENTE FUE YURIMAGUAS, SIN EMBARGO NO APLICA PRECIO DE LORETO PORQUE EN LAS RUTAS ESTÁ SOLAMENTE LORETO IQUITOS</t>
        </r>
      </text>
    </comment>
    <comment ref="E300" authorId="0" shapeId="0" xr:uid="{00000000-0006-0000-5700-000024000000}">
      <text>
        <r>
          <rPr>
            <b/>
            <sz val="9"/>
            <color indexed="81"/>
            <rFont val="Tahoma"/>
            <family val="2"/>
          </rPr>
          <t>user:</t>
        </r>
        <r>
          <rPr>
            <sz val="9"/>
            <color indexed="81"/>
            <rFont val="Tahoma"/>
            <family val="2"/>
          </rPr>
          <t xml:space="preserve">
F001-5003</t>
        </r>
      </text>
    </comment>
    <comment ref="N301" authorId="0" shapeId="0" xr:uid="{00000000-0006-0000-5700-000025000000}">
      <text>
        <r>
          <rPr>
            <b/>
            <sz val="9"/>
            <color indexed="81"/>
            <rFont val="Tahoma"/>
            <family val="2"/>
          </rPr>
          <t>user:</t>
        </r>
        <r>
          <rPr>
            <sz val="9"/>
            <color indexed="81"/>
            <rFont val="Tahoma"/>
            <family val="2"/>
          </rPr>
          <t xml:space="preserve">
PAGÓ 29-05-2026</t>
        </r>
      </text>
    </comment>
    <comment ref="B314" authorId="0" shapeId="0" xr:uid="{00000000-0006-0000-5700-000026000000}">
      <text>
        <r>
          <rPr>
            <b/>
            <sz val="9"/>
            <color indexed="81"/>
            <rFont val="Tahoma"/>
            <family val="2"/>
          </rPr>
          <t>user:</t>
        </r>
        <r>
          <rPr>
            <sz val="9"/>
            <color indexed="81"/>
            <rFont val="Tahoma"/>
            <family val="2"/>
          </rPr>
          <t xml:space="preserve">
se facturó en el mes anterior</t>
        </r>
      </text>
    </comment>
    <comment ref="B315" authorId="0" shapeId="0" xr:uid="{00000000-0006-0000-5700-000027000000}">
      <text>
        <r>
          <rPr>
            <b/>
            <sz val="9"/>
            <color indexed="81"/>
            <rFont val="Tahoma"/>
            <family val="2"/>
          </rPr>
          <t>user:</t>
        </r>
        <r>
          <rPr>
            <sz val="9"/>
            <color indexed="81"/>
            <rFont val="Tahoma"/>
            <family val="2"/>
          </rPr>
          <t xml:space="preserve">
NO SE TRAJO PACIENTE PERO PAGÓ 02-06-26</t>
        </r>
      </text>
    </comment>
    <comment ref="E316" authorId="0" shapeId="0" xr:uid="{00000000-0006-0000-5700-000028000000}">
      <text>
        <r>
          <rPr>
            <b/>
            <sz val="9"/>
            <color indexed="81"/>
            <rFont val="Tahoma"/>
            <family val="2"/>
          </rPr>
          <t>user:</t>
        </r>
        <r>
          <rPr>
            <sz val="9"/>
            <color indexed="81"/>
            <rFont val="Tahoma"/>
            <family val="2"/>
          </rPr>
          <t xml:space="preserve">
F001-5059</t>
        </r>
      </text>
    </comment>
    <comment ref="E341" authorId="0" shapeId="0" xr:uid="{00000000-0006-0000-5700-000029000000}">
      <text>
        <r>
          <rPr>
            <b/>
            <sz val="9"/>
            <color indexed="81"/>
            <rFont val="Tahoma"/>
            <family val="2"/>
          </rPr>
          <t>user:</t>
        </r>
        <r>
          <rPr>
            <sz val="9"/>
            <color indexed="81"/>
            <rFont val="Tahoma"/>
            <family val="2"/>
          </rPr>
          <t xml:space="preserve">
F001-5105</t>
        </r>
      </text>
    </comment>
    <comment ref="E344" authorId="0" shapeId="0" xr:uid="{00000000-0006-0000-5700-00002A000000}">
      <text>
        <r>
          <rPr>
            <b/>
            <sz val="9"/>
            <color indexed="81"/>
            <rFont val="Tahoma"/>
            <family val="2"/>
          </rPr>
          <t>user:</t>
        </r>
        <r>
          <rPr>
            <sz val="9"/>
            <color indexed="81"/>
            <rFont val="Tahoma"/>
            <family val="2"/>
          </rPr>
          <t xml:space="preserve">
F001-5086</t>
        </r>
      </text>
    </comment>
    <comment ref="M359" authorId="0" shapeId="0" xr:uid="{00000000-0006-0000-5700-00002B000000}">
      <text>
        <r>
          <rPr>
            <b/>
            <sz val="9"/>
            <color indexed="81"/>
            <rFont val="Tahoma"/>
            <family val="2"/>
          </rPr>
          <t>user:</t>
        </r>
        <r>
          <rPr>
            <sz val="9"/>
            <color indexed="81"/>
            <rFont val="Tahoma"/>
            <family val="2"/>
          </rPr>
          <t xml:space="preserve">
pagado 25-06-26</t>
        </r>
      </text>
    </comment>
    <comment ref="N362" authorId="0" shapeId="0" xr:uid="{00000000-0006-0000-5700-00002C000000}">
      <text>
        <r>
          <rPr>
            <b/>
            <sz val="9"/>
            <color indexed="81"/>
            <rFont val="Tahoma"/>
            <family val="2"/>
          </rPr>
          <t>user:</t>
        </r>
        <r>
          <rPr>
            <sz val="9"/>
            <color indexed="81"/>
            <rFont val="Tahoma"/>
            <family val="2"/>
          </rPr>
          <t xml:space="preserve">
MONTO A APLICAR PORQUE TENEMOS BROKER DE VENTAS 18332.21 INCLUYE EL 5% DE TARJETA DE CREDITO 12210 + IGV DE LA DIFERENCIA </t>
        </r>
      </text>
    </comment>
    <comment ref="B413" authorId="1" shapeId="0" xr:uid="{00000000-0006-0000-5700-00002D000000}">
      <text>
        <r>
          <rPr>
            <b/>
            <sz val="9"/>
            <color indexed="81"/>
            <rFont val="Tahoma"/>
            <family val="2"/>
          </rPr>
          <t>Carlos:
OB 2092 TUVO PROBLEMAS CON LA LLANTAS Y LA OB 2104 LLEVO EL REPUESTO</t>
        </r>
      </text>
    </comment>
    <comment ref="B444" authorId="0" shapeId="0" xr:uid="{00000000-0006-0000-5700-00002E000000}">
      <text>
        <r>
          <rPr>
            <b/>
            <sz val="9"/>
            <color indexed="81"/>
            <rFont val="Tahoma"/>
            <family val="2"/>
          </rPr>
          <t>user:</t>
        </r>
        <r>
          <rPr>
            <sz val="9"/>
            <color indexed="81"/>
            <rFont val="Tahoma"/>
            <family val="2"/>
          </rPr>
          <t xml:space="preserve">
AMAZONAS- BAGUA GRANDE</t>
        </r>
      </text>
    </comment>
    <comment ref="B448" authorId="0" shapeId="0" xr:uid="{00000000-0006-0000-5700-00002F000000}">
      <text>
        <r>
          <rPr>
            <b/>
            <sz val="9"/>
            <color indexed="81"/>
            <rFont val="Tahoma"/>
            <family val="2"/>
          </rPr>
          <t>user:</t>
        </r>
        <r>
          <rPr>
            <sz val="9"/>
            <color indexed="81"/>
            <rFont val="Tahoma"/>
            <family val="2"/>
          </rPr>
          <t xml:space="preserve">
REGRESARON POR PRESURIZACION DESDE CUSCO</t>
        </r>
      </text>
    </comment>
    <comment ref="X448" authorId="0" shapeId="0" xr:uid="{00000000-0006-0000-5700-000030000000}">
      <text>
        <r>
          <rPr>
            <b/>
            <sz val="9"/>
            <color indexed="81"/>
            <rFont val="Tahoma"/>
            <family val="2"/>
          </rPr>
          <t>user:</t>
        </r>
        <r>
          <rPr>
            <sz val="9"/>
            <color indexed="81"/>
            <rFont val="Tahoma"/>
            <family val="2"/>
          </rPr>
          <t xml:space="preserve">
DIA SIGUIENTE VACIA AERONAVE</t>
        </r>
      </text>
    </comment>
    <comment ref="E458" authorId="1" shapeId="0" xr:uid="{8CD27179-810E-4908-BE60-30D326A21F2E}">
      <text>
        <r>
          <rPr>
            <b/>
            <sz val="9"/>
            <color indexed="81"/>
            <rFont val="Tahoma"/>
            <family val="2"/>
          </rPr>
          <t>Carlos:</t>
        </r>
        <r>
          <rPr>
            <sz val="9"/>
            <color indexed="81"/>
            <rFont val="Tahoma"/>
            <family val="2"/>
          </rPr>
          <t xml:space="preserve">
Reemplaza a 
F001-5165</t>
        </r>
      </text>
    </comment>
    <comment ref="B463" authorId="0" shapeId="0" xr:uid="{00000000-0006-0000-5700-000031000000}">
      <text>
        <r>
          <rPr>
            <b/>
            <sz val="9"/>
            <color indexed="81"/>
            <rFont val="Tahoma"/>
            <family val="2"/>
          </rPr>
          <t>user:</t>
        </r>
        <r>
          <rPr>
            <sz val="9"/>
            <color indexed="81"/>
            <rFont val="Tahoma"/>
            <family val="2"/>
          </rPr>
          <t xml:space="preserve">
20,000 BCP Y 14,391 BBVA</t>
        </r>
      </text>
    </comment>
    <comment ref="X465" authorId="0" shapeId="0" xr:uid="{00000000-0006-0000-5700-000032000000}">
      <text>
        <r>
          <rPr>
            <b/>
            <sz val="9"/>
            <color indexed="81"/>
            <rFont val="Tahoma"/>
            <family val="2"/>
          </rPr>
          <t>user:</t>
        </r>
        <r>
          <rPr>
            <sz val="9"/>
            <color indexed="81"/>
            <rFont val="Tahoma"/>
            <family val="2"/>
          </rPr>
          <t xml:space="preserve">
PACIENTE SE DESCOMPENSÓ, PERNOCTARON </t>
        </r>
      </text>
    </comment>
    <comment ref="B492" authorId="0" shapeId="0" xr:uid="{00000000-0006-0000-5700-000033000000}">
      <text>
        <r>
          <rPr>
            <b/>
            <sz val="9"/>
            <color indexed="81"/>
            <rFont val="Tahoma"/>
            <family val="2"/>
          </rPr>
          <t>user:</t>
        </r>
        <r>
          <rPr>
            <sz val="9"/>
            <color indexed="81"/>
            <rFont val="Tahoma"/>
            <family val="2"/>
          </rPr>
          <t xml:space="preserve">
POSIBLE PENALIDAD POR NO VOLAR CON ITINERARIO DE SABADO-COTIZACION</t>
        </r>
      </text>
    </comment>
    <comment ref="B505" authorId="2" shapeId="0" xr:uid="{D4CF46BE-FF2A-4611-B9CC-C79212ABB2FA}">
      <text>
        <r>
          <rPr>
            <b/>
            <sz val="9"/>
            <color indexed="81"/>
            <rFont val="Tahoma"/>
            <family val="2"/>
          </rPr>
          <t>Sonia:</t>
        </r>
        <r>
          <rPr>
            <sz val="9"/>
            <color indexed="81"/>
            <rFont val="Tahoma"/>
            <family val="2"/>
          </rPr>
          <t xml:space="preserve">
PRIMER SERVICIO CONTRATO 2026
</t>
        </r>
      </text>
    </comment>
  </commentList>
</comments>
</file>

<file path=xl/comments67.xml><?xml version="1.0" encoding="utf-8"?>
<comments xmlns="http://schemas.openxmlformats.org/spreadsheetml/2006/main" xmlns:mc="http://schemas.openxmlformats.org/markup-compatibility/2006" xmlns:xr="http://schemas.microsoft.com/office/spreadsheetml/2014/revision" mc:Ignorable="xr">
  <authors>
    <author>user</author>
    <author>Sonia</author>
  </authors>
  <commentList>
    <comment ref="B2" authorId="0" shapeId="0" xr:uid="{00000000-0006-0000-5800-000001000000}">
      <text>
        <r>
          <rPr>
            <b/>
            <sz val="9"/>
            <color indexed="81"/>
            <rFont val="Tahoma"/>
            <family val="2"/>
          </rPr>
          <t>user:</t>
        </r>
        <r>
          <rPr>
            <sz val="9"/>
            <color indexed="81"/>
            <rFont val="Tahoma"/>
            <family val="2"/>
          </rPr>
          <t xml:space="preserve">
INTERANDES ASIST CONTRATÓ Y PAGO, PERO LUEGO SE DEVOLVIÓ EL DINERO, YA QUE EL SERVICIO SE HIZO A GWA MEDICAL S.A.</t>
        </r>
      </text>
    </comment>
    <comment ref="L2" authorId="0" shapeId="0" xr:uid="{00000000-0006-0000-5800-000002000000}">
      <text>
        <r>
          <rPr>
            <b/>
            <sz val="9"/>
            <color indexed="81"/>
            <rFont val="Tahoma"/>
            <family val="2"/>
          </rPr>
          <t>user:</t>
        </r>
        <r>
          <rPr>
            <sz val="9"/>
            <color indexed="81"/>
            <rFont val="Tahoma"/>
            <family val="2"/>
          </rPr>
          <t xml:space="preserve">
2 PAGOS 50% A BBVA Y 50% BCP EL 31-12-24 Y 01-01-25 RESPECTIVAMENTE</t>
        </r>
      </text>
    </comment>
    <comment ref="B5" authorId="0" shapeId="0" xr:uid="{00000000-0006-0000-5800-000003000000}">
      <text>
        <r>
          <rPr>
            <b/>
            <sz val="9"/>
            <color indexed="81"/>
            <rFont val="Tahoma"/>
            <family val="2"/>
          </rPr>
          <t>user:</t>
        </r>
        <r>
          <rPr>
            <sz val="9"/>
            <color indexed="81"/>
            <rFont val="Tahoma"/>
            <family val="2"/>
          </rPr>
          <t xml:space="preserve">
CONBTRATACION DIRECTA</t>
        </r>
      </text>
    </comment>
    <comment ref="H8" authorId="0" shapeId="0" xr:uid="{00000000-0006-0000-5800-000004000000}">
      <text>
        <r>
          <rPr>
            <b/>
            <sz val="9"/>
            <color indexed="81"/>
            <rFont val="Tahoma"/>
            <family val="2"/>
          </rPr>
          <t>user:</t>
        </r>
        <r>
          <rPr>
            <sz val="9"/>
            <color indexed="81"/>
            <rFont val="Tahoma"/>
            <family val="2"/>
          </rPr>
          <t xml:space="preserve">
INC AMBULANCIA LIMA</t>
        </r>
      </text>
    </comment>
    <comment ref="H12" authorId="0" shapeId="0" xr:uid="{00000000-0006-0000-5800-000005000000}">
      <text>
        <r>
          <rPr>
            <b/>
            <sz val="9"/>
            <color indexed="81"/>
            <rFont val="Tahoma"/>
            <family val="2"/>
          </rPr>
          <t>user:</t>
        </r>
        <r>
          <rPr>
            <sz val="9"/>
            <color indexed="81"/>
            <rFont val="Tahoma"/>
            <family val="2"/>
          </rPr>
          <t xml:space="preserve">
INC AMBULANCIA LIMA</t>
        </r>
      </text>
    </comment>
    <comment ref="E19" authorId="0" shapeId="0" xr:uid="{00000000-0006-0000-5800-000006000000}">
      <text>
        <r>
          <rPr>
            <b/>
            <sz val="9"/>
            <color indexed="81"/>
            <rFont val="Tahoma"/>
            <family val="2"/>
          </rPr>
          <t>user:</t>
        </r>
        <r>
          <rPr>
            <sz val="9"/>
            <color indexed="81"/>
            <rFont val="Tahoma"/>
            <family val="2"/>
          </rPr>
          <t xml:space="preserve">
FACTURA EN DICIEMBRE 2024 X PROVISION</t>
        </r>
      </text>
    </comment>
    <comment ref="B20" authorId="0" shapeId="0" xr:uid="{00000000-0006-0000-5800-000007000000}">
      <text>
        <r>
          <rPr>
            <b/>
            <sz val="9"/>
            <color indexed="81"/>
            <rFont val="Tahoma"/>
            <family val="2"/>
          </rPr>
          <t>user:</t>
        </r>
        <r>
          <rPr>
            <sz val="9"/>
            <color indexed="81"/>
            <rFont val="Tahoma"/>
            <family val="2"/>
          </rPr>
          <t xml:space="preserve">
AGOSTO FACTURACION</t>
        </r>
      </text>
    </comment>
    <comment ref="V23" authorId="0" shapeId="0" xr:uid="{00000000-0006-0000-5800-000008000000}">
      <text>
        <r>
          <rPr>
            <b/>
            <sz val="9"/>
            <color indexed="81"/>
            <rFont val="Tahoma"/>
            <family val="2"/>
          </rPr>
          <t>user:</t>
        </r>
        <r>
          <rPr>
            <sz val="9"/>
            <color indexed="81"/>
            <rFont val="Tahoma"/>
            <family val="2"/>
          </rPr>
          <t xml:space="preserve">
FUERON A PUCALLPA PARA </t>
        </r>
      </text>
    </comment>
    <comment ref="V29" authorId="0" shapeId="0" xr:uid="{00000000-0006-0000-5800-000009000000}">
      <text>
        <r>
          <rPr>
            <b/>
            <sz val="9"/>
            <color indexed="81"/>
            <rFont val="Tahoma"/>
            <family val="2"/>
          </rPr>
          <t>user:</t>
        </r>
        <r>
          <rPr>
            <sz val="9"/>
            <color indexed="81"/>
            <rFont val="Tahoma"/>
            <family val="2"/>
          </rPr>
          <t xml:space="preserve">
TARAPOTO</t>
        </r>
      </text>
    </comment>
    <comment ref="K35" authorId="0" shapeId="0" xr:uid="{00000000-0006-0000-5800-00000A000000}">
      <text>
        <r>
          <rPr>
            <b/>
            <sz val="9"/>
            <color indexed="81"/>
            <rFont val="Tahoma"/>
            <family val="2"/>
          </rPr>
          <t>user:</t>
        </r>
        <r>
          <rPr>
            <sz val="9"/>
            <color indexed="81"/>
            <rFont val="Tahoma"/>
            <family val="2"/>
          </rPr>
          <t xml:space="preserve">
SE APLICARA APERTURA</t>
        </r>
      </text>
    </comment>
    <comment ref="V42" authorId="0" shapeId="0" xr:uid="{00000000-0006-0000-5800-00000B000000}">
      <text>
        <r>
          <rPr>
            <b/>
            <sz val="9"/>
            <color indexed="81"/>
            <rFont val="Tahoma"/>
            <family val="2"/>
          </rPr>
          <t>user:</t>
        </r>
        <r>
          <rPr>
            <sz val="9"/>
            <color indexed="81"/>
            <rFont val="Tahoma"/>
            <family val="2"/>
          </rPr>
          <t xml:space="preserve">
DIA SIGUIENTE</t>
        </r>
      </text>
    </comment>
    <comment ref="B48" authorId="0" shapeId="0" xr:uid="{00000000-0006-0000-5800-00000C000000}">
      <text>
        <r>
          <rPr>
            <b/>
            <sz val="9"/>
            <color indexed="81"/>
            <rFont val="Tahoma"/>
            <family val="2"/>
          </rPr>
          <t>user:</t>
        </r>
        <r>
          <rPr>
            <sz val="9"/>
            <color indexed="81"/>
            <rFont val="Tahoma"/>
            <family val="2"/>
          </rPr>
          <t xml:space="preserve">
VER PARA CONCILIAR - PUSE COMO NO FACTURADA EN ENERO PERO SI ESTA FACTURADA
</t>
        </r>
      </text>
    </comment>
    <comment ref="V51" authorId="0" shapeId="0" xr:uid="{00000000-0006-0000-5800-00000D000000}">
      <text>
        <r>
          <rPr>
            <b/>
            <sz val="9"/>
            <color indexed="81"/>
            <rFont val="Tahoma"/>
            <family val="2"/>
          </rPr>
          <t>user:</t>
        </r>
        <r>
          <rPr>
            <sz val="9"/>
            <color indexed="81"/>
            <rFont val="Tahoma"/>
            <family val="2"/>
          </rPr>
          <t xml:space="preserve">
DIA SIGUIE
NTE</t>
        </r>
      </text>
    </comment>
    <comment ref="V60" authorId="0" shapeId="0" xr:uid="{00000000-0006-0000-5800-00000E000000}">
      <text>
        <r>
          <rPr>
            <b/>
            <sz val="9"/>
            <color indexed="81"/>
            <rFont val="Tahoma"/>
            <family val="2"/>
          </rPr>
          <t>user:</t>
        </r>
        <r>
          <rPr>
            <sz val="9"/>
            <color indexed="81"/>
            <rFont val="Tahoma"/>
            <family val="2"/>
          </rPr>
          <t xml:space="preserve">
DIA SIGUIENTE
</t>
        </r>
      </text>
    </comment>
    <comment ref="B61" authorId="0" shapeId="0" xr:uid="{00000000-0006-0000-5800-00000F000000}">
      <text>
        <r>
          <rPr>
            <b/>
            <sz val="9"/>
            <color indexed="81"/>
            <rFont val="Tahoma"/>
            <family val="2"/>
          </rPr>
          <t>user:</t>
        </r>
        <r>
          <rPr>
            <sz val="9"/>
            <color indexed="81"/>
            <rFont val="Tahoma"/>
            <family val="2"/>
          </rPr>
          <t xml:space="preserve">
30650 pagaron y tambien se facturó NEROKAS</t>
        </r>
      </text>
    </comment>
    <comment ref="V61" authorId="0" shapeId="0" xr:uid="{00000000-0006-0000-5800-000010000000}">
      <text>
        <r>
          <rPr>
            <b/>
            <sz val="9"/>
            <color indexed="81"/>
            <rFont val="Tahoma"/>
            <family val="2"/>
          </rPr>
          <t>user:</t>
        </r>
        <r>
          <rPr>
            <sz val="9"/>
            <color indexed="81"/>
            <rFont val="Tahoma"/>
            <family val="2"/>
          </rPr>
          <t xml:space="preserve">
DIA SIGUIENTE PERNOCTARON POR HORA LUZ PARA DESPEGAR-MUY TARDE EL DIA ANTERIOR</t>
        </r>
      </text>
    </comment>
    <comment ref="B63" authorId="0" shapeId="0" xr:uid="{00000000-0006-0000-5800-000011000000}">
      <text>
        <r>
          <rPr>
            <b/>
            <sz val="9"/>
            <color indexed="81"/>
            <rFont val="Tahoma"/>
            <family val="2"/>
          </rPr>
          <t>user:</t>
        </r>
        <r>
          <rPr>
            <sz val="9"/>
            <color indexed="81"/>
            <rFont val="Tahoma"/>
            <family val="2"/>
          </rPr>
          <t xml:space="preserve">
AERONAVE DESPRESURIZÓ, REGRESARÁ VACIA Y PACIENTE SE LE TRAERA EN OTRO VUELO</t>
        </r>
      </text>
    </comment>
    <comment ref="U63" authorId="0" shapeId="0" xr:uid="{00000000-0006-0000-5800-000012000000}">
      <text>
        <r>
          <rPr>
            <b/>
            <sz val="9"/>
            <color indexed="81"/>
            <rFont val="Tahoma"/>
            <family val="2"/>
          </rPr>
          <t>user:</t>
        </r>
        <r>
          <rPr>
            <sz val="9"/>
            <color indexed="81"/>
            <rFont val="Tahoma"/>
            <family val="2"/>
          </rPr>
          <t xml:space="preserve">
QUEDARONA PERNOCTAR</t>
        </r>
      </text>
    </comment>
    <comment ref="V63" authorId="0" shapeId="0" xr:uid="{00000000-0006-0000-5800-000013000000}">
      <text>
        <r>
          <rPr>
            <b/>
            <sz val="9"/>
            <color indexed="81"/>
            <rFont val="Tahoma"/>
            <family val="2"/>
          </rPr>
          <t>user:</t>
        </r>
        <r>
          <rPr>
            <sz val="9"/>
            <color indexed="81"/>
            <rFont val="Tahoma"/>
            <family val="2"/>
          </rPr>
          <t xml:space="preserve">
DIA SIGUIENTE</t>
        </r>
      </text>
    </comment>
    <comment ref="E65" authorId="0" shapeId="0" xr:uid="{00000000-0006-0000-5800-000014000000}">
      <text>
        <r>
          <rPr>
            <b/>
            <sz val="9"/>
            <color indexed="81"/>
            <rFont val="Tahoma"/>
            <family val="2"/>
          </rPr>
          <t>user:</t>
        </r>
        <r>
          <rPr>
            <sz val="9"/>
            <color indexed="81"/>
            <rFont val="Tahoma"/>
            <family val="2"/>
          </rPr>
          <t xml:space="preserve">
SE HIZO EL DIA SIGUIENTE 23-01-25</t>
        </r>
      </text>
    </comment>
    <comment ref="B68" authorId="0" shapeId="0" xr:uid="{00000000-0006-0000-5800-000015000000}">
      <text>
        <r>
          <rPr>
            <b/>
            <sz val="9"/>
            <color indexed="81"/>
            <rFont val="Tahoma"/>
            <family val="2"/>
          </rPr>
          <t>user:</t>
        </r>
        <r>
          <rPr>
            <sz val="9"/>
            <color indexed="81"/>
            <rFont val="Tahoma"/>
            <family val="2"/>
          </rPr>
          <t xml:space="preserve">
ENN JULIO FACTURACION</t>
        </r>
      </text>
    </comment>
    <comment ref="D73" authorId="0" shapeId="0" xr:uid="{00000000-0006-0000-5800-000016000000}">
      <text>
        <r>
          <rPr>
            <b/>
            <sz val="9"/>
            <color indexed="81"/>
            <rFont val="Tahoma"/>
            <family val="2"/>
          </rPr>
          <t>user:</t>
        </r>
        <r>
          <rPr>
            <sz val="9"/>
            <color indexed="81"/>
            <rFont val="Tahoma"/>
            <family val="2"/>
          </rPr>
          <t xml:space="preserve">
FUERON 28 PERO RETORNARON 29</t>
        </r>
      </text>
    </comment>
    <comment ref="V73" authorId="0" shapeId="0" xr:uid="{00000000-0006-0000-5800-000017000000}">
      <text>
        <r>
          <rPr>
            <b/>
            <sz val="9"/>
            <color indexed="81"/>
            <rFont val="Tahoma"/>
            <family val="2"/>
          </rPr>
          <t>user:</t>
        </r>
        <r>
          <rPr>
            <sz val="9"/>
            <color indexed="81"/>
            <rFont val="Tahoma"/>
            <family val="2"/>
          </rPr>
          <t xml:space="preserve">
MADRUGADA SIGUIENTE</t>
        </r>
      </text>
    </comment>
    <comment ref="B99" authorId="0" shapeId="0" xr:uid="{00000000-0006-0000-5800-000018000000}">
      <text>
        <r>
          <rPr>
            <b/>
            <sz val="9"/>
            <color indexed="81"/>
            <rFont val="Tahoma"/>
            <family val="2"/>
          </rPr>
          <t>user:</t>
        </r>
        <r>
          <rPr>
            <sz val="9"/>
            <color indexed="81"/>
            <rFont val="Tahoma"/>
            <family val="2"/>
          </rPr>
          <t xml:space="preserve">
AGOSTO FACTURACION</t>
        </r>
      </text>
    </comment>
    <comment ref="B100" authorId="0" shapeId="0" xr:uid="{00000000-0006-0000-5800-000019000000}">
      <text>
        <r>
          <rPr>
            <b/>
            <sz val="9"/>
            <color indexed="81"/>
            <rFont val="Tahoma"/>
            <family val="2"/>
          </rPr>
          <t>user:</t>
        </r>
        <r>
          <rPr>
            <sz val="9"/>
            <color indexed="81"/>
            <rFont val="Tahoma"/>
            <family val="2"/>
          </rPr>
          <t xml:space="preserve">
AGOSTO FACTURACION</t>
        </r>
      </text>
    </comment>
    <comment ref="B108" authorId="0" shapeId="0" xr:uid="{00000000-0006-0000-5800-00001A000000}">
      <text>
        <r>
          <rPr>
            <b/>
            <sz val="9"/>
            <color indexed="81"/>
            <rFont val="Tahoma"/>
            <family val="2"/>
          </rPr>
          <t>user:</t>
        </r>
        <r>
          <rPr>
            <sz val="9"/>
            <color indexed="81"/>
            <rFont val="Tahoma"/>
            <family val="2"/>
          </rPr>
          <t xml:space="preserve">
EN MORADO FUERA DE ADENDA ADICIONAL</t>
        </r>
      </text>
    </comment>
    <comment ref="V125" authorId="0" shapeId="0" xr:uid="{00000000-0006-0000-5800-00001B000000}">
      <text>
        <r>
          <rPr>
            <b/>
            <sz val="9"/>
            <color indexed="81"/>
            <rFont val="Tahoma"/>
            <family val="2"/>
          </rPr>
          <t>user:</t>
        </r>
        <r>
          <rPr>
            <sz val="9"/>
            <color indexed="81"/>
            <rFont val="Tahoma"/>
            <family val="2"/>
          </rPr>
          <t xml:space="preserve">
DIA SIGUIENTE</t>
        </r>
      </text>
    </comment>
    <comment ref="C126" authorId="0" shapeId="0" xr:uid="{00000000-0006-0000-5800-00001C000000}">
      <text>
        <r>
          <rPr>
            <b/>
            <sz val="9"/>
            <color indexed="81"/>
            <rFont val="Tahoma"/>
            <family val="2"/>
          </rPr>
          <t>user:</t>
        </r>
        <r>
          <rPr>
            <sz val="9"/>
            <color indexed="81"/>
            <rFont val="Tahoma"/>
            <family val="2"/>
          </rPr>
          <t xml:space="preserve">
ADELANTÓ 10000</t>
        </r>
      </text>
    </comment>
    <comment ref="A139" authorId="0" shapeId="0" xr:uid="{00000000-0006-0000-5800-00001D000000}">
      <text>
        <r>
          <rPr>
            <b/>
            <sz val="9"/>
            <color indexed="81"/>
            <rFont val="Tahoma"/>
            <family val="2"/>
          </rPr>
          <t>user:</t>
        </r>
        <r>
          <rPr>
            <sz val="9"/>
            <color indexed="81"/>
            <rFont val="Tahoma"/>
            <family val="2"/>
          </rPr>
          <t xml:space="preserve">
EN LAS PROVISIONES DEL MES DE MAYO LO PASE COMO FACTURADA EN MAYO, PERO SE FACTURÓ EN ABRIL</t>
        </r>
      </text>
    </comment>
    <comment ref="B144" authorId="0" shapeId="0" xr:uid="{00000000-0006-0000-5800-00001E000000}">
      <text>
        <r>
          <rPr>
            <b/>
            <sz val="9"/>
            <color indexed="81"/>
            <rFont val="Tahoma"/>
            <family val="2"/>
          </rPr>
          <t>user:</t>
        </r>
        <r>
          <rPr>
            <sz val="9"/>
            <color indexed="81"/>
            <rFont val="Tahoma"/>
            <family val="2"/>
          </rPr>
          <t xml:space="preserve">
AVALÓ RIMAC PARA HACER EL VUELO; SIN EMBARGO LO PAGÓ SR. OMAR MOGOLLLÓN EL 14-03-25</t>
        </r>
      </text>
    </comment>
    <comment ref="C144" authorId="0" shapeId="0" xr:uid="{00000000-0006-0000-5800-00001F000000}">
      <text>
        <r>
          <rPr>
            <b/>
            <sz val="9"/>
            <color indexed="81"/>
            <rFont val="Tahoma"/>
            <family val="2"/>
          </rPr>
          <t>user:</t>
        </r>
        <r>
          <rPr>
            <sz val="9"/>
            <color indexed="81"/>
            <rFont val="Tahoma"/>
            <family val="2"/>
          </rPr>
          <t xml:space="preserve">
PERNOCTÓ POR TEMAS MECANICOS- 2209 QUE HACIA UNA MISION A IQUITOS FUE A PIURA PARA DEJAR MECANICOS Y REPUESTOS</t>
        </r>
      </text>
    </comment>
    <comment ref="K152" authorId="0" shapeId="0" xr:uid="{00000000-0006-0000-5800-000020000000}">
      <text>
        <r>
          <rPr>
            <b/>
            <sz val="9"/>
            <color indexed="81"/>
            <rFont val="Tahoma"/>
            <family val="2"/>
          </rPr>
          <t>user:</t>
        </r>
        <r>
          <rPr>
            <sz val="9"/>
            <color indexed="81"/>
            <rFont val="Tahoma"/>
            <family val="2"/>
          </rPr>
          <t xml:space="preserve">
ADELANTÓ 10,000</t>
        </r>
      </text>
    </comment>
    <comment ref="K154" authorId="0" shapeId="0" xr:uid="{00000000-0006-0000-5800-000021000000}">
      <text>
        <r>
          <rPr>
            <b/>
            <sz val="9"/>
            <color indexed="81"/>
            <rFont val="Tahoma"/>
            <family val="2"/>
          </rPr>
          <t>user:</t>
        </r>
        <r>
          <rPr>
            <sz val="9"/>
            <color indexed="81"/>
            <rFont val="Tahoma"/>
            <family val="2"/>
          </rPr>
          <t xml:space="preserve">
AGREGAR + 2 HORAS DE APERTURA, ESTAN AVERIGUANDO A CUANTO ASCIENDE EL MONTO SEGÚN REFIERE SERIA QUIEN FACTURA ADP</t>
        </r>
      </text>
    </comment>
    <comment ref="V163" authorId="1" shapeId="0" xr:uid="{00000000-0006-0000-5800-000022000000}">
      <text>
        <r>
          <rPr>
            <b/>
            <sz val="9"/>
            <color indexed="81"/>
            <rFont val="Tahoma"/>
            <family val="2"/>
          </rPr>
          <t>Sonia:</t>
        </r>
        <r>
          <rPr>
            <sz val="9"/>
            <color indexed="81"/>
            <rFont val="Tahoma"/>
            <family val="2"/>
          </rPr>
          <t xml:space="preserve">
PERNOCTÓ Y RETORNÓ EL DIA SIGUIENTE</t>
        </r>
      </text>
    </comment>
    <comment ref="V177" authorId="1" shapeId="0" xr:uid="{00000000-0006-0000-5800-000023000000}">
      <text>
        <r>
          <rPr>
            <b/>
            <sz val="9"/>
            <color indexed="81"/>
            <rFont val="Tahoma"/>
            <family val="2"/>
          </rPr>
          <t>Sonia:</t>
        </r>
        <r>
          <rPr>
            <sz val="9"/>
            <color indexed="81"/>
            <rFont val="Tahoma"/>
            <family val="2"/>
          </rPr>
          <t xml:space="preserve">
EL DIA SIGUIENTE</t>
        </r>
      </text>
    </comment>
    <comment ref="V206" authorId="0" shapeId="0" xr:uid="{00000000-0006-0000-5800-000024000000}">
      <text>
        <r>
          <rPr>
            <b/>
            <sz val="9"/>
            <color indexed="81"/>
            <rFont val="Tahoma"/>
            <family val="2"/>
          </rPr>
          <t>user:</t>
        </r>
        <r>
          <rPr>
            <sz val="9"/>
            <color indexed="81"/>
            <rFont val="Tahoma"/>
            <family val="2"/>
          </rPr>
          <t xml:space="preserve">
LLEGADA DE COCHA
BAMBA MARTES 18-03-35</t>
        </r>
      </text>
    </comment>
    <comment ref="B233" authorId="1" shapeId="0" xr:uid="{00000000-0006-0000-5800-000025000000}">
      <text>
        <r>
          <rPr>
            <b/>
            <sz val="9"/>
            <color indexed="81"/>
            <rFont val="Tahoma"/>
            <family val="2"/>
          </rPr>
          <t>Sonia:</t>
        </r>
        <r>
          <rPr>
            <sz val="9"/>
            <color indexed="81"/>
            <rFont val="Tahoma"/>
            <family val="2"/>
          </rPr>
          <t xml:space="preserve">
SOCIEDAD NACIONAL DE MINERIA</t>
        </r>
      </text>
    </comment>
    <comment ref="B235" authorId="0" shapeId="0" xr:uid="{00000000-0006-0000-5800-000026000000}">
      <text>
        <r>
          <rPr>
            <b/>
            <sz val="9"/>
            <color indexed="81"/>
            <rFont val="Tahoma"/>
            <family val="2"/>
          </rPr>
          <t>user:</t>
        </r>
        <r>
          <rPr>
            <sz val="9"/>
            <color indexed="81"/>
            <rFont val="Tahoma"/>
            <family val="2"/>
          </rPr>
          <t xml:space="preserve">
FUE UNA SEGUNDA AERONAVE PARA SOLUCIONAR EL IMPREVISTO
(VENTILADOR NO OPERATIVO EN EL PRIMER VUELO), ES DECIR SEGUNDO VUELO FUE LLEVANDO EL VENTILADOR , SEGUNDO VUELO 2104</t>
        </r>
      </text>
    </comment>
    <comment ref="K238" authorId="0" shapeId="0" xr:uid="{00000000-0006-0000-5800-000027000000}">
      <text>
        <r>
          <rPr>
            <b/>
            <sz val="9"/>
            <color indexed="81"/>
            <rFont val="Tahoma"/>
            <family val="2"/>
          </rPr>
          <t>user:</t>
        </r>
        <r>
          <rPr>
            <sz val="9"/>
            <color indexed="81"/>
            <rFont val="Tahoma"/>
            <family val="2"/>
          </rPr>
          <t xml:space="preserve">
PAGADO EL DIA ANTERIOR</t>
        </r>
      </text>
    </comment>
    <comment ref="K239" authorId="0" shapeId="0" xr:uid="{00000000-0006-0000-5800-000028000000}">
      <text>
        <r>
          <rPr>
            <b/>
            <sz val="9"/>
            <color indexed="81"/>
            <rFont val="Tahoma"/>
            <family val="2"/>
          </rPr>
          <t>user:</t>
        </r>
        <r>
          <rPr>
            <sz val="9"/>
            <color indexed="81"/>
            <rFont val="Tahoma"/>
            <family val="2"/>
          </rPr>
          <t xml:space="preserve">
PAGADO EN ESTA FECHA</t>
        </r>
      </text>
    </comment>
    <comment ref="K270" authorId="0" shapeId="0" xr:uid="{00000000-0006-0000-5800-000029000000}">
      <text>
        <r>
          <rPr>
            <b/>
            <sz val="9"/>
            <color indexed="81"/>
            <rFont val="Tahoma"/>
            <family val="2"/>
          </rPr>
          <t>user:</t>
        </r>
        <r>
          <rPr>
            <sz val="9"/>
            <color indexed="81"/>
            <rFont val="Tahoma"/>
            <family val="2"/>
          </rPr>
          <t xml:space="preserve">
El monto cotizado fue S/ 38910, pero reclamaron diciendo que el SIS NO APRUEBA PORQUE OGESS ESPECIALIZADA TIENE PRECIO 35685, POR LO QUE EN DOS OCASIONES SE LES HA REBAJADO</t>
        </r>
      </text>
    </comment>
    <comment ref="K275" authorId="0" shapeId="0" xr:uid="{00000000-0006-0000-5800-00002A000000}">
      <text>
        <r>
          <rPr>
            <b/>
            <sz val="9"/>
            <color indexed="81"/>
            <rFont val="Tahoma"/>
            <family val="2"/>
          </rPr>
          <t>user:</t>
        </r>
        <r>
          <rPr>
            <sz val="9"/>
            <color indexed="81"/>
            <rFont val="Tahoma"/>
            <family val="2"/>
          </rPr>
          <t xml:space="preserve">
El monto cotizado fue S/ 38910, pero reclamaron diciendo que el SIS NO APRUEBA PORQUE OGESS ESPECIALIZADA TIENE PRECIO 35685, POR LO QUE EN DOS OCASIONES SE LES HA REBAJADO</t>
        </r>
      </text>
    </comment>
    <comment ref="V277" authorId="0" shapeId="0" xr:uid="{00000000-0006-0000-5800-00002B000000}">
      <text>
        <r>
          <rPr>
            <b/>
            <sz val="9"/>
            <color indexed="81"/>
            <rFont val="Tahoma"/>
            <family val="2"/>
          </rPr>
          <t>user:</t>
        </r>
        <r>
          <rPr>
            <sz val="9"/>
            <color indexed="81"/>
            <rFont val="Tahoma"/>
            <family val="2"/>
          </rPr>
          <t xml:space="preserve">
DIA SIGUIENTE</t>
        </r>
      </text>
    </comment>
    <comment ref="C280" authorId="0" shapeId="0" xr:uid="{00000000-0006-0000-5800-00002C000000}">
      <text>
        <r>
          <rPr>
            <b/>
            <sz val="9"/>
            <color indexed="81"/>
            <rFont val="Tahoma"/>
            <family val="2"/>
          </rPr>
          <t>user:</t>
        </r>
        <r>
          <rPr>
            <sz val="9"/>
            <color indexed="81"/>
            <rFont val="Tahoma"/>
            <family val="2"/>
          </rPr>
          <t xml:space="preserve">
ESTE VUELO TERMINARA EN CIX E INICIARÁ EL VUELO A TUMBES
</t>
        </r>
      </text>
    </comment>
    <comment ref="A318" authorId="0" shapeId="0" xr:uid="{00000000-0006-0000-5800-00002D000000}">
      <text>
        <r>
          <rPr>
            <b/>
            <sz val="9"/>
            <color indexed="81"/>
            <rFont val="Tahoma"/>
            <family val="2"/>
          </rPr>
          <t>user:</t>
        </r>
        <r>
          <rPr>
            <sz val="9"/>
            <color indexed="81"/>
            <rFont val="Tahoma"/>
            <family val="2"/>
          </rPr>
          <t xml:space="preserve">
Don Jorge me indico que es del contrato complementario pero no lo encontre en el folder blanco.</t>
        </r>
      </text>
    </comment>
    <comment ref="L321" authorId="0" shapeId="0" xr:uid="{00000000-0006-0000-5800-00002E000000}">
      <text>
        <r>
          <rPr>
            <b/>
            <sz val="9"/>
            <color indexed="81"/>
            <rFont val="Tahoma"/>
            <family val="2"/>
          </rPr>
          <t>user:</t>
        </r>
        <r>
          <rPr>
            <sz val="9"/>
            <color indexed="81"/>
            <rFont val="Tahoma"/>
            <family val="2"/>
          </rPr>
          <t xml:space="preserve">
DEPOSITÓ 7,000
</t>
        </r>
      </text>
    </comment>
    <comment ref="L325" authorId="0" shapeId="0" xr:uid="{00000000-0006-0000-5800-00002F000000}">
      <text>
        <r>
          <rPr>
            <b/>
            <sz val="9"/>
            <color indexed="81"/>
            <rFont val="Tahoma"/>
            <family val="2"/>
          </rPr>
          <t>user:</t>
        </r>
        <r>
          <rPr>
            <sz val="9"/>
            <color indexed="81"/>
            <rFont val="Tahoma"/>
            <family val="2"/>
          </rPr>
          <t xml:space="preserve">
HABIA DEPOSITADO 23,000, PERO NO FUE A ORURO POR TAL MOTIVO SERÁ MENOR EL PRECIO Y CON EL NUEVO PRECIO SE REGULARIZARÁ LA DIFERENCIA DE SER EL CASO DEL DEPOSITO DE 7,000 DEL VUELO A JULIACA</t>
        </r>
      </text>
    </comment>
    <comment ref="L355" authorId="0" shapeId="0" xr:uid="{00000000-0006-0000-5800-000030000000}">
      <text>
        <r>
          <rPr>
            <b/>
            <sz val="9"/>
            <color indexed="81"/>
            <rFont val="Tahoma"/>
            <family val="2"/>
          </rPr>
          <t>user:</t>
        </r>
        <r>
          <rPr>
            <sz val="9"/>
            <color indexed="81"/>
            <rFont val="Tahoma"/>
            <family val="2"/>
          </rPr>
          <t xml:space="preserve">
LOS 1600 DEL VUELO ANTERIOR QUE PAGO DE MAS SE HA DESCONTADO, SOLO DEPOSITÓ LA DIFERENCIA</t>
        </r>
      </text>
    </comment>
    <comment ref="B360" authorId="0" shapeId="0" xr:uid="{00000000-0006-0000-5800-000031000000}">
      <text>
        <r>
          <rPr>
            <b/>
            <sz val="9"/>
            <color indexed="81"/>
            <rFont val="Tahoma"/>
            <family val="2"/>
          </rPr>
          <t>user:</t>
        </r>
        <r>
          <rPr>
            <sz val="9"/>
            <color indexed="81"/>
            <rFont val="Tahoma"/>
            <family val="2"/>
          </rPr>
          <t xml:space="preserve">
DICIEMBRE 2025</t>
        </r>
      </text>
    </comment>
    <comment ref="V360" authorId="0" shapeId="0" xr:uid="{00000000-0006-0000-5800-000032000000}">
      <text>
        <r>
          <rPr>
            <b/>
            <sz val="9"/>
            <color indexed="81"/>
            <rFont val="Tahoma"/>
            <family val="2"/>
          </rPr>
          <t>user:</t>
        </r>
        <r>
          <rPr>
            <sz val="9"/>
            <color indexed="81"/>
            <rFont val="Tahoma"/>
            <family val="2"/>
          </rPr>
          <t xml:space="preserve">
DIA siguiente</t>
        </r>
      </text>
    </comment>
    <comment ref="V379" authorId="0" shapeId="0" xr:uid="{00000000-0006-0000-5800-000033000000}">
      <text>
        <r>
          <rPr>
            <b/>
            <sz val="9"/>
            <color indexed="81"/>
            <rFont val="Tahoma"/>
            <family val="2"/>
          </rPr>
          <t>user:</t>
        </r>
        <r>
          <rPr>
            <sz val="9"/>
            <color indexed="81"/>
            <rFont val="Tahoma"/>
            <family val="2"/>
          </rPr>
          <t xml:space="preserve">
NO HAY HORAS EN EL GRUPO B200</t>
        </r>
      </text>
    </comment>
    <comment ref="V380" authorId="0" shapeId="0" xr:uid="{00000000-0006-0000-5800-000034000000}">
      <text>
        <r>
          <rPr>
            <b/>
            <sz val="9"/>
            <color indexed="81"/>
            <rFont val="Tahoma"/>
            <family val="2"/>
          </rPr>
          <t>user:</t>
        </r>
        <r>
          <rPr>
            <sz val="9"/>
            <color indexed="81"/>
            <rFont val="Tahoma"/>
            <family val="2"/>
          </rPr>
          <t xml:space="preserve">
NO HAY HORAS EN EL GRUPO B200</t>
        </r>
      </text>
    </comment>
    <comment ref="U381" authorId="0" shapeId="0" xr:uid="{00000000-0006-0000-5800-000035000000}">
      <text>
        <r>
          <rPr>
            <b/>
            <sz val="9"/>
            <color indexed="81"/>
            <rFont val="Tahoma"/>
            <family val="2"/>
          </rPr>
          <t>user:</t>
        </r>
        <r>
          <rPr>
            <sz val="9"/>
            <color indexed="81"/>
            <rFont val="Tahoma"/>
            <family val="2"/>
          </rPr>
          <t xml:space="preserve">
NO HAY HORAS EN EL GRUPO B200</t>
        </r>
      </text>
    </comment>
    <comment ref="V392" authorId="1" shapeId="0" xr:uid="{00000000-0006-0000-5800-000036000000}">
      <text>
        <r>
          <rPr>
            <b/>
            <sz val="9"/>
            <color indexed="81"/>
            <rFont val="Tahoma"/>
            <family val="2"/>
          </rPr>
          <t>Sonia:</t>
        </r>
        <r>
          <rPr>
            <sz val="9"/>
            <color indexed="81"/>
            <rFont val="Tahoma"/>
            <family val="2"/>
          </rPr>
          <t xml:space="preserve">
DIA SIGUIENTE
</t>
        </r>
      </text>
    </comment>
    <comment ref="A407" authorId="0" shapeId="0" xr:uid="{00000000-0006-0000-5800-000037000000}">
      <text>
        <r>
          <rPr>
            <b/>
            <sz val="9"/>
            <color indexed="81"/>
            <rFont val="Tahoma"/>
            <family val="2"/>
          </rPr>
          <t>user:</t>
        </r>
        <r>
          <rPr>
            <sz val="9"/>
            <color indexed="81"/>
            <rFont val="Tahoma"/>
            <family val="2"/>
          </rPr>
          <t xml:space="preserve">
SERVICIO FUE PARA EL DIA SABADO 17, PERO NO SE HIZO AERONAVE RETORNÓ TENIA REPORTE
</t>
        </r>
      </text>
    </comment>
    <comment ref="V521" authorId="0" shapeId="0" xr:uid="{00000000-0006-0000-5800-000038000000}">
      <text>
        <r>
          <rPr>
            <b/>
            <sz val="9"/>
            <color indexed="81"/>
            <rFont val="Tahoma"/>
            <family val="2"/>
          </rPr>
          <t>user:</t>
        </r>
        <r>
          <rPr>
            <sz val="9"/>
            <color indexed="81"/>
            <rFont val="Tahoma"/>
            <family val="2"/>
          </rPr>
          <t xml:space="preserve">
DIA SIGUIENTE</t>
        </r>
      </text>
    </comment>
    <comment ref="B556" authorId="0" shapeId="0" xr:uid="{00000000-0006-0000-5800-000039000000}">
      <text>
        <r>
          <rPr>
            <b/>
            <sz val="9"/>
            <color indexed="81"/>
            <rFont val="Tahoma"/>
            <family val="2"/>
          </rPr>
          <t>user:</t>
        </r>
        <r>
          <rPr>
            <sz val="9"/>
            <color indexed="81"/>
            <rFont val="Tahoma"/>
            <family val="2"/>
          </rPr>
          <t xml:space="preserve">
EN DICIEMBRE S EEMITIÓ</t>
        </r>
      </text>
    </comment>
    <comment ref="A569" authorId="0" shapeId="0" xr:uid="{00000000-0006-0000-5800-00003A000000}">
      <text>
        <r>
          <rPr>
            <b/>
            <sz val="9"/>
            <color indexed="81"/>
            <rFont val="Tahoma"/>
            <family val="2"/>
          </rPr>
          <t>user:A LA REVISION DESDE EL 01-07 ESTA COMPLETAS LAS REFERENCIAS Y JUNTA MEDICA(VIRGEN D EFATIMA) EN EL ARCHIVADOR DE REFERENCIAS</t>
        </r>
      </text>
    </comment>
    <comment ref="L599" authorId="0" shapeId="0" xr:uid="{00000000-0006-0000-5800-00003B000000}">
      <text>
        <r>
          <rPr>
            <b/>
            <sz val="9"/>
            <color indexed="81"/>
            <rFont val="Tahoma"/>
            <family val="2"/>
          </rPr>
          <t>user:</t>
        </r>
        <r>
          <rPr>
            <sz val="9"/>
            <color indexed="81"/>
            <rFont val="Tahoma"/>
            <family val="2"/>
          </rPr>
          <t xml:space="preserve">
PAGÓ EN SOLES s/ 38,653.06 A TIPO DE CAMBIO 3.5792</t>
        </r>
      </text>
    </comment>
    <comment ref="K604" authorId="0" shapeId="0" xr:uid="{00000000-0006-0000-5800-00003C000000}">
      <text>
        <r>
          <rPr>
            <b/>
            <sz val="9"/>
            <color indexed="81"/>
            <rFont val="Tahoma"/>
            <family val="2"/>
          </rPr>
          <t>user:</t>
        </r>
        <r>
          <rPr>
            <sz val="9"/>
            <color indexed="81"/>
            <rFont val="Tahoma"/>
            <family val="2"/>
          </rPr>
          <t xml:space="preserve">
AD 346-25</t>
        </r>
      </text>
    </comment>
    <comment ref="K605" authorId="0" shapeId="0" xr:uid="{00000000-0006-0000-5800-00003D000000}">
      <text>
        <r>
          <rPr>
            <b/>
            <sz val="9"/>
            <color indexed="81"/>
            <rFont val="Tahoma"/>
            <family val="2"/>
          </rPr>
          <t>user:</t>
        </r>
        <r>
          <rPr>
            <sz val="9"/>
            <color indexed="81"/>
            <rFont val="Tahoma"/>
            <family val="2"/>
          </rPr>
          <t xml:space="preserve">
SEGUUN CARTA DE GARANTIA
</t>
        </r>
      </text>
    </comment>
    <comment ref="K606" authorId="0" shapeId="0" xr:uid="{00000000-0006-0000-5800-00003E000000}">
      <text>
        <r>
          <rPr>
            <b/>
            <sz val="9"/>
            <color indexed="81"/>
            <rFont val="Tahoma"/>
            <family val="2"/>
          </rPr>
          <t>user:</t>
        </r>
        <r>
          <rPr>
            <sz val="9"/>
            <color indexed="81"/>
            <rFont val="Tahoma"/>
            <family val="2"/>
          </rPr>
          <t xml:space="preserve">
AD 347-25
</t>
        </r>
      </text>
    </comment>
    <comment ref="K608" authorId="0" shapeId="0" xr:uid="{00000000-0006-0000-5800-00003F000000}">
      <text>
        <r>
          <rPr>
            <b/>
            <sz val="9"/>
            <color indexed="81"/>
            <rFont val="Tahoma"/>
            <family val="2"/>
          </rPr>
          <t>user:</t>
        </r>
        <r>
          <rPr>
            <sz val="9"/>
            <color indexed="81"/>
            <rFont val="Tahoma"/>
            <family val="2"/>
          </rPr>
          <t xml:space="preserve">
AD 348-25</t>
        </r>
      </text>
    </comment>
    <comment ref="K609" authorId="0" shapeId="0" xr:uid="{00000000-0006-0000-5800-000040000000}">
      <text>
        <r>
          <rPr>
            <b/>
            <sz val="9"/>
            <color indexed="81"/>
            <rFont val="Tahoma"/>
            <family val="2"/>
          </rPr>
          <t>user:</t>
        </r>
        <r>
          <rPr>
            <sz val="9"/>
            <color indexed="81"/>
            <rFont val="Tahoma"/>
            <family val="2"/>
          </rPr>
          <t xml:space="preserve">
AD 350-25</t>
        </r>
      </text>
    </comment>
    <comment ref="U609" authorId="0" shapeId="0" xr:uid="{00000000-0006-0000-5800-000041000000}">
      <text>
        <r>
          <rPr>
            <b/>
            <sz val="9"/>
            <color indexed="81"/>
            <rFont val="Tahoma"/>
            <family val="2"/>
          </rPr>
          <t>user:</t>
        </r>
        <r>
          <rPr>
            <sz val="9"/>
            <color indexed="81"/>
            <rFont val="Tahoma"/>
            <family val="2"/>
          </rPr>
          <t xml:space="preserve">
13:02 LLEGADA RIOJA
14:11 LLEGADA CHICLAYO
</t>
        </r>
      </text>
    </comment>
    <comment ref="K610" authorId="0" shapeId="0" xr:uid="{00000000-0006-0000-5800-000042000000}">
      <text>
        <r>
          <rPr>
            <b/>
            <sz val="9"/>
            <color indexed="81"/>
            <rFont val="Tahoma"/>
            <family val="2"/>
          </rPr>
          <t>user:</t>
        </r>
        <r>
          <rPr>
            <sz val="9"/>
            <color indexed="81"/>
            <rFont val="Tahoma"/>
            <family val="2"/>
          </rPr>
          <t xml:space="preserve">
AD 351-25</t>
        </r>
      </text>
    </comment>
    <comment ref="K611" authorId="0" shapeId="0" xr:uid="{00000000-0006-0000-5800-000043000000}">
      <text>
        <r>
          <rPr>
            <b/>
            <sz val="9"/>
            <color indexed="81"/>
            <rFont val="Tahoma"/>
            <family val="2"/>
          </rPr>
          <t>user:</t>
        </r>
        <r>
          <rPr>
            <sz val="9"/>
            <color indexed="81"/>
            <rFont val="Tahoma"/>
            <family val="2"/>
          </rPr>
          <t xml:space="preserve">
AD 352-25</t>
        </r>
      </text>
    </comment>
    <comment ref="B625" authorId="0" shapeId="0" xr:uid="{00000000-0006-0000-5800-000044000000}">
      <text>
        <r>
          <rPr>
            <b/>
            <sz val="9"/>
            <color indexed="81"/>
            <rFont val="Tahoma"/>
            <family val="2"/>
          </rPr>
          <t>user:</t>
        </r>
        <r>
          <rPr>
            <sz val="9"/>
            <color indexed="81"/>
            <rFont val="Tahoma"/>
            <family val="2"/>
          </rPr>
          <t xml:space="preserve">
BOLETA 81</t>
        </r>
      </text>
    </comment>
    <comment ref="K627" authorId="0" shapeId="0" xr:uid="{00000000-0006-0000-5800-000045000000}">
      <text>
        <r>
          <rPr>
            <b/>
            <sz val="9"/>
            <color indexed="81"/>
            <rFont val="Tahoma"/>
            <family val="2"/>
          </rPr>
          <t>user:</t>
        </r>
        <r>
          <rPr>
            <sz val="9"/>
            <color indexed="81"/>
            <rFont val="Tahoma"/>
            <family val="2"/>
          </rPr>
          <t xml:space="preserve">
TIPO DE CAMBIO APLICAN PARA LA FACTURA EN SOLES, CON LA CARTA DE GARANTIA</t>
        </r>
      </text>
    </comment>
    <comment ref="B633" authorId="0" shapeId="0" xr:uid="{00000000-0006-0000-5800-000046000000}">
      <text>
        <r>
          <rPr>
            <b/>
            <sz val="9"/>
            <color indexed="81"/>
            <rFont val="Tahoma"/>
            <family val="2"/>
          </rPr>
          <t>user:</t>
        </r>
        <r>
          <rPr>
            <sz val="9"/>
            <color indexed="81"/>
            <rFont val="Tahoma"/>
            <family val="2"/>
          </rPr>
          <t xml:space="preserve">
FACTURADO EL 02-03-3026 CONJUNTAMENTE CON LA DEL 13-07-2025 Y LA DEL 22-06-2025</t>
        </r>
      </text>
    </comment>
    <comment ref="L634" authorId="0" shapeId="0" xr:uid="{00000000-0006-0000-5800-000047000000}">
      <text>
        <r>
          <rPr>
            <b/>
            <sz val="9"/>
            <color indexed="81"/>
            <rFont val="Tahoma"/>
            <family val="2"/>
          </rPr>
          <t>user:</t>
        </r>
        <r>
          <rPr>
            <sz val="9"/>
            <color indexed="81"/>
            <rFont val="Tahoma"/>
            <family val="2"/>
          </rPr>
          <t xml:space="preserve">
PAGÓ EL 05-08</t>
        </r>
      </text>
    </comment>
    <comment ref="L645" authorId="0" shapeId="0" xr:uid="{00000000-0006-0000-5800-000048000000}">
      <text>
        <r>
          <rPr>
            <b/>
            <sz val="9"/>
            <color indexed="81"/>
            <rFont val="Tahoma"/>
            <family val="2"/>
          </rPr>
          <t>user:</t>
        </r>
        <r>
          <rPr>
            <sz val="9"/>
            <color indexed="81"/>
            <rFont val="Tahoma"/>
            <family val="2"/>
          </rPr>
          <t xml:space="preserve">
10,799.36 PAGO DIA ANTERIOR</t>
        </r>
      </text>
    </comment>
    <comment ref="L665" authorId="0" shapeId="0" xr:uid="{00000000-0006-0000-5800-000049000000}">
      <text>
        <r>
          <rPr>
            <b/>
            <sz val="9"/>
            <color indexed="81"/>
            <rFont val="Tahoma"/>
            <family val="2"/>
          </rPr>
          <t>user:</t>
        </r>
        <r>
          <rPr>
            <sz val="9"/>
            <color indexed="81"/>
            <rFont val="Tahoma"/>
            <family val="2"/>
          </rPr>
          <t xml:space="preserve">
PAGÓ NETO DE DETRACCION
</t>
        </r>
      </text>
    </comment>
    <comment ref="K687" authorId="0" shapeId="0" xr:uid="{00000000-0006-0000-5800-00004A000000}">
      <text>
        <r>
          <rPr>
            <b/>
            <sz val="9"/>
            <color indexed="81"/>
            <rFont val="Tahoma"/>
            <family val="2"/>
          </rPr>
          <t>user:</t>
        </r>
        <r>
          <rPr>
            <sz val="9"/>
            <color indexed="81"/>
            <rFont val="Tahoma"/>
            <family val="2"/>
          </rPr>
          <t xml:space="preserve">
28-08 EN CREDITO</t>
        </r>
      </text>
    </comment>
    <comment ref="K688" authorId="0" shapeId="0" xr:uid="{00000000-0006-0000-5800-00004B000000}">
      <text>
        <r>
          <rPr>
            <b/>
            <sz val="9"/>
            <color indexed="81"/>
            <rFont val="Tahoma"/>
            <family val="2"/>
          </rPr>
          <t>user:</t>
        </r>
        <r>
          <rPr>
            <sz val="9"/>
            <color indexed="81"/>
            <rFont val="Tahoma"/>
            <family val="2"/>
          </rPr>
          <t xml:space="preserve">
PAGO ESTA FECHA EN BBVA
</t>
        </r>
      </text>
    </comment>
    <comment ref="D697" authorId="0" shapeId="0" xr:uid="{00000000-0006-0000-5800-00004C000000}">
      <text>
        <r>
          <rPr>
            <b/>
            <sz val="9"/>
            <color indexed="81"/>
            <rFont val="Tahoma"/>
            <family val="2"/>
          </rPr>
          <t>user:</t>
        </r>
        <r>
          <rPr>
            <sz val="9"/>
            <color indexed="81"/>
            <rFont val="Tahoma"/>
            <family val="2"/>
          </rPr>
          <t xml:space="preserve">
INICIARON IQUITOS - LIMA PRIMERA HORA DEL DIA SIGUIENTE</t>
        </r>
      </text>
    </comment>
    <comment ref="K699" authorId="0" shapeId="0" xr:uid="{00000000-0006-0000-5800-00004D000000}">
      <text>
        <r>
          <rPr>
            <b/>
            <sz val="9"/>
            <color indexed="81"/>
            <rFont val="Tahoma"/>
            <family val="2"/>
          </rPr>
          <t>user:</t>
        </r>
        <r>
          <rPr>
            <sz val="9"/>
            <color indexed="81"/>
            <rFont val="Tahoma"/>
            <family val="2"/>
          </rPr>
          <t xml:space="preserve">
DEPOSITÓ EL 02-09 20,000 Y EL MISMO DIA 22500 BCP</t>
        </r>
      </text>
    </comment>
    <comment ref="V701" authorId="0" shapeId="0" xr:uid="{00000000-0006-0000-5800-00004E000000}">
      <text>
        <r>
          <rPr>
            <b/>
            <sz val="9"/>
            <color indexed="81"/>
            <rFont val="Tahoma"/>
            <family val="2"/>
          </rPr>
          <t>user:</t>
        </r>
        <r>
          <rPr>
            <sz val="9"/>
            <color indexed="81"/>
            <rFont val="Tahoma"/>
            <family val="2"/>
          </rPr>
          <t xml:space="preserve">
TEEMINO EN CHICLAYO, YA QUE DE AQUÍ SALE CON DESTINO A TINGO MARIA VUELO DEL HOSP REG DE TINGO MARIA</t>
        </r>
      </text>
    </comment>
    <comment ref="A703" authorId="0" shapeId="0" xr:uid="{00000000-0006-0000-5800-00004F000000}">
      <text>
        <r>
          <rPr>
            <b/>
            <sz val="9"/>
            <color indexed="81"/>
            <rFont val="Tahoma"/>
            <family val="2"/>
          </rPr>
          <t>user:</t>
        </r>
        <r>
          <rPr>
            <sz val="9"/>
            <color indexed="81"/>
            <rFont val="Tahoma"/>
            <family val="2"/>
          </rPr>
          <t xml:space="preserve">
SE MARCÓ CON VERDE PERO EN REALIDAD FUE FACTURADO EN EL MES SIGUIENTE</t>
        </r>
      </text>
    </comment>
    <comment ref="L708" authorId="0" shapeId="0" xr:uid="{00000000-0006-0000-5800-000050000000}">
      <text>
        <r>
          <rPr>
            <b/>
            <sz val="9"/>
            <color indexed="81"/>
            <rFont val="Tahoma"/>
            <family val="2"/>
          </rPr>
          <t>user:</t>
        </r>
        <r>
          <rPr>
            <sz val="9"/>
            <color indexed="81"/>
            <rFont val="Tahoma"/>
            <family val="2"/>
          </rPr>
          <t xml:space="preserve">
PAGÓ EL MISMO DIA</t>
        </r>
      </text>
    </comment>
    <comment ref="B724" authorId="0" shapeId="0" xr:uid="{00000000-0006-0000-5800-000051000000}">
      <text>
        <r>
          <rPr>
            <b/>
            <sz val="9"/>
            <color indexed="81"/>
            <rFont val="Tahoma"/>
            <family val="2"/>
          </rPr>
          <t>user:</t>
        </r>
        <r>
          <rPr>
            <sz val="9"/>
            <color indexed="81"/>
            <rFont val="Tahoma"/>
            <family val="2"/>
          </rPr>
          <t xml:space="preserve">
ESTUVO PACIENTE
EN MACSALUD </t>
        </r>
      </text>
    </comment>
    <comment ref="L731" authorId="0" shapeId="0" xr:uid="{00000000-0006-0000-5800-000052000000}">
      <text>
        <r>
          <rPr>
            <b/>
            <sz val="9"/>
            <color indexed="81"/>
            <rFont val="Tahoma"/>
            <family val="2"/>
          </rPr>
          <t>user:</t>
        </r>
        <r>
          <rPr>
            <sz val="9"/>
            <color indexed="81"/>
            <rFont val="Tahoma"/>
            <family val="2"/>
          </rPr>
          <t xml:space="preserve">
TARIFA MAS 1 HORA EXTRAORDINARIA</t>
        </r>
      </text>
    </comment>
    <comment ref="L734" authorId="0" shapeId="0" xr:uid="{00000000-0006-0000-5800-000053000000}">
      <text>
        <r>
          <rPr>
            <b/>
            <sz val="9"/>
            <color indexed="81"/>
            <rFont val="Tahoma"/>
            <family val="2"/>
          </rPr>
          <t>user:</t>
        </r>
        <r>
          <rPr>
            <sz val="9"/>
            <color indexed="81"/>
            <rFont val="Tahoma"/>
            <family val="2"/>
          </rPr>
          <t xml:space="preserve">
=956+10000 HA DEPOSITADO</t>
        </r>
      </text>
    </comment>
    <comment ref="B739" authorId="0" shapeId="0" xr:uid="{00000000-0006-0000-5800-000054000000}">
      <text>
        <r>
          <rPr>
            <b/>
            <sz val="9"/>
            <color indexed="81"/>
            <rFont val="Tahoma"/>
            <family val="2"/>
          </rPr>
          <t>user:</t>
        </r>
        <r>
          <rPr>
            <sz val="9"/>
            <color indexed="81"/>
            <rFont val="Tahoma"/>
            <family val="2"/>
          </rPr>
          <t xml:space="preserve">
PACIENTE CHAVEZ BOBADILLA PEDRO LIAM JESUS
PAGÓ 1000 +384 20-09-2025</t>
        </r>
      </text>
    </comment>
    <comment ref="L744" authorId="0" shapeId="0" xr:uid="{00000000-0006-0000-5800-000055000000}">
      <text>
        <r>
          <rPr>
            <b/>
            <sz val="9"/>
            <color indexed="81"/>
            <rFont val="Tahoma"/>
            <family val="2"/>
          </rPr>
          <t>user:</t>
        </r>
        <r>
          <rPr>
            <sz val="9"/>
            <color indexed="81"/>
            <rFont val="Tahoma"/>
            <family val="2"/>
          </rPr>
          <t xml:space="preserve">
NO INC AMB TERRESTRE EN CUSCO  </t>
        </r>
      </text>
    </comment>
    <comment ref="L747" authorId="0" shapeId="0" xr:uid="{00000000-0006-0000-5800-000056000000}">
      <text>
        <r>
          <rPr>
            <b/>
            <sz val="9"/>
            <color indexed="81"/>
            <rFont val="Tahoma"/>
            <family val="2"/>
          </rPr>
          <t>user:</t>
        </r>
        <r>
          <rPr>
            <sz val="9"/>
            <color indexed="81"/>
            <rFont val="Tahoma"/>
            <family val="2"/>
          </rPr>
          <t xml:space="preserve">
NO INC AMB TERRESTRE EN CUSCO  NI TUAAs</t>
        </r>
      </text>
    </comment>
    <comment ref="B752" authorId="0" shapeId="0" xr:uid="{00000000-0006-0000-5800-000057000000}">
      <text>
        <r>
          <rPr>
            <b/>
            <sz val="9"/>
            <color indexed="81"/>
            <rFont val="Tahoma"/>
            <family val="2"/>
          </rPr>
          <t>user:</t>
        </r>
        <r>
          <rPr>
            <sz val="9"/>
            <color indexed="81"/>
            <rFont val="Tahoma"/>
            <family val="2"/>
          </rPr>
          <t xml:space="preserve">
</t>
        </r>
      </text>
    </comment>
    <comment ref="L754" authorId="0" shapeId="0" xr:uid="{00000000-0006-0000-5800-000058000000}">
      <text>
        <r>
          <rPr>
            <b/>
            <sz val="9"/>
            <color indexed="81"/>
            <rFont val="Tahoma"/>
            <family val="2"/>
          </rPr>
          <t>user:</t>
        </r>
        <r>
          <rPr>
            <sz val="9"/>
            <color indexed="81"/>
            <rFont val="Tahoma"/>
            <family val="2"/>
          </rPr>
          <t xml:space="preserve">
pagaron el 23-09-25 en BCP</t>
        </r>
      </text>
    </comment>
    <comment ref="L765" authorId="0" shapeId="0" xr:uid="{00000000-0006-0000-5800-000059000000}">
      <text>
        <r>
          <rPr>
            <b/>
            <sz val="9"/>
            <color indexed="81"/>
            <rFont val="Tahoma"/>
            <family val="2"/>
          </rPr>
          <t>user:</t>
        </r>
        <r>
          <rPr>
            <sz val="9"/>
            <color indexed="81"/>
            <rFont val="Tahoma"/>
            <family val="2"/>
          </rPr>
          <t xml:space="preserve">
NO INC AMBULANCIA TERRESTRE EN JULIACA</t>
        </r>
      </text>
    </comment>
    <comment ref="L767" authorId="0" shapeId="0" xr:uid="{00000000-0006-0000-5800-00005A000000}">
      <text>
        <r>
          <rPr>
            <b/>
            <sz val="9"/>
            <color indexed="81"/>
            <rFont val="Tahoma"/>
            <family val="2"/>
          </rPr>
          <t>user:</t>
        </r>
        <r>
          <rPr>
            <sz val="9"/>
            <color indexed="81"/>
            <rFont val="Tahoma"/>
            <family val="2"/>
          </rPr>
          <t xml:space="preserve">
NO INC AMBULANCIA TERRESTRE EN CUSCO</t>
        </r>
      </text>
    </comment>
    <comment ref="B778" authorId="0" shapeId="0" xr:uid="{00000000-0006-0000-5800-00005B000000}">
      <text>
        <r>
          <rPr>
            <b/>
            <sz val="9"/>
            <color indexed="81"/>
            <rFont val="Tahoma"/>
            <family val="2"/>
          </rPr>
          <t>user:</t>
        </r>
        <r>
          <rPr>
            <sz val="9"/>
            <color indexed="81"/>
            <rFont val="Tahoma"/>
            <family val="2"/>
          </rPr>
          <t xml:space="preserve">
OJO SE CONSIDERÓ COMO FACTURADO EN EL MES ES DECIR NO SE PROVISIONÓ COMO VENTAS SIN FACTURAR ESTE SERVICIO EN REALIDAD FUE FACTURADO EN ENERO 2026, PORQUE HUBO UN ERROR, SE PENSABA QUE ESTABA FACTURADO, PERO LO QUE SE FACTURÓ EL DIA 2 FUE A AERO CARE QUE ERA COMO GARANTÍA DEL SERVICIO EN CASO NO SE HUBIESE RECIBIDO EL PAGO, QUE INTERANDES HABIA DEPOSITADO Y NO PADSABA EL PAGO, PERO COMO SI PASÓ EL PAGO DE INTERANDES, ENTONCES EL DEPOSITO DE $9,500 QUE HIZO AEROCARE QUEDÓ COMO GARANTÍA </t>
        </r>
      </text>
    </comment>
    <comment ref="D807" authorId="0" shapeId="0" xr:uid="{00000000-0006-0000-5800-00005C000000}">
      <text>
        <r>
          <rPr>
            <b/>
            <sz val="9"/>
            <color indexed="81"/>
            <rFont val="Tahoma"/>
            <family val="2"/>
          </rPr>
          <t>user:</t>
        </r>
        <r>
          <rPr>
            <sz val="9"/>
            <color indexed="81"/>
            <rFont val="Tahoma"/>
            <family val="2"/>
          </rPr>
          <t xml:space="preserve">
SE HIZO EL DIA SIGUIENTE</t>
        </r>
      </text>
    </comment>
    <comment ref="L808" authorId="0" shapeId="0" xr:uid="{00000000-0006-0000-5800-00005D000000}">
      <text>
        <r>
          <rPr>
            <b/>
            <sz val="9"/>
            <color indexed="81"/>
            <rFont val="Tahoma"/>
            <family val="2"/>
          </rPr>
          <t>user:</t>
        </r>
        <r>
          <rPr>
            <sz val="9"/>
            <color indexed="81"/>
            <rFont val="Tahoma"/>
            <family val="2"/>
          </rPr>
          <t xml:space="preserve">
PAGÓ EL LA AMBULANCIA TERRESTRE EN CUSCO</t>
        </r>
      </text>
    </comment>
    <comment ref="L813" authorId="0" shapeId="0" xr:uid="{00000000-0006-0000-5800-00005E000000}">
      <text>
        <r>
          <rPr>
            <b/>
            <sz val="9"/>
            <color indexed="81"/>
            <rFont val="Tahoma"/>
            <family val="2"/>
          </rPr>
          <t>user:</t>
        </r>
        <r>
          <rPr>
            <sz val="9"/>
            <color indexed="81"/>
            <rFont val="Tahoma"/>
            <family val="2"/>
          </rPr>
          <t xml:space="preserve">
VER AQUÍ QUE PAGÓ DR. MOGROVEJO</t>
        </r>
      </text>
    </comment>
    <comment ref="K814" authorId="0" shapeId="0" xr:uid="{00000000-0006-0000-5800-00005F000000}">
      <text>
        <r>
          <rPr>
            <b/>
            <sz val="9"/>
            <color indexed="81"/>
            <rFont val="Tahoma"/>
            <family val="2"/>
          </rPr>
          <t>user:</t>
        </r>
        <r>
          <rPr>
            <sz val="9"/>
            <color indexed="81"/>
            <rFont val="Tahoma"/>
            <family val="2"/>
          </rPr>
          <t xml:space="preserve">
PEDIRAN HORAS DE APERTURA PRIMERA HORA ESSALUD</t>
        </r>
      </text>
    </comment>
    <comment ref="V824" authorId="0" shapeId="0" xr:uid="{00000000-0006-0000-5800-000060000000}">
      <text>
        <r>
          <rPr>
            <b/>
            <sz val="9"/>
            <color indexed="81"/>
            <rFont val="Tahoma"/>
            <family val="2"/>
          </rPr>
          <t>user:</t>
        </r>
        <r>
          <rPr>
            <sz val="9"/>
            <color indexed="81"/>
            <rFont val="Tahoma"/>
            <family val="2"/>
          </rPr>
          <t xml:space="preserve">
DIA SIGUIENTE</t>
        </r>
      </text>
    </comment>
    <comment ref="C825" authorId="0" shapeId="0" xr:uid="{00000000-0006-0000-5800-000061000000}">
      <text>
        <r>
          <rPr>
            <b/>
            <sz val="9"/>
            <color indexed="81"/>
            <rFont val="Tahoma"/>
            <family val="2"/>
          </rPr>
          <t>user:</t>
        </r>
        <r>
          <rPr>
            <sz val="9"/>
            <color indexed="81"/>
            <rFont val="Tahoma"/>
            <family val="2"/>
          </rPr>
          <t xml:space="preserve">
ESTUVO EN EL AIRE 10:17 HASTA LAS 11:10 PORQUE REGRESÓ AERONAVE, ESO DEBIDO A QUE SALUDPOL MENCIÓN QUE FAMILIARES NOQ UERIAN QUE TRAIGAN AL PACIENTE; SIN EMBARGO LUEGO HICIERON QUE NUEVAMENTE VAYA LA AMBULANCIA AEREA</t>
        </r>
      </text>
    </comment>
    <comment ref="K825" authorId="0" shapeId="0" xr:uid="{00000000-0006-0000-5800-000062000000}">
      <text>
        <r>
          <rPr>
            <b/>
            <sz val="9"/>
            <color indexed="81"/>
            <rFont val="Tahoma"/>
            <family val="2"/>
          </rPr>
          <t>user:</t>
        </r>
        <r>
          <rPr>
            <sz val="9"/>
            <color indexed="81"/>
            <rFont val="Tahoma"/>
            <family val="2"/>
          </rPr>
          <t xml:space="preserve">
DEBERIAMOS COBRAR COSTO DEL VUELO QUE SE HIZO DOBLE - INICIO D EVUELI 53</t>
        </r>
      </text>
    </comment>
    <comment ref="E826" authorId="0" shapeId="0" xr:uid="{00000000-0006-0000-5800-000063000000}">
      <text>
        <r>
          <rPr>
            <b/>
            <sz val="9"/>
            <color indexed="81"/>
            <rFont val="Tahoma"/>
            <family val="2"/>
          </rPr>
          <t>user:</t>
        </r>
        <r>
          <rPr>
            <sz val="9"/>
            <color indexed="81"/>
            <rFont val="Tahoma"/>
            <family val="2"/>
          </rPr>
          <t xml:space="preserve">
F001-4701</t>
        </r>
      </text>
    </comment>
    <comment ref="B832" authorId="0" shapeId="0" xr:uid="{00000000-0006-0000-5800-000064000000}">
      <text>
        <r>
          <rPr>
            <b/>
            <sz val="9"/>
            <color indexed="81"/>
            <rFont val="Tahoma"/>
            <family val="2"/>
          </rPr>
          <t>user:</t>
        </r>
        <r>
          <rPr>
            <sz val="9"/>
            <color indexed="81"/>
            <rFont val="Tahoma"/>
            <family val="2"/>
          </rPr>
          <t xml:space="preserve">
BOLETA 87</t>
        </r>
      </text>
    </comment>
    <comment ref="L838" authorId="0" shapeId="0" xr:uid="{00000000-0006-0000-5800-000065000000}">
      <text>
        <r>
          <rPr>
            <b/>
            <sz val="9"/>
            <color indexed="81"/>
            <rFont val="Tahoma"/>
            <family val="2"/>
          </rPr>
          <t>user:</t>
        </r>
        <r>
          <rPr>
            <sz val="9"/>
            <color indexed="81"/>
            <rFont val="Tahoma"/>
            <family val="2"/>
          </rPr>
          <t xml:space="preserve">
pagó en bbva el 27</t>
        </r>
      </text>
    </comment>
    <comment ref="D861" authorId="0" shapeId="0" xr:uid="{00000000-0006-0000-5800-000066000000}">
      <text>
        <r>
          <rPr>
            <b/>
            <sz val="9"/>
            <color indexed="81"/>
            <rFont val="Tahoma"/>
            <family val="2"/>
          </rPr>
          <t>user:</t>
        </r>
        <r>
          <rPr>
            <sz val="9"/>
            <color indexed="81"/>
            <rFont val="Tahoma"/>
            <family val="2"/>
          </rPr>
          <t xml:space="preserve">
SE HIZO EL DIA SIGUIENTE</t>
        </r>
      </text>
    </comment>
    <comment ref="B866" authorId="0" shapeId="0" xr:uid="{00000000-0006-0000-5800-000067000000}">
      <text>
        <r>
          <rPr>
            <b/>
            <sz val="9"/>
            <color indexed="81"/>
            <rFont val="Tahoma"/>
            <family val="2"/>
          </rPr>
          <t>user:</t>
        </r>
        <r>
          <rPr>
            <sz val="9"/>
            <color indexed="81"/>
            <rFont val="Tahoma"/>
            <family val="2"/>
          </rPr>
          <t xml:space="preserve">
EL DIA 06-11-25 MENCIONARON SOBRE ADICIONAL</t>
        </r>
      </text>
    </comment>
    <comment ref="D872" authorId="0" shapeId="0" xr:uid="{00000000-0006-0000-5800-000068000000}">
      <text>
        <r>
          <rPr>
            <b/>
            <sz val="9"/>
            <color indexed="81"/>
            <rFont val="Tahoma"/>
            <family val="2"/>
          </rPr>
          <t>user:</t>
        </r>
        <r>
          <rPr>
            <sz val="9"/>
            <color indexed="81"/>
            <rFont val="Tahoma"/>
            <family val="2"/>
          </rPr>
          <t xml:space="preserve">
RETORNARON EL 09-11-25</t>
        </r>
      </text>
    </comment>
    <comment ref="K879" authorId="0" shapeId="0" xr:uid="{00000000-0006-0000-5800-000069000000}">
      <text>
        <r>
          <rPr>
            <b/>
            <sz val="9"/>
            <color indexed="81"/>
            <rFont val="Tahoma"/>
            <family val="2"/>
          </rPr>
          <t>user:</t>
        </r>
        <r>
          <rPr>
            <sz val="9"/>
            <color indexed="81"/>
            <rFont val="Tahoma"/>
            <family val="2"/>
          </rPr>
          <t xml:space="preserve">
46750</t>
        </r>
      </text>
    </comment>
    <comment ref="B887" authorId="0" shapeId="0" xr:uid="{00000000-0006-0000-5800-00006A000000}">
      <text>
        <r>
          <rPr>
            <b/>
            <sz val="9"/>
            <color indexed="81"/>
            <rFont val="Tahoma"/>
            <family val="2"/>
          </rPr>
          <t>user:</t>
        </r>
        <r>
          <rPr>
            <sz val="9"/>
            <color indexed="81"/>
            <rFont val="Tahoma"/>
            <family val="2"/>
          </rPr>
          <t xml:space="preserve">
SE ACCIDENTÓ LA 2104 EN PUCALLPA, POR LO QUE SE ENVIÓ LA OTRA AERONAVE</t>
        </r>
      </text>
    </comment>
    <comment ref="V887" authorId="0" shapeId="0" xr:uid="{00000000-0006-0000-5800-00006B000000}">
      <text>
        <r>
          <rPr>
            <b/>
            <sz val="9"/>
            <color indexed="81"/>
            <rFont val="Tahoma"/>
            <family val="2"/>
          </rPr>
          <t>user:</t>
        </r>
        <r>
          <rPr>
            <sz val="9"/>
            <color indexed="81"/>
            <rFont val="Tahoma"/>
            <family val="2"/>
          </rPr>
          <t xml:space="preserve">
EN PUCALLPA-SINIESTRADO</t>
        </r>
      </text>
    </comment>
    <comment ref="F895" authorId="0" shapeId="0" xr:uid="{00000000-0006-0000-5800-00006C000000}">
      <text>
        <r>
          <rPr>
            <b/>
            <sz val="9"/>
            <color indexed="81"/>
            <rFont val="Tahoma"/>
            <family val="2"/>
          </rPr>
          <t>user:</t>
        </r>
        <r>
          <rPr>
            <sz val="9"/>
            <color indexed="81"/>
            <rFont val="Tahoma"/>
            <family val="2"/>
          </rPr>
          <t xml:space="preserve">
OJO LA RUTA ES TARAPOTO-LIMA-TARAPOTO-IQUITOS- PUCALLPA POR TRIPULACION MEDICA DE AIR MAJORO</t>
        </r>
      </text>
    </comment>
    <comment ref="U895" authorId="0" shapeId="0" xr:uid="{00000000-0006-0000-5800-00006D000000}">
      <text>
        <r>
          <rPr>
            <b/>
            <sz val="9"/>
            <color indexed="81"/>
            <rFont val="Tahoma"/>
            <family val="2"/>
          </rPr>
          <t>user:</t>
        </r>
        <r>
          <rPr>
            <sz val="9"/>
            <color indexed="81"/>
            <rFont val="Tahoma"/>
            <family val="2"/>
          </rPr>
          <t xml:space="preserve">
SALIERON A LIMA VACIOS PARA RECOGER TRIPULACION MEDICA DE AIR MAJORO</t>
        </r>
      </text>
    </comment>
    <comment ref="V895" authorId="0" shapeId="0" xr:uid="{00000000-0006-0000-5800-00006E000000}">
      <text>
        <r>
          <rPr>
            <b/>
            <sz val="9"/>
            <color indexed="81"/>
            <rFont val="Tahoma"/>
            <family val="2"/>
          </rPr>
          <t>user:</t>
        </r>
        <r>
          <rPr>
            <sz val="9"/>
            <color indexed="81"/>
            <rFont val="Tahoma"/>
            <family val="2"/>
          </rPr>
          <t xml:space="preserve">
LLEGARON A PUCALLPA A PERNOCTAR PARA HACER EL VUELO EL DIA SIGUIENTE</t>
        </r>
      </text>
    </comment>
    <comment ref="C896" authorId="0" shapeId="0" xr:uid="{00000000-0006-0000-5800-00006F000000}">
      <text>
        <r>
          <rPr>
            <b/>
            <sz val="9"/>
            <color indexed="81"/>
            <rFont val="Tahoma"/>
            <family val="2"/>
          </rPr>
          <t>user:</t>
        </r>
        <r>
          <rPr>
            <sz val="9"/>
            <color indexed="81"/>
            <rFont val="Tahoma"/>
            <family val="2"/>
          </rPr>
          <t xml:space="preserve">
20020 COBRÓ EN TOTAL CON EL VUELO DEL DIA ANTERIOR</t>
        </r>
      </text>
    </comment>
    <comment ref="K896" authorId="0" shapeId="0" xr:uid="{00000000-0006-0000-5800-000070000000}">
      <text>
        <r>
          <rPr>
            <b/>
            <sz val="9"/>
            <color indexed="81"/>
            <rFont val="Tahoma"/>
            <family val="2"/>
          </rPr>
          <t>user:</t>
        </r>
        <r>
          <rPr>
            <sz val="9"/>
            <color indexed="81"/>
            <rFont val="Tahoma"/>
            <family val="2"/>
          </rPr>
          <t xml:space="preserve">
DEPOSITO DE 16100 Y DE 15,000 15/11/25 EN BCP</t>
        </r>
      </text>
    </comment>
    <comment ref="C897" authorId="0" shapeId="0" xr:uid="{00000000-0006-0000-5800-000071000000}">
      <text>
        <r>
          <rPr>
            <b/>
            <sz val="9"/>
            <color indexed="81"/>
            <rFont val="Tahoma"/>
            <family val="2"/>
          </rPr>
          <t>user:</t>
        </r>
        <r>
          <rPr>
            <sz val="9"/>
            <color indexed="81"/>
            <rFont val="Tahoma"/>
            <family val="2"/>
          </rPr>
          <t xml:space="preserve">
5244 COBRÓ</t>
        </r>
      </text>
    </comment>
    <comment ref="B907" authorId="0" shapeId="0" xr:uid="{00000000-0006-0000-5800-000072000000}">
      <text>
        <r>
          <rPr>
            <b/>
            <sz val="9"/>
            <color indexed="81"/>
            <rFont val="Tahoma"/>
            <family val="2"/>
          </rPr>
          <t>user:</t>
        </r>
        <r>
          <rPr>
            <sz val="9"/>
            <color indexed="81"/>
            <rFont val="Tahoma"/>
            <family val="2"/>
          </rPr>
          <t xml:space="preserve">
FACTURARÁ AIR MAJORO SELVA</t>
        </r>
      </text>
    </comment>
    <comment ref="C908" authorId="0" shapeId="0" xr:uid="{00000000-0006-0000-5800-000073000000}">
      <text>
        <r>
          <rPr>
            <b/>
            <sz val="9"/>
            <color indexed="81"/>
            <rFont val="Tahoma"/>
            <family val="2"/>
          </rPr>
          <t>user:</t>
        </r>
        <r>
          <rPr>
            <sz val="9"/>
            <color indexed="81"/>
            <rFont val="Tahoma"/>
            <family val="2"/>
          </rPr>
          <t xml:space="preserve">
ESTE VUELO FUE REQUERIDO EN LA RUTA TARAPOTO CHICLAYO, PERO NO SE REALIZÓ DEBIDO AL RIESGO INMINENTE DEL PACIENTE</t>
        </r>
      </text>
    </comment>
    <comment ref="B917" authorId="0" shapeId="0" xr:uid="{00000000-0006-0000-5800-000074000000}">
      <text>
        <r>
          <rPr>
            <b/>
            <sz val="9"/>
            <color indexed="81"/>
            <rFont val="Tahoma"/>
            <family val="2"/>
          </rPr>
          <t>user:</t>
        </r>
        <r>
          <rPr>
            <sz val="9"/>
            <color indexed="81"/>
            <rFont val="Tahoma"/>
            <family val="2"/>
          </rPr>
          <t xml:space="preserve">
antes era 4586 ahora 4621</t>
        </r>
      </text>
    </comment>
    <comment ref="V930" authorId="0" shapeId="0" xr:uid="{00000000-0006-0000-5800-000075000000}">
      <text>
        <r>
          <rPr>
            <b/>
            <sz val="9"/>
            <color indexed="81"/>
            <rFont val="Tahoma"/>
            <family val="2"/>
          </rPr>
          <t>user:</t>
        </r>
        <r>
          <rPr>
            <sz val="9"/>
            <color indexed="81"/>
            <rFont val="Tahoma"/>
            <family val="2"/>
          </rPr>
          <t xml:space="preserve">
DIA SIGUIENTE</t>
        </r>
      </text>
    </comment>
    <comment ref="C951" authorId="0" shapeId="0" xr:uid="{00000000-0006-0000-5800-000076000000}">
      <text>
        <r>
          <rPr>
            <b/>
            <sz val="9"/>
            <color indexed="81"/>
            <rFont val="Tahoma"/>
            <family val="2"/>
          </rPr>
          <t>user:</t>
        </r>
        <r>
          <rPr>
            <sz val="9"/>
            <color indexed="81"/>
            <rFont val="Tahoma"/>
            <family val="2"/>
          </rPr>
          <t xml:space="preserve">
EN EL OB1630</t>
        </r>
      </text>
    </comment>
  </commentList>
</comments>
</file>

<file path=xl/comments68.xml><?xml version="1.0" encoding="utf-8"?>
<comments xmlns="http://schemas.openxmlformats.org/spreadsheetml/2006/main" xmlns:mc="http://schemas.openxmlformats.org/markup-compatibility/2006" xmlns:xr="http://schemas.microsoft.com/office/spreadsheetml/2014/revision" mc:Ignorable="xr">
  <authors>
    <author>user</author>
    <author>Sonia</author>
  </authors>
  <commentList>
    <comment ref="K5" authorId="0" shapeId="0" xr:uid="{00000000-0006-0000-5900-000001000000}">
      <text>
        <r>
          <rPr>
            <b/>
            <sz val="9"/>
            <color indexed="81"/>
            <rFont val="Tahoma"/>
            <family val="2"/>
          </rPr>
          <t>user:</t>
        </r>
        <r>
          <rPr>
            <sz val="9"/>
            <color indexed="81"/>
            <rFont val="Tahoma"/>
            <family val="2"/>
          </rPr>
          <t xml:space="preserve">
VLO LO HIZO ATSA</t>
        </r>
      </text>
    </comment>
    <comment ref="V12" authorId="0" shapeId="0" xr:uid="{00000000-0006-0000-5900-000002000000}">
      <text>
        <r>
          <rPr>
            <b/>
            <sz val="9"/>
            <color indexed="81"/>
            <rFont val="Tahoma"/>
            <family val="2"/>
          </rPr>
          <t>user:</t>
        </r>
        <r>
          <rPr>
            <sz val="9"/>
            <color indexed="81"/>
            <rFont val="Tahoma"/>
            <family val="2"/>
          </rPr>
          <t xml:space="preserve">
DIA SIGUIENTE</t>
        </r>
      </text>
    </comment>
    <comment ref="V23" authorId="0" shapeId="0" xr:uid="{00000000-0006-0000-5900-000003000000}">
      <text>
        <r>
          <rPr>
            <b/>
            <sz val="9"/>
            <color indexed="81"/>
            <rFont val="Tahoma"/>
            <family val="2"/>
          </rPr>
          <t>user:</t>
        </r>
        <r>
          <rPr>
            <sz val="9"/>
            <color indexed="81"/>
            <rFont val="Tahoma"/>
            <family val="2"/>
          </rPr>
          <t xml:space="preserve">
DIA SIGUIENTE
</t>
        </r>
      </text>
    </comment>
    <comment ref="V31" authorId="0" shapeId="0" xr:uid="{00000000-0006-0000-5900-000004000000}">
      <text>
        <r>
          <rPr>
            <b/>
            <sz val="9"/>
            <color indexed="81"/>
            <rFont val="Tahoma"/>
            <family val="2"/>
          </rPr>
          <t>user:</t>
        </r>
        <r>
          <rPr>
            <sz val="9"/>
            <color indexed="81"/>
            <rFont val="Tahoma"/>
            <family val="2"/>
          </rPr>
          <t xml:space="preserve">
DIA SIGUIENTE</t>
        </r>
      </text>
    </comment>
    <comment ref="L43" authorId="0" shapeId="0" xr:uid="{00000000-0006-0000-5900-000005000000}">
      <text>
        <r>
          <rPr>
            <b/>
            <sz val="9"/>
            <color indexed="81"/>
            <rFont val="Tahoma"/>
            <family val="2"/>
          </rPr>
          <t>user:</t>
        </r>
        <r>
          <rPr>
            <sz val="9"/>
            <color indexed="81"/>
            <rFont val="Tahoma"/>
            <family val="2"/>
          </rPr>
          <t xml:space="preserve">
un deposito de 10000 y otro 384 el 19-01-24</t>
        </r>
      </text>
    </comment>
    <comment ref="K49" authorId="0" shapeId="0" xr:uid="{00000000-0006-0000-5900-000006000000}">
      <text>
        <r>
          <rPr>
            <b/>
            <sz val="9"/>
            <color indexed="81"/>
            <rFont val="Tahoma"/>
            <family val="2"/>
          </rPr>
          <t>user:</t>
        </r>
        <r>
          <rPr>
            <sz val="9"/>
            <color indexed="81"/>
            <rFont val="Tahoma"/>
            <family val="2"/>
          </rPr>
          <t xml:space="preserve">
20000, 15880 EN EL CREDITO</t>
        </r>
      </text>
    </comment>
    <comment ref="T104" authorId="0" shapeId="0" xr:uid="{00000000-0006-0000-5900-000007000000}">
      <text>
        <r>
          <rPr>
            <b/>
            <sz val="9"/>
            <color indexed="81"/>
            <rFont val="Tahoma"/>
            <family val="2"/>
          </rPr>
          <t>user:</t>
        </r>
        <r>
          <rPr>
            <sz val="9"/>
            <color indexed="81"/>
            <rFont val="Tahoma"/>
            <family val="2"/>
          </rPr>
          <t xml:space="preserve">
VER EN UNA PARTE DICE VALLES</t>
        </r>
      </text>
    </comment>
    <comment ref="K109" authorId="0" shapeId="0" xr:uid="{00000000-0006-0000-5900-000008000000}">
      <text>
        <r>
          <rPr>
            <b/>
            <sz val="9"/>
            <color indexed="81"/>
            <rFont val="Tahoma"/>
            <family val="2"/>
          </rPr>
          <t>user:</t>
        </r>
        <r>
          <rPr>
            <sz val="9"/>
            <color indexed="81"/>
            <rFont val="Tahoma"/>
            <family val="2"/>
          </rPr>
          <t xml:space="preserve">
CONTI SOLES 38650</t>
        </r>
      </text>
    </comment>
    <comment ref="C116" authorId="0" shapeId="0" xr:uid="{00000000-0006-0000-5900-000009000000}">
      <text>
        <r>
          <rPr>
            <b/>
            <sz val="9"/>
            <color indexed="81"/>
            <rFont val="Tahoma"/>
            <family val="2"/>
          </rPr>
          <t>user:</t>
        </r>
        <r>
          <rPr>
            <sz val="9"/>
            <color indexed="81"/>
            <rFont val="Tahoma"/>
            <family val="2"/>
          </rPr>
          <t xml:space="preserve">
DEBIDO A NEBLINAS EN IQUITOS, ALTERNARON Y PERNOCTARON EN PUCALLPA-LUEGO HICIERON EL VUELO AL DIA SIGUIENTE</t>
        </r>
      </text>
    </comment>
    <comment ref="D116" authorId="0" shapeId="0" xr:uid="{00000000-0006-0000-5900-00000A000000}">
      <text>
        <r>
          <rPr>
            <b/>
            <sz val="9"/>
            <color indexed="81"/>
            <rFont val="Tahoma"/>
            <family val="2"/>
          </rPr>
          <t>user:</t>
        </r>
        <r>
          <rPr>
            <sz val="9"/>
            <color indexed="81"/>
            <rFont val="Tahoma"/>
            <family val="2"/>
          </rPr>
          <t xml:space="preserve">
SALIÓ 16-VUELO SE HIZO EL 17</t>
        </r>
      </text>
    </comment>
    <comment ref="V139" authorId="0" shapeId="0" xr:uid="{00000000-0006-0000-5900-00000B000000}">
      <text>
        <r>
          <rPr>
            <b/>
            <sz val="9"/>
            <color indexed="81"/>
            <rFont val="Tahoma"/>
            <family val="2"/>
          </rPr>
          <t>user:</t>
        </r>
        <r>
          <rPr>
            <sz val="9"/>
            <color indexed="81"/>
            <rFont val="Tahoma"/>
            <family val="2"/>
          </rPr>
          <t xml:space="preserve">
DIA SIGUIENTE
</t>
        </r>
      </text>
    </comment>
    <comment ref="V157" authorId="0" shapeId="0" xr:uid="{00000000-0006-0000-5900-00000C000000}">
      <text>
        <r>
          <rPr>
            <b/>
            <sz val="9"/>
            <color indexed="81"/>
            <rFont val="Tahoma"/>
            <family val="2"/>
          </rPr>
          <t>user:</t>
        </r>
        <r>
          <rPr>
            <sz val="9"/>
            <color indexed="81"/>
            <rFont val="Tahoma"/>
            <family val="2"/>
          </rPr>
          <t xml:space="preserve">
DIA SIGUIENTE</t>
        </r>
      </text>
    </comment>
    <comment ref="B164" authorId="0" shapeId="0" xr:uid="{00000000-0006-0000-5900-00000D000000}">
      <text>
        <r>
          <rPr>
            <b/>
            <sz val="9"/>
            <color indexed="81"/>
            <rFont val="Tahoma"/>
            <family val="2"/>
          </rPr>
          <t>user:</t>
        </r>
        <r>
          <rPr>
            <sz val="9"/>
            <color indexed="81"/>
            <rFont val="Tahoma"/>
            <family val="2"/>
          </rPr>
          <t xml:space="preserve">
PAGO EN EFECTIVO</t>
        </r>
      </text>
    </comment>
    <comment ref="C165" authorId="0" shapeId="0" xr:uid="{00000000-0006-0000-5900-00000E000000}">
      <text>
        <r>
          <rPr>
            <b/>
            <sz val="9"/>
            <color indexed="81"/>
            <rFont val="Tahoma"/>
            <family val="2"/>
          </rPr>
          <t>user:</t>
        </r>
        <r>
          <rPr>
            <sz val="9"/>
            <color indexed="81"/>
            <rFont val="Tahoma"/>
            <family val="2"/>
          </rPr>
          <t xml:space="preserve">
REFERENCIA Y CONTRAREFERENCIA</t>
        </r>
      </text>
    </comment>
    <comment ref="V166" authorId="0" shapeId="0" xr:uid="{00000000-0006-0000-5900-00000F000000}">
      <text>
        <r>
          <rPr>
            <b/>
            <sz val="9"/>
            <color indexed="81"/>
            <rFont val="Tahoma"/>
            <family val="2"/>
          </rPr>
          <t>user:</t>
        </r>
        <r>
          <rPr>
            <sz val="9"/>
            <color indexed="81"/>
            <rFont val="Tahoma"/>
            <family val="2"/>
          </rPr>
          <t xml:space="preserve">
DIA SIGUIENTE</t>
        </r>
      </text>
    </comment>
    <comment ref="V174" authorId="0" shapeId="0" xr:uid="{00000000-0006-0000-5900-000010000000}">
      <text>
        <r>
          <rPr>
            <b/>
            <sz val="9"/>
            <color indexed="81"/>
            <rFont val="Tahoma"/>
            <family val="2"/>
          </rPr>
          <t>user:</t>
        </r>
        <r>
          <rPr>
            <sz val="9"/>
            <color indexed="81"/>
            <rFont val="Tahoma"/>
            <family val="2"/>
          </rPr>
          <t xml:space="preserve">
DIA SIGUIENTE</t>
        </r>
      </text>
    </comment>
    <comment ref="V175" authorId="0" shapeId="0" xr:uid="{00000000-0006-0000-5900-000011000000}">
      <text>
        <r>
          <rPr>
            <b/>
            <sz val="9"/>
            <color indexed="81"/>
            <rFont val="Tahoma"/>
            <family val="2"/>
          </rPr>
          <t>user:</t>
        </r>
        <r>
          <rPr>
            <sz val="9"/>
            <color indexed="81"/>
            <rFont val="Tahoma"/>
            <family val="2"/>
          </rPr>
          <t xml:space="preserve">
DIA SIGUIENTE
</t>
        </r>
      </text>
    </comment>
    <comment ref="B184" authorId="0" shapeId="0" xr:uid="{00000000-0006-0000-5900-000012000000}">
      <text>
        <r>
          <rPr>
            <b/>
            <sz val="9"/>
            <color indexed="81"/>
            <rFont val="Tahoma"/>
            <family val="2"/>
          </rPr>
          <t>user:</t>
        </r>
        <r>
          <rPr>
            <sz val="9"/>
            <color indexed="81"/>
            <rFont val="Tahoma"/>
            <family val="2"/>
          </rPr>
          <t xml:space="preserve">
PAGÓ EL 14-03-24</t>
        </r>
      </text>
    </comment>
    <comment ref="K186" authorId="0" shapeId="0" xr:uid="{00000000-0006-0000-5900-000013000000}">
      <text>
        <r>
          <rPr>
            <b/>
            <sz val="9"/>
            <color indexed="81"/>
            <rFont val="Tahoma"/>
            <family val="2"/>
          </rPr>
          <t>user:</t>
        </r>
        <r>
          <rPr>
            <sz val="9"/>
            <color indexed="81"/>
            <rFont val="Tahoma"/>
            <family val="2"/>
          </rPr>
          <t xml:space="preserve">
PUSIERON AMBULANCIA POR LO QUE SE DESCONTO DE LA COTIZACION (34,200 COTIZACION ORIGINAL)</t>
        </r>
      </text>
    </comment>
    <comment ref="B191" authorId="0" shapeId="0" xr:uid="{00000000-0006-0000-5900-000014000000}">
      <text>
        <r>
          <rPr>
            <b/>
            <sz val="9"/>
            <color indexed="81"/>
            <rFont val="Tahoma"/>
            <family val="2"/>
          </rPr>
          <t>user:</t>
        </r>
        <r>
          <rPr>
            <sz val="9"/>
            <color indexed="81"/>
            <rFont val="Tahoma"/>
            <family val="2"/>
          </rPr>
          <t xml:space="preserve">
DEPOSITO EL 17/03/24</t>
        </r>
      </text>
    </comment>
    <comment ref="B192" authorId="0" shapeId="0" xr:uid="{00000000-0006-0000-5900-000015000000}">
      <text>
        <r>
          <rPr>
            <b/>
            <sz val="9"/>
            <color indexed="81"/>
            <rFont val="Tahoma"/>
            <family val="2"/>
          </rPr>
          <t>user:</t>
        </r>
        <r>
          <rPr>
            <sz val="9"/>
            <color indexed="81"/>
            <rFont val="Tahoma"/>
            <family val="2"/>
          </rPr>
          <t xml:space="preserve">
DEPOSITO EL 16/03/24</t>
        </r>
      </text>
    </comment>
    <comment ref="V208" authorId="0" shapeId="0" xr:uid="{00000000-0006-0000-5900-000016000000}">
      <text>
        <r>
          <rPr>
            <b/>
            <sz val="9"/>
            <color indexed="81"/>
            <rFont val="Tahoma"/>
            <family val="2"/>
          </rPr>
          <t>user:</t>
        </r>
        <r>
          <rPr>
            <sz val="9"/>
            <color indexed="81"/>
            <rFont val="Tahoma"/>
            <family val="2"/>
          </rPr>
          <t xml:space="preserve">
LUNES 25-03-24</t>
        </r>
      </text>
    </comment>
    <comment ref="C215" authorId="0" shapeId="0" xr:uid="{00000000-0006-0000-5900-000017000000}">
      <text>
        <r>
          <rPr>
            <b/>
            <sz val="9"/>
            <color indexed="81"/>
            <rFont val="Tahoma"/>
            <family val="2"/>
          </rPr>
          <t>user:</t>
        </r>
        <r>
          <rPr>
            <sz val="9"/>
            <color indexed="81"/>
            <rFont val="Tahoma"/>
            <family val="2"/>
          </rPr>
          <t xml:space="preserve">
OJITO ES DEL 27-03-24-PERNOCTARON
</t>
        </r>
      </text>
    </comment>
    <comment ref="V215" authorId="0" shapeId="0" xr:uid="{00000000-0006-0000-5900-000018000000}">
      <text>
        <r>
          <rPr>
            <b/>
            <sz val="9"/>
            <color indexed="81"/>
            <rFont val="Tahoma"/>
            <family val="2"/>
          </rPr>
          <t>user:</t>
        </r>
        <r>
          <rPr>
            <sz val="9"/>
            <color indexed="81"/>
            <rFont val="Tahoma"/>
            <family val="2"/>
          </rPr>
          <t xml:space="preserve">
DIA SIGUIENTE - PERNOCTARON</t>
        </r>
      </text>
    </comment>
    <comment ref="B228" authorId="0" shapeId="0" xr:uid="{00000000-0006-0000-5900-000019000000}">
      <text>
        <r>
          <rPr>
            <b/>
            <sz val="9"/>
            <color indexed="81"/>
            <rFont val="Tahoma"/>
            <family val="2"/>
          </rPr>
          <t>user:</t>
        </r>
        <r>
          <rPr>
            <sz val="9"/>
            <color indexed="81"/>
            <rFont val="Tahoma"/>
            <family val="2"/>
          </rPr>
          <t xml:space="preserve">
PAGADO CON IZI PAY EN LA MISMA FECHA VINIERON A OFICINA A PAGAR</t>
        </r>
      </text>
    </comment>
    <comment ref="V231" authorId="0" shapeId="0" xr:uid="{00000000-0006-0000-5900-00001A000000}">
      <text>
        <r>
          <rPr>
            <b/>
            <sz val="9"/>
            <color indexed="81"/>
            <rFont val="Tahoma"/>
            <family val="2"/>
          </rPr>
          <t>user:</t>
        </r>
        <r>
          <rPr>
            <sz val="9"/>
            <color indexed="81"/>
            <rFont val="Tahoma"/>
            <family val="2"/>
          </rPr>
          <t xml:space="preserve">
DIA SIGUIENTE</t>
        </r>
      </text>
    </comment>
    <comment ref="B233" authorId="0" shapeId="0" xr:uid="{00000000-0006-0000-5900-00001B000000}">
      <text>
        <r>
          <rPr>
            <b/>
            <sz val="9"/>
            <color indexed="81"/>
            <rFont val="Tahoma"/>
            <family val="2"/>
          </rPr>
          <t>user:</t>
        </r>
        <r>
          <rPr>
            <sz val="9"/>
            <color indexed="81"/>
            <rFont val="Tahoma"/>
            <family val="2"/>
          </rPr>
          <t xml:space="preserve">
PAGÓ LUNES 08-04-24</t>
        </r>
      </text>
    </comment>
    <comment ref="V235" authorId="0" shapeId="0" xr:uid="{00000000-0006-0000-5900-00001C000000}">
      <text>
        <r>
          <rPr>
            <b/>
            <sz val="9"/>
            <color indexed="81"/>
            <rFont val="Tahoma"/>
            <family val="2"/>
          </rPr>
          <t>user:</t>
        </r>
        <r>
          <rPr>
            <sz val="9"/>
            <color indexed="81"/>
            <rFont val="Tahoma"/>
            <family val="2"/>
          </rPr>
          <t xml:space="preserve">
DIA SIGUIENTE</t>
        </r>
      </text>
    </comment>
    <comment ref="B249" authorId="0" shapeId="0" xr:uid="{00000000-0006-0000-5900-00001D000000}">
      <text>
        <r>
          <rPr>
            <b/>
            <sz val="9"/>
            <color indexed="81"/>
            <rFont val="Tahoma"/>
            <family val="2"/>
          </rPr>
          <t>user:</t>
        </r>
        <r>
          <rPr>
            <sz val="9"/>
            <color indexed="81"/>
            <rFont val="Tahoma"/>
            <family val="2"/>
          </rPr>
          <t xml:space="preserve">
NO SE HIZO</t>
        </r>
      </text>
    </comment>
    <comment ref="B250" authorId="0" shapeId="0" xr:uid="{00000000-0006-0000-5900-00001E000000}">
      <text>
        <r>
          <rPr>
            <b/>
            <sz val="9"/>
            <color indexed="81"/>
            <rFont val="Tahoma"/>
            <family val="2"/>
          </rPr>
          <t>user:</t>
        </r>
        <r>
          <rPr>
            <sz val="9"/>
            <color indexed="81"/>
            <rFont val="Tahoma"/>
            <family val="2"/>
          </rPr>
          <t xml:space="preserve">
PAGO 32,284.40</t>
        </r>
      </text>
    </comment>
    <comment ref="B253" authorId="0" shapeId="0" xr:uid="{00000000-0006-0000-5900-00001F000000}">
      <text>
        <r>
          <rPr>
            <b/>
            <sz val="9"/>
            <color indexed="81"/>
            <rFont val="Tahoma"/>
            <family val="2"/>
          </rPr>
          <t>user:</t>
        </r>
        <r>
          <rPr>
            <sz val="9"/>
            <color indexed="81"/>
            <rFont val="Tahoma"/>
            <family val="2"/>
          </rPr>
          <t xml:space="preserve">
PACIENTE INTRANSPORTABLE- ENTIDAD SOLICITA INFORME</t>
        </r>
      </text>
    </comment>
    <comment ref="V253" authorId="0" shapeId="0" xr:uid="{00000000-0006-0000-5900-000020000000}">
      <text>
        <r>
          <rPr>
            <b/>
            <sz val="9"/>
            <color indexed="81"/>
            <rFont val="Tahoma"/>
            <family val="2"/>
          </rPr>
          <t>user:</t>
        </r>
        <r>
          <rPr>
            <sz val="9"/>
            <color indexed="81"/>
            <rFont val="Tahoma"/>
            <family val="2"/>
          </rPr>
          <t xml:space="preserve">
DIA SIGUIENTE</t>
        </r>
      </text>
    </comment>
    <comment ref="V260" authorId="1" shapeId="0" xr:uid="{00000000-0006-0000-5900-000021000000}">
      <text>
        <r>
          <rPr>
            <b/>
            <sz val="9"/>
            <color indexed="81"/>
            <rFont val="Tahoma"/>
            <family val="2"/>
          </rPr>
          <t>Sonia:</t>
        </r>
        <r>
          <rPr>
            <sz val="9"/>
            <color indexed="81"/>
            <rFont val="Tahoma"/>
            <family val="2"/>
          </rPr>
          <t xml:space="preserve">
DIA SIGUIENTE</t>
        </r>
      </text>
    </comment>
    <comment ref="V262" authorId="1" shapeId="0" xr:uid="{00000000-0006-0000-5900-000022000000}">
      <text>
        <r>
          <rPr>
            <b/>
            <sz val="9"/>
            <color indexed="81"/>
            <rFont val="Tahoma"/>
            <family val="2"/>
          </rPr>
          <t>Sonia:</t>
        </r>
        <r>
          <rPr>
            <sz val="9"/>
            <color indexed="81"/>
            <rFont val="Tahoma"/>
            <family val="2"/>
          </rPr>
          <t xml:space="preserve">
DIA SIGUIENTE</t>
        </r>
      </text>
    </comment>
    <comment ref="C306" authorId="0" shapeId="0" xr:uid="{00000000-0006-0000-5900-000023000000}">
      <text>
        <r>
          <rPr>
            <b/>
            <sz val="9"/>
            <color indexed="81"/>
            <rFont val="Tahoma"/>
            <family val="2"/>
          </rPr>
          <t>user:</t>
        </r>
        <r>
          <rPr>
            <sz val="9"/>
            <color indexed="81"/>
            <rFont val="Tahoma"/>
            <family val="2"/>
          </rPr>
          <t xml:space="preserve">
REVISAR PAGOS
</t>
        </r>
      </text>
    </comment>
    <comment ref="V310" authorId="0" shapeId="0" xr:uid="{00000000-0006-0000-5900-000024000000}">
      <text>
        <r>
          <rPr>
            <b/>
            <sz val="9"/>
            <color indexed="81"/>
            <rFont val="Tahoma"/>
            <family val="2"/>
          </rPr>
          <t>user:</t>
        </r>
        <r>
          <rPr>
            <sz val="9"/>
            <color indexed="81"/>
            <rFont val="Tahoma"/>
            <family val="2"/>
          </rPr>
          <t xml:space="preserve">
DIA SIGUIENTE</t>
        </r>
      </text>
    </comment>
    <comment ref="K351" authorId="0" shapeId="0" xr:uid="{00000000-0006-0000-5900-000025000000}">
      <text>
        <r>
          <rPr>
            <b/>
            <sz val="9"/>
            <color indexed="81"/>
            <rFont val="Tahoma"/>
            <family val="2"/>
          </rPr>
          <t>user:</t>
        </r>
        <r>
          <rPr>
            <sz val="9"/>
            <color indexed="81"/>
            <rFont val="Tahoma"/>
            <family val="2"/>
          </rPr>
          <t xml:space="preserve">
45690 PIDIERON REDUCCION</t>
        </r>
      </text>
    </comment>
    <comment ref="L361" authorId="0" shapeId="0" xr:uid="{00000000-0006-0000-5900-000026000000}">
      <text>
        <r>
          <rPr>
            <b/>
            <sz val="9"/>
            <color indexed="81"/>
            <rFont val="Tahoma"/>
            <family val="2"/>
          </rPr>
          <t>user:</t>
        </r>
        <r>
          <rPr>
            <sz val="9"/>
            <color indexed="81"/>
            <rFont val="Tahoma"/>
            <family val="2"/>
          </rPr>
          <t xml:space="preserve">
INTERANDES DEPOSITO 14 SOKLES MAS VER</t>
        </r>
      </text>
    </comment>
    <comment ref="V369" authorId="0" shapeId="0" xr:uid="{00000000-0006-0000-5900-000027000000}">
      <text>
        <r>
          <rPr>
            <b/>
            <sz val="9"/>
            <color indexed="81"/>
            <rFont val="Tahoma"/>
            <family val="2"/>
          </rPr>
          <t>user:</t>
        </r>
        <r>
          <rPr>
            <sz val="9"/>
            <color indexed="81"/>
            <rFont val="Tahoma"/>
            <family val="2"/>
          </rPr>
          <t xml:space="preserve">
DIA SIGUIENTE</t>
        </r>
      </text>
    </comment>
    <comment ref="K370" authorId="0" shapeId="0" xr:uid="{00000000-0006-0000-5900-000028000000}">
      <text>
        <r>
          <rPr>
            <b/>
            <sz val="9"/>
            <color indexed="81"/>
            <rFont val="Tahoma"/>
            <family val="2"/>
          </rPr>
          <t>user:</t>
        </r>
        <r>
          <rPr>
            <sz val="9"/>
            <color indexed="81"/>
            <rFont val="Tahoma"/>
            <family val="2"/>
          </rPr>
          <t xml:space="preserve">
se aumentara la apertura</t>
        </r>
      </text>
    </comment>
    <comment ref="V370" authorId="0" shapeId="0" xr:uid="{00000000-0006-0000-5900-000029000000}">
      <text>
        <r>
          <rPr>
            <b/>
            <sz val="9"/>
            <color indexed="81"/>
            <rFont val="Tahoma"/>
            <family val="2"/>
          </rPr>
          <t>user:</t>
        </r>
        <r>
          <rPr>
            <sz val="9"/>
            <color indexed="81"/>
            <rFont val="Tahoma"/>
            <family val="2"/>
          </rPr>
          <t xml:space="preserve">
DIA SIGUIENTE</t>
        </r>
      </text>
    </comment>
    <comment ref="V372" authorId="0" shapeId="0" xr:uid="{00000000-0006-0000-5900-00002A000000}">
      <text>
        <r>
          <rPr>
            <b/>
            <sz val="9"/>
            <color indexed="81"/>
            <rFont val="Tahoma"/>
            <family val="2"/>
          </rPr>
          <t>user:</t>
        </r>
        <r>
          <rPr>
            <sz val="9"/>
            <color indexed="81"/>
            <rFont val="Tahoma"/>
            <family val="2"/>
          </rPr>
          <t xml:space="preserve">
DIA SIGUIENTE</t>
        </r>
      </text>
    </comment>
    <comment ref="B374" authorId="0" shapeId="0" xr:uid="{00000000-0006-0000-5900-00002B000000}">
      <text>
        <r>
          <rPr>
            <b/>
            <sz val="9"/>
            <color indexed="81"/>
            <rFont val="Tahoma"/>
            <family val="2"/>
          </rPr>
          <t>user:</t>
        </r>
        <r>
          <rPr>
            <sz val="9"/>
            <color indexed="81"/>
            <rFont val="Tahoma"/>
            <family val="2"/>
          </rPr>
          <t xml:space="preserve">
PAGO AL CONTADO</t>
        </r>
      </text>
    </comment>
    <comment ref="K380" authorId="0" shapeId="0" xr:uid="{00000000-0006-0000-5900-00002C000000}">
      <text>
        <r>
          <rPr>
            <b/>
            <sz val="9"/>
            <color indexed="81"/>
            <rFont val="Tahoma"/>
            <family val="2"/>
          </rPr>
          <t>user:</t>
        </r>
        <r>
          <rPr>
            <sz val="9"/>
            <color indexed="81"/>
            <rFont val="Tahoma"/>
            <family val="2"/>
          </rPr>
          <t xml:space="preserve">
45690</t>
        </r>
      </text>
    </comment>
    <comment ref="V389" authorId="0" shapeId="0" xr:uid="{00000000-0006-0000-5900-00002D000000}">
      <text>
        <r>
          <rPr>
            <b/>
            <sz val="9"/>
            <color indexed="81"/>
            <rFont val="Tahoma"/>
            <family val="2"/>
          </rPr>
          <t>user:</t>
        </r>
        <r>
          <rPr>
            <sz val="9"/>
            <color indexed="81"/>
            <rFont val="Tahoma"/>
            <family val="2"/>
          </rPr>
          <t xml:space="preserve">
DIA SIGUIENTE</t>
        </r>
      </text>
    </comment>
    <comment ref="L392" authorId="0" shapeId="0" xr:uid="{00000000-0006-0000-5900-00002E000000}">
      <text>
        <r>
          <rPr>
            <b/>
            <sz val="9"/>
            <color indexed="81"/>
            <rFont val="Tahoma"/>
            <family val="2"/>
          </rPr>
          <t>user:</t>
        </r>
        <r>
          <rPr>
            <sz val="9"/>
            <color indexed="81"/>
            <rFont val="Tahoma"/>
            <family val="2"/>
          </rPr>
          <t xml:space="preserve">
PAGÓ UNA PARTE EL SABADO DEL VUELO</t>
        </r>
      </text>
    </comment>
    <comment ref="F393" authorId="0" shapeId="0" xr:uid="{00000000-0006-0000-5900-00002F000000}">
      <text>
        <r>
          <rPr>
            <b/>
            <sz val="9"/>
            <color indexed="81"/>
            <rFont val="Tahoma"/>
            <family val="2"/>
          </rPr>
          <t>user:</t>
        </r>
        <r>
          <rPr>
            <sz val="9"/>
            <color indexed="81"/>
            <rFont val="Tahoma"/>
            <family val="2"/>
          </rPr>
          <t xml:space="preserve">
GREAT NAZCA</t>
        </r>
      </text>
    </comment>
    <comment ref="L393" authorId="0" shapeId="0" xr:uid="{00000000-0006-0000-5900-000030000000}">
      <text>
        <r>
          <rPr>
            <b/>
            <sz val="9"/>
            <color indexed="81"/>
            <rFont val="Tahoma"/>
            <family val="2"/>
          </rPr>
          <t>user:</t>
        </r>
        <r>
          <rPr>
            <sz val="9"/>
            <color indexed="81"/>
            <rFont val="Tahoma"/>
            <family val="2"/>
          </rPr>
          <t xml:space="preserve">
5000 DOLARES 23 DE MAYO   BCP    
EL 11-06 3180</t>
        </r>
      </text>
    </comment>
    <comment ref="K394" authorId="0" shapeId="0" xr:uid="{00000000-0006-0000-5900-000031000000}">
      <text>
        <r>
          <rPr>
            <b/>
            <sz val="9"/>
            <color indexed="81"/>
            <rFont val="Tahoma"/>
            <family val="2"/>
          </rPr>
          <t>user:</t>
        </r>
        <r>
          <rPr>
            <sz val="9"/>
            <color indexed="81"/>
            <rFont val="Tahoma"/>
            <family val="2"/>
          </rPr>
          <t xml:space="preserve">
45690</t>
        </r>
      </text>
    </comment>
    <comment ref="V409" authorId="0" shapeId="0" xr:uid="{00000000-0006-0000-5900-000032000000}">
      <text>
        <r>
          <rPr>
            <b/>
            <sz val="9"/>
            <color indexed="81"/>
            <rFont val="Tahoma"/>
            <family val="2"/>
          </rPr>
          <t>user:</t>
        </r>
        <r>
          <rPr>
            <sz val="9"/>
            <color indexed="81"/>
            <rFont val="Tahoma"/>
            <family val="2"/>
          </rPr>
          <t xml:space="preserve">
DIA SIGUIENTE</t>
        </r>
      </text>
    </comment>
    <comment ref="V416" authorId="0" shapeId="0" xr:uid="{00000000-0006-0000-5900-000033000000}">
      <text>
        <r>
          <rPr>
            <b/>
            <sz val="9"/>
            <color indexed="81"/>
            <rFont val="Tahoma"/>
            <family val="2"/>
          </rPr>
          <t>user:</t>
        </r>
        <r>
          <rPr>
            <sz val="9"/>
            <color indexed="81"/>
            <rFont val="Tahoma"/>
            <family val="2"/>
          </rPr>
          <t xml:space="preserve">
DIA SIGUIENTE</t>
        </r>
      </text>
    </comment>
    <comment ref="C420" authorId="0" shapeId="0" xr:uid="{00000000-0006-0000-5900-000034000000}">
      <text>
        <r>
          <rPr>
            <b/>
            <sz val="9"/>
            <color indexed="81"/>
            <rFont val="Tahoma"/>
            <family val="2"/>
          </rPr>
          <t>user:</t>
        </r>
        <r>
          <rPr>
            <sz val="9"/>
            <color indexed="81"/>
            <rFont val="Tahoma"/>
            <family val="2"/>
          </rPr>
          <t xml:space="preserve">
LO REEMPLAZARÁ EN AYACUCHO LA 2092, PORQUE LA 2209 SE QUEDÓ EN AEROPUERTO AYACUCHO  SALIO 15:55 2092</t>
        </r>
      </text>
    </comment>
    <comment ref="L433" authorId="0" shapeId="0" xr:uid="{00000000-0006-0000-5900-000035000000}">
      <text>
        <r>
          <rPr>
            <b/>
            <sz val="9"/>
            <color indexed="81"/>
            <rFont val="Tahoma"/>
            <family val="2"/>
          </rPr>
          <t>user:</t>
        </r>
        <r>
          <rPr>
            <sz val="9"/>
            <color indexed="81"/>
            <rFont val="Tahoma"/>
            <family val="2"/>
          </rPr>
          <t xml:space="preserve">
VER EL PRECIO</t>
        </r>
      </text>
    </comment>
    <comment ref="D447" authorId="0" shapeId="0" xr:uid="{00000000-0006-0000-5900-000036000000}">
      <text>
        <r>
          <rPr>
            <b/>
            <sz val="9"/>
            <color indexed="81"/>
            <rFont val="Tahoma"/>
            <family val="2"/>
          </rPr>
          <t>user:</t>
        </r>
        <r>
          <rPr>
            <sz val="9"/>
            <color indexed="81"/>
            <rFont val="Tahoma"/>
            <family val="2"/>
          </rPr>
          <t xml:space="preserve">
SALIÓ EL 2104 PERRO LUEGO BURBANO - SALUD EN AREQUIPA</t>
        </r>
      </text>
    </comment>
    <comment ref="T447" authorId="0" shapeId="0" xr:uid="{00000000-0006-0000-5900-000037000000}">
      <text>
        <r>
          <rPr>
            <b/>
            <sz val="9"/>
            <color indexed="81"/>
            <rFont val="Tahoma"/>
            <family val="2"/>
          </rPr>
          <t>user:</t>
        </r>
        <r>
          <rPr>
            <sz val="9"/>
            <color indexed="81"/>
            <rFont val="Tahoma"/>
            <family val="2"/>
          </rPr>
          <t xml:space="preserve">
BURBANO/VALLEJOS</t>
        </r>
      </text>
    </comment>
    <comment ref="U447" authorId="0" shapeId="0" xr:uid="{00000000-0006-0000-5900-000038000000}">
      <text>
        <r>
          <rPr>
            <b/>
            <sz val="9"/>
            <color indexed="81"/>
            <rFont val="Tahoma"/>
            <family val="2"/>
          </rPr>
          <t>user:</t>
        </r>
        <r>
          <rPr>
            <sz val="9"/>
            <color indexed="81"/>
            <rFont val="Tahoma"/>
            <family val="2"/>
          </rPr>
          <t xml:space="preserve">
20:00:00 a esta hora salio el 2209 LLEGO pero por motivo salud de BURBANO EN AREQUIPA SE TUVO QUE IR LA AERONAVE OB 2092 A REALIZAR EL VUELO </t>
        </r>
      </text>
    </comment>
    <comment ref="V454" authorId="0" shapeId="0" xr:uid="{00000000-0006-0000-5900-000039000000}">
      <text>
        <r>
          <rPr>
            <b/>
            <sz val="9"/>
            <color indexed="81"/>
            <rFont val="Tahoma"/>
            <family val="2"/>
          </rPr>
          <t>user:</t>
        </r>
        <r>
          <rPr>
            <sz val="9"/>
            <color indexed="81"/>
            <rFont val="Tahoma"/>
            <family val="2"/>
          </rPr>
          <t xml:space="preserve">
DIA SIGUIENTE</t>
        </r>
      </text>
    </comment>
    <comment ref="B463" authorId="0" shapeId="0" xr:uid="{00000000-0006-0000-5900-00003A000000}">
      <text>
        <r>
          <rPr>
            <b/>
            <sz val="9"/>
            <color indexed="81"/>
            <rFont val="Tahoma"/>
            <family val="2"/>
          </rPr>
          <t>user:</t>
        </r>
        <r>
          <rPr>
            <sz val="9"/>
            <color indexed="81"/>
            <rFont val="Tahoma"/>
            <family val="2"/>
          </rPr>
          <t xml:space="preserve">
AERO CARE AIR MEDICAL SERVICE</t>
        </r>
      </text>
    </comment>
    <comment ref="L463" authorId="0" shapeId="0" xr:uid="{00000000-0006-0000-5900-00003B000000}">
      <text>
        <r>
          <rPr>
            <b/>
            <sz val="9"/>
            <color indexed="81"/>
            <rFont val="Tahoma"/>
            <family val="2"/>
          </rPr>
          <t>user:</t>
        </r>
        <r>
          <rPr>
            <sz val="9"/>
            <color indexed="81"/>
            <rFont val="Tahoma"/>
            <family val="2"/>
          </rPr>
          <t xml:space="preserve">
15 de julio ingresó el dinero</t>
        </r>
      </text>
    </comment>
    <comment ref="V475" authorId="0" shapeId="0" xr:uid="{00000000-0006-0000-5900-00003C000000}">
      <text>
        <r>
          <rPr>
            <b/>
            <sz val="9"/>
            <color indexed="81"/>
            <rFont val="Tahoma"/>
            <family val="2"/>
          </rPr>
          <t>user:</t>
        </r>
        <r>
          <rPr>
            <sz val="9"/>
            <color indexed="81"/>
            <rFont val="Tahoma"/>
            <family val="2"/>
          </rPr>
          <t xml:space="preserve">
DIA SIGUIENTE</t>
        </r>
      </text>
    </comment>
    <comment ref="B476" authorId="0" shapeId="0" xr:uid="{00000000-0006-0000-5900-00003D000000}">
      <text>
        <r>
          <rPr>
            <b/>
            <sz val="9"/>
            <color indexed="81"/>
            <rFont val="Tahoma"/>
            <family val="2"/>
          </rPr>
          <t>user:</t>
        </r>
        <r>
          <rPr>
            <sz val="9"/>
            <color indexed="81"/>
            <rFont val="Tahoma"/>
            <family val="2"/>
          </rPr>
          <t xml:space="preserve">
NO TRASLADADO</t>
        </r>
      </text>
    </comment>
    <comment ref="C501" authorId="0" shapeId="0" xr:uid="{00000000-0006-0000-5900-00003E000000}">
      <text>
        <r>
          <rPr>
            <b/>
            <sz val="9"/>
            <color indexed="81"/>
            <rFont val="Tahoma"/>
            <family val="2"/>
          </rPr>
          <t>user:</t>
        </r>
        <r>
          <rPr>
            <sz val="9"/>
            <color indexed="81"/>
            <rFont val="Tahoma"/>
            <family val="2"/>
          </rPr>
          <t xml:space="preserve">
3 HORAS DE SPERTURA</t>
        </r>
      </text>
    </comment>
    <comment ref="V508" authorId="0" shapeId="0" xr:uid="{00000000-0006-0000-5900-00003F000000}">
      <text>
        <r>
          <rPr>
            <b/>
            <sz val="9"/>
            <color indexed="81"/>
            <rFont val="Tahoma"/>
            <family val="2"/>
          </rPr>
          <t>user:</t>
        </r>
        <r>
          <rPr>
            <sz val="9"/>
            <color indexed="81"/>
            <rFont val="Tahoma"/>
            <family val="2"/>
          </rPr>
          <t xml:space="preserve">
DIA SIGUIENTE</t>
        </r>
      </text>
    </comment>
    <comment ref="V509" authorId="0" shapeId="0" xr:uid="{00000000-0006-0000-5900-000040000000}">
      <text>
        <r>
          <rPr>
            <b/>
            <sz val="9"/>
            <color indexed="81"/>
            <rFont val="Tahoma"/>
            <family val="2"/>
          </rPr>
          <t>user:</t>
        </r>
        <r>
          <rPr>
            <sz val="9"/>
            <color indexed="81"/>
            <rFont val="Tahoma"/>
            <family val="2"/>
          </rPr>
          <t xml:space="preserve">
DIA SIGUIENTE</t>
        </r>
      </text>
    </comment>
    <comment ref="B528" authorId="0" shapeId="0" xr:uid="{00000000-0006-0000-5900-000041000000}">
      <text>
        <r>
          <rPr>
            <b/>
            <sz val="9"/>
            <color indexed="81"/>
            <rFont val="Tahoma"/>
            <family val="2"/>
          </rPr>
          <t>user:</t>
        </r>
        <r>
          <rPr>
            <sz val="9"/>
            <color indexed="81"/>
            <rFont val="Tahoma"/>
            <family val="2"/>
          </rPr>
          <t xml:space="preserve">
PPAGO 7000 Y LUEGO LA DIFERENCIA 1180
</t>
        </r>
      </text>
    </comment>
    <comment ref="F536" authorId="0" shapeId="0" xr:uid="{00000000-0006-0000-5900-000042000000}">
      <text>
        <r>
          <rPr>
            <b/>
            <sz val="9"/>
            <color indexed="81"/>
            <rFont val="Tahoma"/>
            <family val="2"/>
          </rPr>
          <t>user:</t>
        </r>
        <r>
          <rPr>
            <sz val="9"/>
            <color indexed="81"/>
            <rFont val="Tahoma"/>
            <family val="2"/>
          </rPr>
          <t xml:space="preserve">
RIJ-LIM   ESTA ERA LA RUTA, PERO POR CUESTIONES METEREOLOGICAS, TUVO QUE PERNOCTAR HASTA EL DIA SIGUIENTE EN TARAPOTO</t>
        </r>
      </text>
    </comment>
    <comment ref="V536" authorId="0" shapeId="0" xr:uid="{00000000-0006-0000-5900-000043000000}">
      <text>
        <r>
          <rPr>
            <b/>
            <sz val="9"/>
            <color indexed="81"/>
            <rFont val="Tahoma"/>
            <family val="2"/>
          </rPr>
          <t>user:</t>
        </r>
        <r>
          <rPr>
            <sz val="9"/>
            <color indexed="81"/>
            <rFont val="Tahoma"/>
            <family val="2"/>
          </rPr>
          <t xml:space="preserve">
PERNOCTÓ EN TARAPOTO, LUEGO SE TRAJO AL PACIENTE EL DIA SIGUIENTE
</t>
        </r>
      </text>
    </comment>
    <comment ref="B538" authorId="0" shapeId="0" xr:uid="{00000000-0006-0000-5900-000044000000}">
      <text>
        <r>
          <rPr>
            <b/>
            <sz val="9"/>
            <color indexed="81"/>
            <rFont val="Tahoma"/>
            <family val="2"/>
          </rPr>
          <t>user:</t>
        </r>
        <r>
          <rPr>
            <sz val="9"/>
            <color indexed="81"/>
            <rFont val="Tahoma"/>
            <family val="2"/>
          </rPr>
          <t xml:space="preserve">
B001-72 TIENE INVOICE
EVAC INC 24/7 AIR</t>
        </r>
      </text>
    </comment>
    <comment ref="L538" authorId="0" shapeId="0" xr:uid="{00000000-0006-0000-5900-000045000000}">
      <text>
        <r>
          <rPr>
            <b/>
            <sz val="9"/>
            <color indexed="81"/>
            <rFont val="Tahoma"/>
            <family val="2"/>
          </rPr>
          <t>user:</t>
        </r>
        <r>
          <rPr>
            <sz val="9"/>
            <color indexed="81"/>
            <rFont val="Tahoma"/>
            <family val="2"/>
          </rPr>
          <t xml:space="preserve">
11500 COTIZACION</t>
        </r>
      </text>
    </comment>
    <comment ref="B545" authorId="0" shapeId="0" xr:uid="{00000000-0006-0000-5900-000046000000}">
      <text>
        <r>
          <rPr>
            <b/>
            <sz val="9"/>
            <color indexed="81"/>
            <rFont val="Tahoma"/>
            <family val="2"/>
          </rPr>
          <t>user:</t>
        </r>
        <r>
          <rPr>
            <sz val="9"/>
            <color indexed="81"/>
            <rFont val="Tahoma"/>
            <family val="2"/>
          </rPr>
          <t xml:space="preserve">
F001-2972 FACTURA MAJORO
OJO DEPOSITÓ 29,600 SE TUVO QUE DEVOLVER 2700</t>
        </r>
      </text>
    </comment>
    <comment ref="C546" authorId="0" shapeId="0" xr:uid="{00000000-0006-0000-5900-000047000000}">
      <text>
        <r>
          <rPr>
            <b/>
            <sz val="9"/>
            <color indexed="81"/>
            <rFont val="Tahoma"/>
            <family val="2"/>
          </rPr>
          <t>user:</t>
        </r>
        <r>
          <rPr>
            <sz val="9"/>
            <color indexed="81"/>
            <rFont val="Tahoma"/>
            <family val="2"/>
          </rPr>
          <t xml:space="preserve">
FACTURADO EN ABRIL DEL 2025</t>
        </r>
      </text>
    </comment>
    <comment ref="V547" authorId="0" shapeId="0" xr:uid="{00000000-0006-0000-5900-000048000000}">
      <text>
        <r>
          <rPr>
            <b/>
            <sz val="9"/>
            <color indexed="81"/>
            <rFont val="Tahoma"/>
            <family val="2"/>
          </rPr>
          <t>user:</t>
        </r>
        <r>
          <rPr>
            <sz val="9"/>
            <color indexed="81"/>
            <rFont val="Tahoma"/>
            <family val="2"/>
          </rPr>
          <t xml:space="preserve">
dia siguiente</t>
        </r>
      </text>
    </comment>
    <comment ref="V565" authorId="0" shapeId="0" xr:uid="{00000000-0006-0000-5900-000049000000}">
      <text>
        <r>
          <rPr>
            <b/>
            <sz val="9"/>
            <color indexed="81"/>
            <rFont val="Tahoma"/>
            <family val="2"/>
          </rPr>
          <t>user:</t>
        </r>
        <r>
          <rPr>
            <sz val="9"/>
            <color indexed="81"/>
            <rFont val="Tahoma"/>
            <family val="2"/>
          </rPr>
          <t xml:space="preserve">
DIA SIGUIENTE
</t>
        </r>
      </text>
    </comment>
    <comment ref="V572" authorId="0" shapeId="0" xr:uid="{00000000-0006-0000-5900-00004A000000}">
      <text>
        <r>
          <rPr>
            <b/>
            <sz val="9"/>
            <color indexed="81"/>
            <rFont val="Tahoma"/>
            <family val="2"/>
          </rPr>
          <t>user:</t>
        </r>
        <r>
          <rPr>
            <sz val="9"/>
            <color indexed="81"/>
            <rFont val="Tahoma"/>
            <family val="2"/>
          </rPr>
          <t xml:space="preserve">
DIA SIGUIENTE</t>
        </r>
      </text>
    </comment>
    <comment ref="C590" authorId="0" shapeId="0" xr:uid="{00000000-0006-0000-5900-00004B000000}">
      <text>
        <r>
          <rPr>
            <b/>
            <sz val="9"/>
            <color indexed="81"/>
            <rFont val="Tahoma"/>
            <family val="2"/>
          </rPr>
          <t>user:</t>
        </r>
        <r>
          <rPr>
            <sz val="9"/>
            <color indexed="81"/>
            <rFont val="Tahoma"/>
            <family val="2"/>
          </rPr>
          <t xml:space="preserve">
NO VINO EL PACIENTE</t>
        </r>
      </text>
    </comment>
    <comment ref="C610" authorId="0" shapeId="0" xr:uid="{00000000-0006-0000-5900-00004C000000}">
      <text>
        <r>
          <rPr>
            <b/>
            <sz val="9"/>
            <color indexed="81"/>
            <rFont val="Tahoma"/>
            <family val="2"/>
          </rPr>
          <t>user:</t>
        </r>
        <r>
          <rPr>
            <sz val="9"/>
            <color indexed="81"/>
            <rFont val="Tahoma"/>
            <family val="2"/>
          </rPr>
          <t xml:space="preserve">
EL 07  PAGO 4192
EL 06 PAGÓ 1000
2200 LA HORA SE COBRÓ
</t>
        </r>
      </text>
    </comment>
    <comment ref="B626" authorId="0" shapeId="0" xr:uid="{00000000-0006-0000-5900-00004D000000}">
      <text>
        <r>
          <rPr>
            <b/>
            <sz val="9"/>
            <color indexed="81"/>
            <rFont val="Tahoma"/>
            <family val="2"/>
          </rPr>
          <t>user:</t>
        </r>
        <r>
          <rPr>
            <sz val="9"/>
            <color indexed="81"/>
            <rFont val="Tahoma"/>
            <family val="2"/>
          </rPr>
          <t xml:space="preserve">
TURISTAS
</t>
        </r>
      </text>
    </comment>
    <comment ref="K628" authorId="0" shapeId="0" xr:uid="{00000000-0006-0000-5900-00004E000000}">
      <text>
        <r>
          <rPr>
            <b/>
            <sz val="9"/>
            <color indexed="81"/>
            <rFont val="Tahoma"/>
            <family val="2"/>
          </rPr>
          <t>user:</t>
        </r>
        <r>
          <rPr>
            <sz val="9"/>
            <color indexed="81"/>
            <rFont val="Tahoma"/>
            <family val="2"/>
          </rPr>
          <t xml:space="preserve">
14160 dolares al tipo de cambio
</t>
        </r>
      </text>
    </comment>
    <comment ref="V636" authorId="0" shapeId="0" xr:uid="{00000000-0006-0000-5900-00004F000000}">
      <text>
        <r>
          <rPr>
            <b/>
            <sz val="9"/>
            <color indexed="81"/>
            <rFont val="Tahoma"/>
            <family val="2"/>
          </rPr>
          <t>user:</t>
        </r>
        <r>
          <rPr>
            <sz val="9"/>
            <color indexed="81"/>
            <rFont val="Tahoma"/>
            <family val="2"/>
          </rPr>
          <t xml:space="preserve">
PERNOPCTÓ REGRESÓ AL DIA SIGUIENTE</t>
        </r>
      </text>
    </comment>
    <comment ref="L637" authorId="0" shapeId="0" xr:uid="{00000000-0006-0000-5900-000050000000}">
      <text>
        <r>
          <rPr>
            <b/>
            <sz val="9"/>
            <color indexed="81"/>
            <rFont val="Tahoma"/>
            <family val="2"/>
          </rPr>
          <t>user:</t>
        </r>
        <r>
          <rPr>
            <sz val="9"/>
            <color indexed="81"/>
            <rFont val="Tahoma"/>
            <family val="2"/>
          </rPr>
          <t xml:space="preserve">
PAGO EL 19-09-24 EN BCP</t>
        </r>
      </text>
    </comment>
    <comment ref="B639" authorId="0" shapeId="0" xr:uid="{00000000-0006-0000-5900-000051000000}">
      <text>
        <r>
          <rPr>
            <b/>
            <sz val="9"/>
            <color indexed="81"/>
            <rFont val="Tahoma"/>
            <family val="2"/>
          </rPr>
          <t>user:</t>
        </r>
        <r>
          <rPr>
            <sz val="9"/>
            <color indexed="81"/>
            <rFont val="Tahoma"/>
            <family val="2"/>
          </rPr>
          <t xml:space="preserve">
TURISTAS
</t>
        </r>
      </text>
    </comment>
    <comment ref="L641" authorId="0" shapeId="0" xr:uid="{00000000-0006-0000-5900-000052000000}">
      <text>
        <r>
          <rPr>
            <b/>
            <sz val="9"/>
            <color indexed="81"/>
            <rFont val="Tahoma"/>
            <family val="2"/>
          </rPr>
          <t>user:</t>
        </r>
        <r>
          <rPr>
            <sz val="9"/>
            <color indexed="81"/>
            <rFont val="Tahoma"/>
            <family val="2"/>
          </rPr>
          <t xml:space="preserve">
PAGÓ UNA PARTE </t>
        </r>
      </text>
    </comment>
    <comment ref="B645" authorId="0" shapeId="0" xr:uid="{00000000-0006-0000-5900-000053000000}">
      <text>
        <r>
          <rPr>
            <b/>
            <sz val="9"/>
            <color indexed="81"/>
            <rFont val="Tahoma"/>
            <family val="2"/>
          </rPr>
          <t>user:</t>
        </r>
        <r>
          <rPr>
            <sz val="9"/>
            <color indexed="81"/>
            <rFont val="Tahoma"/>
            <family val="2"/>
          </rPr>
          <t xml:space="preserve">
PAGÓ AL CONTADO</t>
        </r>
      </text>
    </comment>
    <comment ref="B646" authorId="0" shapeId="0" xr:uid="{00000000-0006-0000-5900-000054000000}">
      <text>
        <r>
          <rPr>
            <b/>
            <sz val="9"/>
            <color indexed="81"/>
            <rFont val="Tahoma"/>
            <family val="2"/>
          </rPr>
          <t>user:</t>
        </r>
        <r>
          <rPr>
            <sz val="9"/>
            <color indexed="81"/>
            <rFont val="Tahoma"/>
            <family val="2"/>
          </rPr>
          <t xml:space="preserve">
COMPENSACION CON DEUDA D EHORAS ALQUILER DE HANGAR</t>
        </r>
      </text>
    </comment>
    <comment ref="C646" authorId="0" shapeId="0" xr:uid="{00000000-0006-0000-5900-000055000000}">
      <text>
        <r>
          <rPr>
            <b/>
            <sz val="9"/>
            <color indexed="81"/>
            <rFont val="Tahoma"/>
            <family val="2"/>
          </rPr>
          <t>user:</t>
        </r>
        <r>
          <rPr>
            <sz val="9"/>
            <color indexed="81"/>
            <rFont val="Tahoma"/>
            <family val="2"/>
          </rPr>
          <t xml:space="preserve">
hubo apertura esperamos la factura del aeropuerto para adicionar al precio</t>
        </r>
      </text>
    </comment>
    <comment ref="B648" authorId="0" shapeId="0" xr:uid="{00000000-0006-0000-5900-000056000000}">
      <text>
        <r>
          <rPr>
            <b/>
            <sz val="9"/>
            <color indexed="81"/>
            <rFont val="Tahoma"/>
            <family val="2"/>
          </rPr>
          <t>user:</t>
        </r>
        <r>
          <rPr>
            <sz val="9"/>
            <color indexed="81"/>
            <rFont val="Tahoma"/>
            <family val="2"/>
          </rPr>
          <t xml:space="preserve">
mencionaron que no quieren comprobante d epago</t>
        </r>
      </text>
    </comment>
    <comment ref="L648" authorId="0" shapeId="0" xr:uid="{00000000-0006-0000-5900-000057000000}">
      <text>
        <r>
          <rPr>
            <b/>
            <sz val="9"/>
            <color indexed="81"/>
            <rFont val="Tahoma"/>
            <family val="2"/>
          </rPr>
          <t>user:</t>
        </r>
        <r>
          <rPr>
            <sz val="9"/>
            <color indexed="81"/>
            <rFont val="Tahoma"/>
            <family val="2"/>
          </rPr>
          <t xml:space="preserve">
9440 PAGO CON TARJETA DOMINGO 15-09-24
DESCONTARON 5%
</t>
        </r>
      </text>
    </comment>
    <comment ref="V660" authorId="1" shapeId="0" xr:uid="{00000000-0006-0000-5900-000058000000}">
      <text>
        <r>
          <rPr>
            <b/>
            <sz val="9"/>
            <color indexed="81"/>
            <rFont val="Tahoma"/>
            <family val="2"/>
          </rPr>
          <t>Sonia:</t>
        </r>
        <r>
          <rPr>
            <sz val="9"/>
            <color indexed="81"/>
            <rFont val="Tahoma"/>
            <family val="2"/>
          </rPr>
          <t xml:space="preserve">
DIA SIGUIENTE</t>
        </r>
      </text>
    </comment>
    <comment ref="K680" authorId="1" shapeId="0" xr:uid="{00000000-0006-0000-5900-000059000000}">
      <text>
        <r>
          <rPr>
            <b/>
            <sz val="9"/>
            <color indexed="81"/>
            <rFont val="Tahoma"/>
            <family val="2"/>
          </rPr>
          <t>Sonia:</t>
        </r>
        <r>
          <rPr>
            <sz val="9"/>
            <color indexed="81"/>
            <rFont val="Tahoma"/>
            <family val="2"/>
          </rPr>
          <t xml:space="preserve">
FACTURAR POR ESTA CANTIDAD SIN EMBARGO SE TENDRA 2690 QUE ENTREGAR AL COMISIONISTA DEL VUELO DEL HOSP REG PUCALLPA
</t>
        </r>
      </text>
    </comment>
    <comment ref="V681" authorId="0" shapeId="0" xr:uid="{00000000-0006-0000-5900-00005A000000}">
      <text>
        <r>
          <rPr>
            <b/>
            <sz val="9"/>
            <color indexed="81"/>
            <rFont val="Tahoma"/>
            <family val="2"/>
          </rPr>
          <t>user:</t>
        </r>
        <r>
          <rPr>
            <sz val="9"/>
            <color indexed="81"/>
            <rFont val="Tahoma"/>
            <family val="2"/>
          </rPr>
          <t xml:space="preserve">
FUE A PUCALLPA PORQUE HAY UN TRASLADO DE ESSALUD
</t>
        </r>
      </text>
    </comment>
    <comment ref="B698" authorId="1" shapeId="0" xr:uid="{00000000-0006-0000-5900-00005B000000}">
      <text>
        <r>
          <rPr>
            <b/>
            <sz val="9"/>
            <color indexed="81"/>
            <rFont val="Tahoma"/>
            <family val="2"/>
          </rPr>
          <t>Sonia:</t>
        </r>
        <r>
          <rPr>
            <sz val="9"/>
            <color indexed="81"/>
            <rFont val="Tahoma"/>
            <family val="2"/>
          </rPr>
          <t xml:space="preserve">
EL DIA 9 LO PAGARON EL SERVICIO</t>
        </r>
      </text>
    </comment>
    <comment ref="B701" authorId="1" shapeId="0" xr:uid="{00000000-0006-0000-5900-00005C000000}">
      <text>
        <r>
          <rPr>
            <b/>
            <sz val="9"/>
            <color indexed="81"/>
            <rFont val="Tahoma"/>
            <family val="2"/>
          </rPr>
          <t>Sonia:</t>
        </r>
        <r>
          <rPr>
            <sz val="9"/>
            <color indexed="81"/>
            <rFont val="Tahoma"/>
            <family val="2"/>
          </rPr>
          <t xml:space="preserve">
SE MALOGRÓ 2209 EL DIA SIGUIENTE FUE EL 2104
</t>
        </r>
      </text>
    </comment>
    <comment ref="T712" authorId="0" shapeId="0" xr:uid="{00000000-0006-0000-5900-00005D000000}">
      <text>
        <r>
          <rPr>
            <b/>
            <sz val="9"/>
            <color indexed="81"/>
            <rFont val="Tahoma"/>
            <family val="2"/>
          </rPr>
          <t>user:</t>
        </r>
        <r>
          <rPr>
            <sz val="9"/>
            <color indexed="81"/>
            <rFont val="Tahoma"/>
            <family val="2"/>
          </rPr>
          <t xml:space="preserve">
AL ATERRIZAJE DICE BENAVENTE/SANCHEZ</t>
        </r>
      </text>
    </comment>
    <comment ref="B713" authorId="0" shapeId="0" xr:uid="{00000000-0006-0000-5900-00005E000000}">
      <text>
        <r>
          <rPr>
            <b/>
            <sz val="9"/>
            <color indexed="81"/>
            <rFont val="Tahoma"/>
            <family val="2"/>
          </rPr>
          <t>user:</t>
        </r>
        <r>
          <rPr>
            <sz val="9"/>
            <color indexed="81"/>
            <rFont val="Tahoma"/>
            <family val="2"/>
          </rPr>
          <t xml:space="preserve">
PAGÓ 14-10-24
F001-3136</t>
        </r>
      </text>
    </comment>
    <comment ref="B714" authorId="0" shapeId="0" xr:uid="{00000000-0006-0000-5900-00005F000000}">
      <text>
        <r>
          <rPr>
            <b/>
            <sz val="9"/>
            <color indexed="81"/>
            <rFont val="Tahoma"/>
            <family val="2"/>
          </rPr>
          <t>user:</t>
        </r>
        <r>
          <rPr>
            <sz val="9"/>
            <color indexed="81"/>
            <rFont val="Tahoma"/>
            <family val="2"/>
          </rPr>
          <t xml:space="preserve">
ESCOLTA MEDICA
</t>
        </r>
      </text>
    </comment>
    <comment ref="K723" authorId="0" shapeId="0" xr:uid="{00000000-0006-0000-5900-000060000000}">
      <text>
        <r>
          <rPr>
            <b/>
            <sz val="9"/>
            <color indexed="81"/>
            <rFont val="Tahoma"/>
            <family val="2"/>
          </rPr>
          <t>user:</t>
        </r>
        <r>
          <rPr>
            <sz val="9"/>
            <color indexed="81"/>
            <rFont val="Tahoma"/>
            <family val="2"/>
          </rPr>
          <t xml:space="preserve">
SE USÓ 3.8 EL TIPO DE CAMBIO</t>
        </r>
      </text>
    </comment>
    <comment ref="L725" authorId="0" shapeId="0" xr:uid="{00000000-0006-0000-5900-000061000000}">
      <text>
        <r>
          <rPr>
            <b/>
            <sz val="9"/>
            <color indexed="81"/>
            <rFont val="Tahoma"/>
            <family val="2"/>
          </rPr>
          <t>user:</t>
        </r>
        <r>
          <rPr>
            <sz val="9"/>
            <color indexed="81"/>
            <rFont val="Tahoma"/>
            <family val="2"/>
          </rPr>
          <t xml:space="preserve">
DEPOSITARON 3000+ LO DEMAS SERIA A LA OPERACION</t>
        </r>
      </text>
    </comment>
    <comment ref="U727" authorId="0" shapeId="0" xr:uid="{00000000-0006-0000-5900-000062000000}">
      <text>
        <r>
          <rPr>
            <b/>
            <sz val="9"/>
            <color indexed="81"/>
            <rFont val="Tahoma"/>
            <family val="2"/>
          </rPr>
          <t>user:</t>
        </r>
        <r>
          <rPr>
            <sz val="9"/>
            <color indexed="81"/>
            <rFont val="Tahoma"/>
            <family val="2"/>
          </rPr>
          <t xml:space="preserve">
SALIO 7 Y 6 LUEGO RETORNO ATERRIZÓ 8 Y 28</t>
        </r>
      </text>
    </comment>
    <comment ref="V742" authorId="0" shapeId="0" xr:uid="{00000000-0006-0000-5900-000063000000}">
      <text>
        <r>
          <rPr>
            <b/>
            <sz val="9"/>
            <color indexed="81"/>
            <rFont val="Tahoma"/>
            <family val="2"/>
          </rPr>
          <t>user:</t>
        </r>
        <r>
          <rPr>
            <sz val="9"/>
            <color indexed="81"/>
            <rFont val="Tahoma"/>
            <family val="2"/>
          </rPr>
          <t xml:space="preserve">
DIA SIGUIENTE</t>
        </r>
      </text>
    </comment>
    <comment ref="V743" authorId="0" shapeId="0" xr:uid="{00000000-0006-0000-5900-000064000000}">
      <text>
        <r>
          <rPr>
            <b/>
            <sz val="9"/>
            <color indexed="81"/>
            <rFont val="Tahoma"/>
            <family val="2"/>
          </rPr>
          <t>user:</t>
        </r>
        <r>
          <rPr>
            <sz val="9"/>
            <color indexed="81"/>
            <rFont val="Tahoma"/>
            <family val="2"/>
          </rPr>
          <t xml:space="preserve">
DIA SIGUIENTE</t>
        </r>
      </text>
    </comment>
    <comment ref="B749" authorId="0" shapeId="0" xr:uid="{00000000-0006-0000-5900-000065000000}">
      <text>
        <r>
          <rPr>
            <b/>
            <sz val="9"/>
            <color indexed="81"/>
            <rFont val="Tahoma"/>
            <family val="2"/>
          </rPr>
          <t>user:</t>
        </r>
        <r>
          <rPr>
            <sz val="9"/>
            <color indexed="81"/>
            <rFont val="Tahoma"/>
            <family val="2"/>
          </rPr>
          <t xml:space="preserve">
ESCOLTA MEDICA
</t>
        </r>
      </text>
    </comment>
    <comment ref="V750" authorId="0" shapeId="0" xr:uid="{00000000-0006-0000-5900-000066000000}">
      <text>
        <r>
          <rPr>
            <b/>
            <sz val="9"/>
            <color indexed="81"/>
            <rFont val="Tahoma"/>
            <family val="2"/>
          </rPr>
          <t>user:</t>
        </r>
        <r>
          <rPr>
            <sz val="9"/>
            <color indexed="81"/>
            <rFont val="Tahoma"/>
            <family val="2"/>
          </rPr>
          <t xml:space="preserve">
DIA SIGUIENTE</t>
        </r>
      </text>
    </comment>
    <comment ref="L751" authorId="0" shapeId="0" xr:uid="{00000000-0006-0000-5900-000067000000}">
      <text>
        <r>
          <rPr>
            <b/>
            <sz val="9"/>
            <color indexed="81"/>
            <rFont val="Tahoma"/>
            <family val="2"/>
          </rPr>
          <t>user:</t>
        </r>
        <r>
          <rPr>
            <sz val="9"/>
            <color indexed="81"/>
            <rFont val="Tahoma"/>
            <family val="2"/>
          </rPr>
          <t xml:space="preserve">
DEPOSITÓ 8932 EN EL BCP</t>
        </r>
      </text>
    </comment>
    <comment ref="L758" authorId="0" shapeId="0" xr:uid="{00000000-0006-0000-5900-000068000000}">
      <text>
        <r>
          <rPr>
            <b/>
            <sz val="9"/>
            <color indexed="81"/>
            <rFont val="Tahoma"/>
            <family val="2"/>
          </rPr>
          <t>user:</t>
        </r>
        <r>
          <rPr>
            <sz val="9"/>
            <color indexed="81"/>
            <rFont val="Tahoma"/>
            <family val="2"/>
          </rPr>
          <t xml:space="preserve">
PAGADA EN ESTA FECHA</t>
        </r>
      </text>
    </comment>
    <comment ref="C781" authorId="0" shapeId="0" xr:uid="{00000000-0006-0000-5900-000069000000}">
      <text>
        <r>
          <rPr>
            <b/>
            <sz val="9"/>
            <color indexed="81"/>
            <rFont val="Tahoma"/>
            <family val="2"/>
          </rPr>
          <t>user:</t>
        </r>
        <r>
          <rPr>
            <sz val="9"/>
            <color indexed="81"/>
            <rFont val="Tahoma"/>
            <family val="2"/>
          </rPr>
          <t xml:space="preserve">
CONTRAREFERENCIA LIMA-AYACUCHO- LUEGO PASARA POR CUSCO Y TRAERA PACIENTE </t>
        </r>
      </text>
    </comment>
    <comment ref="V781" authorId="0" shapeId="0" xr:uid="{00000000-0006-0000-5900-00006A000000}">
      <text>
        <r>
          <rPr>
            <b/>
            <sz val="9"/>
            <color indexed="81"/>
            <rFont val="Tahoma"/>
            <family val="2"/>
          </rPr>
          <t>user:</t>
        </r>
        <r>
          <rPr>
            <sz val="9"/>
            <color indexed="81"/>
            <rFont val="Tahoma"/>
            <family val="2"/>
          </rPr>
          <t xml:space="preserve">
CUSCO</t>
        </r>
      </text>
    </comment>
    <comment ref="C789" authorId="0" shapeId="0" xr:uid="{00000000-0006-0000-5900-00006B000000}">
      <text>
        <r>
          <rPr>
            <b/>
            <sz val="9"/>
            <color indexed="81"/>
            <rFont val="Tahoma"/>
            <family val="2"/>
          </rPr>
          <t>user:</t>
        </r>
        <r>
          <rPr>
            <sz val="9"/>
            <color indexed="81"/>
            <rFont val="Tahoma"/>
            <family val="2"/>
          </rPr>
          <t xml:space="preserve">
CONTI 07/11
</t>
        </r>
      </text>
    </comment>
    <comment ref="V791" authorId="0" shapeId="0" xr:uid="{00000000-0006-0000-5900-00006C000000}">
      <text>
        <r>
          <rPr>
            <b/>
            <sz val="9"/>
            <color indexed="81"/>
            <rFont val="Tahoma"/>
            <family val="2"/>
          </rPr>
          <t>user:</t>
        </r>
        <r>
          <rPr>
            <sz val="9"/>
            <color indexed="81"/>
            <rFont val="Tahoma"/>
            <family val="2"/>
          </rPr>
          <t xml:space="preserve">
DIA SIGUIENTE</t>
        </r>
      </text>
    </comment>
    <comment ref="V792" authorId="0" shapeId="0" xr:uid="{00000000-0006-0000-5900-00006D000000}">
      <text>
        <r>
          <rPr>
            <b/>
            <sz val="9"/>
            <color indexed="81"/>
            <rFont val="Tahoma"/>
            <family val="2"/>
          </rPr>
          <t>user:</t>
        </r>
        <r>
          <rPr>
            <sz val="9"/>
            <color indexed="81"/>
            <rFont val="Tahoma"/>
            <family val="2"/>
          </rPr>
          <t xml:space="preserve">
DIA SIGUIENTE</t>
        </r>
      </text>
    </comment>
    <comment ref="V800" authorId="0" shapeId="0" xr:uid="{00000000-0006-0000-5900-00006E000000}">
      <text>
        <r>
          <rPr>
            <b/>
            <sz val="9"/>
            <color indexed="81"/>
            <rFont val="Tahoma"/>
            <family val="2"/>
          </rPr>
          <t>user:</t>
        </r>
        <r>
          <rPr>
            <sz val="9"/>
            <color indexed="81"/>
            <rFont val="Tahoma"/>
            <family val="2"/>
          </rPr>
          <t xml:space="preserve">
DIA SIGUIENTE</t>
        </r>
      </text>
    </comment>
    <comment ref="V806" authorId="1" shapeId="0" xr:uid="{00000000-0006-0000-5900-00006F000000}">
      <text>
        <r>
          <rPr>
            <b/>
            <sz val="9"/>
            <color indexed="81"/>
            <rFont val="Tahoma"/>
            <family val="2"/>
          </rPr>
          <t>Sonia:</t>
        </r>
        <r>
          <rPr>
            <sz val="9"/>
            <color indexed="81"/>
            <rFont val="Tahoma"/>
            <family val="2"/>
          </rPr>
          <t xml:space="preserve">
DIA SIGUIENTE</t>
        </r>
      </text>
    </comment>
    <comment ref="B814" authorId="1" shapeId="0" xr:uid="{00000000-0006-0000-5900-000070000000}">
      <text>
        <r>
          <rPr>
            <b/>
            <sz val="9"/>
            <color indexed="81"/>
            <rFont val="Tahoma"/>
            <family val="2"/>
          </rPr>
          <t>Sonia:</t>
        </r>
        <r>
          <rPr>
            <sz val="9"/>
            <color indexed="81"/>
            <rFont val="Tahoma"/>
            <family val="2"/>
          </rPr>
          <t xml:space="preserve">
pagó en esta fecha
</t>
        </r>
      </text>
    </comment>
    <comment ref="C835" authorId="0" shapeId="0" xr:uid="{00000000-0006-0000-5900-000071000000}">
      <text>
        <r>
          <rPr>
            <b/>
            <sz val="9"/>
            <color indexed="81"/>
            <rFont val="Tahoma"/>
            <family val="2"/>
          </rPr>
          <t>user:</t>
        </r>
        <r>
          <rPr>
            <sz val="9"/>
            <color indexed="81"/>
            <rFont val="Tahoma"/>
            <family val="2"/>
          </rPr>
          <t xml:space="preserve">
EN EL VUELO DE TPP-IQT SE APROVECHÓ DE TRAER AL PACIENTE, DE IQUITOS 2209 SALIÓ LIM-TPP-IQT-LIM 
</t>
        </r>
      </text>
    </comment>
    <comment ref="L861" authorId="0" shapeId="0" xr:uid="{00000000-0006-0000-5900-000072000000}">
      <text>
        <r>
          <rPr>
            <b/>
            <sz val="9"/>
            <color indexed="81"/>
            <rFont val="Tahoma"/>
            <family val="2"/>
          </rPr>
          <t>user:</t>
        </r>
        <r>
          <rPr>
            <sz val="9"/>
            <color indexed="81"/>
            <rFont val="Tahoma"/>
            <family val="2"/>
          </rPr>
          <t xml:space="preserve">
PAGÓ 11,385
</t>
        </r>
      </text>
    </comment>
    <comment ref="K875" authorId="0" shapeId="0" xr:uid="{00000000-0006-0000-5900-000073000000}">
      <text>
        <r>
          <rPr>
            <b/>
            <sz val="9"/>
            <color indexed="81"/>
            <rFont val="Tahoma"/>
            <family val="2"/>
          </rPr>
          <t>user:</t>
        </r>
        <r>
          <rPr>
            <sz val="9"/>
            <color indexed="81"/>
            <rFont val="Tahoma"/>
            <family val="2"/>
          </rPr>
          <t xml:space="preserve">
SE FACTURÓ 2024 POR S7 75000, LA DIFERENCIA SE FACTURARÁ EN 2025</t>
        </r>
      </text>
    </comment>
    <comment ref="B891" authorId="0" shapeId="0" xr:uid="{00000000-0006-0000-5900-000074000000}">
      <text>
        <r>
          <rPr>
            <b/>
            <sz val="9"/>
            <color indexed="81"/>
            <rFont val="Tahoma"/>
            <family val="2"/>
          </rPr>
          <t>user:</t>
        </r>
        <r>
          <rPr>
            <sz val="9"/>
            <color indexed="81"/>
            <rFont val="Tahoma"/>
            <family val="2"/>
          </rPr>
          <t xml:space="preserve">
NO ESTABA CONFIRMADO, AVISARON QUE NO VA EL VUELO 11:58, CUANDO LA AERONAVE YA ESTABA POR LLEGAR A TARAPOTO- VUELO PERDIDO</t>
        </r>
      </text>
    </comment>
    <comment ref="V915" authorId="1" shapeId="0" xr:uid="{00000000-0006-0000-5900-000075000000}">
      <text>
        <r>
          <rPr>
            <b/>
            <sz val="9"/>
            <color indexed="81"/>
            <rFont val="Tahoma"/>
            <family val="2"/>
          </rPr>
          <t>Sonia:</t>
        </r>
        <r>
          <rPr>
            <sz val="9"/>
            <color indexed="81"/>
            <rFont val="Tahoma"/>
            <family val="2"/>
          </rPr>
          <t xml:space="preserve">
DIA SIGUIENTE</t>
        </r>
      </text>
    </comment>
    <comment ref="V932" authorId="0" shapeId="0" xr:uid="{00000000-0006-0000-5900-000076000000}">
      <text>
        <r>
          <rPr>
            <b/>
            <sz val="9"/>
            <color indexed="81"/>
            <rFont val="Tahoma"/>
            <family val="2"/>
          </rPr>
          <t>user:</t>
        </r>
        <r>
          <rPr>
            <sz val="9"/>
            <color indexed="81"/>
            <rFont val="Tahoma"/>
            <family val="2"/>
          </rPr>
          <t xml:space="preserve">
DIA SIGUIENTE</t>
        </r>
      </text>
    </comment>
  </commentList>
</comments>
</file>

<file path=xl/comments69.xml><?xml version="1.0" encoding="utf-8"?>
<comments xmlns="http://schemas.openxmlformats.org/spreadsheetml/2006/main" xmlns:mc="http://schemas.openxmlformats.org/markup-compatibility/2006" xmlns:xr="http://schemas.microsoft.com/office/spreadsheetml/2014/revision" mc:Ignorable="xr">
  <authors>
    <author>Sonia Diaz</author>
    <author>user</author>
    <author>Admin</author>
  </authors>
  <commentList>
    <comment ref="C18" authorId="0" shapeId="0" xr:uid="{00000000-0006-0000-5A00-000001000000}">
      <text>
        <r>
          <rPr>
            <b/>
            <sz val="9"/>
            <color indexed="81"/>
            <rFont val="Tahoma"/>
            <family val="2"/>
          </rPr>
          <t>Sonia Diaz:</t>
        </r>
        <r>
          <rPr>
            <sz val="9"/>
            <color indexed="81"/>
            <rFont val="Tahoma"/>
            <family val="2"/>
          </rPr>
          <t xml:space="preserve">
PERNOCTO HASTA EL DIA SIGUIENTE</t>
        </r>
      </text>
    </comment>
    <comment ref="V20" authorId="0" shapeId="0" xr:uid="{00000000-0006-0000-5A00-000002000000}">
      <text>
        <r>
          <rPr>
            <b/>
            <sz val="9"/>
            <color indexed="81"/>
            <rFont val="Tahoma"/>
            <family val="2"/>
          </rPr>
          <t>Sonia Diaz:</t>
        </r>
        <r>
          <rPr>
            <sz val="9"/>
            <color indexed="81"/>
            <rFont val="Tahoma"/>
            <family val="2"/>
          </rPr>
          <t xml:space="preserve">
DIA SIGUIENTE</t>
        </r>
      </text>
    </comment>
    <comment ref="C27" authorId="0" shapeId="0" xr:uid="{00000000-0006-0000-5A00-000003000000}">
      <text>
        <r>
          <rPr>
            <b/>
            <sz val="9"/>
            <color indexed="81"/>
            <rFont val="Tahoma"/>
            <family val="2"/>
          </rPr>
          <t>Sonia Diaz:</t>
        </r>
        <r>
          <rPr>
            <sz val="9"/>
            <color indexed="81"/>
            <rFont val="Tahoma"/>
            <family val="2"/>
          </rPr>
          <t xml:space="preserve">
PERNOCTE</t>
        </r>
      </text>
    </comment>
    <comment ref="C28" authorId="0" shapeId="0" xr:uid="{00000000-0006-0000-5A00-000004000000}">
      <text>
        <r>
          <rPr>
            <b/>
            <sz val="9"/>
            <color indexed="81"/>
            <rFont val="Tahoma"/>
            <family val="2"/>
          </rPr>
          <t>Sonia Diaz:</t>
        </r>
        <r>
          <rPr>
            <sz val="9"/>
            <color indexed="81"/>
            <rFont val="Tahoma"/>
            <family val="2"/>
          </rPr>
          <t xml:space="preserve">
PERNOCTE HASTA EL 17-01-23</t>
        </r>
      </text>
    </comment>
    <comment ref="V42" authorId="0" shapeId="0" xr:uid="{00000000-0006-0000-5A00-000005000000}">
      <text>
        <r>
          <rPr>
            <b/>
            <sz val="9"/>
            <color indexed="81"/>
            <rFont val="Tahoma"/>
            <family val="2"/>
          </rPr>
          <t>Sonia Diaz:</t>
        </r>
        <r>
          <rPr>
            <sz val="9"/>
            <color indexed="81"/>
            <rFont val="Tahoma"/>
            <family val="2"/>
          </rPr>
          <t xml:space="preserve">
PERNOCTE TRUJILLO</t>
        </r>
      </text>
    </comment>
    <comment ref="M43" authorId="0" shapeId="0" xr:uid="{00000000-0006-0000-5A00-000006000000}">
      <text>
        <r>
          <rPr>
            <b/>
            <sz val="9"/>
            <color indexed="81"/>
            <rFont val="Tahoma"/>
            <family val="2"/>
          </rPr>
          <t>Sonia Diaz:</t>
        </r>
        <r>
          <rPr>
            <sz val="9"/>
            <color indexed="81"/>
            <rFont val="Tahoma"/>
            <family val="2"/>
          </rPr>
          <t xml:space="preserve">
PAGADO 24-01-23</t>
        </r>
      </text>
    </comment>
    <comment ref="C44" authorId="0" shapeId="0" xr:uid="{00000000-0006-0000-5A00-000007000000}">
      <text>
        <r>
          <rPr>
            <b/>
            <sz val="9"/>
            <color indexed="81"/>
            <rFont val="Tahoma"/>
            <family val="2"/>
          </rPr>
          <t>Sonia Diaz:</t>
        </r>
        <r>
          <rPr>
            <sz val="9"/>
            <color indexed="81"/>
            <rFont val="Tahoma"/>
            <family val="2"/>
          </rPr>
          <t xml:space="preserve">
PERNOCTE</t>
        </r>
      </text>
    </comment>
    <comment ref="M45" authorId="0" shapeId="0" xr:uid="{00000000-0006-0000-5A00-000008000000}">
      <text>
        <r>
          <rPr>
            <b/>
            <sz val="9"/>
            <color indexed="81"/>
            <rFont val="Tahoma"/>
            <family val="2"/>
          </rPr>
          <t>Sonia Diaz:</t>
        </r>
        <r>
          <rPr>
            <sz val="9"/>
            <color indexed="81"/>
            <rFont val="Tahoma"/>
            <family val="2"/>
          </rPr>
          <t xml:space="preserve">
PAGÓ 24-01-  SR. PERCY SABE
</t>
        </r>
      </text>
    </comment>
    <comment ref="V47" authorId="0" shapeId="0" xr:uid="{00000000-0006-0000-5A00-000009000000}">
      <text>
        <r>
          <rPr>
            <b/>
            <sz val="9"/>
            <color indexed="81"/>
            <rFont val="Tahoma"/>
            <family val="2"/>
          </rPr>
          <t>Sonia Diaz:</t>
        </r>
        <r>
          <rPr>
            <sz val="9"/>
            <color indexed="81"/>
            <rFont val="Tahoma"/>
            <family val="2"/>
          </rPr>
          <t xml:space="preserve">
PERNOCTE</t>
        </r>
      </text>
    </comment>
    <comment ref="H50" authorId="0" shapeId="0" xr:uid="{00000000-0006-0000-5A00-00000A000000}">
      <text>
        <r>
          <rPr>
            <b/>
            <sz val="9"/>
            <color indexed="81"/>
            <rFont val="Tahoma"/>
            <family val="2"/>
          </rPr>
          <t>Sonia Diaz:</t>
        </r>
        <r>
          <rPr>
            <sz val="9"/>
            <color indexed="81"/>
            <rFont val="Tahoma"/>
            <family val="2"/>
          </rPr>
          <t xml:space="preserve">
IDA Y RETORNO</t>
        </r>
      </text>
    </comment>
    <comment ref="A62" authorId="1" shapeId="0" xr:uid="{00000000-0006-0000-5A00-00000B000000}">
      <text>
        <r>
          <rPr>
            <b/>
            <sz val="9"/>
            <color indexed="81"/>
            <rFont val="Tahoma"/>
            <family val="2"/>
          </rPr>
          <t>user:</t>
        </r>
        <r>
          <rPr>
            <sz val="9"/>
            <color indexed="81"/>
            <rFont val="Tahoma"/>
            <family val="2"/>
          </rPr>
          <t xml:space="preserve">
REVISAR DICEN NO SE FACTURO A UNISTAR</t>
        </r>
      </text>
    </comment>
    <comment ref="K62" authorId="0" shapeId="0" xr:uid="{00000000-0006-0000-5A00-00000C000000}">
      <text>
        <r>
          <rPr>
            <b/>
            <sz val="9"/>
            <color indexed="81"/>
            <rFont val="Tahoma"/>
            <family val="2"/>
          </rPr>
          <t>Sonia Diaz:</t>
        </r>
        <r>
          <rPr>
            <sz val="9"/>
            <color indexed="81"/>
            <rFont val="Tahoma"/>
            <family val="2"/>
          </rPr>
          <t xml:space="preserve">
PAGADA EL MIMO DIA BCP</t>
        </r>
      </text>
    </comment>
    <comment ref="A69" authorId="1" shapeId="0" xr:uid="{00000000-0006-0000-5A00-00000D000000}">
      <text>
        <r>
          <rPr>
            <b/>
            <sz val="9"/>
            <color indexed="81"/>
            <rFont val="Tahoma"/>
            <family val="2"/>
          </rPr>
          <t>user:</t>
        </r>
        <r>
          <rPr>
            <sz val="9"/>
            <color indexed="81"/>
            <rFont val="Tahoma"/>
            <family val="2"/>
          </rPr>
          <t xml:space="preserve">
CON ROJO PORQUE NO LO TOME DENTRO DE LO FACTURADO EN EL MES</t>
        </r>
      </text>
    </comment>
    <comment ref="L70" authorId="0" shapeId="0" xr:uid="{00000000-0006-0000-5A00-00000E000000}">
      <text>
        <r>
          <rPr>
            <b/>
            <sz val="9"/>
            <color indexed="81"/>
            <rFont val="Tahoma"/>
            <family val="2"/>
          </rPr>
          <t>Sonia Diaz:</t>
        </r>
        <r>
          <rPr>
            <sz val="9"/>
            <color indexed="81"/>
            <rFont val="Tahoma"/>
            <family val="2"/>
          </rPr>
          <t xml:space="preserve">
HOY PAGARÁ</t>
        </r>
      </text>
    </comment>
    <comment ref="C79" authorId="0" shapeId="0" xr:uid="{00000000-0006-0000-5A00-00000F000000}">
      <text>
        <r>
          <rPr>
            <b/>
            <sz val="9"/>
            <color indexed="81"/>
            <rFont val="Tahoma"/>
            <family val="2"/>
          </rPr>
          <t>Sonia Diaz:
PERNOCTE EN CUSCO Y FUERON AL DIA SIGUIENTE A AQP</t>
        </r>
      </text>
    </comment>
    <comment ref="V79" authorId="0" shapeId="0" xr:uid="{00000000-0006-0000-5A00-000010000000}">
      <text>
        <r>
          <rPr>
            <b/>
            <sz val="9"/>
            <color indexed="81"/>
            <rFont val="Tahoma"/>
            <family val="2"/>
          </rPr>
          <t>Sonia Diaz:</t>
        </r>
        <r>
          <rPr>
            <sz val="9"/>
            <color indexed="81"/>
            <rFont val="Tahoma"/>
            <family val="2"/>
          </rPr>
          <t xml:space="preserve">
SALIO 7:06 DE AREQUIPA</t>
        </r>
      </text>
    </comment>
    <comment ref="K82" authorId="0" shapeId="0" xr:uid="{00000000-0006-0000-5A00-000011000000}">
      <text>
        <r>
          <rPr>
            <b/>
            <sz val="9"/>
            <color indexed="81"/>
            <rFont val="Tahoma"/>
            <family val="2"/>
          </rPr>
          <t>Sonia Diaz:</t>
        </r>
        <r>
          <rPr>
            <sz val="9"/>
            <color indexed="81"/>
            <rFont val="Tahoma"/>
            <family val="2"/>
          </rPr>
          <t xml:space="preserve">
PAGADO 30,000 07/02 Y 8940 EL 08-02-23 BCP</t>
        </r>
      </text>
    </comment>
    <comment ref="V83" authorId="0" shapeId="0" xr:uid="{00000000-0006-0000-5A00-000012000000}">
      <text>
        <r>
          <rPr>
            <b/>
            <sz val="9"/>
            <color indexed="81"/>
            <rFont val="Tahoma"/>
            <family val="2"/>
          </rPr>
          <t>Sonia Diaz:</t>
        </r>
        <r>
          <rPr>
            <sz val="9"/>
            <color indexed="81"/>
            <rFont val="Tahoma"/>
            <family val="2"/>
          </rPr>
          <t xml:space="preserve">
DIA SIGUIENTE
</t>
        </r>
      </text>
    </comment>
    <comment ref="V84" authorId="0" shapeId="0" xr:uid="{00000000-0006-0000-5A00-000013000000}">
      <text>
        <r>
          <rPr>
            <b/>
            <sz val="9"/>
            <color indexed="81"/>
            <rFont val="Tahoma"/>
            <family val="2"/>
          </rPr>
          <t>Sonia Diaz:</t>
        </r>
        <r>
          <rPr>
            <sz val="9"/>
            <color indexed="81"/>
            <rFont val="Tahoma"/>
            <family val="2"/>
          </rPr>
          <t xml:space="preserve">
DIA SIGUIENTE</t>
        </r>
      </text>
    </comment>
    <comment ref="V93" authorId="0" shapeId="0" xr:uid="{00000000-0006-0000-5A00-000014000000}">
      <text>
        <r>
          <rPr>
            <b/>
            <sz val="9"/>
            <color indexed="81"/>
            <rFont val="Tahoma"/>
            <family val="2"/>
          </rPr>
          <t>Sonia Diaz:</t>
        </r>
        <r>
          <rPr>
            <sz val="9"/>
            <color indexed="81"/>
            <rFont val="Tahoma"/>
            <family val="2"/>
          </rPr>
          <t xml:space="preserve">
PERNOCTARON Y REEMPLAZARON HASTA EL DIA SIGUIENTE LAS OPERACIONES DEL E90</t>
        </r>
      </text>
    </comment>
    <comment ref="L96" authorId="0" shapeId="0" xr:uid="{00000000-0006-0000-5A00-000015000000}">
      <text>
        <r>
          <rPr>
            <b/>
            <sz val="9"/>
            <color indexed="81"/>
            <rFont val="Tahoma"/>
            <family val="2"/>
          </rPr>
          <t>Sonia Diaz:</t>
        </r>
        <r>
          <rPr>
            <sz val="9"/>
            <color indexed="81"/>
            <rFont val="Tahoma"/>
            <family val="2"/>
          </rPr>
          <t xml:space="preserve">
YA SE ENCUENTRA PAGADO REF EL 20-02-23</t>
        </r>
      </text>
    </comment>
    <comment ref="L97" authorId="0" shapeId="0" xr:uid="{00000000-0006-0000-5A00-000016000000}">
      <text>
        <r>
          <rPr>
            <b/>
            <sz val="9"/>
            <color indexed="81"/>
            <rFont val="Tahoma"/>
            <family val="2"/>
          </rPr>
          <t>Sonia Diaz:</t>
        </r>
        <r>
          <rPr>
            <sz val="9"/>
            <color indexed="81"/>
            <rFont val="Tahoma"/>
            <family val="2"/>
          </rPr>
          <t xml:space="preserve">
YA SE ENCUENTRA PAGADO REF EL 20-02-23</t>
        </r>
      </text>
    </comment>
    <comment ref="V100" authorId="0" shapeId="0" xr:uid="{00000000-0006-0000-5A00-000017000000}">
      <text>
        <r>
          <rPr>
            <b/>
            <sz val="9"/>
            <color indexed="81"/>
            <rFont val="Tahoma"/>
            <family val="2"/>
          </rPr>
          <t>Sonia Diaz:</t>
        </r>
        <r>
          <rPr>
            <sz val="9"/>
            <color indexed="81"/>
            <rFont val="Tahoma"/>
            <family val="2"/>
          </rPr>
          <t xml:space="preserve">
DIA SIGUIENTE
</t>
        </r>
      </text>
    </comment>
    <comment ref="C105" authorId="0" shapeId="0" xr:uid="{00000000-0006-0000-5A00-000018000000}">
      <text>
        <r>
          <rPr>
            <b/>
            <sz val="9"/>
            <color indexed="81"/>
            <rFont val="Tahoma"/>
            <family val="2"/>
          </rPr>
          <t>Sonia Diaz:</t>
        </r>
        <r>
          <rPr>
            <sz val="9"/>
            <color indexed="81"/>
            <rFont val="Tahoma"/>
            <family val="2"/>
          </rPr>
          <t xml:space="preserve">
FUERON DIA ANTERIOR Y PERNOCTARON - trasladaron DOS PACIENTES TRASLADARON</t>
        </r>
      </text>
    </comment>
    <comment ref="K111" authorId="0" shapeId="0" xr:uid="{00000000-0006-0000-5A00-000019000000}">
      <text>
        <r>
          <rPr>
            <b/>
            <sz val="9"/>
            <color indexed="81"/>
            <rFont val="Tahoma"/>
            <family val="2"/>
          </rPr>
          <t>Sonia Diaz:</t>
        </r>
        <r>
          <rPr>
            <sz val="9"/>
            <color indexed="81"/>
            <rFont val="Tahoma"/>
            <family val="2"/>
          </rPr>
          <t xml:space="preserve">
SE AGREGÓ APERTURA ACEPTADA POR ENTIDAD
</t>
        </r>
      </text>
    </comment>
    <comment ref="V126" authorId="0" shapeId="0" xr:uid="{00000000-0006-0000-5A00-00001A000000}">
      <text>
        <r>
          <rPr>
            <b/>
            <sz val="9"/>
            <color indexed="81"/>
            <rFont val="Tahoma"/>
            <family val="2"/>
          </rPr>
          <t>Sonia Diaz:</t>
        </r>
        <r>
          <rPr>
            <sz val="9"/>
            <color indexed="81"/>
            <rFont val="Tahoma"/>
            <family val="2"/>
          </rPr>
          <t xml:space="preserve">
DIA SIGUIENTE</t>
        </r>
      </text>
    </comment>
    <comment ref="L129" authorId="0" shapeId="0" xr:uid="{00000000-0006-0000-5A00-00001B000000}">
      <text>
        <r>
          <rPr>
            <b/>
            <sz val="9"/>
            <color indexed="81"/>
            <rFont val="Tahoma"/>
            <family val="2"/>
          </rPr>
          <t>Sonia Diaz:</t>
        </r>
        <r>
          <rPr>
            <sz val="9"/>
            <color indexed="81"/>
            <rFont val="Tahoma"/>
            <family val="2"/>
          </rPr>
          <t xml:space="preserve">
PAGARA AL CONTADO 10000 y 2700 bcp el dia sabado</t>
        </r>
      </text>
    </comment>
    <comment ref="K138" authorId="0" shapeId="0" xr:uid="{00000000-0006-0000-5A00-00001C000000}">
      <text>
        <r>
          <rPr>
            <b/>
            <sz val="9"/>
            <color indexed="81"/>
            <rFont val="Tahoma"/>
            <family val="2"/>
          </rPr>
          <t>Sonia Diaz:</t>
        </r>
        <r>
          <rPr>
            <sz val="9"/>
            <color indexed="81"/>
            <rFont val="Tahoma"/>
            <family val="2"/>
          </rPr>
          <t xml:space="preserve">
VER ESTE MONTO</t>
        </r>
      </text>
    </comment>
    <comment ref="B154" authorId="1" shapeId="0" xr:uid="{00000000-0006-0000-5A00-00001D000000}">
      <text>
        <r>
          <rPr>
            <b/>
            <sz val="9"/>
            <color indexed="81"/>
            <rFont val="Tahoma"/>
            <family val="2"/>
          </rPr>
          <t>user:</t>
        </r>
        <r>
          <rPr>
            <sz val="9"/>
            <color indexed="81"/>
            <rFont val="Tahoma"/>
            <family val="2"/>
          </rPr>
          <t xml:space="preserve">
PERNOCTARON YURIMAGUAS SE QUEDARON Y TIEE COSTSO APERTURA - VIATICOS 50% PERS. SALUD</t>
        </r>
      </text>
    </comment>
    <comment ref="C157" authorId="1" shapeId="0" xr:uid="{00000000-0006-0000-5A00-00001E000000}">
      <text>
        <r>
          <rPr>
            <b/>
            <sz val="9"/>
            <color indexed="81"/>
            <rFont val="Tahoma"/>
            <family val="2"/>
          </rPr>
          <t>user:</t>
        </r>
        <r>
          <rPr>
            <sz val="9"/>
            <color indexed="81"/>
            <rFont val="Tahoma"/>
            <family val="2"/>
          </rPr>
          <t xml:space="preserve">
PERNOCATARON RETORNARON POR TRUJILLO - VLO CIA</t>
        </r>
      </text>
    </comment>
    <comment ref="V160" authorId="1" shapeId="0" xr:uid="{00000000-0006-0000-5A00-00001F000000}">
      <text>
        <r>
          <rPr>
            <b/>
            <sz val="9"/>
            <color indexed="81"/>
            <rFont val="Tahoma"/>
            <family val="2"/>
          </rPr>
          <t>user:</t>
        </r>
        <r>
          <rPr>
            <sz val="9"/>
            <color indexed="81"/>
            <rFont val="Tahoma"/>
            <family val="2"/>
          </rPr>
          <t xml:space="preserve">
DIA SIGUIENTE</t>
        </r>
      </text>
    </comment>
    <comment ref="U161" authorId="1" shapeId="0" xr:uid="{00000000-0006-0000-5A00-000020000000}">
      <text>
        <r>
          <rPr>
            <b/>
            <sz val="9"/>
            <color indexed="81"/>
            <rFont val="Tahoma"/>
            <family val="2"/>
          </rPr>
          <t>user:</t>
        </r>
        <r>
          <rPr>
            <sz val="9"/>
            <color indexed="81"/>
            <rFont val="Tahoma"/>
            <family val="2"/>
          </rPr>
          <t xml:space="preserve">
PERNOCTARON</t>
        </r>
      </text>
    </comment>
    <comment ref="C175" authorId="1" shapeId="0" xr:uid="{00000000-0006-0000-5A00-000021000000}">
      <text>
        <r>
          <rPr>
            <b/>
            <sz val="9"/>
            <color indexed="81"/>
            <rFont val="Tahoma"/>
            <family val="2"/>
          </rPr>
          <t>user:</t>
        </r>
        <r>
          <rPr>
            <sz val="9"/>
            <color indexed="81"/>
            <rFont val="Tahoma"/>
            <family val="2"/>
          </rPr>
          <t xml:space="preserve">
PERNOCTÓ HASTA EL DIA SIGUIENTE</t>
        </r>
      </text>
    </comment>
    <comment ref="C176" authorId="1" shapeId="0" xr:uid="{00000000-0006-0000-5A00-000022000000}">
      <text>
        <r>
          <rPr>
            <b/>
            <sz val="9"/>
            <color indexed="81"/>
            <rFont val="Tahoma"/>
            <family val="2"/>
          </rPr>
          <t>user:</t>
        </r>
        <r>
          <rPr>
            <sz val="9"/>
            <color indexed="81"/>
            <rFont val="Tahoma"/>
            <family val="2"/>
          </rPr>
          <t xml:space="preserve">
PERNOCTÓ HASTA EL DIA SIGUIENTE</t>
        </r>
      </text>
    </comment>
    <comment ref="V181" authorId="1" shapeId="0" xr:uid="{00000000-0006-0000-5A00-000023000000}">
      <text>
        <r>
          <rPr>
            <b/>
            <sz val="9"/>
            <color indexed="81"/>
            <rFont val="Tahoma"/>
            <family val="2"/>
          </rPr>
          <t>user:</t>
        </r>
        <r>
          <rPr>
            <sz val="9"/>
            <color indexed="81"/>
            <rFont val="Tahoma"/>
            <family val="2"/>
          </rPr>
          <t xml:space="preserve">
DIA SIGUIENTE</t>
        </r>
      </text>
    </comment>
    <comment ref="C182" authorId="1" shapeId="0" xr:uid="{00000000-0006-0000-5A00-000024000000}">
      <text>
        <r>
          <rPr>
            <b/>
            <sz val="9"/>
            <color indexed="81"/>
            <rFont val="Tahoma"/>
            <family val="2"/>
          </rPr>
          <t>user:</t>
        </r>
        <r>
          <rPr>
            <sz val="9"/>
            <color indexed="81"/>
            <rFont val="Tahoma"/>
            <family val="2"/>
          </rPr>
          <t xml:space="preserve">
PERNOCTÓ HASTA EL DIA SIGUIENTE</t>
        </r>
      </text>
    </comment>
    <comment ref="L184" authorId="1" shapeId="0" xr:uid="{00000000-0006-0000-5A00-000025000000}">
      <text>
        <r>
          <rPr>
            <b/>
            <sz val="9"/>
            <color indexed="81"/>
            <rFont val="Tahoma"/>
            <family val="2"/>
          </rPr>
          <t>user:</t>
        </r>
        <r>
          <rPr>
            <sz val="9"/>
            <color indexed="81"/>
            <rFont val="Tahoma"/>
            <family val="2"/>
          </rPr>
          <t xml:space="preserve">
31/03 BBVA DOLARES
boleta es por B001-64</t>
        </r>
      </text>
    </comment>
    <comment ref="C191" authorId="1" shapeId="0" xr:uid="{00000000-0006-0000-5A00-000026000000}">
      <text>
        <r>
          <rPr>
            <b/>
            <sz val="9"/>
            <color indexed="81"/>
            <rFont val="Tahoma"/>
            <family val="2"/>
          </rPr>
          <t>user:</t>
        </r>
        <r>
          <rPr>
            <sz val="9"/>
            <color indexed="81"/>
            <rFont val="Tahoma"/>
            <family val="2"/>
          </rPr>
          <t xml:space="preserve">
PERNOCTÓ HASTA EL DIA SIGUIENTE</t>
        </r>
      </text>
    </comment>
    <comment ref="C197" authorId="1" shapeId="0" xr:uid="{00000000-0006-0000-5A00-000027000000}">
      <text>
        <r>
          <rPr>
            <b/>
            <sz val="9"/>
            <color indexed="81"/>
            <rFont val="Tahoma"/>
            <family val="2"/>
          </rPr>
          <t>user:</t>
        </r>
        <r>
          <rPr>
            <sz val="9"/>
            <color indexed="81"/>
            <rFont val="Tahoma"/>
            <family val="2"/>
          </rPr>
          <t xml:space="preserve">
PERNO TÓ HASTA EL DIA SIGUIENTE
</t>
        </r>
      </text>
    </comment>
    <comment ref="C207" authorId="1" shapeId="0" xr:uid="{00000000-0006-0000-5A00-000028000000}">
      <text>
        <r>
          <rPr>
            <b/>
            <sz val="9"/>
            <color indexed="81"/>
            <rFont val="Tahoma"/>
            <family val="2"/>
          </rPr>
          <t>user:</t>
        </r>
        <r>
          <rPr>
            <sz val="9"/>
            <color indexed="81"/>
            <rFont val="Tahoma"/>
            <family val="2"/>
          </rPr>
          <t xml:space="preserve">
PERNOCTÓ</t>
        </r>
      </text>
    </comment>
    <comment ref="C209" authorId="1" shapeId="0" xr:uid="{00000000-0006-0000-5A00-000029000000}">
      <text>
        <r>
          <rPr>
            <b/>
            <sz val="9"/>
            <color indexed="81"/>
            <rFont val="Tahoma"/>
            <family val="2"/>
          </rPr>
          <t>user:</t>
        </r>
        <r>
          <rPr>
            <sz val="9"/>
            <color indexed="81"/>
            <rFont val="Tahoma"/>
            <family val="2"/>
          </rPr>
          <t xml:space="preserve">
PERNOCTE SERVICIO CANCELADO POR LA ENTIDAD- SALIO ANTES DE LO ESTIPULADO ENTIDAD SE NIEGA A PAGAR
 </t>
        </r>
      </text>
    </comment>
    <comment ref="V209" authorId="1" shapeId="0" xr:uid="{00000000-0006-0000-5A00-00002A000000}">
      <text>
        <r>
          <rPr>
            <b/>
            <sz val="9"/>
            <color indexed="81"/>
            <rFont val="Tahoma"/>
            <family val="2"/>
          </rPr>
          <t>user:</t>
        </r>
        <r>
          <rPr>
            <sz val="9"/>
            <color indexed="81"/>
            <rFont val="Tahoma"/>
            <family val="2"/>
          </rPr>
          <t xml:space="preserve">
PERNOCTE HASTA EL DIA SIGUIENTE
</t>
        </r>
      </text>
    </comment>
    <comment ref="L210" authorId="1" shapeId="0" xr:uid="{00000000-0006-0000-5A00-00002B000000}">
      <text>
        <r>
          <rPr>
            <b/>
            <sz val="9"/>
            <color indexed="81"/>
            <rFont val="Tahoma"/>
            <family val="2"/>
          </rPr>
          <t>user:</t>
        </r>
        <r>
          <rPr>
            <sz val="9"/>
            <color indexed="81"/>
            <rFont val="Tahoma"/>
            <family val="2"/>
          </rPr>
          <t xml:space="preserve">
PAGO 10000 + 4000 BCP EN LA MISMA FECHA</t>
        </r>
      </text>
    </comment>
    <comment ref="C213" authorId="1" shapeId="0" xr:uid="{00000000-0006-0000-5A00-00002C000000}">
      <text>
        <r>
          <rPr>
            <b/>
            <sz val="9"/>
            <color indexed="81"/>
            <rFont val="Tahoma"/>
            <family val="2"/>
          </rPr>
          <t>user:</t>
        </r>
        <r>
          <rPr>
            <sz val="9"/>
            <color indexed="81"/>
            <rFont val="Tahoma"/>
            <family val="2"/>
          </rPr>
          <t xml:space="preserve">
PERNOCTE HASTA&lt; EL DIA SIGUIENTE
</t>
        </r>
      </text>
    </comment>
    <comment ref="B216" authorId="1" shapeId="0" xr:uid="{00000000-0006-0000-5A00-00002D000000}">
      <text>
        <r>
          <rPr>
            <b/>
            <sz val="9"/>
            <color indexed="81"/>
            <rFont val="Tahoma"/>
            <family val="2"/>
          </rPr>
          <t>user:</t>
        </r>
        <r>
          <rPr>
            <sz val="9"/>
            <color indexed="81"/>
            <rFont val="Tahoma"/>
            <family val="2"/>
          </rPr>
          <t xml:space="preserve">
VIVE</t>
        </r>
      </text>
    </comment>
    <comment ref="L220" authorId="1" shapeId="0" xr:uid="{00000000-0006-0000-5A00-00002E000000}">
      <text>
        <r>
          <rPr>
            <b/>
            <sz val="9"/>
            <color indexed="81"/>
            <rFont val="Tahoma"/>
            <family val="2"/>
          </rPr>
          <t>user:</t>
        </r>
        <r>
          <rPr>
            <sz val="9"/>
            <color indexed="81"/>
            <rFont val="Tahoma"/>
            <family val="2"/>
          </rPr>
          <t xml:space="preserve">
PAGÓ 26-04-23</t>
        </r>
      </text>
    </comment>
    <comment ref="V221" authorId="1" shapeId="0" xr:uid="{00000000-0006-0000-5A00-00002F000000}">
      <text>
        <r>
          <rPr>
            <b/>
            <sz val="9"/>
            <color indexed="81"/>
            <rFont val="Tahoma"/>
            <family val="2"/>
          </rPr>
          <t>user:</t>
        </r>
        <r>
          <rPr>
            <sz val="9"/>
            <color indexed="81"/>
            <rFont val="Tahoma"/>
            <family val="2"/>
          </rPr>
          <t xml:space="preserve">
DIA SIGUIENTE</t>
        </r>
      </text>
    </comment>
    <comment ref="V222" authorId="1" shapeId="0" xr:uid="{00000000-0006-0000-5A00-000030000000}">
      <text>
        <r>
          <rPr>
            <b/>
            <sz val="9"/>
            <color indexed="81"/>
            <rFont val="Tahoma"/>
            <family val="2"/>
          </rPr>
          <t>user:</t>
        </r>
        <r>
          <rPr>
            <sz val="9"/>
            <color indexed="81"/>
            <rFont val="Tahoma"/>
            <family val="2"/>
          </rPr>
          <t xml:space="preserve">
DIA SIGUIENTE</t>
        </r>
      </text>
    </comment>
    <comment ref="B226" authorId="1" shapeId="0" xr:uid="{00000000-0006-0000-5A00-000031000000}">
      <text>
        <r>
          <rPr>
            <b/>
            <sz val="9"/>
            <color indexed="81"/>
            <rFont val="Tahoma"/>
            <family val="2"/>
          </rPr>
          <t>user:</t>
        </r>
        <r>
          <rPr>
            <sz val="9"/>
            <color indexed="81"/>
            <rFont val="Tahoma"/>
            <family val="2"/>
          </rPr>
          <t xml:space="preserve">
PAGADO DIA ANTERIOR EN DOS PAGOS</t>
        </r>
      </text>
    </comment>
    <comment ref="V231" authorId="2" shapeId="0" xr:uid="{00000000-0006-0000-5A00-000032000000}">
      <text>
        <r>
          <rPr>
            <b/>
            <sz val="9"/>
            <color indexed="81"/>
            <rFont val="Tahoma"/>
            <family val="2"/>
          </rPr>
          <t>Admin:</t>
        </r>
        <r>
          <rPr>
            <sz val="9"/>
            <color indexed="81"/>
            <rFont val="Tahoma"/>
            <family val="2"/>
          </rPr>
          <t xml:space="preserve">
DIA SIGUIENTE
</t>
        </r>
      </text>
    </comment>
    <comment ref="K249" authorId="1" shapeId="0" xr:uid="{00000000-0006-0000-5A00-000033000000}">
      <text>
        <r>
          <rPr>
            <b/>
            <sz val="9"/>
            <color indexed="81"/>
            <rFont val="Tahoma"/>
            <family val="2"/>
          </rPr>
          <t>user:</t>
        </r>
        <r>
          <rPr>
            <sz val="9"/>
            <color indexed="81"/>
            <rFont val="Tahoma"/>
            <family val="2"/>
          </rPr>
          <t xml:space="preserve">
EN FECHA QUE PASE PARA PROVISIONES TENÍA 25,016 DE PRECIO TOMAR EN CUENTA PARA LOS EXTORNOS EN MESES SIGUIENTES</t>
        </r>
      </text>
    </comment>
    <comment ref="L250" authorId="1" shapeId="0" xr:uid="{00000000-0006-0000-5A00-000034000000}">
      <text>
        <r>
          <rPr>
            <b/>
            <sz val="9"/>
            <color indexed="81"/>
            <rFont val="Tahoma"/>
            <family val="2"/>
          </rPr>
          <t>user:</t>
        </r>
        <r>
          <rPr>
            <sz val="9"/>
            <color indexed="81"/>
            <rFont val="Tahoma"/>
            <family val="2"/>
          </rPr>
          <t xml:space="preserve">
BOLETA B001-63  $ 6487.64 INCLUYE SOBREVUELO LINEAS DE NASCA  $ 6487.64 FUE EL SERVICIO</t>
        </r>
      </text>
    </comment>
    <comment ref="H252" authorId="1" shapeId="0" xr:uid="{00000000-0006-0000-5A00-000035000000}">
      <text>
        <r>
          <rPr>
            <b/>
            <sz val="9"/>
            <color indexed="81"/>
            <rFont val="Tahoma"/>
            <family val="2"/>
          </rPr>
          <t>user:</t>
        </r>
        <r>
          <rPr>
            <sz val="9"/>
            <color indexed="81"/>
            <rFont val="Tahoma"/>
            <family val="2"/>
          </rPr>
          <t xml:space="preserve">
PAGADA 7-8 MAYO 25000 + 32065</t>
        </r>
      </text>
    </comment>
    <comment ref="C256" authorId="1" shapeId="0" xr:uid="{00000000-0006-0000-5A00-000036000000}">
      <text>
        <r>
          <rPr>
            <b/>
            <sz val="9"/>
            <color indexed="81"/>
            <rFont val="Tahoma"/>
            <family val="2"/>
          </rPr>
          <t>user:</t>
        </r>
        <r>
          <rPr>
            <sz val="9"/>
            <color indexed="81"/>
            <rFont val="Tahoma"/>
            <family val="2"/>
          </rPr>
          <t xml:space="preserve">
PERNOCTE HASTA EL DIA SIGUIENTE</t>
        </r>
      </text>
    </comment>
    <comment ref="C257" authorId="1" shapeId="0" xr:uid="{00000000-0006-0000-5A00-000037000000}">
      <text>
        <r>
          <rPr>
            <b/>
            <sz val="9"/>
            <color indexed="81"/>
            <rFont val="Tahoma"/>
            <family val="2"/>
          </rPr>
          <t>user:</t>
        </r>
        <r>
          <rPr>
            <sz val="9"/>
            <color indexed="81"/>
            <rFont val="Tahoma"/>
            <family val="2"/>
          </rPr>
          <t xml:space="preserve">
EJERCITO PERUANO</t>
        </r>
      </text>
    </comment>
    <comment ref="B261" authorId="1" shapeId="0" xr:uid="{00000000-0006-0000-5A00-000038000000}">
      <text>
        <r>
          <rPr>
            <b/>
            <sz val="9"/>
            <color indexed="81"/>
            <rFont val="Tahoma"/>
            <family val="2"/>
          </rPr>
          <t>user:</t>
        </r>
        <r>
          <rPr>
            <sz val="9"/>
            <color indexed="81"/>
            <rFont val="Tahoma"/>
            <family val="2"/>
          </rPr>
          <t xml:space="preserve">
FUERA DE CONTRATO </t>
        </r>
      </text>
    </comment>
    <comment ref="F263" authorId="1" shapeId="0" xr:uid="{00000000-0006-0000-5A00-000039000000}">
      <text>
        <r>
          <rPr>
            <b/>
            <sz val="9"/>
            <color indexed="81"/>
            <rFont val="Tahoma"/>
            <family val="2"/>
          </rPr>
          <t>user:</t>
        </r>
        <r>
          <rPr>
            <sz val="9"/>
            <color indexed="81"/>
            <rFont val="Tahoma"/>
            <family val="2"/>
          </rPr>
          <t xml:space="preserve">
SALIO DE PIURA</t>
        </r>
      </text>
    </comment>
    <comment ref="L270" authorId="1" shapeId="0" xr:uid="{00000000-0006-0000-5A00-00003A000000}">
      <text>
        <r>
          <rPr>
            <b/>
            <sz val="9"/>
            <color indexed="81"/>
            <rFont val="Tahoma"/>
            <family val="2"/>
          </rPr>
          <t>user:</t>
        </r>
        <r>
          <rPr>
            <sz val="9"/>
            <color indexed="81"/>
            <rFont val="Tahoma"/>
            <family val="2"/>
          </rPr>
          <t xml:space="preserve">
EL 20-05-23 DEPOSITÓ 10,000 + 4,000.00 </t>
        </r>
      </text>
    </comment>
    <comment ref="B285" authorId="1" shapeId="0" xr:uid="{00000000-0006-0000-5A00-00003B000000}">
      <text>
        <r>
          <rPr>
            <b/>
            <sz val="9"/>
            <color indexed="81"/>
            <rFont val="Tahoma"/>
            <family val="2"/>
          </rPr>
          <t>user:</t>
        </r>
        <r>
          <rPr>
            <sz val="9"/>
            <color indexed="81"/>
            <rFont val="Tahoma"/>
            <family val="2"/>
          </rPr>
          <t xml:space="preserve">
WOODMAN</t>
        </r>
      </text>
    </comment>
    <comment ref="L285" authorId="1" shapeId="0" xr:uid="{00000000-0006-0000-5A00-00003C000000}">
      <text>
        <r>
          <rPr>
            <b/>
            <sz val="9"/>
            <color indexed="81"/>
            <rFont val="Tahoma"/>
            <family val="2"/>
          </rPr>
          <t>user:</t>
        </r>
        <r>
          <rPr>
            <sz val="9"/>
            <color indexed="81"/>
            <rFont val="Tahoma"/>
            <family val="2"/>
          </rPr>
          <t xml:space="preserve">
10,000 HA PAGADO 24-5-23   
1,800 PAGÓ EL 25-05-2023</t>
        </r>
      </text>
    </comment>
    <comment ref="V287" authorId="1" shapeId="0" xr:uid="{00000000-0006-0000-5A00-00003D000000}">
      <text>
        <r>
          <rPr>
            <b/>
            <sz val="9"/>
            <color indexed="81"/>
            <rFont val="Tahoma"/>
            <family val="2"/>
          </rPr>
          <t>user:</t>
        </r>
        <r>
          <rPr>
            <sz val="9"/>
            <color indexed="81"/>
            <rFont val="Tahoma"/>
            <family val="2"/>
          </rPr>
          <t xml:space="preserve">
DIA SIGUIENTE</t>
        </r>
      </text>
    </comment>
    <comment ref="C296" authorId="1" shapeId="0" xr:uid="{00000000-0006-0000-5A00-00003E000000}">
      <text>
        <r>
          <rPr>
            <b/>
            <sz val="9"/>
            <color indexed="81"/>
            <rFont val="Tahoma"/>
            <family val="2"/>
          </rPr>
          <t>user:</t>
        </r>
        <r>
          <rPr>
            <sz val="9"/>
            <color indexed="81"/>
            <rFont val="Tahoma"/>
            <family val="2"/>
          </rPr>
          <t xml:space="preserve">
VUELO A CHANCHAMAYO  SE HIZO  PERO  NO FUE RECONOCIDO  DE MAZAMARI SE VOLÓ A PUCALLPA PARA TRASLASDO</t>
        </r>
      </text>
    </comment>
    <comment ref="C298" authorId="1" shapeId="0" xr:uid="{00000000-0006-0000-5A00-00003F000000}">
      <text>
        <r>
          <rPr>
            <b/>
            <sz val="9"/>
            <color indexed="81"/>
            <rFont val="Tahoma"/>
            <family val="2"/>
          </rPr>
          <t>user:</t>
        </r>
        <r>
          <rPr>
            <sz val="9"/>
            <color indexed="81"/>
            <rFont val="Tahoma"/>
            <family val="2"/>
          </rPr>
          <t xml:space="preserve">
VUELO A CHANCHAMAYO  SE HIZO  PERO  NO FUE RECONOCIDO  DE MAZAMARI SE VOLÓ A PUCALLPA PARA TRASLASDO</t>
        </r>
      </text>
    </comment>
    <comment ref="V299" authorId="1" shapeId="0" xr:uid="{00000000-0006-0000-5A00-000040000000}">
      <text>
        <r>
          <rPr>
            <b/>
            <sz val="9"/>
            <color indexed="81"/>
            <rFont val="Tahoma"/>
            <family val="2"/>
          </rPr>
          <t>user:</t>
        </r>
        <r>
          <rPr>
            <sz val="9"/>
            <color indexed="81"/>
            <rFont val="Tahoma"/>
            <family val="2"/>
          </rPr>
          <t xml:space="preserve">
DIA SIGUIENTE</t>
        </r>
      </text>
    </comment>
    <comment ref="A327" authorId="1" shapeId="0" xr:uid="{00000000-0006-0000-5A00-000041000000}">
      <text>
        <r>
          <rPr>
            <b/>
            <sz val="9"/>
            <color indexed="81"/>
            <rFont val="Tahoma"/>
            <family val="2"/>
          </rPr>
          <t>user:</t>
        </r>
        <r>
          <rPr>
            <sz val="9"/>
            <color indexed="81"/>
            <rFont val="Tahoma"/>
            <family val="2"/>
          </rPr>
          <t xml:space="preserve">
VOLÓ 35 MINUTOS Y RETORNÓ DEBIDO A INF. DE LA ENTIDAD QUE PACIENTE SE ENCUENTRA EN ESTADO NO TRASLADABLE</t>
        </r>
      </text>
    </comment>
    <comment ref="A334" authorId="1" shapeId="0" xr:uid="{00000000-0006-0000-5A00-000042000000}">
      <text>
        <r>
          <rPr>
            <b/>
            <sz val="9"/>
            <color indexed="81"/>
            <rFont val="Tahoma"/>
            <family val="2"/>
          </rPr>
          <t>user:</t>
        </r>
        <r>
          <rPr>
            <sz val="9"/>
            <color indexed="81"/>
            <rFont val="Tahoma"/>
            <family val="2"/>
          </rPr>
          <t xml:space="preserve">
VUEKLOM Cncelado por no ACUERDO Y SE FUE EL AVION A RIOJA</t>
        </r>
      </text>
    </comment>
    <comment ref="V344" authorId="1" shapeId="0" xr:uid="{00000000-0006-0000-5A00-000043000000}">
      <text>
        <r>
          <rPr>
            <b/>
            <sz val="9"/>
            <color indexed="81"/>
            <rFont val="Tahoma"/>
            <family val="2"/>
          </rPr>
          <t>user:</t>
        </r>
        <r>
          <rPr>
            <sz val="9"/>
            <color indexed="81"/>
            <rFont val="Tahoma"/>
            <family val="2"/>
          </rPr>
          <t xml:space="preserve">
DIA SIGUIENTE</t>
        </r>
      </text>
    </comment>
    <comment ref="V359" authorId="1" shapeId="0" xr:uid="{00000000-0006-0000-5A00-000044000000}">
      <text>
        <r>
          <rPr>
            <b/>
            <sz val="9"/>
            <color indexed="81"/>
            <rFont val="Tahoma"/>
            <family val="2"/>
          </rPr>
          <t>user:</t>
        </r>
        <r>
          <rPr>
            <sz val="9"/>
            <color indexed="81"/>
            <rFont val="Tahoma"/>
            <family val="2"/>
          </rPr>
          <t xml:space="preserve">
PERNOCTE HASTA EL DIA SIGUIENTE</t>
        </r>
      </text>
    </comment>
    <comment ref="V383" authorId="1" shapeId="0" xr:uid="{00000000-0006-0000-5A00-000045000000}">
      <text>
        <r>
          <rPr>
            <b/>
            <sz val="9"/>
            <color indexed="81"/>
            <rFont val="Tahoma"/>
            <family val="2"/>
          </rPr>
          <t>user:</t>
        </r>
        <r>
          <rPr>
            <sz val="9"/>
            <color indexed="81"/>
            <rFont val="Tahoma"/>
            <family val="2"/>
          </rPr>
          <t xml:space="preserve">
DIA SIGUIENTE</t>
        </r>
      </text>
    </comment>
    <comment ref="C384" authorId="1" shapeId="0" xr:uid="{00000000-0006-0000-5A00-000046000000}">
      <text>
        <r>
          <rPr>
            <b/>
            <sz val="9"/>
            <color indexed="81"/>
            <rFont val="Tahoma"/>
            <family val="2"/>
          </rPr>
          <t>user:</t>
        </r>
        <r>
          <rPr>
            <sz val="9"/>
            <color indexed="81"/>
            <rFont val="Tahoma"/>
            <family val="2"/>
          </rPr>
          <t xml:space="preserve">
EJERCITO PERUANO ALQUILER</t>
        </r>
      </text>
    </comment>
    <comment ref="V386" authorId="1" shapeId="0" xr:uid="{00000000-0006-0000-5A00-000047000000}">
      <text>
        <r>
          <rPr>
            <b/>
            <sz val="9"/>
            <color indexed="81"/>
            <rFont val="Tahoma"/>
            <family val="2"/>
          </rPr>
          <t>user:</t>
        </r>
        <r>
          <rPr>
            <sz val="9"/>
            <color indexed="81"/>
            <rFont val="Tahoma"/>
            <family val="2"/>
          </rPr>
          <t xml:space="preserve">
DEL DIA SIGUIENTE</t>
        </r>
      </text>
    </comment>
    <comment ref="L392" authorId="1" shapeId="0" xr:uid="{00000000-0006-0000-5A00-000048000000}">
      <text>
        <r>
          <rPr>
            <b/>
            <sz val="9"/>
            <color indexed="81"/>
            <rFont val="Tahoma"/>
            <family val="2"/>
          </rPr>
          <t>user:</t>
        </r>
        <r>
          <rPr>
            <sz val="9"/>
            <color indexed="81"/>
            <rFont val="Tahoma"/>
            <family val="2"/>
          </rPr>
          <t xml:space="preserve">
PAGÓ 11/07 BCP</t>
        </r>
      </text>
    </comment>
    <comment ref="V403" authorId="1" shapeId="0" xr:uid="{00000000-0006-0000-5A00-000049000000}">
      <text>
        <r>
          <rPr>
            <b/>
            <sz val="9"/>
            <color indexed="81"/>
            <rFont val="Tahoma"/>
            <family val="2"/>
          </rPr>
          <t>user:</t>
        </r>
        <r>
          <rPr>
            <sz val="9"/>
            <color indexed="81"/>
            <rFont val="Tahoma"/>
            <family val="2"/>
          </rPr>
          <t xml:space="preserve">
DIA SIGUIENTE</t>
        </r>
      </text>
    </comment>
    <comment ref="X403" authorId="1" shapeId="0" xr:uid="{00000000-0006-0000-5A00-00004A000000}">
      <text>
        <r>
          <rPr>
            <b/>
            <sz val="9"/>
            <color indexed="81"/>
            <rFont val="Tahoma"/>
            <family val="2"/>
          </rPr>
          <t>user:</t>
        </r>
        <r>
          <rPr>
            <sz val="9"/>
            <color indexed="81"/>
            <rFont val="Tahoma"/>
            <family val="2"/>
          </rPr>
          <t xml:space="preserve">
SE PASÓ COMO JULIO</t>
        </r>
      </text>
    </comment>
    <comment ref="K408" authorId="1" shapeId="0" xr:uid="{00000000-0006-0000-5A00-00004B000000}">
      <text>
        <r>
          <rPr>
            <b/>
            <sz val="9"/>
            <color indexed="81"/>
            <rFont val="Tahoma"/>
            <family val="2"/>
          </rPr>
          <t>user:</t>
        </r>
        <r>
          <rPr>
            <sz val="9"/>
            <color indexed="81"/>
            <rFont val="Tahoma"/>
            <family val="2"/>
          </rPr>
          <t xml:space="preserve">
PAGO AL CONTADO EN 10,000 EN BCP 23360 EN BBVA
</t>
        </r>
      </text>
    </comment>
    <comment ref="V413" authorId="1" shapeId="0" xr:uid="{00000000-0006-0000-5A00-00004C000000}">
      <text>
        <r>
          <rPr>
            <b/>
            <sz val="9"/>
            <color indexed="81"/>
            <rFont val="Tahoma"/>
            <family val="2"/>
          </rPr>
          <t>user:</t>
        </r>
        <r>
          <rPr>
            <sz val="9"/>
            <color indexed="81"/>
            <rFont val="Tahoma"/>
            <family val="2"/>
          </rPr>
          <t xml:space="preserve">
DIA SIGUIENTE</t>
        </r>
      </text>
    </comment>
    <comment ref="V414" authorId="1" shapeId="0" xr:uid="{00000000-0006-0000-5A00-00004D000000}">
      <text>
        <r>
          <rPr>
            <b/>
            <sz val="9"/>
            <color indexed="81"/>
            <rFont val="Tahoma"/>
            <family val="2"/>
          </rPr>
          <t>user:</t>
        </r>
        <r>
          <rPr>
            <sz val="9"/>
            <color indexed="81"/>
            <rFont val="Tahoma"/>
            <family val="2"/>
          </rPr>
          <t xml:space="preserve">
DEL DIA SIGUIENTE</t>
        </r>
      </text>
    </comment>
    <comment ref="V417" authorId="1" shapeId="0" xr:uid="{00000000-0006-0000-5A00-00004E000000}">
      <text>
        <r>
          <rPr>
            <b/>
            <sz val="9"/>
            <color indexed="81"/>
            <rFont val="Tahoma"/>
            <family val="2"/>
          </rPr>
          <t>user:</t>
        </r>
        <r>
          <rPr>
            <sz val="9"/>
            <color indexed="81"/>
            <rFont val="Tahoma"/>
            <family val="2"/>
          </rPr>
          <t xml:space="preserve">
DIA SIGUIENTE</t>
        </r>
      </text>
    </comment>
    <comment ref="V422" authorId="1" shapeId="0" xr:uid="{00000000-0006-0000-5A00-00004F000000}">
      <text>
        <r>
          <rPr>
            <b/>
            <sz val="9"/>
            <color indexed="81"/>
            <rFont val="Tahoma"/>
            <family val="2"/>
          </rPr>
          <t>user:</t>
        </r>
        <r>
          <rPr>
            <sz val="9"/>
            <color indexed="81"/>
            <rFont val="Tahoma"/>
            <family val="2"/>
          </rPr>
          <t xml:space="preserve">
DIA SIGUIENTE</t>
        </r>
      </text>
    </comment>
    <comment ref="K426" authorId="1" shapeId="0" xr:uid="{00000000-0006-0000-5A00-000050000000}">
      <text>
        <r>
          <rPr>
            <b/>
            <sz val="9"/>
            <color indexed="81"/>
            <rFont val="Tahoma"/>
            <family val="2"/>
          </rPr>
          <t>user:</t>
        </r>
        <r>
          <rPr>
            <sz val="9"/>
            <color indexed="81"/>
            <rFont val="Tahoma"/>
            <family val="2"/>
          </rPr>
          <t xml:space="preserve">
DEPOSITO EN BCP EMPRESA VUELO CUSCO EL LUNES 31-07-23</t>
        </r>
      </text>
    </comment>
    <comment ref="K436" authorId="1" shapeId="0" xr:uid="{00000000-0006-0000-5A00-000051000000}">
      <text>
        <r>
          <rPr>
            <b/>
            <sz val="9"/>
            <color indexed="81"/>
            <rFont val="Tahoma"/>
            <family val="2"/>
          </rPr>
          <t>user:</t>
        </r>
        <r>
          <rPr>
            <sz val="9"/>
            <color indexed="81"/>
            <rFont val="Tahoma"/>
            <family val="2"/>
          </rPr>
          <t xml:space="preserve">
BBVA</t>
        </r>
      </text>
    </comment>
    <comment ref="L443" authorId="1" shapeId="0" xr:uid="{00000000-0006-0000-5A00-000052000000}">
      <text>
        <r>
          <rPr>
            <b/>
            <sz val="9"/>
            <color indexed="81"/>
            <rFont val="Tahoma"/>
            <family val="2"/>
          </rPr>
          <t>user:</t>
        </r>
        <r>
          <rPr>
            <sz val="9"/>
            <color indexed="81"/>
            <rFont val="Tahoma"/>
            <family val="2"/>
          </rPr>
          <t xml:space="preserve">
PAGÓ EN EL BCP EL 07-08-23</t>
        </r>
      </text>
    </comment>
    <comment ref="K451" authorId="1" shapeId="0" xr:uid="{00000000-0006-0000-5A00-000053000000}">
      <text>
        <r>
          <rPr>
            <b/>
            <sz val="9"/>
            <color indexed="81"/>
            <rFont val="Tahoma"/>
            <family val="2"/>
          </rPr>
          <t>user:</t>
        </r>
        <r>
          <rPr>
            <sz val="9"/>
            <color indexed="81"/>
            <rFont val="Tahoma"/>
            <family val="2"/>
          </rPr>
          <t xml:space="preserve">
PAGOS EN ESTA FECHA</t>
        </r>
      </text>
    </comment>
    <comment ref="K459" authorId="1" shapeId="0" xr:uid="{00000000-0006-0000-5A00-000054000000}">
      <text>
        <r>
          <rPr>
            <b/>
            <sz val="9"/>
            <color indexed="81"/>
            <rFont val="Tahoma"/>
            <family val="2"/>
          </rPr>
          <t>user:</t>
        </r>
        <r>
          <rPr>
            <sz val="9"/>
            <color indexed="81"/>
            <rFont val="Tahoma"/>
            <family val="2"/>
          </rPr>
          <t xml:space="preserve">
se facturó en diciembre pero se tomó en cuneta en las ventas del mes para efectos d eprovisiones</t>
        </r>
      </text>
    </comment>
    <comment ref="K463" authorId="1" shapeId="0" xr:uid="{00000000-0006-0000-5A00-000055000000}">
      <text>
        <r>
          <rPr>
            <b/>
            <sz val="9"/>
            <color indexed="81"/>
            <rFont val="Tahoma"/>
            <family val="2"/>
          </rPr>
          <t>user:</t>
        </r>
        <r>
          <rPr>
            <sz val="9"/>
            <color indexed="81"/>
            <rFont val="Tahoma"/>
            <family val="2"/>
          </rPr>
          <t xml:space="preserve">
HA DEPÑOSITADO 30,000
</t>
        </r>
      </text>
    </comment>
    <comment ref="B474" authorId="1" shapeId="0" xr:uid="{00000000-0006-0000-5A00-000056000000}">
      <text>
        <r>
          <rPr>
            <b/>
            <sz val="9"/>
            <color indexed="81"/>
            <rFont val="Tahoma"/>
            <family val="2"/>
          </rPr>
          <t>user:</t>
        </r>
        <r>
          <rPr>
            <sz val="9"/>
            <color indexed="81"/>
            <rFont val="Tahoma"/>
            <family val="2"/>
          </rPr>
          <t xml:space="preserve">
FACTURADO EL 18-03-24</t>
        </r>
      </text>
    </comment>
    <comment ref="V501" authorId="1" shapeId="0" xr:uid="{00000000-0006-0000-5A00-000057000000}">
      <text>
        <r>
          <rPr>
            <b/>
            <sz val="9"/>
            <color indexed="81"/>
            <rFont val="Tahoma"/>
            <family val="2"/>
          </rPr>
          <t>user:</t>
        </r>
        <r>
          <rPr>
            <sz val="9"/>
            <color indexed="81"/>
            <rFont val="Tahoma"/>
            <family val="2"/>
          </rPr>
          <t xml:space="preserve">
DIA SIGUIENTE</t>
        </r>
      </text>
    </comment>
    <comment ref="V505" authorId="1" shapeId="0" xr:uid="{00000000-0006-0000-5A00-000058000000}">
      <text>
        <r>
          <rPr>
            <b/>
            <sz val="9"/>
            <color indexed="81"/>
            <rFont val="Tahoma"/>
            <family val="2"/>
          </rPr>
          <t>user:</t>
        </r>
        <r>
          <rPr>
            <sz val="9"/>
            <color indexed="81"/>
            <rFont val="Tahoma"/>
            <family val="2"/>
          </rPr>
          <t xml:space="preserve">
DEL DIA DE SIGUIENTE</t>
        </r>
      </text>
    </comment>
    <comment ref="V517" authorId="1" shapeId="0" xr:uid="{00000000-0006-0000-5A00-000059000000}">
      <text>
        <r>
          <rPr>
            <b/>
            <sz val="9"/>
            <color indexed="81"/>
            <rFont val="Tahoma"/>
            <family val="2"/>
          </rPr>
          <t>user:</t>
        </r>
        <r>
          <rPr>
            <sz val="9"/>
            <color indexed="81"/>
            <rFont val="Tahoma"/>
            <family val="2"/>
          </rPr>
          <t xml:space="preserve">
DIA SIGUIENTE</t>
        </r>
      </text>
    </comment>
    <comment ref="F523" authorId="1" shapeId="0" xr:uid="{00000000-0006-0000-5A00-00005A000000}">
      <text>
        <r>
          <rPr>
            <b/>
            <sz val="9"/>
            <color indexed="81"/>
            <rFont val="Tahoma"/>
            <family val="2"/>
          </rPr>
          <t>user:</t>
        </r>
        <r>
          <rPr>
            <sz val="9"/>
            <color indexed="81"/>
            <rFont val="Tahoma"/>
            <family val="2"/>
          </rPr>
          <t xml:space="preserve">
2 VUELOS - PAX .- PETs</t>
        </r>
      </text>
    </comment>
    <comment ref="L544" authorId="1" shapeId="0" xr:uid="{00000000-0006-0000-5A00-00005B000000}">
      <text>
        <r>
          <rPr>
            <b/>
            <sz val="9"/>
            <color indexed="81"/>
            <rFont val="Tahoma"/>
            <family val="2"/>
          </rPr>
          <t>user:</t>
        </r>
        <r>
          <rPr>
            <sz val="9"/>
            <color indexed="81"/>
            <rFont val="Tahoma"/>
            <family val="2"/>
          </rPr>
          <t xml:space="preserve">
HUBO UN ERROR SE FACTURÓ POR 9440
</t>
        </r>
      </text>
    </comment>
    <comment ref="V549" authorId="1" shapeId="0" xr:uid="{00000000-0006-0000-5A00-00005C000000}">
      <text>
        <r>
          <rPr>
            <b/>
            <sz val="9"/>
            <color indexed="81"/>
            <rFont val="Tahoma"/>
            <family val="2"/>
          </rPr>
          <t>user:</t>
        </r>
        <r>
          <rPr>
            <sz val="9"/>
            <color indexed="81"/>
            <rFont val="Tahoma"/>
            <family val="2"/>
          </rPr>
          <t xml:space="preserve">
DIA SIGUIENTE</t>
        </r>
      </text>
    </comment>
    <comment ref="B556" authorId="1" shapeId="0" xr:uid="{00000000-0006-0000-5A00-00005D000000}">
      <text>
        <r>
          <rPr>
            <b/>
            <sz val="9"/>
            <color indexed="81"/>
            <rFont val="Tahoma"/>
            <family val="2"/>
          </rPr>
          <t>user:</t>
        </r>
        <r>
          <rPr>
            <sz val="9"/>
            <color indexed="81"/>
            <rFont val="Tahoma"/>
            <family val="2"/>
          </rPr>
          <t xml:space="preserve">
PILOTO REFIERE MAL TIEMPO</t>
        </r>
      </text>
    </comment>
    <comment ref="V572" authorId="1" shapeId="0" xr:uid="{00000000-0006-0000-5A00-00005E000000}">
      <text>
        <r>
          <rPr>
            <b/>
            <sz val="9"/>
            <color indexed="81"/>
            <rFont val="Tahoma"/>
            <family val="2"/>
          </rPr>
          <t>user:</t>
        </r>
        <r>
          <rPr>
            <sz val="9"/>
            <color indexed="81"/>
            <rFont val="Tahoma"/>
            <family val="2"/>
          </rPr>
          <t xml:space="preserve">
DIA SIGUIENTE</t>
        </r>
      </text>
    </comment>
    <comment ref="V608" authorId="1" shapeId="0" xr:uid="{00000000-0006-0000-5A00-00005F000000}">
      <text>
        <r>
          <rPr>
            <b/>
            <sz val="9"/>
            <color indexed="81"/>
            <rFont val="Tahoma"/>
            <family val="2"/>
          </rPr>
          <t>user:</t>
        </r>
        <r>
          <rPr>
            <sz val="9"/>
            <color indexed="81"/>
            <rFont val="Tahoma"/>
            <family val="2"/>
          </rPr>
          <t xml:space="preserve">
DIA SIGUIENTE
</t>
        </r>
      </text>
    </comment>
    <comment ref="B630" authorId="1" shapeId="0" xr:uid="{00000000-0006-0000-5A00-000060000000}">
      <text>
        <r>
          <rPr>
            <b/>
            <sz val="9"/>
            <color indexed="81"/>
            <rFont val="Tahoma"/>
            <family val="2"/>
          </rPr>
          <t>user:</t>
        </r>
        <r>
          <rPr>
            <sz val="9"/>
            <color indexed="81"/>
            <rFont val="Tahoma"/>
            <family val="2"/>
          </rPr>
          <t xml:space="preserve">
NO SE HIZO EL TRASLADO PACIENTE SE DESCOMPENSÓ</t>
        </r>
      </text>
    </comment>
    <comment ref="L633" authorId="1" shapeId="0" xr:uid="{00000000-0006-0000-5A00-000061000000}">
      <text>
        <r>
          <rPr>
            <b/>
            <sz val="9"/>
            <color indexed="81"/>
            <rFont val="Tahoma"/>
            <family val="2"/>
          </rPr>
          <t>user:</t>
        </r>
        <r>
          <rPr>
            <sz val="9"/>
            <color indexed="81"/>
            <rFont val="Tahoma"/>
            <family val="2"/>
          </rPr>
          <t xml:space="preserve">
4956 10/11 BBVA</t>
        </r>
      </text>
    </comment>
    <comment ref="K639" authorId="1" shapeId="0" xr:uid="{00000000-0006-0000-5A00-000062000000}">
      <text>
        <r>
          <rPr>
            <b/>
            <sz val="9"/>
            <color indexed="81"/>
            <rFont val="Tahoma"/>
            <family val="2"/>
          </rPr>
          <t>user:</t>
        </r>
        <r>
          <rPr>
            <sz val="9"/>
            <color indexed="81"/>
            <rFont val="Tahoma"/>
            <family val="2"/>
          </rPr>
          <t xml:space="preserve">
7110 QUEDO
 SIN FACTURAR</t>
        </r>
      </text>
    </comment>
    <comment ref="L642" authorId="1" shapeId="0" xr:uid="{00000000-0006-0000-5A00-000063000000}">
      <text>
        <r>
          <rPr>
            <b/>
            <sz val="9"/>
            <color indexed="81"/>
            <rFont val="Tahoma"/>
            <family val="2"/>
          </rPr>
          <t>user:</t>
        </r>
        <r>
          <rPr>
            <sz val="9"/>
            <color indexed="81"/>
            <rFont val="Tahoma"/>
            <family val="2"/>
          </rPr>
          <t xml:space="preserve">
PARA EFECTOS DE EXTORNO A EVELYN FALTA FACTURAR AL 31-12</t>
        </r>
      </text>
    </comment>
    <comment ref="V651" authorId="1" shapeId="0" xr:uid="{00000000-0006-0000-5A00-000064000000}">
      <text>
        <r>
          <rPr>
            <b/>
            <sz val="9"/>
            <color indexed="81"/>
            <rFont val="Tahoma"/>
            <family val="2"/>
          </rPr>
          <t>user:</t>
        </r>
        <r>
          <rPr>
            <sz val="9"/>
            <color indexed="81"/>
            <rFont val="Tahoma"/>
            <family val="2"/>
          </rPr>
          <t xml:space="preserve">
DIA SIGUIENTE</t>
        </r>
      </text>
    </comment>
    <comment ref="B662" authorId="1" shapeId="0" xr:uid="{00000000-0006-0000-5A00-000065000000}">
      <text>
        <r>
          <rPr>
            <b/>
            <sz val="9"/>
            <color indexed="81"/>
            <rFont val="Tahoma"/>
            <family val="2"/>
          </rPr>
          <t>user:</t>
        </r>
        <r>
          <rPr>
            <sz val="9"/>
            <color indexed="81"/>
            <rFont val="Tahoma"/>
            <family val="2"/>
          </rPr>
          <t xml:space="preserve">
PAGO AL CONTADO BBVA DOLARES 850-7000-646</t>
        </r>
      </text>
    </comment>
    <comment ref="V665" authorId="1" shapeId="0" xr:uid="{00000000-0006-0000-5A00-000066000000}">
      <text>
        <r>
          <rPr>
            <b/>
            <sz val="9"/>
            <color indexed="81"/>
            <rFont val="Tahoma"/>
            <family val="2"/>
          </rPr>
          <t>user:</t>
        </r>
        <r>
          <rPr>
            <sz val="9"/>
            <color indexed="81"/>
            <rFont val="Tahoma"/>
            <family val="2"/>
          </rPr>
          <t xml:space="preserve">
dia siguiente</t>
        </r>
      </text>
    </comment>
    <comment ref="K669" authorId="1" shapeId="0" xr:uid="{00000000-0006-0000-5A00-000067000000}">
      <text>
        <r>
          <rPr>
            <b/>
            <sz val="9"/>
            <color indexed="81"/>
            <rFont val="Tahoma"/>
            <family val="2"/>
          </rPr>
          <t>user:</t>
        </r>
        <r>
          <rPr>
            <sz val="9"/>
            <color indexed="81"/>
            <rFont val="Tahoma"/>
            <family val="2"/>
          </rPr>
          <t xml:space="preserve">
26567 SOILES ANTES, SE MODIFICÓ A PEDIDO DE PARTE ENTIDAD POR FALTA D EPRESUPUESTO</t>
        </r>
      </text>
    </comment>
    <comment ref="C685" authorId="1" shapeId="0" xr:uid="{00000000-0006-0000-5A00-000068000000}">
      <text>
        <r>
          <rPr>
            <b/>
            <sz val="9"/>
            <color indexed="81"/>
            <rFont val="Tahoma"/>
            <family val="2"/>
          </rPr>
          <t>user:</t>
        </r>
        <r>
          <rPr>
            <sz val="9"/>
            <color indexed="81"/>
            <rFont val="Tahoma"/>
            <family val="2"/>
          </rPr>
          <t xml:space="preserve">
RETORNARON FALTANDO 40 MINUTOS PARA ATERRIZAR EN IQUITOS X CONDICIONES METEREOLOGICAS
</t>
        </r>
      </text>
    </comment>
    <comment ref="V698" authorId="1" shapeId="0" xr:uid="{00000000-0006-0000-5A00-000069000000}">
      <text>
        <r>
          <rPr>
            <b/>
            <sz val="9"/>
            <color indexed="81"/>
            <rFont val="Tahoma"/>
            <family val="2"/>
          </rPr>
          <t>user:</t>
        </r>
        <r>
          <rPr>
            <sz val="9"/>
            <color indexed="81"/>
            <rFont val="Tahoma"/>
            <family val="2"/>
          </rPr>
          <t xml:space="preserve">
DIA SIGUIENTE</t>
        </r>
      </text>
    </comment>
    <comment ref="K709" authorId="1" shapeId="0" xr:uid="{00000000-0006-0000-5A00-00006A000000}">
      <text>
        <r>
          <rPr>
            <b/>
            <sz val="9"/>
            <color indexed="81"/>
            <rFont val="Tahoma"/>
            <family val="2"/>
          </rPr>
          <t>user:</t>
        </r>
        <r>
          <rPr>
            <sz val="9"/>
            <color indexed="81"/>
            <rFont val="Tahoma"/>
            <family val="2"/>
          </rPr>
          <t xml:space="preserve">
AL CONTADO</t>
        </r>
      </text>
    </comment>
    <comment ref="B715" authorId="1" shapeId="0" xr:uid="{00000000-0006-0000-5A00-00006B000000}">
      <text>
        <r>
          <rPr>
            <b/>
            <sz val="9"/>
            <color indexed="81"/>
            <rFont val="Tahoma"/>
            <family val="2"/>
          </rPr>
          <t>user:</t>
        </r>
        <r>
          <rPr>
            <sz val="9"/>
            <color indexed="81"/>
            <rFont val="Tahoma"/>
            <family val="2"/>
          </rPr>
          <t xml:space="preserve">
DE SANTANDER SON  CON FACTURAS CONTINGENCIAS</t>
        </r>
      </text>
    </comment>
    <comment ref="L715" authorId="1" shapeId="0" xr:uid="{00000000-0006-0000-5A00-00006C000000}">
      <text>
        <r>
          <rPr>
            <b/>
            <sz val="9"/>
            <color indexed="81"/>
            <rFont val="Tahoma"/>
            <family val="2"/>
          </rPr>
          <t>user:</t>
        </r>
        <r>
          <rPr>
            <sz val="9"/>
            <color indexed="81"/>
            <rFont val="Tahoma"/>
            <family val="2"/>
          </rPr>
          <t xml:space="preserve">
CONSISTE EN DOS VUELOS REDONDOS VOLVIERON EL PRIMERO DE ENERO 2024 POR EL SIGUIENTE VUELO</t>
        </r>
      </text>
    </comment>
    <comment ref="L736" authorId="1" shapeId="0" xr:uid="{00000000-0006-0000-5A00-00006D000000}">
      <text>
        <r>
          <rPr>
            <b/>
            <sz val="9"/>
            <color indexed="81"/>
            <rFont val="Tahoma"/>
            <family val="2"/>
          </rPr>
          <t>user:</t>
        </r>
        <r>
          <rPr>
            <sz val="9"/>
            <color indexed="81"/>
            <rFont val="Tahoma"/>
            <family val="2"/>
          </rPr>
          <t xml:space="preserve">
EN ESTE VUELO SE VOLCIÓ AL SEGUNDO VUELO EL PRIMERO</t>
        </r>
      </text>
    </comment>
    <comment ref="B737" authorId="1" shapeId="0" xr:uid="{00000000-0006-0000-5A00-00006E000000}">
      <text>
        <r>
          <rPr>
            <b/>
            <sz val="9"/>
            <color indexed="81"/>
            <rFont val="Tahoma"/>
            <family val="2"/>
          </rPr>
          <t>user:</t>
        </r>
        <r>
          <rPr>
            <sz val="9"/>
            <color indexed="81"/>
            <rFont val="Tahoma"/>
            <family val="2"/>
          </rPr>
          <t xml:space="preserve">
SE HIZO CON LA AERONAVE DE INCA - ALQUILO A PRECIO MUY ALTO</t>
        </r>
      </text>
    </comment>
  </commentList>
</comments>
</file>

<file path=xl/comments70.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F3" authorId="0" shapeId="0" xr:uid="{00000000-0006-0000-5B00-000001000000}">
      <text>
        <r>
          <rPr>
            <b/>
            <sz val="9"/>
            <color indexed="81"/>
            <rFont val="Tahoma"/>
            <family val="2"/>
          </rPr>
          <t>user:</t>
        </r>
        <r>
          <rPr>
            <sz val="9"/>
            <color indexed="81"/>
            <rFont val="Tahoma"/>
            <family val="2"/>
          </rPr>
          <t xml:space="preserve">
CON TIRADO DE IT</t>
        </r>
      </text>
    </comment>
  </commentList>
</comments>
</file>

<file path=xl/sharedStrings.xml><?xml version="1.0" encoding="utf-8"?>
<sst xmlns="http://schemas.openxmlformats.org/spreadsheetml/2006/main" count="43088" uniqueCount="8685">
  <si>
    <t>CLIENTE</t>
  </si>
  <si>
    <t>AERONAVE</t>
  </si>
  <si>
    <t>FECHA VLO</t>
  </si>
  <si>
    <t>RUTA</t>
  </si>
  <si>
    <t>PACIENTE</t>
  </si>
  <si>
    <t>FT No.</t>
  </si>
  <si>
    <t>SOLES</t>
  </si>
  <si>
    <t>DOLARES</t>
  </si>
  <si>
    <t>STATUS</t>
  </si>
  <si>
    <t>FECHA PAGO</t>
  </si>
  <si>
    <t>BANCO</t>
  </si>
  <si>
    <t>OBSERVACIONES</t>
  </si>
  <si>
    <t>ESSALUD AQP</t>
  </si>
  <si>
    <t>OB2104</t>
  </si>
  <si>
    <t>AREQUIPA</t>
  </si>
  <si>
    <t>PCTE FERNANDO GONZALES VILLACORTA VUELO</t>
  </si>
  <si>
    <t>F001-0368</t>
  </si>
  <si>
    <t>PAGADA</t>
  </si>
  <si>
    <t>BCP</t>
  </si>
  <si>
    <t>PCTE GONZALES VILLACORTA ASIST MEDICA EN VUELO</t>
  </si>
  <si>
    <t>F001-0369</t>
  </si>
  <si>
    <t>0B-2104</t>
  </si>
  <si>
    <t>PARQUE CHIRINOS ROMINA TRASLADO AEREO</t>
  </si>
  <si>
    <t>F001-0384</t>
  </si>
  <si>
    <t>INCA</t>
  </si>
  <si>
    <t>ASISTENCIA MEDICA EN VUELO</t>
  </si>
  <si>
    <t>F001-0385</t>
  </si>
  <si>
    <t>OB-2209</t>
  </si>
  <si>
    <t>PCTE PEROCHENA CHOY FACUNDO TRASLADO AEREO</t>
  </si>
  <si>
    <t>F001-0386</t>
  </si>
  <si>
    <t>F001-0387</t>
  </si>
  <si>
    <t>OB-2104</t>
  </si>
  <si>
    <t>PCTE NINA ROQUE CECILIA TRASLADO AEREO</t>
  </si>
  <si>
    <t>F001-0388</t>
  </si>
  <si>
    <t>F001-0389</t>
  </si>
  <si>
    <t>PCTE  TRASLADO AEREO VILLENA MEDINA YHAM</t>
  </si>
  <si>
    <t>F001-0394</t>
  </si>
  <si>
    <t>ASISTENCIA MEDICA EN VUELO VILLENA</t>
  </si>
  <si>
    <t>F001-0395</t>
  </si>
  <si>
    <t>PCTE  TRASLADO AEREO MAQUERA LLERENA</t>
  </si>
  <si>
    <t>F001-439</t>
  </si>
  <si>
    <t>ASISTENCIA MEDICA EN VUELO MAQUERA LLERENA</t>
  </si>
  <si>
    <t>F001-440</t>
  </si>
  <si>
    <t>MEDINA CASTRO SERGIO SERVICIO DE TRASLADO</t>
  </si>
  <si>
    <t>F001-445</t>
  </si>
  <si>
    <t>ASISTENCIA MEDICA EN VUELO MEDINA CASTRO SERGIO</t>
  </si>
  <si>
    <t>F001-446</t>
  </si>
  <si>
    <t>JOAQUIN MANCHEGO TACO SERVICIO DE TRASLADO</t>
  </si>
  <si>
    <t>F001-431</t>
  </si>
  <si>
    <t>SERV MEDICO JOAQUIN MANCHEGO</t>
  </si>
  <si>
    <t>F001-432</t>
  </si>
  <si>
    <t>ALVARES HUARCAPUMA MIRIAN SERVICIO DE TRASLADO</t>
  </si>
  <si>
    <t>F001-427</t>
  </si>
  <si>
    <t>SERV MEDICO ALVAREZ HUARCAPUMA</t>
  </si>
  <si>
    <t>F001-428</t>
  </si>
  <si>
    <t>CRUZ TRUJILLO CADIZ SERVICIO DE TRASLADO</t>
  </si>
  <si>
    <t>F001-429</t>
  </si>
  <si>
    <t>SERV MEDICO CRUZ TRUJILLO CADIZ</t>
  </si>
  <si>
    <t>F001-430</t>
  </si>
  <si>
    <t>SERV TRASLADO TORRES FERNANDE NELMA</t>
  </si>
  <si>
    <t>F001-0450</t>
  </si>
  <si>
    <t>SERV MEDICO TORRES FERNANDEZ NELMA</t>
  </si>
  <si>
    <t>F001-0451</t>
  </si>
  <si>
    <t>SERV TRASLADO MAMANI ZAPANA JUAN JOSE</t>
  </si>
  <si>
    <t>F001-0452</t>
  </si>
  <si>
    <t>SERV MEDICO MAMANI ZAPANA JUAN JOSE</t>
  </si>
  <si>
    <t>F001-0454</t>
  </si>
  <si>
    <t>OB-2104P</t>
  </si>
  <si>
    <t>AQP-LIM</t>
  </si>
  <si>
    <t>SERV TRASL AMB AEREA MAGDA MOSTAJO URRUTIA</t>
  </si>
  <si>
    <t>F001-0632</t>
  </si>
  <si>
    <t>ENVIADA</t>
  </si>
  <si>
    <t>SERV MEDICO MAGDA MOSTAJO URRUTIA</t>
  </si>
  <si>
    <t>F001-0633</t>
  </si>
  <si>
    <t>MEDEVAC DELIA CECILIA BUSTAMANTE FLORES</t>
  </si>
  <si>
    <t>F001-0651</t>
  </si>
  <si>
    <t>F001-0652</t>
  </si>
  <si>
    <t>ESSALUD AYP</t>
  </si>
  <si>
    <t>AYACUCHO</t>
  </si>
  <si>
    <t>COVID LAURA PAITAN ERCILIA</t>
  </si>
  <si>
    <t>F001-0347</t>
  </si>
  <si>
    <t>BBVA</t>
  </si>
  <si>
    <t>DHAMAR TALAVERA LOPE</t>
  </si>
  <si>
    <t>F001-0348</t>
  </si>
  <si>
    <t>PCTE CAJAMARCA MONTES ASISE</t>
  </si>
  <si>
    <t>F001-0392</t>
  </si>
  <si>
    <t>PCTE JAYO GUERRA SANTA</t>
  </si>
  <si>
    <t>F001-0393</t>
  </si>
  <si>
    <t>NO COVID SOSA FIGUEROA ADALBERTA</t>
  </si>
  <si>
    <t>F001-0424</t>
  </si>
  <si>
    <t>PCTE COVID ROJAS TEODORO</t>
  </si>
  <si>
    <t>F001-0425</t>
  </si>
  <si>
    <t>ÑAÑA LUJAN MARIA CONCEPCION</t>
  </si>
  <si>
    <t>F001-0456</t>
  </si>
  <si>
    <t>SARA ft 001-247 $2714</t>
  </si>
  <si>
    <t>JORGE QUISPE GABRIEL</t>
  </si>
  <si>
    <t>F001-0556</t>
  </si>
  <si>
    <t>TRIP MEDICA PROPIA</t>
  </si>
  <si>
    <t>NO COVID SAEZ ALARCON EDGAR</t>
  </si>
  <si>
    <t>F001-0557</t>
  </si>
  <si>
    <t>COVID CCATAMAYO BARRIOS JOHNNY</t>
  </si>
  <si>
    <t>F001-0558</t>
  </si>
  <si>
    <t>NO COVID HUAMAN PALOINO BERIA</t>
  </si>
  <si>
    <t>F001-0559</t>
  </si>
  <si>
    <t>COVID LOPEZ GUTIERREZ WALDO</t>
  </si>
  <si>
    <t>F001-0560</t>
  </si>
  <si>
    <t>AYP-LIM</t>
  </si>
  <si>
    <t>PCTE NO TRASLADABLE CARBAJAL PILLACA MICHELLE MARIE</t>
  </si>
  <si>
    <t>F001-0582</t>
  </si>
  <si>
    <t>MEDEVAC GREGORIA PALOMINA ALARCON</t>
  </si>
  <si>
    <t>MEDEVAC AQUINO CRUZ MARGARITA</t>
  </si>
  <si>
    <t>FALTA PAGAR</t>
  </si>
  <si>
    <t>ESSALUD CHY</t>
  </si>
  <si>
    <t>CHY-LIM</t>
  </si>
  <si>
    <t>SERV TRASLADO AEREO JUAN MANUEL CALAMPA RAMOS COVID</t>
  </si>
  <si>
    <t>F001-0577</t>
  </si>
  <si>
    <t xml:space="preserve">SERVS MEDICOS JUAN MANUEL CALAMPA RAMOS </t>
  </si>
  <si>
    <t>F001-0578</t>
  </si>
  <si>
    <t>ESSALUD CIX</t>
  </si>
  <si>
    <t>CHICLAYO</t>
  </si>
  <si>
    <t>COVID EDUARDO GOMEZ DE LA TORRE SERV AMB AEREA</t>
  </si>
  <si>
    <t>F001-0417</t>
  </si>
  <si>
    <t>28/4-07/05</t>
  </si>
  <si>
    <t>TRP INCA</t>
  </si>
  <si>
    <t>SERV COMP DE AMBULANCIA TERRESTRE</t>
  </si>
  <si>
    <t>F001-0416</t>
  </si>
  <si>
    <t>LIM-CIX</t>
  </si>
  <si>
    <t>NO COVID ROLANDO DARIO MENSTANZA CAMPOS</t>
  </si>
  <si>
    <t>F001-0413</t>
  </si>
  <si>
    <t>F001-0415</t>
  </si>
  <si>
    <t>OBLITAS GASTELO DANNA DEL ROSARIO</t>
  </si>
  <si>
    <t>F001-0409</t>
  </si>
  <si>
    <t>SERV COMPLEMENTARIO DE AMB TERRESTRE</t>
  </si>
  <si>
    <t>F001-0410</t>
  </si>
  <si>
    <t>ALY FRANCKLIN OJEDA VILLANUEVA</t>
  </si>
  <si>
    <t>F001-0379</t>
  </si>
  <si>
    <t>SERV COMPLEMENTARIO DE AMBULANCIA</t>
  </si>
  <si>
    <t>F001-0411</t>
  </si>
  <si>
    <t>LUIS PUICON SERV DE AMBULANCIA AEREA</t>
  </si>
  <si>
    <t>F001-0436</t>
  </si>
  <si>
    <t>TRIP INCA</t>
  </si>
  <si>
    <t>LUIS PUICON SERV COMPLEMENTARIO AMB TERR</t>
  </si>
  <si>
    <t>F001-0437</t>
  </si>
  <si>
    <t>CIX-LIM</t>
  </si>
  <si>
    <t>ESSALUD CUS</t>
  </si>
  <si>
    <t>CUSCO</t>
  </si>
  <si>
    <t>ALVAREZ CHOQQUE MARGARITA</t>
  </si>
  <si>
    <t>F001-0351</t>
  </si>
  <si>
    <t>BBVA-LIM</t>
  </si>
  <si>
    <t>NO COVID HEMERSON RIVERA CAMARA</t>
  </si>
  <si>
    <t>F001-0352</t>
  </si>
  <si>
    <t>NO COVID GUTIERREZ DALENS JUAN</t>
  </si>
  <si>
    <t>F001-0362</t>
  </si>
  <si>
    <t>PCTE PRAXIDES FARFAN HUAMAN</t>
  </si>
  <si>
    <t>F001-0370</t>
  </si>
  <si>
    <t>AROCCA TAMBRAICO ANGIELINA NEO SERV TRASLADO AEREO</t>
  </si>
  <si>
    <t>F001-0400</t>
  </si>
  <si>
    <t>SERV ASISTENCIA MEDICA AROCCA TAMBRAICO</t>
  </si>
  <si>
    <t>F001-0401</t>
  </si>
  <si>
    <t>PCTE TINTAYA AIQUE FRANCO</t>
  </si>
  <si>
    <t>F001-0372</t>
  </si>
  <si>
    <t>CUS-JAUJA</t>
  </si>
  <si>
    <t>PCTE COVID HUILCA CURSE ROBERT</t>
  </si>
  <si>
    <t>F001-0382</t>
  </si>
  <si>
    <t xml:space="preserve">ASISTENCIA MEDICA EN VUELO HUILCA </t>
  </si>
  <si>
    <t>F001-0383</t>
  </si>
  <si>
    <t>SERV DE AMBULANCIA AEREA CHINO LABRA</t>
  </si>
  <si>
    <t>F001-0433</t>
  </si>
  <si>
    <t>SERV DE ASISTENCIA MEDICA</t>
  </si>
  <si>
    <t>F001-0434</t>
  </si>
  <si>
    <t>PCTE MAURICIO CASAFRANCA SALAS TRASLADO AEREO</t>
  </si>
  <si>
    <t>F001-0511</t>
  </si>
  <si>
    <t>MAURICIO CASAFRANJA SERV MEDICO</t>
  </si>
  <si>
    <t>F001-0512</t>
  </si>
  <si>
    <t>TRASLADO AEREO PEREZ GUTIERREZ YESENIA</t>
  </si>
  <si>
    <t>F001-0545</t>
  </si>
  <si>
    <t>TRIP MEDICA INCA</t>
  </si>
  <si>
    <t>ATENCION MEDICA PEREZ GUTIERREZ YESENIA</t>
  </si>
  <si>
    <t>F001-0546</t>
  </si>
  <si>
    <t>TRASLADO AEREO LAROTA TACUSI YANET</t>
  </si>
  <si>
    <t>F001-0550</t>
  </si>
  <si>
    <t>ATENCION MEDICA LAROTA TACUSI YANET</t>
  </si>
  <si>
    <t>F001-0551</t>
  </si>
  <si>
    <t>TRASL LOS ANDES CHIRINOS CONCEPCION</t>
  </si>
  <si>
    <t>F001-0552</t>
  </si>
  <si>
    <t>ATENCION MEDICOS LOS ANDES CHIRINOS CONCEPCION</t>
  </si>
  <si>
    <t>F001-0553</t>
  </si>
  <si>
    <t>GESTANTE PACO NOELIA</t>
  </si>
  <si>
    <t>F001-0535</t>
  </si>
  <si>
    <t>TRASLADO AEREO GESTANTE QUISPE YANET</t>
  </si>
  <si>
    <t>F001-0536</t>
  </si>
  <si>
    <t>TRASLADO AEREO PCTE VIDAL WILFREDO</t>
  </si>
  <si>
    <t>F001-0554</t>
  </si>
  <si>
    <t>ATENCION MEDICA PCTE VIDAL WILFREDO</t>
  </si>
  <si>
    <t>F001-0555</t>
  </si>
  <si>
    <t>TRASLADO AEREO VELARDE GUILLEN SAMI</t>
  </si>
  <si>
    <t>F001-0561</t>
  </si>
  <si>
    <t>ATENCION MEDICA VELARDE GUILLEN SAMI</t>
  </si>
  <si>
    <t>F001-0562</t>
  </si>
  <si>
    <t>TRASLADO AEREO GAMARRA CHUNCA VALENTINA</t>
  </si>
  <si>
    <t>F001-0563</t>
  </si>
  <si>
    <t>ATENCION MEDICA GAMARRA CHUNCA VALENTINA</t>
  </si>
  <si>
    <t>F001-0564</t>
  </si>
  <si>
    <t>ESSALUD CUS CONT</t>
  </si>
  <si>
    <t>LIM-CUS</t>
  </si>
  <si>
    <t>LIA FABIOLA DE LA TORRE VILCA</t>
  </si>
  <si>
    <t>F001-0580</t>
  </si>
  <si>
    <t>CUS-LIM</t>
  </si>
  <si>
    <t>CARRILLO ROSELL MERY ALEJANDRINA</t>
  </si>
  <si>
    <t>F001-0581</t>
  </si>
  <si>
    <t>CRUZ MIO YARETZI FIORELLA</t>
  </si>
  <si>
    <t>F001-0614</t>
  </si>
  <si>
    <t>GUILLEN AYME AMEE ITZEL</t>
  </si>
  <si>
    <t>F001-0615</t>
  </si>
  <si>
    <t>LEIVA ATAULLUCO MARIO</t>
  </si>
  <si>
    <t>F001-0638</t>
  </si>
  <si>
    <t>MEDEVAC MILAGROS GARCIA VUELO PERNOCTO</t>
  </si>
  <si>
    <t>F001-0642</t>
  </si>
  <si>
    <t>MEDEVAC NIEBLES ROQUE RUBI ARIANA</t>
  </si>
  <si>
    <t>CONTRATO</t>
  </si>
  <si>
    <t>ESSALUD IQT</t>
  </si>
  <si>
    <t>IQUITOS</t>
  </si>
  <si>
    <t>COVID</t>
  </si>
  <si>
    <t>F001-0361</t>
  </si>
  <si>
    <t>BBVA LIM</t>
  </si>
  <si>
    <t>CHUMBE DE PEREYRA OLGA</t>
  </si>
  <si>
    <t>F001-0367</t>
  </si>
  <si>
    <t>RN VARGAS VARGAS MIA</t>
  </si>
  <si>
    <t>F001-0381</t>
  </si>
  <si>
    <t>PCTE JULIO CAMACHO FLORES</t>
  </si>
  <si>
    <t>F001-0426</t>
  </si>
  <si>
    <t>MERCEDES RODRIGUEZ LINARES</t>
  </si>
  <si>
    <t>F001-0566</t>
  </si>
  <si>
    <t>JERRY LIONEL DIAZ VARGAS</t>
  </si>
  <si>
    <t>COVID JAVIER RUBIO ZAVALETA</t>
  </si>
  <si>
    <t>F001-0568</t>
  </si>
  <si>
    <t>IQT-LIM</t>
  </si>
  <si>
    <t>MEDEVAC CIRO LAMAS TORRES</t>
  </si>
  <si>
    <t>F001-0608</t>
  </si>
  <si>
    <t xml:space="preserve">ESSALUD IQT </t>
  </si>
  <si>
    <t>IQT LIM</t>
  </si>
  <si>
    <t>TRASLADO vela portela rosa</t>
  </si>
  <si>
    <t>F006-13001</t>
  </si>
  <si>
    <t>ESSALUD IQT CONT</t>
  </si>
  <si>
    <t>OJANAMA MORI GIBSON</t>
  </si>
  <si>
    <t>F001-0634</t>
  </si>
  <si>
    <t>LIM-IQT-LIM</t>
  </si>
  <si>
    <t>GARCIA GARCIA PETER JHON PAX QUEMADO</t>
  </si>
  <si>
    <t>F001-0635</t>
  </si>
  <si>
    <t>PCL-IQT-LIM</t>
  </si>
  <si>
    <t>GARCIA TAMINCHE FELIX PAX QUEMADO</t>
  </si>
  <si>
    <t>F001-0636</t>
  </si>
  <si>
    <t>SUBIATE DEL AGUILA NORMA</t>
  </si>
  <si>
    <t>F001-0637</t>
  </si>
  <si>
    <t>MEDEVAC CORA RENGIFO CLARA</t>
  </si>
  <si>
    <t>F001-0658</t>
  </si>
  <si>
    <t>MEDEVAC HIDALGO RIOS LIZARDO MANUEL</t>
  </si>
  <si>
    <t>MEDEVAC GARCIA DEL AGUILA</t>
  </si>
  <si>
    <t>MEDEVAC CALLE CHUQUIPIONDO</t>
  </si>
  <si>
    <t>ESSALUD ORGANOS</t>
  </si>
  <si>
    <t>VUELO CON PERNOCTE RETORNO 13 ABR</t>
  </si>
  <si>
    <t>001-0442</t>
  </si>
  <si>
    <t>PIURA</t>
  </si>
  <si>
    <t>OJO AGREGAR $2000 +IGV HELICOPTERO</t>
  </si>
  <si>
    <t>001-0443</t>
  </si>
  <si>
    <t>F001-0457</t>
  </si>
  <si>
    <t>LIM-PIU-LIM</t>
  </si>
  <si>
    <t>OJO INCLUIR GTS DE VTCS, PERNOCTE Y APERTURA</t>
  </si>
  <si>
    <t>F001-0587</t>
  </si>
  <si>
    <t>SOLO SE COBRA EL VUELO DE IDA MAS HELICOPTERO</t>
  </si>
  <si>
    <t>F001-0588</t>
  </si>
  <si>
    <t>LIM-AQP-LIM</t>
  </si>
  <si>
    <t>TRASLADO DE ORGANOS</t>
  </si>
  <si>
    <t>F001-0610</t>
  </si>
  <si>
    <t>LIM-TRU-CIX-LIM</t>
  </si>
  <si>
    <t>TRASLAD ORGANOS OJO COBRAR PERNOCTE</t>
  </si>
  <si>
    <t>F001-0641</t>
  </si>
  <si>
    <t>TRASLADO</t>
  </si>
  <si>
    <t>OB 2104</t>
  </si>
  <si>
    <t>MEDEVAC</t>
  </si>
  <si>
    <t>ESSALUD PIU</t>
  </si>
  <si>
    <t>DEZA ROXANA ELIZABETH</t>
  </si>
  <si>
    <t>001-0405</t>
  </si>
  <si>
    <t>NAVARRO COBEÑAS HEYDI</t>
  </si>
  <si>
    <t>001-0476</t>
  </si>
  <si>
    <t>PIU-LIM</t>
  </si>
  <si>
    <t>RN DURAND SILVA</t>
  </si>
  <si>
    <t>F001-0576</t>
  </si>
  <si>
    <t>RN SILVA NOLASCO</t>
  </si>
  <si>
    <t>BALAREZO PAIVA MARCOS</t>
  </si>
  <si>
    <t>F001-0649</t>
  </si>
  <si>
    <t>MEDEVAC REGALADO</t>
  </si>
  <si>
    <t>F001-0650</t>
  </si>
  <si>
    <t>TPP-TRU</t>
  </si>
  <si>
    <t>TPP-LIM</t>
  </si>
  <si>
    <t>TPP-CIX</t>
  </si>
  <si>
    <t>ESSALUD TPP</t>
  </si>
  <si>
    <t xml:space="preserve">PAGADA </t>
  </si>
  <si>
    <t>HOSP REG LORETO</t>
  </si>
  <si>
    <t>ZOE KHALESSY CURINUQUI MARIN</t>
  </si>
  <si>
    <t>MANIHUARI JULCA XIANNA</t>
  </si>
  <si>
    <t>DARYL DAMIAN DA SILVA QUIÑONES</t>
  </si>
  <si>
    <t>MONTERO RODRIGUEZ PATRICIA MED</t>
  </si>
  <si>
    <t>MINSA MOYOBAMBA</t>
  </si>
  <si>
    <t>RIOJA-LIM</t>
  </si>
  <si>
    <t>YAJAHUANCA VILLACORTA ANGHELA</t>
  </si>
  <si>
    <t>F001-0334</t>
  </si>
  <si>
    <t>TRIP MEDICA DE INCA $2,500</t>
  </si>
  <si>
    <t>VARGAS HUATANGURE LUCAS</t>
  </si>
  <si>
    <t>F001-0335</t>
  </si>
  <si>
    <t>RIOJA</t>
  </si>
  <si>
    <t>PCTE PEDIATRAICO CHUQUIPOMA EMILY</t>
  </si>
  <si>
    <t>F001-0527</t>
  </si>
  <si>
    <t>NEONATO LOPEZ JHEICK ALEXANDER</t>
  </si>
  <si>
    <t>F001-0613</t>
  </si>
  <si>
    <t>MEDEVAC GUILLEN NUÑEZ CHRISTIAN</t>
  </si>
  <si>
    <t>MEDEVAC AMPUERO ORTEGA SALVADOR</t>
  </si>
  <si>
    <t>JUL-LIM</t>
  </si>
  <si>
    <t xml:space="preserve">SALUDPOL </t>
  </si>
  <si>
    <t>COVID NO SE TRASLADO AL PCTE POR ESTADO</t>
  </si>
  <si>
    <t>F001-0357</t>
  </si>
  <si>
    <t>EMELY DANNAE PIÑA LUGO</t>
  </si>
  <si>
    <t>F001-0358</t>
  </si>
  <si>
    <t>LIM-TRU-LIM</t>
  </si>
  <si>
    <t>MEDEVAC NIEBLES ROQUE CONTRAREFERENCIA</t>
  </si>
  <si>
    <t>F001-686</t>
  </si>
  <si>
    <t>F001-687</t>
  </si>
  <si>
    <t>MEDEVAC DANTAS SIBINA D ETANNER NANCI</t>
  </si>
  <si>
    <t>F001-685</t>
  </si>
  <si>
    <t>F001-684</t>
  </si>
  <si>
    <t>F001-0234</t>
  </si>
  <si>
    <t>F001-0235</t>
  </si>
  <si>
    <t>F001-0676</t>
  </si>
  <si>
    <t>F001-0675</t>
  </si>
  <si>
    <t>F001-0269</t>
  </si>
  <si>
    <t>F001-0270</t>
  </si>
  <si>
    <t>F001-0280</t>
  </si>
  <si>
    <t>F001-0281</t>
  </si>
  <si>
    <t>ASISTENCIA MEDICA EN VUELO DAVID BARIONUEVO TACO</t>
  </si>
  <si>
    <t>ASISTENCIA MEDICA EN VUELO MATIAS HUARCAYA JAYACHI</t>
  </si>
  <si>
    <t>PCTE MIA BELEN FLORES MEJIA TRASLADO AEREO</t>
  </si>
  <si>
    <t>ASISTENCIA MEDICA EN VUELO MIA BELEN FLORES MEJIA</t>
  </si>
  <si>
    <t>PCTE AYALA PAMO NORMA TRASLADO AEREO</t>
  </si>
  <si>
    <t>ASISTENCIA MEDICA EN VUELO AYALA PAMO NORMA</t>
  </si>
  <si>
    <t>PCTE MATIAS HUARCAYA JAYACHI TRASLADO AEREO</t>
  </si>
  <si>
    <t>PCTE DAVID BARIONUEVO TACO TRASLADO AEREO</t>
  </si>
  <si>
    <t>DEUDA AL 31/12/2020</t>
  </si>
  <si>
    <t>F001-688</t>
  </si>
  <si>
    <t>MEDEVAC DACOSTA TORRES JOSEFA MARGOTH</t>
  </si>
  <si>
    <t>MEDEVAC OYMAS CRUZ GLADIS</t>
  </si>
  <si>
    <t>MEDEVAC TACUMA GUTIERREZ ABEL</t>
  </si>
  <si>
    <t>X COBRAR TOTAL</t>
  </si>
  <si>
    <t>MEDEVAC RODRIGUEZ BURGA VICTORIANO</t>
  </si>
  <si>
    <t>F001-0677</t>
  </si>
  <si>
    <t>F001-673</t>
  </si>
  <si>
    <t>FUERA DE CONTRATO</t>
  </si>
  <si>
    <t xml:space="preserve">X COBRAR </t>
  </si>
  <si>
    <t>X COBRAR 2020</t>
  </si>
  <si>
    <t>MEDEVAC MELENDEZ MURAYARI DAYRON</t>
  </si>
  <si>
    <t>X COBRAR CONTRATO</t>
  </si>
  <si>
    <t xml:space="preserve">X COBRAR TOTAL </t>
  </si>
  <si>
    <t>X COBRAR CONTRATO TOTAL</t>
  </si>
  <si>
    <t>MEDEVAC AÑO PANIAGUA YOSEP LIAN</t>
  </si>
  <si>
    <t>F001-697</t>
  </si>
  <si>
    <t>F001-695</t>
  </si>
  <si>
    <t>Ejecutado</t>
  </si>
  <si>
    <t>Pagado</t>
  </si>
  <si>
    <t>F001-702</t>
  </si>
  <si>
    <t>F001-0107</t>
  </si>
  <si>
    <t>MORI PORTOCARRERO AINOHA - 0101-201901391-IN/SALUDPOL/GG/OS/US/AMAZONAS</t>
  </si>
  <si>
    <t>F001-0139</t>
  </si>
  <si>
    <t>ORTIZ DE LA CRUZ SHERELYN 1503-201906695 - IN/SALUDPOL/GG/OS/US/LORETO</t>
  </si>
  <si>
    <t>NEYRA CRUZ SOFIA - 2301-202000867 - IN/SALUDPOL/GG/GCS</t>
  </si>
  <si>
    <t>OMAR JACINTO VELASCO CONTRERAS - 2001-202000135-IN/SALUDPOL/GG/OS/US/PUNO</t>
  </si>
  <si>
    <t>HUAMANI ATACHAO ARIANA - AYAC 2020003736 - IN/SALUDPOL/GG/GCS</t>
  </si>
  <si>
    <t>X COBRAR 2019</t>
  </si>
  <si>
    <t>X COBRAR 2021</t>
  </si>
  <si>
    <t>CHACHAPOYAS-LIMA</t>
  </si>
  <si>
    <t>IQUITOS-LIMA</t>
  </si>
  <si>
    <t>PUNO-LIMA</t>
  </si>
  <si>
    <t>TUMBES-LIMA</t>
  </si>
  <si>
    <t>AYACUCHO-LIMA</t>
  </si>
  <si>
    <t>HUANUCO-LIM</t>
  </si>
  <si>
    <t>F001-2369</t>
  </si>
  <si>
    <t>F001-2371</t>
  </si>
  <si>
    <t xml:space="preserve"> X COBRAR TOTAL</t>
  </si>
  <si>
    <t>F001-0164</t>
  </si>
  <si>
    <t>MEDEVAC HUILCA MAYTA ELIAN LEONARDO</t>
  </si>
  <si>
    <t>BBVA LIMA</t>
  </si>
  <si>
    <t>MEDEVAC CONTRERAS  CHAMBI MARIA ANTONIA TRASLADO</t>
  </si>
  <si>
    <t>MEDEVAC CONTRERAS  CHAMBI MARIA ANTONIA SERV MEDICO</t>
  </si>
  <si>
    <t>TRASL ORGANOS ADICIONAR HELICOPTERO</t>
  </si>
  <si>
    <t>F001-0691</t>
  </si>
  <si>
    <t>TRAL ORGANOS</t>
  </si>
  <si>
    <t>F001-0692</t>
  </si>
  <si>
    <t>LIM-TBP-LIM</t>
  </si>
  <si>
    <t>TRASLADO ORGANOS</t>
  </si>
  <si>
    <t>F001-0710</t>
  </si>
  <si>
    <t>F006-14859</t>
  </si>
  <si>
    <t>MEDEVAC LOBATO TELLO MARIANO</t>
  </si>
  <si>
    <t>F001-0694</t>
  </si>
  <si>
    <t>F001-0693</t>
  </si>
  <si>
    <t>F001-0704</t>
  </si>
  <si>
    <t>HOSP VIRGEN DE FATIMA</t>
  </si>
  <si>
    <t>MEDEVAC MARIN CASTRO JUAN JOSE</t>
  </si>
  <si>
    <t>F001-0707</t>
  </si>
  <si>
    <t>F001-0708</t>
  </si>
  <si>
    <t>F001-714</t>
  </si>
  <si>
    <t>F001-0712</t>
  </si>
  <si>
    <t>F001-0713</t>
  </si>
  <si>
    <t>OB2209</t>
  </si>
  <si>
    <t>MEDEVAC PCT CCOSI BENITO MARGARETH SORAIDA</t>
  </si>
  <si>
    <t>F001-722</t>
  </si>
  <si>
    <t>MEDEVAC ESCARATE SEMINARIO JOSE</t>
  </si>
  <si>
    <t>F001-0705</t>
  </si>
  <si>
    <t>F001-0706</t>
  </si>
  <si>
    <t>F001-719</t>
  </si>
  <si>
    <t>TRASLADO AEREO PCTE STA CRUZ</t>
  </si>
  <si>
    <t>F001-0678</t>
  </si>
  <si>
    <t>SERVICIOS MEDICOS PCTE STA CRUZ</t>
  </si>
  <si>
    <t>F001-0679</t>
  </si>
  <si>
    <t>F001-709</t>
  </si>
  <si>
    <t>MEDEVAC JUAN ALBERTO GIRON GUTIERREZ</t>
  </si>
  <si>
    <t>X COBRAR</t>
  </si>
  <si>
    <t>ESSALUD TRU</t>
  </si>
  <si>
    <t>TRU-LIM</t>
  </si>
  <si>
    <t>F001-731</t>
  </si>
  <si>
    <t>F001-732</t>
  </si>
  <si>
    <t>F. VUELO</t>
  </si>
  <si>
    <t xml:space="preserve"> FACTURA</t>
  </si>
  <si>
    <t>FC CORREGIDA</t>
  </si>
  <si>
    <t>N° DE CARTA</t>
  </si>
  <si>
    <t>AUTORIZA</t>
  </si>
  <si>
    <t xml:space="preserve"> MANIFIESTO</t>
  </si>
  <si>
    <t>Nº DE LIQ.</t>
  </si>
  <si>
    <t>PASAJEROS</t>
  </si>
  <si>
    <t>MONTO</t>
  </si>
  <si>
    <t>FECHA</t>
  </si>
  <si>
    <t>M. CANCELADO</t>
  </si>
  <si>
    <t>FECHA DE PAGO</t>
  </si>
  <si>
    <t>MEDIO DE PAGO</t>
  </si>
  <si>
    <t>006-6913</t>
  </si>
  <si>
    <t>C-009-2021</t>
  </si>
  <si>
    <t>ESSALUD</t>
  </si>
  <si>
    <t>006-3538</t>
  </si>
  <si>
    <t>CL-LM</t>
  </si>
  <si>
    <t>RAUL WILFREDO VASQUEZ</t>
  </si>
  <si>
    <t>006-4354</t>
  </si>
  <si>
    <t>C-261-2020</t>
  </si>
  <si>
    <t>006-3037</t>
  </si>
  <si>
    <t>ROBERT ISMINIO MARIN</t>
  </si>
  <si>
    <t>006-10269</t>
  </si>
  <si>
    <t>006-11093</t>
  </si>
  <si>
    <t>C-449-2021</t>
  </si>
  <si>
    <t>SANDRA ZUMBA- ROGER SANDI NUNTA</t>
  </si>
  <si>
    <t>006-10472</t>
  </si>
  <si>
    <t>006-11045</t>
  </si>
  <si>
    <t>C-504-2021</t>
  </si>
  <si>
    <t>006-4265</t>
  </si>
  <si>
    <t>MIKLALI CARDENAS</t>
  </si>
  <si>
    <t>006-11869</t>
  </si>
  <si>
    <t>C-673-2021</t>
  </si>
  <si>
    <t>006-4549</t>
  </si>
  <si>
    <t>MIGUEL VALDIVIA HUAYAVA</t>
  </si>
  <si>
    <t>DEP.CTA</t>
  </si>
  <si>
    <t>006-12270</t>
  </si>
  <si>
    <t>006-12926</t>
  </si>
  <si>
    <t>C-678-2021</t>
  </si>
  <si>
    <t>001-5674</t>
  </si>
  <si>
    <t>CARLOS ABANTO</t>
  </si>
  <si>
    <t>006-12339</t>
  </si>
  <si>
    <t>C-664-2021</t>
  </si>
  <si>
    <t>006-4652</t>
  </si>
  <si>
    <t>CL.LM</t>
  </si>
  <si>
    <t>SHERY SALAS PAREDES</t>
  </si>
  <si>
    <t>14-09-21</t>
  </si>
  <si>
    <t>006-12924</t>
  </si>
  <si>
    <t>C-675-2021</t>
  </si>
  <si>
    <t>006-4672</t>
  </si>
  <si>
    <t>MARLENE PETRONILA DIAZ</t>
  </si>
  <si>
    <t>16-09-21</t>
  </si>
  <si>
    <t>006-12496</t>
  </si>
  <si>
    <t>C-665-2021</t>
  </si>
  <si>
    <t>006-4681</t>
  </si>
  <si>
    <t>DORA FLORES PILCO</t>
  </si>
  <si>
    <t>006-12497</t>
  </si>
  <si>
    <t>C-666-2021</t>
  </si>
  <si>
    <t>006-4684</t>
  </si>
  <si>
    <t>ELEODORO PAREDES</t>
  </si>
  <si>
    <t>17-09-21</t>
  </si>
  <si>
    <t>006-12648</t>
  </si>
  <si>
    <t>C-667-2021</t>
  </si>
  <si>
    <t>006-4691</t>
  </si>
  <si>
    <t>WILLER STIVEN PINEDO</t>
  </si>
  <si>
    <t>24-09-21</t>
  </si>
  <si>
    <t>006-12734</t>
  </si>
  <si>
    <t>C-676-2021</t>
  </si>
  <si>
    <t>006-4738</t>
  </si>
  <si>
    <t>JUAN PABLO NAKAMURA</t>
  </si>
  <si>
    <t>25-09-21</t>
  </si>
  <si>
    <t>006-12738</t>
  </si>
  <si>
    <t>C-677-2021</t>
  </si>
  <si>
    <t>006-4744</t>
  </si>
  <si>
    <t>CINTHYA DAVILA</t>
  </si>
  <si>
    <t>29-09-21</t>
  </si>
  <si>
    <t>006-12849</t>
  </si>
  <si>
    <t>C-668-2021</t>
  </si>
  <si>
    <t>CARMEN RENGIFO RAMIREZ</t>
  </si>
  <si>
    <t>006-13500</t>
  </si>
  <si>
    <t>C-972-2021</t>
  </si>
  <si>
    <t>006-4792</t>
  </si>
  <si>
    <t>CL-CLM</t>
  </si>
  <si>
    <t>ETHEN ANIBAL LUIS</t>
  </si>
  <si>
    <t>006-12970</t>
  </si>
  <si>
    <t>C-957-2021</t>
  </si>
  <si>
    <t>006-4805</t>
  </si>
  <si>
    <t>LAURA ISABEL COBOS</t>
  </si>
  <si>
    <t>26.10.21</t>
  </si>
  <si>
    <t>006-13600</t>
  </si>
  <si>
    <t>006-15033</t>
  </si>
  <si>
    <t>C-1017-2021</t>
  </si>
  <si>
    <t>006-4927</t>
  </si>
  <si>
    <t xml:space="preserve">CL-LM </t>
  </si>
  <si>
    <t xml:space="preserve">JUDITH HERLINDA MORI </t>
  </si>
  <si>
    <t>28.10.21</t>
  </si>
  <si>
    <t>006-13606</t>
  </si>
  <si>
    <t>C-1041-2021</t>
  </si>
  <si>
    <t>006-4940</t>
  </si>
  <si>
    <t xml:space="preserve">ESTHER PEREZ HUAYTA </t>
  </si>
  <si>
    <t>0006-13639</t>
  </si>
  <si>
    <t>c-1066-2021</t>
  </si>
  <si>
    <t xml:space="preserve">ESSALUD </t>
  </si>
  <si>
    <t>006-4941</t>
  </si>
  <si>
    <t xml:space="preserve">GERMAN YNFUNTE ESCALANTE </t>
  </si>
  <si>
    <t>006-13638</t>
  </si>
  <si>
    <t>C-1169-2021</t>
  </si>
  <si>
    <t>006-4948</t>
  </si>
  <si>
    <t xml:space="preserve">WENDOLIN SAN MIGUEL </t>
  </si>
  <si>
    <t>EVACUACIONES MEDICAS SIN CONTRATO PUCALLPA</t>
  </si>
  <si>
    <t>MEDEVAC MENACHO BARRERA PABLO</t>
  </si>
  <si>
    <t>RUIZ DE VENEGAS EUDOSIA</t>
  </si>
  <si>
    <t xml:space="preserve">X COBRAR CONTRATO </t>
  </si>
  <si>
    <t>MEDEVAC PAC ALEGRIA AUCA</t>
  </si>
  <si>
    <t>HOSP REG TPP</t>
  </si>
  <si>
    <t>HOSP REG PCL</t>
  </si>
  <si>
    <t>PCL-LIM</t>
  </si>
  <si>
    <t>TRASLADO SOTO CUSIHUAMAN</t>
  </si>
  <si>
    <t>F001-734</t>
  </si>
  <si>
    <t>F001-736</t>
  </si>
  <si>
    <t>F001-737</t>
  </si>
  <si>
    <t>F006-15754</t>
  </si>
  <si>
    <t>MEDEVAC PCTE RODRIGUEZ</t>
  </si>
  <si>
    <t>F001-741</t>
  </si>
  <si>
    <t>F001-739</t>
  </si>
  <si>
    <t>MARIA DINA GUEVARA MARTINEZ</t>
  </si>
  <si>
    <t>NO ESTA EN ESTADO FINANCIERO</t>
  </si>
  <si>
    <t>NO ESTA EN ESTADOS FINANCIEROS</t>
  </si>
  <si>
    <t>F001-703</t>
  </si>
  <si>
    <t>F001-721</t>
  </si>
  <si>
    <t>F001-740</t>
  </si>
  <si>
    <t>F001-674</t>
  </si>
  <si>
    <t>MEDEVAC PCTE CARLOS MARTINEZ HUAMAN</t>
  </si>
  <si>
    <t>MEDEVAC DE LA CRUZ MEDINA INGRID</t>
  </si>
  <si>
    <t>ANS-LIM</t>
  </si>
  <si>
    <t>MEDEVAC RN GAMBOA GONZALES</t>
  </si>
  <si>
    <t>ALFA VIAJES</t>
  </si>
  <si>
    <t>TRASLADO PCT RIVERA INOCENTE</t>
  </si>
  <si>
    <t>F001-744</t>
  </si>
  <si>
    <t>MEDEVAC RAMIREZ SALAS CARLOS JAIR</t>
  </si>
  <si>
    <t>MEDEVAC ROSAS MERMA CLAUDIO ALVARO</t>
  </si>
  <si>
    <t>MEDEVAC TORRES CHUMPE LISSY</t>
  </si>
  <si>
    <t>PAGO AUN NO IDENTIFICADO</t>
  </si>
  <si>
    <t>INCA AIR AMBULANCE</t>
  </si>
  <si>
    <t>YMS-LIM</t>
  </si>
  <si>
    <t>F001-753</t>
  </si>
  <si>
    <t>ALFAVIAJES</t>
  </si>
  <si>
    <t>ESSALUD PIURA</t>
  </si>
  <si>
    <t>F001-751</t>
  </si>
  <si>
    <t>F001-752</t>
  </si>
  <si>
    <t>F001-750</t>
  </si>
  <si>
    <t>EN FISICO MESA DE PARTES</t>
  </si>
  <si>
    <t>TOTAL X COBRAR</t>
  </si>
  <si>
    <t>PARTICULAR</t>
  </si>
  <si>
    <t>ZARO</t>
  </si>
  <si>
    <t>HY-LIM</t>
  </si>
  <si>
    <t>F001-757</t>
  </si>
  <si>
    <t>VIAJES PUCALLPA</t>
  </si>
  <si>
    <t>TRASLADO PACIENTE</t>
  </si>
  <si>
    <t>PAGADO</t>
  </si>
  <si>
    <t>F001-743</t>
  </si>
  <si>
    <t>MEDEVAC TORREJON NORIEGA RUTH ELENA</t>
  </si>
  <si>
    <t>MEDEVAC SOLORZANO MONTEAGUDO YENY</t>
  </si>
  <si>
    <t>F006-16470</t>
  </si>
  <si>
    <t>F006-16456</t>
  </si>
  <si>
    <t>CL-LIM</t>
  </si>
  <si>
    <t>CUSCO-LIM</t>
  </si>
  <si>
    <t>ESSALUD IQUITOS</t>
  </si>
  <si>
    <t xml:space="preserve">TRASLADO </t>
  </si>
  <si>
    <t>ESSALUD IQT FUERA DE CONTRATO</t>
  </si>
  <si>
    <t>F001-758</t>
  </si>
  <si>
    <t>F001-759</t>
  </si>
  <si>
    <t>F001-760</t>
  </si>
  <si>
    <t>F001-761</t>
  </si>
  <si>
    <t>TRASLADO VILLACIS SOUZA TULIA RASHELL</t>
  </si>
  <si>
    <t>MEDEVAC CUEVA ESTRADA MELANY FABIANA</t>
  </si>
  <si>
    <t>MEDEVAC CAMACHO NIMA JESUS ADRIAN</t>
  </si>
  <si>
    <t>ENTIDAD / EMPRESA</t>
  </si>
  <si>
    <t>ESSALUD CUSCO</t>
  </si>
  <si>
    <t>ESSALUD LORETO</t>
  </si>
  <si>
    <t>ESSALUD AREQUIPA</t>
  </si>
  <si>
    <t>ESSALUD AYACUCHO</t>
  </si>
  <si>
    <t>ESSALUD CHICLAYO</t>
  </si>
  <si>
    <t>ESSALUD CHACHAPOYAS</t>
  </si>
  <si>
    <t>ESSALUD TRUJILLO</t>
  </si>
  <si>
    <t>SALUDPOL</t>
  </si>
  <si>
    <t>INCA AIR</t>
  </si>
  <si>
    <t>F006-16550</t>
  </si>
  <si>
    <t>MEDEVAC MALDONADO MONJE JORGE WALTER</t>
  </si>
  <si>
    <t>F001-762</t>
  </si>
  <si>
    <t>F001-763</t>
  </si>
  <si>
    <t>MEDEVAC ARBURU VITON KAHORY MISHALETH</t>
  </si>
  <si>
    <t>F001-768</t>
  </si>
  <si>
    <t>MEDEVAC CESPEDES RIOS SAMUEL</t>
  </si>
  <si>
    <t>X FACTURAR</t>
  </si>
  <si>
    <t>F001-770</t>
  </si>
  <si>
    <t>F001-717</t>
  </si>
  <si>
    <t>F001-718</t>
  </si>
  <si>
    <t>ASISTENCIA MEDICA EN VUELO CRUCES QUISPE LIAM JIMM</t>
  </si>
  <si>
    <t>CRUCES QUISPE LIAM JIMM  TRASLADO AEREO</t>
  </si>
  <si>
    <t>ESSALUD CHIMBOTE</t>
  </si>
  <si>
    <t>F001-772</t>
  </si>
  <si>
    <t>F001-773</t>
  </si>
  <si>
    <t>CHY -LIM</t>
  </si>
  <si>
    <t>F006-16670</t>
  </si>
  <si>
    <t>TRASLADO CASTRO VASQUEZ DAEL SALVADOR</t>
  </si>
  <si>
    <t>HNCO-LIM</t>
  </si>
  <si>
    <t>MEDEVAC VASQUEZ SHAHUANO LETTY LUISA</t>
  </si>
  <si>
    <t>F001-771</t>
  </si>
  <si>
    <t>FENIX</t>
  </si>
  <si>
    <t>F001-778</t>
  </si>
  <si>
    <t>CHIMB-LIM</t>
  </si>
  <si>
    <t>MEDEVAC LOLY PECHE ISABELLA</t>
  </si>
  <si>
    <t>F001-779</t>
  </si>
  <si>
    <t>MEDEVAC DONAYRE MOSCOSO SAMUEL</t>
  </si>
  <si>
    <t>F001-775</t>
  </si>
  <si>
    <t>F001-777</t>
  </si>
  <si>
    <t>F001-776</t>
  </si>
  <si>
    <t>TRASLADO VENTURA DINA VILLA BARRIENTOS</t>
  </si>
  <si>
    <t>F006-16626</t>
  </si>
  <si>
    <t>PILOTOS-COP</t>
  </si>
  <si>
    <t>HORA RETIRO</t>
  </si>
  <si>
    <t>BENAVENTE-ZULOAGA</t>
  </si>
  <si>
    <t>MOYA-PEREA</t>
  </si>
  <si>
    <t>BURBANO-VALLES</t>
  </si>
  <si>
    <t>MEDEVAC BRU MARTINEZ ANGELICA MARIA</t>
  </si>
  <si>
    <t>BURBANO-PEREA</t>
  </si>
  <si>
    <t>BURBANO - ZULUAGA</t>
  </si>
  <si>
    <t>RECOJOS A LAS 9</t>
  </si>
  <si>
    <t>BENAVENTE - PEREA</t>
  </si>
  <si>
    <t>BURBANO - PEREA</t>
  </si>
  <si>
    <t>OB 2209</t>
  </si>
  <si>
    <t>JL-LIM</t>
  </si>
  <si>
    <t>BENAVENTE - ZULOAGA</t>
  </si>
  <si>
    <t>MEDEVAC AUGUSTO OSORIO VASQUEZ</t>
  </si>
  <si>
    <t>VIEJES PUCALPA</t>
  </si>
  <si>
    <t>F006-17049</t>
  </si>
  <si>
    <t>TRASLADO SARA PIERFEDERECI DONAYRE</t>
  </si>
  <si>
    <t>F006-17085</t>
  </si>
  <si>
    <t>MEDEVAC KENLLI RONALD MANIHUARI RIOS</t>
  </si>
  <si>
    <t>F001-782</t>
  </si>
  <si>
    <t>F001-783</t>
  </si>
  <si>
    <t>LIM-AYP</t>
  </si>
  <si>
    <t>MOYA - VALLES</t>
  </si>
  <si>
    <t>LIM-CUSCO</t>
  </si>
  <si>
    <t>LIM-PCL</t>
  </si>
  <si>
    <t>LIM-AQP</t>
  </si>
  <si>
    <t>LIMA-JLC</t>
  </si>
  <si>
    <t>MOYA-ZULOAGA</t>
  </si>
  <si>
    <t>F001-784</t>
  </si>
  <si>
    <t>F001-785</t>
  </si>
  <si>
    <t>F001-786</t>
  </si>
  <si>
    <t>OC 4503892389</t>
  </si>
  <si>
    <t>F006-17183</t>
  </si>
  <si>
    <t>MOYA - PEREA</t>
  </si>
  <si>
    <t>RECOJOS A LAS 5 AM</t>
  </si>
  <si>
    <t>MEDEVAC MADRID PIEDRA ADRIANO</t>
  </si>
  <si>
    <t xml:space="preserve">recojos </t>
  </si>
  <si>
    <t>HCO-LIM</t>
  </si>
  <si>
    <t>NOT.RECOJOS 12:29</t>
  </si>
  <si>
    <t>TRASLADO RAMIREZ NAVARRO</t>
  </si>
  <si>
    <t>BURBANO-ZULOAGA</t>
  </si>
  <si>
    <t>F001-787</t>
  </si>
  <si>
    <t>F001-788</t>
  </si>
  <si>
    <t>OB2104P</t>
  </si>
  <si>
    <t>BENAVENTE-VALLES</t>
  </si>
  <si>
    <t>NOTA: A LA ESPERA DE LA CONFORMIDAD DEL NEONATOLOGO</t>
  </si>
  <si>
    <t>AVANCE</t>
  </si>
  <si>
    <t>DESCRIPC</t>
  </si>
  <si>
    <t>Facturado</t>
  </si>
  <si>
    <t>SOBRE EL EJECUTADO</t>
  </si>
  <si>
    <t xml:space="preserve">Total pagado </t>
  </si>
  <si>
    <t xml:space="preserve">NOTAS </t>
  </si>
  <si>
    <t>SOBRE EL CONTRATO</t>
  </si>
  <si>
    <t>Total facturado</t>
  </si>
  <si>
    <t>Según  Nelly Tesorera</t>
  </si>
  <si>
    <t>OC 4504015579</t>
  </si>
  <si>
    <t>CODIGO</t>
  </si>
  <si>
    <t>17:42 PUEDEN RETIRARSE</t>
  </si>
  <si>
    <t xml:space="preserve">  </t>
  </si>
  <si>
    <t>05042022</t>
  </si>
  <si>
    <t>ORDEN DE RECOJOS A LA BREVEDADSE DA A LAS 08:30</t>
  </si>
  <si>
    <t>MEDEVAC SORIA GUEDEZ BALENTINO CRISTOPER</t>
  </si>
  <si>
    <t>ORDEN DE RECOJOS A LA BREVEDADSE DA A LAS 04:05 PM</t>
  </si>
  <si>
    <t>TRASALDO PACIENTE SANDRA MAICUA ESCALANTE</t>
  </si>
  <si>
    <t>MEDEVAC PACAYA INGA ROSA MARIA</t>
  </si>
  <si>
    <t>TRASALDO DAVILA</t>
  </si>
  <si>
    <t>TRASLADO SALAS</t>
  </si>
  <si>
    <t>TRASLADO JEISON NEYMAR ARIMUYA COLLANTES</t>
  </si>
  <si>
    <t>F006-17275</t>
  </si>
  <si>
    <t>BBVA PCL</t>
  </si>
  <si>
    <t>MEDEVAC JARA CARRASCO FRAN</t>
  </si>
  <si>
    <t>MEDEVAC CARNERO PEÑO JACK</t>
  </si>
  <si>
    <t>F001-797</t>
  </si>
  <si>
    <t>MEDEVAC TITO SILVA VASQUEZ</t>
  </si>
  <si>
    <t xml:space="preserve">FLORES ALATA ISAAC  2001-202100001 - IN/SALUDPOL/GG/GCS   </t>
  </si>
  <si>
    <t>ORDE DE RECOJOS PARA LAS 06:30</t>
  </si>
  <si>
    <t>NASCA-LIM</t>
  </si>
  <si>
    <t>NOTFICACION DE RECOJOS PARA LAS 06:00 AM</t>
  </si>
  <si>
    <t>ESSALUD CUSCO CONT</t>
  </si>
  <si>
    <t>ORDEN DE RECOJOS 05:00 AM</t>
  </si>
  <si>
    <t>06042022</t>
  </si>
  <si>
    <t>07042022</t>
  </si>
  <si>
    <t>08042022</t>
  </si>
  <si>
    <t>MEDEVAC DELGADO VELAZQUE, CAVEL ESAHADT</t>
  </si>
  <si>
    <t>MEDEVAC RIOS CRUZALEGUI JOSE MANUEL</t>
  </si>
  <si>
    <t>F001-799</t>
  </si>
  <si>
    <t>F001-798</t>
  </si>
  <si>
    <t>F001-802</t>
  </si>
  <si>
    <t>F006-17564</t>
  </si>
  <si>
    <t>F006-17435</t>
  </si>
  <si>
    <t>F006-17233</t>
  </si>
  <si>
    <t>F006-17219</t>
  </si>
  <si>
    <t>IQUITOS-LIM</t>
  </si>
  <si>
    <t>09042022</t>
  </si>
  <si>
    <t>F001-792</t>
  </si>
  <si>
    <t>F001-793</t>
  </si>
  <si>
    <t>F001-794</t>
  </si>
  <si>
    <t>F001-795</t>
  </si>
  <si>
    <t>SERV COVID</t>
  </si>
  <si>
    <t>PRECIO</t>
  </si>
  <si>
    <t>CANTIDAD</t>
  </si>
  <si>
    <t>SERV. NO COVID</t>
  </si>
  <si>
    <t>EJECUTADO NO COVID</t>
  </si>
  <si>
    <t>EJECUTADO COVID</t>
  </si>
  <si>
    <t>SERVICIOS</t>
  </si>
  <si>
    <t>Saldo X Ejecutar</t>
  </si>
  <si>
    <t>Saldo  x Ejecutar</t>
  </si>
  <si>
    <t xml:space="preserve">ENVIADA MP </t>
  </si>
  <si>
    <t>F001-804</t>
  </si>
  <si>
    <t>RJA-LIM</t>
  </si>
  <si>
    <t>TRASLADO PCTE JINTI YAURCANI KAYRA</t>
  </si>
  <si>
    <t>TRASLADO PCTE LUIS VELA NAVARRO</t>
  </si>
  <si>
    <t>OGESS ALTOMAYO</t>
  </si>
  <si>
    <t>FINANZAS</t>
  </si>
  <si>
    <t>F001-640</t>
  </si>
  <si>
    <t>F001-663</t>
  </si>
  <si>
    <t>F001-664</t>
  </si>
  <si>
    <t>retencion 3% aplicaron</t>
  </si>
  <si>
    <t>pasaron almuerzo ambos</t>
  </si>
  <si>
    <t>MOYA-VALLES</t>
  </si>
  <si>
    <t>NOTIFICACION DE RECOJOS A LA13:04 PARA LAS 14:30</t>
  </si>
  <si>
    <t>AMS</t>
  </si>
  <si>
    <t>TRASLADO PCTE LIMBER CARDENAS HUAZANGA</t>
  </si>
  <si>
    <t>F006-22</t>
  </si>
  <si>
    <t>F006-23</t>
  </si>
  <si>
    <t>F006-24</t>
  </si>
  <si>
    <t>F001-808</t>
  </si>
  <si>
    <t>F001-812</t>
  </si>
  <si>
    <t>F001-811</t>
  </si>
  <si>
    <t>F001-810</t>
  </si>
  <si>
    <t>MEDEVAC JINCHO APAZA JOAQUIN STEPHANO</t>
  </si>
  <si>
    <t>F001-809</t>
  </si>
  <si>
    <t>MEDEVAC CCANA CHUQUI MELITON</t>
  </si>
  <si>
    <t>F001-814</t>
  </si>
  <si>
    <t>F001-579</t>
  </si>
  <si>
    <t>07::56 TRIPULACION YA EN AEROPUERTO</t>
  </si>
  <si>
    <t>F001-816</t>
  </si>
  <si>
    <t>F001-815</t>
  </si>
  <si>
    <t>F006-17671</t>
  </si>
  <si>
    <t>TRASLADO LIZBETH PINEDO VALDERRAMA</t>
  </si>
  <si>
    <t>LIM-CUSCO-LIMA</t>
  </si>
  <si>
    <t>F001-774</t>
  </si>
  <si>
    <t>F006-17817</t>
  </si>
  <si>
    <t>MEDEVAC MORALES VILELA PALMIRA ISABEL</t>
  </si>
  <si>
    <t>MEDEVAC CUMAPA CAYMATA CARLOS HANS</t>
  </si>
  <si>
    <t>MOYA/PEREA</t>
  </si>
  <si>
    <t>JAU-LIM</t>
  </si>
  <si>
    <t>F001-817</t>
  </si>
  <si>
    <t>TGM-LIM</t>
  </si>
  <si>
    <t xml:space="preserve">SALDO </t>
  </si>
  <si>
    <t>MEDEVAC NINA QUINYER YOSEPH AZAEL</t>
  </si>
  <si>
    <t>HOSPITAL REG. LAMBAYEQUE</t>
  </si>
  <si>
    <t>APLIQUE EL PAGO</t>
  </si>
  <si>
    <t>F001-644</t>
  </si>
  <si>
    <t>F001-0567</t>
  </si>
  <si>
    <t>F006-17419</t>
  </si>
  <si>
    <t>F006-17420</t>
  </si>
  <si>
    <t>AIR MAJORO</t>
  </si>
  <si>
    <t>BURBANO-ZULUAGA</t>
  </si>
  <si>
    <t>OB2221</t>
  </si>
  <si>
    <t>03052022</t>
  </si>
  <si>
    <t>F001-818</t>
  </si>
  <si>
    <t>F001-822</t>
  </si>
  <si>
    <t>F001-821</t>
  </si>
  <si>
    <t>F001-820</t>
  </si>
  <si>
    <t>F001-819</t>
  </si>
  <si>
    <t>04052022</t>
  </si>
  <si>
    <t>BENAVENTE-PEREA</t>
  </si>
  <si>
    <t>NOTIF RECOJOS 10:55</t>
  </si>
  <si>
    <t>MEDEVAC TSAMAREN ANTICH TUITS BRAYAN</t>
  </si>
  <si>
    <t>F001-828</t>
  </si>
  <si>
    <t>PIURA-LIM</t>
  </si>
  <si>
    <t>26.04.22</t>
  </si>
  <si>
    <t>NOTIF RECOJOS 09:30</t>
  </si>
  <si>
    <t>06052022</t>
  </si>
  <si>
    <t>MOYA ZULOAGA</t>
  </si>
  <si>
    <t>OGES ALTOMAYO</t>
  </si>
  <si>
    <t>09052022</t>
  </si>
  <si>
    <t>F006-26</t>
  </si>
  <si>
    <t>F006-27</t>
  </si>
  <si>
    <t>MEDEVAC PCTE PRADO VASQUEZ MAXIMO</t>
  </si>
  <si>
    <t>MEDEVAC PCTE RODRIGUEZ AGUILAR LIAM KADIR</t>
  </si>
  <si>
    <t>F006-18042</t>
  </si>
  <si>
    <t>MEDEVAC PCTE JESSENY DE JESUS PEREZ FLORES</t>
  </si>
  <si>
    <t>F006-17570</t>
  </si>
  <si>
    <t>MEDEVAC MARIA LLERME RUIZ PEREZ</t>
  </si>
  <si>
    <t>F001-823</t>
  </si>
  <si>
    <t>F001-824</t>
  </si>
  <si>
    <t>F001-825</t>
  </si>
  <si>
    <t>F001-826</t>
  </si>
  <si>
    <t>F006-18212</t>
  </si>
  <si>
    <t>MEDEVAC PCTE JULIO GARCIA SANCHEZ</t>
  </si>
  <si>
    <t>RIMAC SEGUROS</t>
  </si>
  <si>
    <t>BENAVENTE -PEREA</t>
  </si>
  <si>
    <t>MEDEVAC PCTE ABNER NARCISO ORTIZ ROCCA</t>
  </si>
  <si>
    <t>F006-18297</t>
  </si>
  <si>
    <t>F001-830</t>
  </si>
  <si>
    <t>F001-832</t>
  </si>
  <si>
    <t>VUELO PARTICULAR</t>
  </si>
  <si>
    <t>F001-831</t>
  </si>
  <si>
    <t>8000 PAGO A CUENTA</t>
  </si>
  <si>
    <t>F001-833</t>
  </si>
  <si>
    <t>F001-834</t>
  </si>
  <si>
    <t>F001-835</t>
  </si>
  <si>
    <t>MEDEVAC PCTE VASQUEZ GUEVARA RN</t>
  </si>
  <si>
    <t>MEDEVAC PCTE SALAS TAFUR JUAN</t>
  </si>
  <si>
    <t>MEDEVAC PCTE JIMENEZ ABAD JESSICA SMITH</t>
  </si>
  <si>
    <t>MEDEVAC OLIVERA YAIPEN ROSITA ISABEL GENARITA</t>
  </si>
  <si>
    <t>HOSPETAL REGIONAL DE TPP</t>
  </si>
  <si>
    <t>ESSALUD CAJAMARCA</t>
  </si>
  <si>
    <t>HOSPITAL DEPARTAMENTAL HUANCAVELICA</t>
  </si>
  <si>
    <t>CJA-LIM</t>
  </si>
  <si>
    <t>TRASALDO PACIENTE ABELINO RIOJA GUERRA</t>
  </si>
  <si>
    <t>MEDEVAC PCTE PACIENTE: JORGE DELGADO PEÑA</t>
  </si>
  <si>
    <t>F006-30</t>
  </si>
  <si>
    <t>F006-31</t>
  </si>
  <si>
    <t>MONTO DEL CONTRATO</t>
  </si>
  <si>
    <t>JECUTADO</t>
  </si>
  <si>
    <t>MEDEVAC PCTE WONDRER TUNGUI ANAHUARI</t>
  </si>
  <si>
    <t>F006-32</t>
  </si>
  <si>
    <t>44132 APLIQUE A ESTA FACTURA EL PAGO DE ESTA FECHA</t>
  </si>
  <si>
    <t>F001-836</t>
  </si>
  <si>
    <t>RIJ-LIM</t>
  </si>
  <si>
    <t>MAPFRE</t>
  </si>
  <si>
    <t>COMPAÑÍA</t>
  </si>
  <si>
    <t>ESSALUD HUANUCO</t>
  </si>
  <si>
    <t>MOYA PEREA</t>
  </si>
  <si>
    <t>GM-LIM</t>
  </si>
  <si>
    <t>03062022</t>
  </si>
  <si>
    <t>BURBANO- VALLES</t>
  </si>
  <si>
    <t>15:00 PM</t>
  </si>
  <si>
    <t>SERV. TRASLADO PCTE TENIENTE CARRIZALES</t>
  </si>
  <si>
    <t>SERV. MEDICO PCTE TENIENTE CARRIZALES</t>
  </si>
  <si>
    <t>F001-839</t>
  </si>
  <si>
    <t>F001-840</t>
  </si>
  <si>
    <t>F001-844</t>
  </si>
  <si>
    <t>F001-845</t>
  </si>
  <si>
    <t>F001-846</t>
  </si>
  <si>
    <t>ENVIADA POR WHATS EL 03/06</t>
  </si>
  <si>
    <t>F001-849</t>
  </si>
  <si>
    <t>09062022</t>
  </si>
  <si>
    <t>HOSPITAL CHACHAPOYAS</t>
  </si>
  <si>
    <t>08062022</t>
  </si>
  <si>
    <t>BENAVENTE/ZULOAGA</t>
  </si>
  <si>
    <t>TIRADO/CAMARENA</t>
  </si>
  <si>
    <t>F006-18955</t>
  </si>
  <si>
    <t>MEDEVAC PCTE ABIGAIL VIERA SANTOS</t>
  </si>
  <si>
    <t>MEDEVAC PCTE EFREN ARQUIÑO VILAS</t>
  </si>
  <si>
    <t>F006-18602</t>
  </si>
  <si>
    <t>F006-18811</t>
  </si>
  <si>
    <t>TRASLADO PCTE JOHANA YAMILE PRETEL RENGIFO</t>
  </si>
  <si>
    <t>F001-851</t>
  </si>
  <si>
    <t xml:space="preserve">MEDEVAC TERESA MARGARITA ROMERO ALVAREZ DE DAVILA </t>
  </si>
  <si>
    <t>al 09/06/22</t>
  </si>
  <si>
    <t>MEDEVAC PCTE MURRIETA FREYRE HENRY</t>
  </si>
  <si>
    <t>MEDEVAC PCTE HIDALGO INGA ERNESTO</t>
  </si>
  <si>
    <t>MEDEVAC PCTE REBATTA RIOS BRIZZIA CORALLIA</t>
  </si>
  <si>
    <t>MEDEVAC PCTE DEL AGUILA MANUYAMA EMILIO</t>
  </si>
  <si>
    <t>MEDEVAC PCTE HAYLLAFA ANDRADE MELITA</t>
  </si>
  <si>
    <t>MEDEVAC PCTE FLORES MORI LUCY</t>
  </si>
  <si>
    <t>MEDEVAC PCTE RN RUMALDO ESCALANTE</t>
  </si>
  <si>
    <t>F001-853</t>
  </si>
  <si>
    <t>F001-852</t>
  </si>
  <si>
    <t>MOLLA/VALLES</t>
  </si>
  <si>
    <t>TRASLADO PCTE MICHELL RODRIGUEZ AMASIFUEN</t>
  </si>
  <si>
    <t>F006-33</t>
  </si>
  <si>
    <t>MOYA/VALLES</t>
  </si>
  <si>
    <t>F006-19104</t>
  </si>
  <si>
    <t>F006-19166</t>
  </si>
  <si>
    <t>ESSALUD TARAPOTO CONTRATO ITEM 2  AMBULANCIA AEREA</t>
  </si>
  <si>
    <t xml:space="preserve"> X COBRAR ITEM 1</t>
  </si>
  <si>
    <t xml:space="preserve"> X COBRAR ITEM 2</t>
  </si>
  <si>
    <t>BENAVENTE/PEREA</t>
  </si>
  <si>
    <t>TIRADO/FELIUBADALO</t>
  </si>
  <si>
    <t>MEDEVAC PCTE CURICHIMBO GARCÍA ELISEO</t>
  </si>
  <si>
    <t>F006-34</t>
  </si>
  <si>
    <t>F006-35</t>
  </si>
  <si>
    <t>F006-19256</t>
  </si>
  <si>
    <t>MEDEVAC SACCACO LOA MYRIAN</t>
  </si>
  <si>
    <t>MOYA/ZULOAGA</t>
  </si>
  <si>
    <t>ESSALUD TARAPOTO</t>
  </si>
  <si>
    <t>N°</t>
  </si>
  <si>
    <t>INSTITUCION</t>
  </si>
  <si>
    <t>CONTACTO 1</t>
  </si>
  <si>
    <t xml:space="preserve">AREA/DEPENDENCIA </t>
  </si>
  <si>
    <t>CELULAR</t>
  </si>
  <si>
    <t>E-MAIL</t>
  </si>
  <si>
    <t>CONTACTO 2</t>
  </si>
  <si>
    <t>MILAGROS MEZA</t>
  </si>
  <si>
    <t>REFERENCIAS</t>
  </si>
  <si>
    <t>referencias.hnagv@essalud.gob.pe</t>
  </si>
  <si>
    <t>JENNIFER MEDINA</t>
  </si>
  <si>
    <t>essaludexternocotizacion@gmail.com</t>
  </si>
  <si>
    <t>ESSALUD LORETO-IQUITOS</t>
  </si>
  <si>
    <t>PERCY VARGAS</t>
  </si>
  <si>
    <t>percy.vargas@essalud.gob.pe</t>
  </si>
  <si>
    <t>MARCO PEREZ</t>
  </si>
  <si>
    <t>MARI CARMEN GALVEZ</t>
  </si>
  <si>
    <t>KARLA CARRILLO</t>
  </si>
  <si>
    <t>GERENCIA</t>
  </si>
  <si>
    <t>karla.carrillo@essalud.gob.pe</t>
  </si>
  <si>
    <t xml:space="preserve">ESSALUD HUANUCO </t>
  </si>
  <si>
    <t>NANCY HUARANGA</t>
  </si>
  <si>
    <t>nancy.huaranga@essalud.gob.pe</t>
  </si>
  <si>
    <t>HOSPITAL TARAPOTO</t>
  </si>
  <si>
    <t>NEIL LOZADA DIAZ</t>
  </si>
  <si>
    <t>referencias@hospitaltarapoto.gob.pe</t>
  </si>
  <si>
    <t>HOSPITAL HUANCAVELICA</t>
  </si>
  <si>
    <t>cotizacion@hrh.gob.pe</t>
  </si>
  <si>
    <t xml:space="preserve">logistica_hdh@hotmail.com </t>
  </si>
  <si>
    <t>CESAR VELA</t>
  </si>
  <si>
    <t xml:space="preserve">REFERENCIAS </t>
  </si>
  <si>
    <t>cvela@oosaludaltomayo.gob.pe</t>
  </si>
  <si>
    <t>PAGO 10000 EL DIA 10/06 EN BCP</t>
  </si>
  <si>
    <t>MEDEVAC PCTE EDISBEL RIMARACHIN ALTAMIRANO</t>
  </si>
  <si>
    <t>TRASLADO PCTE RUTH ROGELIA MASGO ROFNER* PAC CARLOS ZARATE VARGAS</t>
  </si>
  <si>
    <t>MEDEVAC PCTE SULMA BETSAIDA ALATA ALANYA</t>
  </si>
  <si>
    <t>F006-19278</t>
  </si>
  <si>
    <t>F001-858</t>
  </si>
  <si>
    <t>MEDEVAC PCTE LOPEZ RIOS WILMA CLAUDIA</t>
  </si>
  <si>
    <t>F001-857</t>
  </si>
  <si>
    <t>MEDEVAC PCTE MARCOS CÓRDOVA GARCÍA</t>
  </si>
  <si>
    <t>F006-36</t>
  </si>
  <si>
    <t xml:space="preserve">TRASLADO PCTE ESCOBEDO RIOS LUZ </t>
  </si>
  <si>
    <t>TRASLADO PCTE EDINSON BARRERA PINEDO</t>
  </si>
  <si>
    <t>F006-19351</t>
  </si>
  <si>
    <t>F006-19402</t>
  </si>
  <si>
    <t xml:space="preserve">PAGADO </t>
  </si>
  <si>
    <t>DURAND/FELIUBADALO</t>
  </si>
  <si>
    <t xml:space="preserve">FENIX </t>
  </si>
  <si>
    <t>CONTACTO 3</t>
  </si>
  <si>
    <t>LOGISTICA</t>
  </si>
  <si>
    <t>F006-19476</t>
  </si>
  <si>
    <t>TRASLADO PCTE MELVIN CAMANTI SANCHEZ</t>
  </si>
  <si>
    <t>MEDEVAC PCTE DAVILA RIZ NEMIAS</t>
  </si>
  <si>
    <t>F001-659</t>
  </si>
  <si>
    <t>F001-660</t>
  </si>
  <si>
    <t>F001-856</t>
  </si>
  <si>
    <t>F001-860</t>
  </si>
  <si>
    <t>BURBANO/VALLES</t>
  </si>
  <si>
    <t>PROSEGUR</t>
  </si>
  <si>
    <t>LIM-NM</t>
  </si>
  <si>
    <t>TRASLADO VALORES</t>
  </si>
  <si>
    <t>HOSP S REG ANDAHUAYLAS</t>
  </si>
  <si>
    <t>MEDEVAC JUNCO HERRERA EDWIN</t>
  </si>
  <si>
    <t>F001-866</t>
  </si>
  <si>
    <t>F001-864</t>
  </si>
  <si>
    <t>MEDEVAC CARRASCO HUACHACA NEISER CALEB</t>
  </si>
  <si>
    <t>F006-19513</t>
  </si>
  <si>
    <t>F001-865</t>
  </si>
  <si>
    <t>MEDEVAC CHULLO SILVA MARTHA</t>
  </si>
  <si>
    <t>F001-868</t>
  </si>
  <si>
    <t>01072022</t>
  </si>
  <si>
    <t>02072022</t>
  </si>
  <si>
    <t>HOSPITAL REGIONAL DE CHACHAPOYAS</t>
  </si>
  <si>
    <t>PY-LIM</t>
  </si>
  <si>
    <t>05072022</t>
  </si>
  <si>
    <t>CUSCO-LIMA</t>
  </si>
  <si>
    <t>06072022</t>
  </si>
  <si>
    <t>TRASLADO ADELITH LINDA COTRINA YUMBATO</t>
  </si>
  <si>
    <t>MEDEVAC SUSY GABRIELA MOZOMBITE HUIÑAPI</t>
  </si>
  <si>
    <t>F006-41</t>
  </si>
  <si>
    <t>F006-40</t>
  </si>
  <si>
    <t>F006-42</t>
  </si>
  <si>
    <t>TRASLADO SHELLSY ARIANA GOMEZ YAICATE* JULIA PUANCHIG KUIMIAG</t>
  </si>
  <si>
    <t>TRASLADO DIEGO FABRICIO GOYCOCHEA SIVERIO</t>
  </si>
  <si>
    <t>F006-19774</t>
  </si>
  <si>
    <t>F001-874</t>
  </si>
  <si>
    <t>ADENDA 031-2022</t>
  </si>
  <si>
    <t>F001-876</t>
  </si>
  <si>
    <t>MEDEVAC ALLER ATAYUPANQUI, JACOB SALVADOR</t>
  </si>
  <si>
    <t>MEDEVAC QUISPE MORCCOLLA JHON FRANKLIN</t>
  </si>
  <si>
    <t>MEDEVAC PCTE GOMEZ ZAPATA LEOCADIA</t>
  </si>
  <si>
    <t>MEDEVAC PCTE MEDEVAC PCTE GARCIA RAMOS EDGARDO</t>
  </si>
  <si>
    <t>MEDEVAC PCTE RODRIGUEZ HUAMANCUSI FORTUNATO</t>
  </si>
  <si>
    <t>F001-878</t>
  </si>
  <si>
    <t>MEDEVAC PCTE PEDRO CESAR ORBE ARMAS</t>
  </si>
  <si>
    <t>F006-43</t>
  </si>
  <si>
    <t>REDES EL COLLAO</t>
  </si>
  <si>
    <t>BURBANO/PEREA</t>
  </si>
  <si>
    <t>SERV. MEDICOS AEREO VALLE HUAMAN PEDRO AUGUSTO</t>
  </si>
  <si>
    <t>TRASLADO AEREO VALLE HUAMAN PEDRO AUGUSTO</t>
  </si>
  <si>
    <t>REDESS EL COLLAO</t>
  </si>
  <si>
    <t>al 15/07/22</t>
  </si>
  <si>
    <t>16/07 BBVA</t>
  </si>
  <si>
    <t>03072022</t>
  </si>
  <si>
    <t>MEDEVAC DIAZ LOMBARDI VICTOR CARLOS</t>
  </si>
  <si>
    <t>MEDEVAC OLIVOS CORNEJO VERONICA ROSA</t>
  </si>
  <si>
    <t>HOSPITAL REGIONAL DE TARAPOTO</t>
  </si>
  <si>
    <t>F001-871</t>
  </si>
  <si>
    <t>HOSPITAL REGIONAL DE IQUITOS</t>
  </si>
  <si>
    <t>DURAN/FELIUBADALO</t>
  </si>
  <si>
    <t>BENAVENTE/VALLES</t>
  </si>
  <si>
    <t>F001-887</t>
  </si>
  <si>
    <t>F001-885</t>
  </si>
  <si>
    <t>F001-886</t>
  </si>
  <si>
    <t>ASIST. MEDICA PCTE HEREDIA ISMINIO ARLETH PERSEVERANDA</t>
  </si>
  <si>
    <t>F001-884</t>
  </si>
  <si>
    <t>SERV.TRANSP. PCTE HEREDIA ISMINIO ARLETH PERSEVERANDA</t>
  </si>
  <si>
    <t>F001-883</t>
  </si>
  <si>
    <t>MEDEVAC PCTE CONDORI CACÑAHUARAY ELADIO</t>
  </si>
  <si>
    <t>F001-889</t>
  </si>
  <si>
    <t>01082022</t>
  </si>
  <si>
    <t>MEDEVAC CHAPIAMA AHUANARI EMANUEL</t>
  </si>
  <si>
    <t>MEDEVAC SINARAHUA GUTIERREZ JESSICA</t>
  </si>
  <si>
    <t>ESSALUD YURIMAGUAS</t>
  </si>
  <si>
    <t>MEDEVAC PCTE GLADYS JANETH BUSTAMANTE LOPEZ</t>
  </si>
  <si>
    <t>TRASLADO PCTE GABY LUZ TARICUARIMA OCHAVANO</t>
  </si>
  <si>
    <t>F006-20442</t>
  </si>
  <si>
    <t>F006-20414</t>
  </si>
  <si>
    <t>TRASLADO CARMEN LADY RICOPA VARGAS</t>
  </si>
  <si>
    <t>F006-19858</t>
  </si>
  <si>
    <t>F006-20435</t>
  </si>
  <si>
    <t>TRASLADO PCTE MILTON DAVILA QUINTANA</t>
  </si>
  <si>
    <t>F006-20197</t>
  </si>
  <si>
    <t>F006-20225</t>
  </si>
  <si>
    <t>MEDEVAC CLAUDIA C. GUERRA RIO</t>
  </si>
  <si>
    <t>TRASLADO MANUEL SALAZAR NAPOLEON</t>
  </si>
  <si>
    <t>F006-20114</t>
  </si>
  <si>
    <t>TRASLADO PCTE ALEX VALENTINO TULUMBA PIZANGO</t>
  </si>
  <si>
    <t>F006-47</t>
  </si>
  <si>
    <t>TRASLADO PCTE ANDRES SATALAYA GONZALES</t>
  </si>
  <si>
    <t>F006-48</t>
  </si>
  <si>
    <t>F001-891</t>
  </si>
  <si>
    <t>F001-892</t>
  </si>
  <si>
    <t>ENTIDAD</t>
  </si>
  <si>
    <t xml:space="preserve">ESSALUD TARAPOTO </t>
  </si>
  <si>
    <t>APLIQUE A ESTA FACTURA</t>
  </si>
  <si>
    <t>02082022</t>
  </si>
  <si>
    <t>03082022</t>
  </si>
  <si>
    <t>ESSALUD MOYOBAMBA</t>
  </si>
  <si>
    <t>HOSPITAL REGIONAL TPP</t>
  </si>
  <si>
    <t>04082022</t>
  </si>
  <si>
    <t>F001-888</t>
  </si>
  <si>
    <t>F001-895</t>
  </si>
  <si>
    <t>F001-898</t>
  </si>
  <si>
    <t>F006-20656</t>
  </si>
  <si>
    <t>F006-20655</t>
  </si>
  <si>
    <t>F006-20505</t>
  </si>
  <si>
    <t>06082022</t>
  </si>
  <si>
    <t>07082022</t>
  </si>
  <si>
    <t>09082022</t>
  </si>
  <si>
    <t>10082022</t>
  </si>
  <si>
    <t>HOSPITAL REGIONAL LORETO</t>
  </si>
  <si>
    <t>RIOJA-LIMA</t>
  </si>
  <si>
    <t>YMS-LIMA</t>
  </si>
  <si>
    <t>F001-890</t>
  </si>
  <si>
    <t>11082022</t>
  </si>
  <si>
    <t>PCL-LIMA</t>
  </si>
  <si>
    <t>CHIMBOTE-LIMA</t>
  </si>
  <si>
    <t>AYP-LIMA</t>
  </si>
  <si>
    <t>VER SI PERNOCTA</t>
  </si>
  <si>
    <t>TOCACHE-LIMA</t>
  </si>
  <si>
    <t>F006-49</t>
  </si>
  <si>
    <t>F006-50</t>
  </si>
  <si>
    <t>F001-900</t>
  </si>
  <si>
    <t>F001-899</t>
  </si>
  <si>
    <t xml:space="preserve">TRASLADO MONTENEGRO AHUANARI MATHEWS SELIM  </t>
  </si>
  <si>
    <t xml:space="preserve">SERVICIOS MEDICOS MONTENEGRO AHUANARI MATHEWS SELIM  </t>
  </si>
  <si>
    <t>TRASLADO AEREO TANTALEAN CORDOVA LURDES</t>
  </si>
  <si>
    <t>SERVICIOS MEDICOS TANTALEAN CORDOVA LURDES</t>
  </si>
  <si>
    <t>TRASLADO AEREO GUERRERO MEGO YANET</t>
  </si>
  <si>
    <t>F001-901</t>
  </si>
  <si>
    <t>F001-902</t>
  </si>
  <si>
    <t>F001-903</t>
  </si>
  <si>
    <t>F001-904</t>
  </si>
  <si>
    <t>F001-897</t>
  </si>
  <si>
    <t>02-11-08-2022</t>
  </si>
  <si>
    <t>TRASLADO PCTE PAIMA FLORES GLADYS</t>
  </si>
  <si>
    <t>TRASLADO PCTE SAAVEDRA GATICA VANESSA</t>
  </si>
  <si>
    <t>TRASLADO PCTE DIAZ BOCANEGRA TANIA</t>
  </si>
  <si>
    <t>TRASLADO PCTE BARRETO BUSTAMANTE EUGENIO LUCIO</t>
  </si>
  <si>
    <t>TRASLADO PCTE GARCIA VERA MAYRA ALEJANDRA</t>
  </si>
  <si>
    <t>TRASLADO PCTE ASCOY CABREJOS DE RAMIRE ELVA ROSA</t>
  </si>
  <si>
    <t>AMBULANCIA AEREA SABOYA AMSIFUEN LUCAS DERTEANO</t>
  </si>
  <si>
    <t>AMBULANCIA AEREA SANCHEZ GONZALES CLEVER</t>
  </si>
  <si>
    <t>AMBULANCIA AEREA ALVARADO SAN MARTIN CARLOS EDUARDO</t>
  </si>
  <si>
    <t>AMBULANCIA AEREA IPANAMA SOLANO FERNANDO LARSSON</t>
  </si>
  <si>
    <t>F001-907</t>
  </si>
  <si>
    <t>JR-LIMA</t>
  </si>
  <si>
    <t>MEDEVAC MEGO HUAMAN ALFREDO</t>
  </si>
  <si>
    <t>SERV. MEDICO FERNANDEZ TAPULLIMA MIRIAN ELIF</t>
  </si>
  <si>
    <t>SERV. MEDICO TELLO CARIAJANO JOEY ADRIAN</t>
  </si>
  <si>
    <t>ESSLUD TARAPOTO</t>
  </si>
  <si>
    <t>04072022</t>
  </si>
  <si>
    <t>F001-911</t>
  </si>
  <si>
    <t>F001-909</t>
  </si>
  <si>
    <t>F001-910</t>
  </si>
  <si>
    <t xml:space="preserve">ALFA VIAJES </t>
  </si>
  <si>
    <t>F006-20883</t>
  </si>
  <si>
    <t>LIMA-NAZCA</t>
  </si>
  <si>
    <t>CHARTER</t>
  </si>
  <si>
    <t>ANDAHUAYLA-LIM</t>
  </si>
  <si>
    <t>MEDEVAC PCTE MENDOZA ALARCON FELIX</t>
  </si>
  <si>
    <t>F001-912</t>
  </si>
  <si>
    <t>TRANSPORTES AEREOS &amp; SERVICIOS GENERALES S.A.C.</t>
  </si>
  <si>
    <t>TRASLADO PCTES SANCHEZ GUEVARA LEONCIA Y PINEDO FLORES GENMA</t>
  </si>
  <si>
    <t>TRASLADO PCTE CAMUS MARTINEZ ELIZABETH</t>
  </si>
  <si>
    <t>F001-906</t>
  </si>
  <si>
    <t>PRESENTADA MEDIANTE CARTA A TRAVES D EMESA DE PARTES EL 03/08/2022 NIT 1362 O 1382</t>
  </si>
  <si>
    <t>JEFATURA LOGISTICA</t>
  </si>
  <si>
    <t>SERVICIOS MEDICOS GUERRERO MEGO YANET</t>
  </si>
  <si>
    <t>F001-914</t>
  </si>
  <si>
    <t>TRASLADO PCTES ELJARRATE RODRIGUEZ OLGUITA MERCEDES Y REYNA ISABEL MORALES PEREA</t>
  </si>
  <si>
    <t>TRASLADO PCTE CESPEDES ALVAREZ FIORELLA NATALY</t>
  </si>
  <si>
    <t>ESSALUD JULIACA</t>
  </si>
  <si>
    <t>TRASLADO PCTE SOPLIN USHIÑAHUA GISELA DEL CARMEN</t>
  </si>
  <si>
    <t>MEDEVAC LEYVA MILIAN PATRICIA JULEYSI</t>
  </si>
  <si>
    <t>MEDEVAC BARDALES PAREDES CESAR</t>
  </si>
  <si>
    <t>TIRADO-FELIUBADALO</t>
  </si>
  <si>
    <t>RJA-CIX</t>
  </si>
  <si>
    <t>BENAVENTE VALLES</t>
  </si>
  <si>
    <t>TRANSPORTE AMBULANCIA AEREA PCTE SACACA CONDORI MAYA AMIRA</t>
  </si>
  <si>
    <t>ASISTENCIA MEDICA PCTE SACACA CONDORI MAYA AMIRA</t>
  </si>
  <si>
    <t>HOSPITAL REGIONAL DE AYACUCHO</t>
  </si>
  <si>
    <t>TRASLADO PCTE VASQUEZ ENCO LENIN MARVIN</t>
  </si>
  <si>
    <t>F001-896</t>
  </si>
  <si>
    <t>MEDEVAC PANTA PANTA JOSUE NOE</t>
  </si>
  <si>
    <t>F001-920</t>
  </si>
  <si>
    <t>F001-919</t>
  </si>
  <si>
    <t>F001-921</t>
  </si>
  <si>
    <t>F001-922</t>
  </si>
  <si>
    <t>MEDEVAC VASQUEZ ARRASCUE CARLOS MATHIAS</t>
  </si>
  <si>
    <t>HOSPITAL REGIONAL DE TUMBES</t>
  </si>
  <si>
    <t>Llegaron 01:14 am del día 31/08</t>
  </si>
  <si>
    <t>01092022</t>
  </si>
  <si>
    <t>02092022</t>
  </si>
  <si>
    <t>TRALSADO</t>
  </si>
  <si>
    <t>DURAN/CAMARENA</t>
  </si>
  <si>
    <t>03092022</t>
  </si>
  <si>
    <t>04092022</t>
  </si>
  <si>
    <t>05092022</t>
  </si>
  <si>
    <t>06092022</t>
  </si>
  <si>
    <t>F001-893</t>
  </si>
  <si>
    <t>F006-21097</t>
  </si>
  <si>
    <t>F006-21296</t>
  </si>
  <si>
    <t>MEDEVAC PCTE VILLACORTA BECERRA ESTRELLA</t>
  </si>
  <si>
    <t>MEDEVAC PCTE NUÑEZ MEDINA CRISTHIANE JHOSEP</t>
  </si>
  <si>
    <t>MEDEVAC PCTE PEREZ DAVILA JEFF ALESSANDRO</t>
  </si>
  <si>
    <t>MEDEVAC PCTE AUCCAICO BRAVO NOEMI RUT</t>
  </si>
  <si>
    <t>MEDEVAC PCTE CCAPA AUCCAHUAYQUE JUAN</t>
  </si>
  <si>
    <t>MEDEVAC PCTE FUENTES VILCA ZAIDA</t>
  </si>
  <si>
    <t>F001-936</t>
  </si>
  <si>
    <t>F001-937</t>
  </si>
  <si>
    <t>F001-938</t>
  </si>
  <si>
    <t>F001-933</t>
  </si>
  <si>
    <t>F001-934</t>
  </si>
  <si>
    <t>F001-935</t>
  </si>
  <si>
    <t>ORDEN DE SERVICIO N° 4504137687</t>
  </si>
  <si>
    <t>ORDEN DE SERVICIO N° 4504137641</t>
  </si>
  <si>
    <t>F001-924</t>
  </si>
  <si>
    <t>F001-925</t>
  </si>
  <si>
    <t>F001-931</t>
  </si>
  <si>
    <t>F001-932</t>
  </si>
  <si>
    <t>F001-928</t>
  </si>
  <si>
    <t>F001-929</t>
  </si>
  <si>
    <t>07092022</t>
  </si>
  <si>
    <t>TRASLADO PCTE RAMIREZ TORRES RODITH ESTEFITA</t>
  </si>
  <si>
    <t>TRALSADO PCTE GUERRA SAAVEDRA BRYAN ALEXANDER</t>
  </si>
  <si>
    <t>TRALSADO PCTE LECCA GARCIA ASHLEY KRISTEN</t>
  </si>
  <si>
    <t>MEDEVAC PCTE CONDE SUNNI JULIETT AMMY</t>
  </si>
  <si>
    <t>INSTITUTO NACIONAL DE SALUD DEL NIÑO</t>
  </si>
  <si>
    <t>LIMA-TPP</t>
  </si>
  <si>
    <t>MEDEVAC PCTE GONZALES VASQUEZ ZULY INGRID</t>
  </si>
  <si>
    <t>SERV. TRANSPORTE FERNANDEZ TAPULLIMA MIRIAN ELIF</t>
  </si>
  <si>
    <t>MEDEVAC PCTE TORRES ARMAS ROKY</t>
  </si>
  <si>
    <t>MEDEVAC PCTE CHAVEZ PARCO CENDY</t>
  </si>
  <si>
    <t>MEDEVAC VASQUEZ TORREJON ERICK LUIS</t>
  </si>
  <si>
    <t>F001-940</t>
  </si>
  <si>
    <t>F001-943</t>
  </si>
  <si>
    <t>F001-941</t>
  </si>
  <si>
    <t>F001-945</t>
  </si>
  <si>
    <t>F001-944</t>
  </si>
  <si>
    <t>F001-946</t>
  </si>
  <si>
    <t>08092022</t>
  </si>
  <si>
    <t>BURBANO/ZULOAGA</t>
  </si>
  <si>
    <t>TRASLADO PCTE RODRIGUEZ MONZON NAYSHA YURIKO</t>
  </si>
  <si>
    <t>F001-949</t>
  </si>
  <si>
    <t>MEDEVAC PCTE CARRASCO BALDARRAGO GREGORIO URBANO</t>
  </si>
  <si>
    <t>F001-950</t>
  </si>
  <si>
    <t>F006-21573</t>
  </si>
  <si>
    <t>F006-53</t>
  </si>
  <si>
    <t>F001-955</t>
  </si>
  <si>
    <t>MEDEVAC MOSCOSO ACHATA NORMA OLGA</t>
  </si>
  <si>
    <t>DEUDA TOTAL HSRA</t>
  </si>
  <si>
    <t>SERV. TRANSPORTE MANIHUARI COQUINCHE DILAN</t>
  </si>
  <si>
    <t>SERV. MEDICO MANIHUARI COQUINCHE DILAN</t>
  </si>
  <si>
    <t>F001-956</t>
  </si>
  <si>
    <t>F001-957</t>
  </si>
  <si>
    <t>F001-954</t>
  </si>
  <si>
    <t>MEDEVAC JARAMILLO CHORRES ADERLIN MARIANO</t>
  </si>
  <si>
    <t>MEDEVAC ARRIETA TEZEN VDA DE GUERRERO ONELIA ALEJANDRINA</t>
  </si>
  <si>
    <t>MEDEVAC QUISPE CANCHARI POLICARPIO</t>
  </si>
  <si>
    <t>MEDEVAC HERMOZA LAYME DULCE ARIANA</t>
  </si>
  <si>
    <t>F001-905</t>
  </si>
  <si>
    <t>F006-21647</t>
  </si>
  <si>
    <t>MEDEVAC JULIANA MILAGROS MAGIPO NUÑEZ</t>
  </si>
  <si>
    <t>F001-963</t>
  </si>
  <si>
    <t>F001-958</t>
  </si>
  <si>
    <t>F001-959</t>
  </si>
  <si>
    <t>F001-960</t>
  </si>
  <si>
    <t>F001-961</t>
  </si>
  <si>
    <t>SERV. TRASLADO PCTE OCAMPO VELA HERMILIO</t>
  </si>
  <si>
    <t>SERV. ATENCION MEDICA PCTE OCAMPO VELA HERMILIO</t>
  </si>
  <si>
    <t>MEDEVAC CASTILLO LEON WASHINGTON SALOMON</t>
  </si>
  <si>
    <t>SERV. TRASLADO PCTE PINEDA GONZALES RN</t>
  </si>
  <si>
    <t>SERV. ATENCION MEDICA PCTE PINEDA GONZALES RN</t>
  </si>
  <si>
    <t>F001-962</t>
  </si>
  <si>
    <t>TU-LIM</t>
  </si>
  <si>
    <t>HOSPITAL REGIONAL MANUEL NUÑEZ BUTRON</t>
  </si>
  <si>
    <t>HOSPITAL SANTA ROSA DE PUERTO MALDONADO- MADRE DE DIOS</t>
  </si>
  <si>
    <t>HOSPITAL RGIONAL DE LORETO</t>
  </si>
  <si>
    <t>SER. TRANSPORTE TELLO CARIAJANO JOEY ADRIAN</t>
  </si>
  <si>
    <t>MEDEVAC PCTE GUIMACK LLYONA MIROSLAVA</t>
  </si>
  <si>
    <t>MEDEVAC PCTE CHAVEZ SHUÑA GIMIA DE JESUS</t>
  </si>
  <si>
    <t xml:space="preserve">MEDEVAC PCTE GRANDEZ PIEDRA YRAIDA SELENE </t>
  </si>
  <si>
    <t>F001-951</t>
  </si>
  <si>
    <t>F001-952</t>
  </si>
  <si>
    <t>F001-964</t>
  </si>
  <si>
    <t>F001-965</t>
  </si>
  <si>
    <t>SERV. TRASLADO PCTE REGALADO RUIZ MATHIAS GABRIEL</t>
  </si>
  <si>
    <t>SERV. MEDICO PCTE REGALADO RUIZ MATHIAS GABRIEL</t>
  </si>
  <si>
    <t>CHY-LIMA</t>
  </si>
  <si>
    <t>HOSPITAL REGIONAL CHACHAPOYAS</t>
  </si>
  <si>
    <t>HOSPITAL REGIONAL DE TRAPOTO</t>
  </si>
  <si>
    <t>MEDEVAC PCTE MILAN PONCIANO RENDON HUAMANI</t>
  </si>
  <si>
    <t>TRASLADO PCTE DIANA SUMY RAMIREZ GONZALES</t>
  </si>
  <si>
    <t>F006-21756</t>
  </si>
  <si>
    <t>F006-21778</t>
  </si>
  <si>
    <t>TRALSADO VERONICA MALLQUI BARRA</t>
  </si>
  <si>
    <t>CONTRATO Nº 057-2022-HRA                   X 04 SERVICIOS</t>
  </si>
  <si>
    <t xml:space="preserve">X COBRAR OC DIRECTAS </t>
  </si>
  <si>
    <t>TOTA X COBRAR</t>
  </si>
  <si>
    <t>CONTRATO Nº 0033- 2022-U.E-404-H-II-2-T                  X 02 SERVICIOS</t>
  </si>
  <si>
    <t>HOSPITAL REGIONAL DOCENTE MATERNO INFANTIL EL CARMEN</t>
  </si>
  <si>
    <t>TRALSADO PCTE SALAS DEL AGUILA ANTONIO NEWTON</t>
  </si>
  <si>
    <t>TRALSADO PCTE ANGULO LUNA WYLENE</t>
  </si>
  <si>
    <t>MEDEVAC ALONSO DEBRAM GUERRA CARDENAS</t>
  </si>
  <si>
    <t>F006-21886</t>
  </si>
  <si>
    <t>F006-21913</t>
  </si>
  <si>
    <t>MEDEVAC PCTE NILA PADILLA SILVA</t>
  </si>
  <si>
    <t>MEDEVAC PCTE CCAICO YUPANQUI MAGALY</t>
  </si>
  <si>
    <t>DEUDA TOTAL</t>
  </si>
  <si>
    <t>2022 CONTRATO ADICIONAL 25%</t>
  </si>
  <si>
    <t>2022 CONTRATO COMPLEMENTARIO 30%</t>
  </si>
  <si>
    <t>TRALSADO PACIENTE: MARILU VALLES DE RUIZ</t>
  </si>
  <si>
    <t>F006-54</t>
  </si>
  <si>
    <t>TRASLADO PACIENTE: CARLOS ALBERTO PANDURO RENGIFO</t>
  </si>
  <si>
    <t>TRALSADO PACIENTE: LLARINDO RIOS MARIN</t>
  </si>
  <si>
    <t>TRASLADO PACIENTE: BRITANI KATERINE PIZANGO YUPP</t>
  </si>
  <si>
    <t>MEDEVAC PACIENTE: TERCERO PUA YUMBATO</t>
  </si>
  <si>
    <t>TPP-TRUJILLO</t>
  </si>
  <si>
    <t>TACNA-LIM</t>
  </si>
  <si>
    <t>HOSPITAL HIPOLITO UNANUE</t>
  </si>
  <si>
    <t>02102022</t>
  </si>
  <si>
    <t>03102022</t>
  </si>
  <si>
    <t>AYP/LIM</t>
  </si>
  <si>
    <t>TRASLADO ALICIA RUIZ AGUILAR</t>
  </si>
  <si>
    <t>F006-21959</t>
  </si>
  <si>
    <t>MEDEVAC HORNA REYES SAYURI</t>
  </si>
  <si>
    <t>MEDEVAC INOSTROZA SAGASTEGUI JOSE EDUARDO</t>
  </si>
  <si>
    <t>SERV. MEDICO TAMANI ROMERO MEGAN SKYLAR</t>
  </si>
  <si>
    <t>F001-968</t>
  </si>
  <si>
    <t>F006-21988</t>
  </si>
  <si>
    <t>MEDEVAC  ANIBAL ANTHONY GONZALES DE LA ROSA</t>
  </si>
  <si>
    <t>MEDEVAC QUISPE SAAVEDRA</t>
  </si>
  <si>
    <t>04102022</t>
  </si>
  <si>
    <t>EJERCITO</t>
  </si>
  <si>
    <t>05102022</t>
  </si>
  <si>
    <t>IQUITOS/LIM</t>
  </si>
  <si>
    <t>MEDEVAC PCTE KUSUMURA ZAVALETA MARTIN SABURO</t>
  </si>
  <si>
    <t>MEDEVAC PCTE BURGA RUEDA ALAN FABIAN</t>
  </si>
  <si>
    <t>CHY-LIMA YPARRAGUIRRE ALVA JEIMY</t>
  </si>
  <si>
    <t>F001-971</t>
  </si>
  <si>
    <t>F001-973</t>
  </si>
  <si>
    <t>F001-975</t>
  </si>
  <si>
    <t>MEDEVAC PCTE DE LA CRUZ HUAMAN ADRIAN</t>
  </si>
  <si>
    <t>F001-970</t>
  </si>
  <si>
    <t>F001-969</t>
  </si>
  <si>
    <t>F011-974</t>
  </si>
  <si>
    <t>MEDEVAC PCTE CAYO MOTTA YHERAMI SALVADOR</t>
  </si>
  <si>
    <t>F001-977</t>
  </si>
  <si>
    <t>F001-972</t>
  </si>
  <si>
    <t>F001-976</t>
  </si>
  <si>
    <t>MEDEVAC PCTE GASPAR RODRIGUEZ SOFIA ESMERALDA</t>
  </si>
  <si>
    <t>HOSPITAL REGIONAL DE LORETO</t>
  </si>
  <si>
    <t xml:space="preserve">ALFA VIAJES  </t>
  </si>
  <si>
    <t>TRASLADO PCTE DANAE MISHELL PEÑA NAVARRO</t>
  </si>
  <si>
    <t>F006-21938</t>
  </si>
  <si>
    <t>06102022</t>
  </si>
  <si>
    <t>F001-980</t>
  </si>
  <si>
    <t>F001-979</t>
  </si>
  <si>
    <t>MEDEVAC MATHIAS ALEXANDER TALAVERANO AGUIRRE</t>
  </si>
  <si>
    <t>F006-22072</t>
  </si>
  <si>
    <t>MEDEVAC RICHARD SILVERA CURO</t>
  </si>
  <si>
    <t>F006-22094</t>
  </si>
  <si>
    <t>MEDEVAC PCTE RODRIGUEZ BACILIO JORGE</t>
  </si>
  <si>
    <t>JULIACA-LIM</t>
  </si>
  <si>
    <t>07102022</t>
  </si>
  <si>
    <t>08102022</t>
  </si>
  <si>
    <t>AYACUHO-LIM</t>
  </si>
  <si>
    <t>MEDEVAC PCTE CONDORPUSA ZEA WILMER TITO</t>
  </si>
  <si>
    <t>F001-981</t>
  </si>
  <si>
    <t>SERV. TRANSPORTE TAMANI ROMERO MEGAN SKYLAR</t>
  </si>
  <si>
    <t>SERV. TRANSPORTE ROJAS PEREZ REINA PATRICIA</t>
  </si>
  <si>
    <t>SERV. MEDICO ROJAS PEREZ REINA PATRICIA</t>
  </si>
  <si>
    <t>F006-57</t>
  </si>
  <si>
    <t>MEDEVAC DIOSES FARIAS RN</t>
  </si>
  <si>
    <t>DIAZ RUIZ ALAIA ORIANNA No. SM02-202200094 - IN/SALUDPOL/GG/GCS</t>
  </si>
  <si>
    <t>F001-985</t>
  </si>
  <si>
    <t>F001-982</t>
  </si>
  <si>
    <t>F001-983</t>
  </si>
  <si>
    <t>F001-984</t>
  </si>
  <si>
    <t>F001-986</t>
  </si>
  <si>
    <t>F001-841</t>
  </si>
  <si>
    <t>F001-987</t>
  </si>
  <si>
    <t>MEDEVAC ESTRADA ANGULO ABEL</t>
  </si>
  <si>
    <t>TRASLADO ELY GIOVANA RAMIREZ ANGULO</t>
  </si>
  <si>
    <t>F006-22272</t>
  </si>
  <si>
    <t>HOSPITAL REGIONAL DE MOQUEGUA</t>
  </si>
  <si>
    <t>LO-LIM</t>
  </si>
  <si>
    <t>CAMACHO ELERA MELANIONo.  0401-202201817 - IN/SALUDPOL/GG/GCS</t>
  </si>
  <si>
    <t>F001-989</t>
  </si>
  <si>
    <t>MEDEVAC ARCELA BENITES JHONY</t>
  </si>
  <si>
    <t>HOSPITAL HIPOLITO UNANUE TACNA</t>
  </si>
  <si>
    <t>F006-22113</t>
  </si>
  <si>
    <t>15:49 Y 17:26</t>
  </si>
  <si>
    <t>20:17 Y 21:50</t>
  </si>
  <si>
    <t>09:18 Y 10:49</t>
  </si>
  <si>
    <t>14:04 Y 15:48</t>
  </si>
  <si>
    <t>18:07 Y 19:33</t>
  </si>
  <si>
    <t>11:56 Y 13:22</t>
  </si>
  <si>
    <t>22:58 Y 00:17</t>
  </si>
  <si>
    <t>23:30 Y 00:57</t>
  </si>
  <si>
    <t>11:16 Y 12:43</t>
  </si>
  <si>
    <t>MEDEVAC PCTE MEDINA VILLALOBOS PAUL ALESSANDRO</t>
  </si>
  <si>
    <t>MEDEVAC PCTE MEDINA VILLALOBOS PAUL ALESSANDRO (SE EJECUTÓ EL SERVICIO- NO SE TRASLADO AL PACIENTE POR QUE NO TENIA CAMA UCI EN DESTINO)</t>
  </si>
  <si>
    <t>22:34 Y 11:54</t>
  </si>
  <si>
    <t>MEDEVAC PCTE SANCHEZ AREVALO CATALINA NICOLE</t>
  </si>
  <si>
    <t>MEDEVAC PCTE BURGOS CHAVEZ DAVID JHON</t>
  </si>
  <si>
    <t>F001-992</t>
  </si>
  <si>
    <t>MEDEVAC MONTERO ZETA JOSE MARIA</t>
  </si>
  <si>
    <t>F001-994</t>
  </si>
  <si>
    <t>ASISTENCIA MEDICA EN VUELO PACIENTE RN CAMCHO PIRELA ROBERT ANTONIO</t>
  </si>
  <si>
    <t>TRANSPORTE AEREO RN CAMCHO PIRELA ROBERT ANTONIO</t>
  </si>
  <si>
    <t>F001-995</t>
  </si>
  <si>
    <t>F001-996</t>
  </si>
  <si>
    <t>F001-997</t>
  </si>
  <si>
    <t>10:26-10:39</t>
  </si>
  <si>
    <t>JA-LIM</t>
  </si>
  <si>
    <t>NACION</t>
  </si>
  <si>
    <t>F006-62</t>
  </si>
  <si>
    <t>TRASLADO PCTE SABOYA GRANDEZ LILY</t>
  </si>
  <si>
    <t>TRASLADO PCTE SINDI MORALES REATEGUI</t>
  </si>
  <si>
    <t>F006-60</t>
  </si>
  <si>
    <t>TRASLADO PCTE CHACON VASQUEZ HARRY</t>
  </si>
  <si>
    <t>AIR MAJORO SELVA</t>
  </si>
  <si>
    <t>SERV. TRANSPORTE JARELY RODRIGUEZ ARMAS</t>
  </si>
  <si>
    <t>SERV. MEDICO JARELY RODRIGUEZ ARMAS</t>
  </si>
  <si>
    <t>MEDEVAC MONTOYA MIGUEL ALIAGA ANDRES</t>
  </si>
  <si>
    <t>F001-999</t>
  </si>
  <si>
    <t>F001-1000</t>
  </si>
  <si>
    <t>F001-1007</t>
  </si>
  <si>
    <t>F001-1008</t>
  </si>
  <si>
    <t>MEDEVAC CALDERON SANTOS MELVA SEBERINA</t>
  </si>
  <si>
    <t>MEDEVAC QUEZADA MESA ESTEFANY INSY</t>
  </si>
  <si>
    <t>MEDEVAC DIAZ ALVA AITHANA JADITH</t>
  </si>
  <si>
    <t>F001-990</t>
  </si>
  <si>
    <t xml:space="preserve">TRASLADO PCTE TORRES MONTILLA ENRIQUE </t>
  </si>
  <si>
    <t>MEDEVAC PCTE SALAZAR VILLANUEVA YSABEL</t>
  </si>
  <si>
    <t>F006-63</t>
  </si>
  <si>
    <t>F006-64</t>
  </si>
  <si>
    <t>MEDEVAC PCTE BARRIENTOS PEREYRA EDGAR</t>
  </si>
  <si>
    <t>TRASLADO PCTE SATALAYA TUANAMA CARMEN</t>
  </si>
  <si>
    <t>ESSALUD ANDAHUAYLAS</t>
  </si>
  <si>
    <t>MEDEVAC PCTE AGUIRRE DOLMOS TAMMY MICAELA</t>
  </si>
  <si>
    <t>F001-998</t>
  </si>
  <si>
    <t>MEDEVAC PCTE MUÑIZ LLAVE CARMEN LOLY</t>
  </si>
  <si>
    <t>MEDEVAC PCTE CHAMPI SARCCA GAEL ZEUS</t>
  </si>
  <si>
    <t>F001-1009</t>
  </si>
  <si>
    <t>F001-1010</t>
  </si>
  <si>
    <t>02112022</t>
  </si>
  <si>
    <t>03112022</t>
  </si>
  <si>
    <t>F006-66</t>
  </si>
  <si>
    <t>F006-67</t>
  </si>
  <si>
    <t>MEDEVAC CATRO ALVAN XIANNA ZEYNEP</t>
  </si>
  <si>
    <t>F001-988</t>
  </si>
  <si>
    <t>TRASLADO PCTE RENGIFO PAREDES CLAUDIA CRISTINA</t>
  </si>
  <si>
    <t>TRASLADO PCTE ZELADA MORI YMELDA</t>
  </si>
  <si>
    <t>05112022</t>
  </si>
  <si>
    <t>MEDEVAC PCTE MONDRAGON GONZALES EMILY ADRIANA</t>
  </si>
  <si>
    <t>MEDEVAC PCTE BECERRA HERNANDEZ ASUNCION</t>
  </si>
  <si>
    <t>F001-1011</t>
  </si>
  <si>
    <t>F001-1012</t>
  </si>
  <si>
    <t>F006-65</t>
  </si>
  <si>
    <t>F006-59</t>
  </si>
  <si>
    <t>TRASLADO PACIENTE: JANDEN INOSTROZA GARCIA</t>
  </si>
  <si>
    <t>MEDEVAC PACIENTE: C ENMANUEL PAIMA LOZANO</t>
  </si>
  <si>
    <t>HOSPITAL III GOYENECHE - AREQUIPA</t>
  </si>
  <si>
    <t>06112022</t>
  </si>
  <si>
    <t>07112022</t>
  </si>
  <si>
    <t>08112022</t>
  </si>
  <si>
    <t>09112022</t>
  </si>
  <si>
    <t>MEDEVAC PCTE HUARCA SANTANDER BELEN</t>
  </si>
  <si>
    <t>F001-1013</t>
  </si>
  <si>
    <t>F001-1014</t>
  </si>
  <si>
    <t>F001-1016</t>
  </si>
  <si>
    <t>TRASLADO PCTE BARCENA VARRANZA ADRIANO JEFFERSON</t>
  </si>
  <si>
    <t>MEDEVAC PCTE BARCENA VARRANZA ADRIANO JEFFERSON</t>
  </si>
  <si>
    <t>ASISTENCIA MEDICA PCTE  BARCENA VARRANZA ADRIANO JEFFERSON</t>
  </si>
  <si>
    <t>VER FECHA</t>
  </si>
  <si>
    <t>MEDEVAC PCTE VERGARAY CHICANA ROBERTO CARLOS</t>
  </si>
  <si>
    <t>MEDEVAC PCTE PINTO LLAVE ITZEL KHALEESI</t>
  </si>
  <si>
    <t>F001-953</t>
  </si>
  <si>
    <t>F001-1015</t>
  </si>
  <si>
    <t>HOSPITAL SANTA ROSA</t>
  </si>
  <si>
    <t>TU/LIM</t>
  </si>
  <si>
    <t>JA/LIM</t>
  </si>
  <si>
    <t>CUSCO/LIM</t>
  </si>
  <si>
    <t>2221P</t>
  </si>
  <si>
    <t>MEDEVAC PCTE DEL AGUILA HIDALGO JAIME</t>
  </si>
  <si>
    <t>MEDEVAC PCTE CHANG FERNANDEZ JOSE ALBERTO</t>
  </si>
  <si>
    <t>MEDEVAC PCTE CUEVA PEIXOTO INGRID JOHANNA</t>
  </si>
  <si>
    <t>MEDEVAC PCTE CABRERA HOYOS MARCO ANTONIO</t>
  </si>
  <si>
    <t xml:space="preserve">MEDEVAC PCTE GUEVARA TEJADA MARIA A. </t>
  </si>
  <si>
    <t>F001-1018</t>
  </si>
  <si>
    <t>MEDEVAC CALLACONDO MAMANI MARY CARMEN</t>
  </si>
  <si>
    <t>MEDEVAC MACHACA HUAMAN BERNARDINO</t>
  </si>
  <si>
    <t>F001-1024</t>
  </si>
  <si>
    <t>F001-1020</t>
  </si>
  <si>
    <t>F001-1021</t>
  </si>
  <si>
    <t>F001-1022</t>
  </si>
  <si>
    <t>F001-1023</t>
  </si>
  <si>
    <t>MEDEVAC PCTE CHAVEZ ROJAS RENATA CAMILA</t>
  </si>
  <si>
    <t>MEDEVAC CHIROQUE SILVA RN</t>
  </si>
  <si>
    <t>MOYA/PEREA/VALLEJOS</t>
  </si>
  <si>
    <t>MEDEVAC PCTE OBLITAS PEREYRA JOSE TORIBIO</t>
  </si>
  <si>
    <t>F001-1025</t>
  </si>
  <si>
    <t>F001-1026</t>
  </si>
  <si>
    <t>TRASLADO DAPENA CASTILLO PEDRO ROBERTO</t>
  </si>
  <si>
    <t>MEDEVAC PCTE YNGA MORI PABLO</t>
  </si>
  <si>
    <t>HOSP. SUB-REGIONAL ANDAHUAYLAS</t>
  </si>
  <si>
    <t>YMS-IQUITOS</t>
  </si>
  <si>
    <t>F001-1027</t>
  </si>
  <si>
    <t>MEDEVAC PEREZ PALOMINO ROSWIL</t>
  </si>
  <si>
    <t>MEDEVAC PCTE JABA CORREA JUAN FRANCISCO</t>
  </si>
  <si>
    <t>MEDEVAC PCTE ECONEMA HUANSI ALBA MARLITH</t>
  </si>
  <si>
    <t>F001-1032</t>
  </si>
  <si>
    <t>MEDEVAC PCTE MAMANI MAMANI LIAM STEFHANO</t>
  </si>
  <si>
    <t>LIMA-PCL</t>
  </si>
  <si>
    <t>LIMA-CIX</t>
  </si>
  <si>
    <t>PCL-TUMBES-LIM</t>
  </si>
  <si>
    <t>MEDEVAC PCTE CCOYTO APAZA CELIA SEBASTIANA</t>
  </si>
  <si>
    <t>HOSPITAL DE EMERGENCIAS PEDITRICAS</t>
  </si>
  <si>
    <t>RIOJA-CIX</t>
  </si>
  <si>
    <t>BENAVENE/PEREA</t>
  </si>
  <si>
    <t>BURBANO/VALLEJOS</t>
  </si>
  <si>
    <t>F001-1034</t>
  </si>
  <si>
    <t>F001-1037</t>
  </si>
  <si>
    <t>F001-1038</t>
  </si>
  <si>
    <t>F001-1039</t>
  </si>
  <si>
    <t>F001-1040</t>
  </si>
  <si>
    <t>MEDEVAC PCTE MIRANO HUISA ABNER ANDERSON</t>
  </si>
  <si>
    <t>MEDEVAC PCTE CUSIHUAMAN CCALLUCO FREDY AGUSTIN CA</t>
  </si>
  <si>
    <t>F001-1033</t>
  </si>
  <si>
    <t>MEDEVAC PCTE REATEGUI VARGAS ARBE</t>
  </si>
  <si>
    <t>MEDEVAC PCTE VILLEGAS SIPION GUILLERMO DAVID</t>
  </si>
  <si>
    <t>MEDEVAC PCTE PIZANGO TUANAMA BIANCA</t>
  </si>
  <si>
    <t>TRASLADO PCTE FERREYROS TANCHIVA MARIA INES</t>
  </si>
  <si>
    <t>MEDEVAC PCTE CHIRA CARLOS KIOMY</t>
  </si>
  <si>
    <t>MEDEVAC PCTE INGA QUIROZ MIA EYLANY</t>
  </si>
  <si>
    <t>MEDEVAC PCTE REQUEJO JULCA LICY ANGELA</t>
  </si>
  <si>
    <t>F001-1045</t>
  </si>
  <si>
    <t>F001-1043</t>
  </si>
  <si>
    <t>F001-1044</t>
  </si>
  <si>
    <t>MEDEVAC MONSALVE CHIMOY YARUMI NAOMI</t>
  </si>
  <si>
    <t>F001-1050, 1051,1052,1053,1054</t>
  </si>
  <si>
    <t>MEDEVAC PCTE JORGE TACAS MARLENI</t>
  </si>
  <si>
    <t>F001-991</t>
  </si>
  <si>
    <t>ASISTENCIA MEDICA EN VUELO MONSALVE CHIMOY YARUMI NAOMI</t>
  </si>
  <si>
    <t>01122022</t>
  </si>
  <si>
    <t>02122022</t>
  </si>
  <si>
    <t>MOYA/ZUOLAGA</t>
  </si>
  <si>
    <t>MEDEVAC PCTE HERRERA PLASENCIA LUIS</t>
  </si>
  <si>
    <t>MEDEVAC PCTE ARMAS ESCALANTE JULIO ANGEL</t>
  </si>
  <si>
    <t>MEDEVAC PCTE AZAN PINEDO AXEL GLEN</t>
  </si>
  <si>
    <t>MEDEVAC PCTE PILCO CALUMANI ANDERSON</t>
  </si>
  <si>
    <t>MEDEVAC PCTE JEFFERSON YOSHIMAR HUALPA JUAREZ</t>
  </si>
  <si>
    <t>F001-1056</t>
  </si>
  <si>
    <t>MEDEVAC RIOS TAMAYO ETHAN GERMAN</t>
  </si>
  <si>
    <t>F001-1046</t>
  </si>
  <si>
    <t>F001-1047</t>
  </si>
  <si>
    <t>F001-1048</t>
  </si>
  <si>
    <t>F001-1049</t>
  </si>
  <si>
    <t>MEDEVAC WAJAI CAHUAZA ANA MILAGROS</t>
  </si>
  <si>
    <t>F001-1057</t>
  </si>
  <si>
    <t>F001-1058</t>
  </si>
  <si>
    <t>F001-1059</t>
  </si>
  <si>
    <t>MEDEVAC PCTE BARRANTES BECERRA CANDELARIA</t>
  </si>
  <si>
    <t>03122022</t>
  </si>
  <si>
    <t>04122022</t>
  </si>
  <si>
    <t>05122022</t>
  </si>
  <si>
    <t>06122022</t>
  </si>
  <si>
    <t>07122022</t>
  </si>
  <si>
    <t>08122022</t>
  </si>
  <si>
    <t>F001-1031</t>
  </si>
  <si>
    <t>F001-1060</t>
  </si>
  <si>
    <t>F001-1061</t>
  </si>
  <si>
    <t>SERVICIO DE ASISTENCIA PCTE CASTRO HUAMAN RN</t>
  </si>
  <si>
    <t>SERV. TRASLADO PCTE CASTRO HUAMAN RN</t>
  </si>
  <si>
    <t>F001-1069</t>
  </si>
  <si>
    <t>F001-1065</t>
  </si>
  <si>
    <t>F001-1066</t>
  </si>
  <si>
    <t>F001-1074</t>
  </si>
  <si>
    <t>F001-1067</t>
  </si>
  <si>
    <t>MEDEVAC PORTOCARRERO TORRES ROY</t>
  </si>
  <si>
    <t>MEDEVAC PCTE ÑAHUIS PALOMINO RONALD</t>
  </si>
  <si>
    <t>F001-1055</t>
  </si>
  <si>
    <t>F001-1063</t>
  </si>
  <si>
    <t>F001-1064</t>
  </si>
  <si>
    <t>F001-1042</t>
  </si>
  <si>
    <t>F001-1068</t>
  </si>
  <si>
    <t>ASISTENCIA MEDICA PCTE CHARA CAYLLAHUA JUAN DAVID MATEO</t>
  </si>
  <si>
    <t>TRANSPORTE AEREO PCTE CHARA CAYLLAHUA JUAN DAVID MATEO</t>
  </si>
  <si>
    <t>F001-1062</t>
  </si>
  <si>
    <t>MEDEVAC PCTE CHAPOÑAN SANCHEZ AITANA ALEXIA</t>
  </si>
  <si>
    <t>F001-1035</t>
  </si>
  <si>
    <t>OGESS ESPECIALIZADA</t>
  </si>
  <si>
    <t>F006-75</t>
  </si>
  <si>
    <t>F006-78</t>
  </si>
  <si>
    <t>F001-1019</t>
  </si>
  <si>
    <t>MEDEVAC PCTE TRAUCO AREVALO WILLIAMS</t>
  </si>
  <si>
    <t>MEDEVAC PCTE GARCIA CORDOVA DANTE KEYLOR</t>
  </si>
  <si>
    <t>MEDEVAC PCTE PANIHUARA PAUCCAR MARLENI</t>
  </si>
  <si>
    <t>F001-1081</t>
  </si>
  <si>
    <t>MEDEVAC PCTE MACHACA HUAMAN BERNARDINO</t>
  </si>
  <si>
    <t>TRASLADO PCTE GAVIRIA GARCIA WAGNER</t>
  </si>
  <si>
    <t>TRASLADO PCTE LAZO PEÑA STEFANO JULIAN</t>
  </si>
  <si>
    <t>F001-1085</t>
  </si>
  <si>
    <t>MEDEVAC PCTE REYNAGA PERALTA HERMINIA</t>
  </si>
  <si>
    <t>TRASLADO PCTE PIZURI TANGOA NELSON BERENY</t>
  </si>
  <si>
    <t>MEDEVAC PCTE VASQUEZ HUACHEZ ALEXANDER</t>
  </si>
  <si>
    <t>MEDEVAC PCTE MALDONADO FERNANDEZ AURORA ABIGAIL</t>
  </si>
  <si>
    <t>F001-1086</t>
  </si>
  <si>
    <t>MEDEVAC PCTE ROJAS VASQUEZ ISABELLA</t>
  </si>
  <si>
    <t>CONTRATO 082-2022-OGESS-AM</t>
  </si>
  <si>
    <t>MEDEVAC PCTE BARCENA GUTIERREZ GUILLERMO</t>
  </si>
  <si>
    <t>F001-1087</t>
  </si>
  <si>
    <t>MEDEVAC PCTE BARRIENTOS CORDOVA REBECA STEPHANY</t>
  </si>
  <si>
    <t>F001-1088</t>
  </si>
  <si>
    <t xml:space="preserve"> dias</t>
  </si>
  <si>
    <t>Lapso de pago</t>
  </si>
  <si>
    <t>LAPSO DE PAGO</t>
  </si>
  <si>
    <t>OLGA</t>
  </si>
  <si>
    <t>0B2221</t>
  </si>
  <si>
    <t>TOTAL DEUDA CONTRATO</t>
  </si>
  <si>
    <t>MEDEVAC PCTE MERINO RAMOS MARIA</t>
  </si>
  <si>
    <t>MEDEVAC PCTE MENDOZA BEJARANO ASHLEY</t>
  </si>
  <si>
    <t>ANTA-LIM</t>
  </si>
  <si>
    <t>ESALUD TARAPOTO</t>
  </si>
  <si>
    <t>CM-LIM</t>
  </si>
  <si>
    <t>MEDEVAC PCTE REATEGUI COLONNA VICTOR ALBERTO</t>
  </si>
  <si>
    <t>MEDEVAC PCTE PEREZ MAGALHAES MARTIN CECILIO</t>
  </si>
  <si>
    <t>MEDEVAC PCTE VEGA MARTINEZ DELMER</t>
  </si>
  <si>
    <t>MEDEVAC PCTE RUIZ ESCALANTE SERGIA LUCIA</t>
  </si>
  <si>
    <t>TRASLADO AEREO PCTE SILVA GUEVARA MARITA ELIZABETH</t>
  </si>
  <si>
    <t>ASISTENCIA PCTE SILVA GUEVARA MARITA ELIZABETH</t>
  </si>
  <si>
    <t>F001-1096</t>
  </si>
  <si>
    <t>MEDEVAC PCTE PINEDO RAMIREZ LEANDRA</t>
  </si>
  <si>
    <t>HOSPITAL VIRGEN DE FATIMA CHY</t>
  </si>
  <si>
    <t>TRASLADO PCTE PAREDES RIOS LILIA LUISA</t>
  </si>
  <si>
    <t>F001-1097</t>
  </si>
  <si>
    <t>TRASLADO AEREO PCTE PERALES QUISPE SANDRA YARELI</t>
  </si>
  <si>
    <t>ASISTENCIA PCTE PERALES QUISPE SANDRA YARELI</t>
  </si>
  <si>
    <t>F001-1098</t>
  </si>
  <si>
    <t>F001-1099</t>
  </si>
  <si>
    <t>TRANSPORTE AMBULANCIA AEREA PCTE RAMOS TIÑA NAHOMI CAMILE</t>
  </si>
  <si>
    <t>ASISTENCIA MEDICA PCTE RAMOS TIÑA NAHOMI CAMILE</t>
  </si>
  <si>
    <t>F001-1101</t>
  </si>
  <si>
    <t>F001-1100</t>
  </si>
  <si>
    <t>F001-1102</t>
  </si>
  <si>
    <t>F006-69-80</t>
  </si>
  <si>
    <t>F006-70</t>
  </si>
  <si>
    <t>F006-73</t>
  </si>
  <si>
    <t>F006-74</t>
  </si>
  <si>
    <t>05/11/2022-PAGADA POSTRIORMENTE EN DICIEMBRE</t>
  </si>
  <si>
    <t>HOSPITAL REGIONAL DE LORETO CONTRATO 2022-2023</t>
  </si>
  <si>
    <t>TOTAL X COBRAR CONTRATO</t>
  </si>
  <si>
    <t>TOTAL DEUDA HRL</t>
  </si>
  <si>
    <t>F001-1092</t>
  </si>
  <si>
    <t>MEDEVAC PCTE ZAITA ACHO LUZ ANGELICA</t>
  </si>
  <si>
    <t>MEDEVAC PCTE VARGAS TUESTA KAREL GAEL</t>
  </si>
  <si>
    <t>MEDEVAC PCTE HIDALGO FAILOC ITHAN LEONARDO</t>
  </si>
  <si>
    <t>TRASALDO PCTE SANCHEZ MALDONADO GREIS SELENY</t>
  </si>
  <si>
    <t>BENAVENTE/VALLEJOS</t>
  </si>
  <si>
    <t>F001-1090</t>
  </si>
  <si>
    <t>F001-1091</t>
  </si>
  <si>
    <t>F001-1109</t>
  </si>
  <si>
    <t>MEDEVAC PCTE FUENTES FUENTES JHON ANDERS</t>
  </si>
  <si>
    <t>F001-1110</t>
  </si>
  <si>
    <t>F001-1105</t>
  </si>
  <si>
    <t>F001-1106</t>
  </si>
  <si>
    <t>MEDEVAC PCTE GALLARDO ROJAS BRITANY AURORITA</t>
  </si>
  <si>
    <t>F001-1111 -1112-1113</t>
  </si>
  <si>
    <t>F001-1114</t>
  </si>
  <si>
    <t>MEDEVAC PCTE CALDERON NAVARRO FELIPE ALONSO</t>
  </si>
  <si>
    <t>MOYA/VALLEJOS</t>
  </si>
  <si>
    <t>F006-86</t>
  </si>
  <si>
    <t>F006-87</t>
  </si>
  <si>
    <t>F006-89</t>
  </si>
  <si>
    <t>F001-1108</t>
  </si>
  <si>
    <t>MEDEVAC PCTE LICONA TARCO ISIDRO</t>
  </si>
  <si>
    <t>F001-1115</t>
  </si>
  <si>
    <t>F001-1116</t>
  </si>
  <si>
    <t>F001-1117</t>
  </si>
  <si>
    <t>MEDEVAC PCTE ZEGARRA CAMPOS LUIS ALEJANDRO</t>
  </si>
  <si>
    <t>F001-1118</t>
  </si>
  <si>
    <t>F001-1119</t>
  </si>
  <si>
    <t>POR CORREO AL SR. ORTIZ</t>
  </si>
  <si>
    <t>F001-1120</t>
  </si>
  <si>
    <t>MEDEVAC PCTE VEGA GUILLEN ELEODORO</t>
  </si>
  <si>
    <t>1. ALFA VIAJES</t>
  </si>
  <si>
    <t>2. ESSALUD ANDAHUAYLAS</t>
  </si>
  <si>
    <t>3. ESSALUD AREQUIPA</t>
  </si>
  <si>
    <t>4. ESSALUD AYACUCHO</t>
  </si>
  <si>
    <t>5. ESSALUD CAJAMARCA</t>
  </si>
  <si>
    <t>6. ESSALUD CHACHAPOYAS</t>
  </si>
  <si>
    <t>7. ESSALUD CHICLAYO</t>
  </si>
  <si>
    <t>8. ESSALUD CHIMBOTE</t>
  </si>
  <si>
    <t>9. ESSALUD CUSCO</t>
  </si>
  <si>
    <t>10. ESSALUD HUANUCO</t>
  </si>
  <si>
    <t>11. ESSALUD JULIACA</t>
  </si>
  <si>
    <t>14. ESSALUD MOYOBAMBA</t>
  </si>
  <si>
    <t>16. ESSALUD PIURA</t>
  </si>
  <si>
    <t>19. ESSALUD TRUJILLO</t>
  </si>
  <si>
    <t>25. HOSP. REG. AYACUCHO</t>
  </si>
  <si>
    <t>26. HOSP. REG. EL CARMEN-HYO</t>
  </si>
  <si>
    <t>27. HOSP. REG. HUANCAVELICA</t>
  </si>
  <si>
    <t>28. HOSP. REG. LAMBAYEQUE</t>
  </si>
  <si>
    <t>29. HOSP. REG. LORETO</t>
  </si>
  <si>
    <t>30. HOSP. REG. MANUEL NUÑEZ BUTRON</t>
  </si>
  <si>
    <t>31. HOSP. REG. MOQUEGUA</t>
  </si>
  <si>
    <t>22. HOSP. EMERGENCIAS PEDIATRICAS</t>
  </si>
  <si>
    <t>23. HOSP. GOYENECHE - AREQUIPA</t>
  </si>
  <si>
    <t>37. HOSP. VIRGEN DE FATIMA-CHACHAPOYAS</t>
  </si>
  <si>
    <t>38. INCA AIR</t>
  </si>
  <si>
    <t>39. INSTITUTO NACIONAL DE SALUD DEL NIÑO</t>
  </si>
  <si>
    <t>40. MAPFRE</t>
  </si>
  <si>
    <t>41. OGESS ALTOMAYO</t>
  </si>
  <si>
    <t>42. PROSEGUR</t>
  </si>
  <si>
    <t>43. REDESS EL COLLAO</t>
  </si>
  <si>
    <t>44. SALUDPOL</t>
  </si>
  <si>
    <t>45. SERVICIOS GENERALES ZARO</t>
  </si>
  <si>
    <t>46. TRANSPORTES AEREOS &amp; SERVICIOS GENERALES S.A.C.</t>
  </si>
  <si>
    <t>47. VIAJES PUCALLPA</t>
  </si>
  <si>
    <t>32. HOSP. REG. TUMBES</t>
  </si>
  <si>
    <t>33. HOSP. REG. PUCALLPA</t>
  </si>
  <si>
    <t>36. HOSP. S. REG. ANDAHUAYLAS</t>
  </si>
  <si>
    <t>F001-1121</t>
  </si>
  <si>
    <t>ESSALUDD TPP</t>
  </si>
  <si>
    <t>MOYA/VZULOAGA</t>
  </si>
  <si>
    <t>F001-1123</t>
  </si>
  <si>
    <t>PEÑA/BENAVENTE</t>
  </si>
  <si>
    <t>DURAN/VALLES</t>
  </si>
  <si>
    <t>ESSALUDD TPP CONTRATACION DIRECTA</t>
  </si>
  <si>
    <t>MEDEVAC PCTE GOMEZ PANDURO DE FLORES JOSEFINA</t>
  </si>
  <si>
    <t xml:space="preserve"> </t>
  </si>
  <si>
    <t>MEDEVAC ATOCHE RAMIREZ RN</t>
  </si>
  <si>
    <t>01012023</t>
  </si>
  <si>
    <t>02012023</t>
  </si>
  <si>
    <t>ESSALUD PUCALLPA</t>
  </si>
  <si>
    <t>F006-99</t>
  </si>
  <si>
    <t>MEDEVAC PCTE RAMOS ORCCO MEGAN ROSS</t>
  </si>
  <si>
    <t>MEDEVAC PCTE ELGEGREN LAO JULIO CESAR</t>
  </si>
  <si>
    <t>MEDEVAC PCTE CHAVEZ CORONEL ALESSIA PAULINA</t>
  </si>
  <si>
    <t>03012023</t>
  </si>
  <si>
    <t>04012022</t>
  </si>
  <si>
    <t>INSN</t>
  </si>
  <si>
    <t>HORA DE VUELO</t>
  </si>
  <si>
    <t>PEÑA/BENAVEENTE</t>
  </si>
  <si>
    <t>17. ESSALUD PUCALLPA DEUDA ANTERIOR</t>
  </si>
  <si>
    <t>MEDEVAC PCTE MEDINA FLORES VICENTE LEONCIO</t>
  </si>
  <si>
    <t>MEDEVAC PCTE VALDIVIA MIRANDA CARLOS ALBERTO</t>
  </si>
  <si>
    <t>F001-1125</t>
  </si>
  <si>
    <t>F001-1126</t>
  </si>
  <si>
    <t>MEDEVAC PCTE SANCHEZ PINEDO WINSTON JOSE</t>
  </si>
  <si>
    <t>F001-1124</t>
  </si>
  <si>
    <t>F001-1128</t>
  </si>
  <si>
    <t>04012023</t>
  </si>
  <si>
    <t>06012023</t>
  </si>
  <si>
    <t>HOSP. MANUEL NUÑEZ BUTRON</t>
  </si>
  <si>
    <t>05012023</t>
  </si>
  <si>
    <t>07012023</t>
  </si>
  <si>
    <t>HOSPITAL REG MOUEGUA</t>
  </si>
  <si>
    <t>EQ-LIM</t>
  </si>
  <si>
    <t>08012023</t>
  </si>
  <si>
    <t>09012023</t>
  </si>
  <si>
    <t>MEDEVAC PCTE LANGFORD MICHAEL JOSEPH</t>
  </si>
  <si>
    <t>F001-1139</t>
  </si>
  <si>
    <t>TRASLADO PCTE SABOYA AMASIFUEN  LUCAS DERTEANO</t>
  </si>
  <si>
    <t>TRASLADO PCTE WENINGER CHACON NAIARA KRISTEL</t>
  </si>
  <si>
    <t>HOSPITAL REG TUMBES</t>
  </si>
  <si>
    <t>QE-LIM</t>
  </si>
  <si>
    <t>TRASLADO PCTE CARDENAS LOPEZ ZOILA GABRIELA</t>
  </si>
  <si>
    <t>TRASLADO PCTE SINARAHUA SANGAMA DEIDAMIA</t>
  </si>
  <si>
    <t>F001-1145</t>
  </si>
  <si>
    <t>F001-1146</t>
  </si>
  <si>
    <t>F001-1147</t>
  </si>
  <si>
    <t>F001-1142</t>
  </si>
  <si>
    <t>F001-1143</t>
  </si>
  <si>
    <t>F001-1144</t>
  </si>
  <si>
    <t>F001-1151</t>
  </si>
  <si>
    <t>F006-22811</t>
  </si>
  <si>
    <t>MEDEVAC PCTE SADITA ACOSTA DIAZ</t>
  </si>
  <si>
    <t>MEDEVAC PCTE COLL CARDENAS GUEVARA DE RIOS NANCY NELLY</t>
  </si>
  <si>
    <t>TRASLADO PCTES SILVA GARCIA TEYSI MAYLI - PINCHI RUIZ LIBETH</t>
  </si>
  <si>
    <t>F001-1133</t>
  </si>
  <si>
    <t>F001-1130</t>
  </si>
  <si>
    <t>F001-1131</t>
  </si>
  <si>
    <t xml:space="preserve">TRASLADO PCTE CHAPOÑAN RIVERA MARIA AGUSTINA </t>
  </si>
  <si>
    <t>MEDEVAC PCTE ALTAMIRANO PIZARRO MARICIELO</t>
  </si>
  <si>
    <t>F001-1150</t>
  </si>
  <si>
    <t>TRASLADO PCTE PEREZ VASQUEZ JOEL ANGEL</t>
  </si>
  <si>
    <t>TRASLADO PCTE TORRES PAREDES NORFITH</t>
  </si>
  <si>
    <t xml:space="preserve">MEDEVAC PCTE GUEVARA ALBERCA ALISSON IVANNA </t>
  </si>
  <si>
    <t>MEDEVAC PCTE  WEISE MADITA</t>
  </si>
  <si>
    <t>ESSLAUD TARAPOTO</t>
  </si>
  <si>
    <t>TIRADO CAMARENA</t>
  </si>
  <si>
    <t>TRASLADO PCTE LOZANO REATEGUI LIZ</t>
  </si>
  <si>
    <t>NETO SIN DETRACCION</t>
  </si>
  <si>
    <t>NETO SIN DETRACCIÓN</t>
  </si>
  <si>
    <t>X COBRAR 2022</t>
  </si>
  <si>
    <t>MEDEVAC PCTE MEJIA PEREZ CESAR ERNESTO</t>
  </si>
  <si>
    <t>F001-1159</t>
  </si>
  <si>
    <t>MEDEVAC PCTE ARANDA ESCALANTE MIRVA VICTORIA</t>
  </si>
  <si>
    <t>F001-1170</t>
  </si>
  <si>
    <t>MEDEVAC PCTE GUERRA RAMIREZ ANITA PATRICIA</t>
  </si>
  <si>
    <t>F001-1166</t>
  </si>
  <si>
    <t>F001-1152</t>
  </si>
  <si>
    <t>NIT</t>
  </si>
  <si>
    <t>1277-0206-2023</t>
  </si>
  <si>
    <t>1277-0207-2023</t>
  </si>
  <si>
    <t>1277-0208-2023</t>
  </si>
  <si>
    <t>1277-0320-2023</t>
  </si>
  <si>
    <t>1277-0319-2023</t>
  </si>
  <si>
    <t>1277-0393-2023</t>
  </si>
  <si>
    <t>TUMBES-LIM</t>
  </si>
  <si>
    <t xml:space="preserve">ESSALUD TARAPOTO CONTRATO ITEM 1  TRANSPORTE AÉREO DE EVACUACIÓN MÉDICA CON PERSONAL ESSALUD </t>
  </si>
  <si>
    <t>MEDEVAC PCTE FASANANDO DE GARCIA LUISA ISABEL</t>
  </si>
  <si>
    <t>ESSALUD TPP CD</t>
  </si>
  <si>
    <t>SEMID</t>
  </si>
  <si>
    <t>MEDEVAC PCTE PONCE SALDAÑA BESI</t>
  </si>
  <si>
    <t>MEDEVAC PCTE ROBALINO VARGAS EMILY LAUS</t>
  </si>
  <si>
    <t>TRASLADO PCTE PAREDES RUIZ EDINSON</t>
  </si>
  <si>
    <t>F001-1172</t>
  </si>
  <si>
    <t>MEDEVAC PCTE CERON GARCIA GIANNA ESTHER</t>
  </si>
  <si>
    <t>TRASLADO PCTE GUIMARAEZ CORAL LINCH</t>
  </si>
  <si>
    <t>ILO-LIM</t>
  </si>
  <si>
    <t>MEDEVAC PCTE GARCIA OLAYA RN</t>
  </si>
  <si>
    <t>SEGUROS RIMAC</t>
  </si>
  <si>
    <t>ANTA-LIMA</t>
  </si>
  <si>
    <t>MEDEVAC PCTE ORBE TANANTA TANNER</t>
  </si>
  <si>
    <t>HOSP. REGIONAL TUMBES</t>
  </si>
  <si>
    <t>02022023</t>
  </si>
  <si>
    <t>01022023</t>
  </si>
  <si>
    <t>BENAVENTE7VALLES</t>
  </si>
  <si>
    <t>PEÑA/ZULOAGA</t>
  </si>
  <si>
    <t>LIMA-RIOJA-LIM</t>
  </si>
  <si>
    <t xml:space="preserve">TRASLADO PCTE CAMASCA   VASQUEZ  ARNALDO   </t>
  </si>
  <si>
    <t>TRASLADO PCTE CHOY REATEGUI JAVIER</t>
  </si>
  <si>
    <t>F001-1134</t>
  </si>
  <si>
    <t>F001-1135</t>
  </si>
  <si>
    <t>F001-1137</t>
  </si>
  <si>
    <t>F001-1138</t>
  </si>
  <si>
    <t>MEDEVAC PCTE CAMPOS ROJAS SUSANA DE JESUS</t>
  </si>
  <si>
    <t>MEDEVAC PCTE CUEVA COQUINCHE EDINSON ELISEO</t>
  </si>
  <si>
    <t>F001-1190</t>
  </si>
  <si>
    <t>F001-1191</t>
  </si>
  <si>
    <t>MEDEVAC PCTE MAMANI LOMA ARLETH SHANTALL</t>
  </si>
  <si>
    <t>MEDEVAC CARRILLO SARANGO RN</t>
  </si>
  <si>
    <t>MEDEVAC PCTE JARA LAGUNA MARJORY</t>
  </si>
  <si>
    <t>CONTRATO N° 44-2021</t>
  </si>
  <si>
    <t>F001-1182</t>
  </si>
  <si>
    <t>F006-531</t>
  </si>
  <si>
    <t>F001-1180</t>
  </si>
  <si>
    <t>F001-1181</t>
  </si>
  <si>
    <t>F001-1175</t>
  </si>
  <si>
    <t>F001-1176</t>
  </si>
  <si>
    <t>F001-1177</t>
  </si>
  <si>
    <t>F001-1187</t>
  </si>
  <si>
    <t>F001-1188</t>
  </si>
  <si>
    <t>F001-1193</t>
  </si>
  <si>
    <t>GOLD TOUR EIRL</t>
  </si>
  <si>
    <t>03022023</t>
  </si>
  <si>
    <t>04022023</t>
  </si>
  <si>
    <t>HOSPITAL REGIONALDE LORETO</t>
  </si>
  <si>
    <t>05022023</t>
  </si>
  <si>
    <t>VIAJES PCL</t>
  </si>
  <si>
    <t>MEDEVAC PCTE VIÑAS PEÑA SILVANA GISELL</t>
  </si>
  <si>
    <t>MEDEVAC LLERENA ITALIANO KYOMI AITIANA</t>
  </si>
  <si>
    <t>MEDEVAC TORRES GABRIEL MAX LENIN</t>
  </si>
  <si>
    <t>MEDEVAC BAZAN RIOS ROBERTO CARLOS</t>
  </si>
  <si>
    <t xml:space="preserve">MEDEVAC TSAMAREN ROJAS ENZO LIAN </t>
  </si>
  <si>
    <t>CUSCO-AQP</t>
  </si>
  <si>
    <t>06022023</t>
  </si>
  <si>
    <t>ESSALUD CUSCO CD</t>
  </si>
  <si>
    <t>ESSALUD PCL</t>
  </si>
  <si>
    <t>LIM-RIOJA</t>
  </si>
  <si>
    <t>MEDEVAC PCTE WAJAI CAHUAZA ANA MILAGROS</t>
  </si>
  <si>
    <t>MEDEVAC PCTE WAJAI CAHUAZA SUWA ANAIS</t>
  </si>
  <si>
    <t>MEDEVAC PCTE CHAVEZ OLIVERA RN</t>
  </si>
  <si>
    <t>MEDEVAC LAZARTE YUIMACHI ABIGAIL</t>
  </si>
  <si>
    <t>IMPERIUM INVERSIONES S.A.C.</t>
  </si>
  <si>
    <t>07022023</t>
  </si>
  <si>
    <t>08022023</t>
  </si>
  <si>
    <t>F001-1203</t>
  </si>
  <si>
    <t>MEDEVAC PCTE ANDALUZ LUNA ERIKA PAMELA</t>
  </si>
  <si>
    <t>F006-20694</t>
  </si>
  <si>
    <t>MEDEVAC DILAN MOZOMBITE CALDERON</t>
  </si>
  <si>
    <t>09022023</t>
  </si>
  <si>
    <t>F001-1209</t>
  </si>
  <si>
    <t>F001-1212</t>
  </si>
  <si>
    <t>MEDEVAC PCTE ALVES SANTILLAN CLOVIS</t>
  </si>
  <si>
    <t>MEDEVAC PCTE SANDOVAL CHUJUTALLI VICTOR</t>
  </si>
  <si>
    <t>MEDEVAC PCTE URTEAGA PANDURO JOSE ANDRES</t>
  </si>
  <si>
    <t>MEDEVAC PCTE VIGILIO OLORTEGUI HAILEY RAQUEL</t>
  </si>
  <si>
    <t>MEDEVAC PCTE CUEVA TORO DOLFER JHOAO</t>
  </si>
  <si>
    <t>MEDEVAC PCTE MARIN BARDALES JORGE ONTERE</t>
  </si>
  <si>
    <t>MEDEVAC PCTE BARTENS PEREZ AUGUSTO ENRIQUE</t>
  </si>
  <si>
    <t>MEDEVAC PCTE QUEIJA ESTEVES ROBERTO JAVIER</t>
  </si>
  <si>
    <t>MEDEVAC PCTE RODRIGUEZ OLIVARES DAYANA RUBI</t>
  </si>
  <si>
    <t>MEDEVAC PCTE VEGA ALVAREZ DANNA LUCERO</t>
  </si>
  <si>
    <t>MEDEVAC PCTE RODRIGUEZ MALLAP KHAILANI</t>
  </si>
  <si>
    <t>MEDEVAC PCTE BANCES ROJAS LUZ MARIELITA</t>
  </si>
  <si>
    <t>MEDEVAC PCTE SANCHEZ REQUEJO JOSÉ DANIEL</t>
  </si>
  <si>
    <t>MEDEVAC PCTE HUAMAN BARDALES ERICK</t>
  </si>
  <si>
    <t>TRASLADO PCTE ROJAS ARMAS MATHIAS JARED</t>
  </si>
  <si>
    <t>TRASLADO PCTE DEL AGUILA TAPULLIMA LEODAN</t>
  </si>
  <si>
    <t>TRASLADO PCTE TORO CABRERA MARIA ELITA</t>
  </si>
  <si>
    <t>TRASLADO PCTE SINAHUARA LUMBA NELIA MARILU</t>
  </si>
  <si>
    <t>MEDEVAC PCTE DIAZ BURGA JUAN FRANCISCO</t>
  </si>
  <si>
    <t>MEDEVAC PCTE GONZALES PEREZ CINTHIA L</t>
  </si>
  <si>
    <t>F001-1208</t>
  </si>
  <si>
    <t>TRASLADO PCTE PANDURO   DA FONSECA,  ZOBEIDA</t>
  </si>
  <si>
    <t>TIRADO/GUIDICHE</t>
  </si>
  <si>
    <t>MEDEVAC ZAMBRANO RODRIGUEZ JACKELINE</t>
  </si>
  <si>
    <t>TRASLADO PCTE CASTRO SEIJAS KETY</t>
  </si>
  <si>
    <t>TRASLADO PCTE GONZALES RIVEYRO GAEL DE JESUS</t>
  </si>
  <si>
    <t>TRASLADO PCTE AGUILAR DE RAMIREZ CARMEN EDITH</t>
  </si>
  <si>
    <t>F001-1222</t>
  </si>
  <si>
    <t>F001-1223</t>
  </si>
  <si>
    <t>F001-1224</t>
  </si>
  <si>
    <t xml:space="preserve">TRASLADO PCTE LAO ODICIO KATHERINE MARISELA  </t>
  </si>
  <si>
    <t>F001-1194</t>
  </si>
  <si>
    <t>VLO COMPAÑÍA</t>
  </si>
  <si>
    <t>TRASLADO PCTE RODRIGUEZ RUIZ MARCO ANTONIO</t>
  </si>
  <si>
    <t>SO-LIM</t>
  </si>
  <si>
    <t>SANTANDER</t>
  </si>
  <si>
    <t>LIM-SO</t>
  </si>
  <si>
    <t>ESALUD TARAPOTO CD</t>
  </si>
  <si>
    <t>F001-1219</t>
  </si>
  <si>
    <t>F001-1220</t>
  </si>
  <si>
    <t>F001-1225</t>
  </si>
  <si>
    <t>F001-1226</t>
  </si>
  <si>
    <t>F001-1227</t>
  </si>
  <si>
    <t>MEDEVAC PCTE SANGAMA TAMANI HOLMES ADRIANO</t>
  </si>
  <si>
    <t>TRASLADO PCTE VILLACREZ BARDALES JUAN</t>
  </si>
  <si>
    <t>LIM-TRU</t>
  </si>
  <si>
    <t>RPTO</t>
  </si>
  <si>
    <t>TRASLADO SADITH ALMENDRA PEREIRA HUIÑAPI</t>
  </si>
  <si>
    <t>MEDEVAC REYES FASANANDO VIOLETA NICOLE</t>
  </si>
  <si>
    <t>TRASLADO PCTE MORA RODRIGUEZ JHENINFER</t>
  </si>
  <si>
    <t xml:space="preserve">MEDEVAC PCTE VASQUEZ LUDEÑA BELIROUSE </t>
  </si>
  <si>
    <t>F001-1168</t>
  </si>
  <si>
    <t>MEDEVAC PCTE MURRIETA RENGIFO LAURO</t>
  </si>
  <si>
    <t>F001-1216</t>
  </si>
  <si>
    <t>F001-1167</t>
  </si>
  <si>
    <t>F001-1169</t>
  </si>
  <si>
    <t>MEDEVAC PCTE  IBERICO DEL AGUILA LICIA ROGELIA</t>
  </si>
  <si>
    <t>CUZ-AQP</t>
  </si>
  <si>
    <t>CUZ-LIM</t>
  </si>
  <si>
    <t>TBP-LIM</t>
  </si>
  <si>
    <t>PEREA/VALLEJOS</t>
  </si>
  <si>
    <t>MEDEVAC PCTE AGUILAR RUBIO ROYSER NATANAEL</t>
  </si>
  <si>
    <t>MEDEVAC PCTE RODAS JIMENEZ IKER KAMIL</t>
  </si>
  <si>
    <t>MEDEVAC PCTE ALARCON DÍAZ JHUNIOR ALEXIS</t>
  </si>
  <si>
    <t>F001-1200</t>
  </si>
  <si>
    <t>F001-1201</t>
  </si>
  <si>
    <t>F001-1213</t>
  </si>
  <si>
    <t>F001-1214</t>
  </si>
  <si>
    <t xml:space="preserve">MEDEVAC PCTE BARDALES ACOSTA ABEL </t>
  </si>
  <si>
    <t>MEDEVAC PCTE NUNTA CAUPER SANDRA YANEXI</t>
  </si>
  <si>
    <t>F001-1241</t>
  </si>
  <si>
    <t>F001-1242</t>
  </si>
  <si>
    <t>TRASLADO PCTE GUERRA LOPEZ SHEYLA DAYANA</t>
  </si>
  <si>
    <t>TRASLADO PCTE MILTON MENDOZA MARICHE Y SORIA RUIZ ALFONSO ESPIRITU</t>
  </si>
  <si>
    <t>F001-1239</t>
  </si>
  <si>
    <t>F001-1238</t>
  </si>
  <si>
    <t>F001-1247</t>
  </si>
  <si>
    <t>F001-1221</t>
  </si>
  <si>
    <t>DURAN-GUIDICHE</t>
  </si>
  <si>
    <t>MEDEVAC PCTE RUIZ ALVARADO NOA</t>
  </si>
  <si>
    <t>F001-1248</t>
  </si>
  <si>
    <t>01032023</t>
  </si>
  <si>
    <t xml:space="preserve">OB2221P </t>
  </si>
  <si>
    <t>02032023</t>
  </si>
  <si>
    <t>HOSP. MOQUEGUA</t>
  </si>
  <si>
    <t>MEDEVAC PCTE ASTETE ZARATE CARLOS</t>
  </si>
  <si>
    <t>MEDEVAC LOPEZ ARRUNATEGUI LEANDRA</t>
  </si>
  <si>
    <t>F001-1228</t>
  </si>
  <si>
    <t>F001-1229</t>
  </si>
  <si>
    <t>F001-1230</t>
  </si>
  <si>
    <t>F001-1231</t>
  </si>
  <si>
    <t>F001-1232</t>
  </si>
  <si>
    <t>F001-1233</t>
  </si>
  <si>
    <t>F001-1234</t>
  </si>
  <si>
    <t>F001-1235</t>
  </si>
  <si>
    <t>F001-1236</t>
  </si>
  <si>
    <t>F001-1237</t>
  </si>
  <si>
    <t>MEDEVAC PCTE CARHUAPOMA DE ANGULO LINA MERCEDES</t>
  </si>
  <si>
    <t>TRASLADO PCTE RIOS PEREZ ANA MARGARITA</t>
  </si>
  <si>
    <t>TRASLADO PCTE PINEDO MENDOZA LESLY PAOLA</t>
  </si>
  <si>
    <t>F001-1249</t>
  </si>
  <si>
    <t>X COBRAR SIN CONTRATO</t>
  </si>
  <si>
    <t>F001-1250</t>
  </si>
  <si>
    <t>03032023</t>
  </si>
  <si>
    <t>MEDEVAC JERCY JOSÉ GRANDEZ ARÉVALO</t>
  </si>
  <si>
    <t>F001-1240</t>
  </si>
  <si>
    <t>TRASLADO EDITH SILVA SALDAÑA</t>
  </si>
  <si>
    <t>F006-1079</t>
  </si>
  <si>
    <t>MEDEVAC PCTE SUAREZ MURAYARI MAIRA ISABEL</t>
  </si>
  <si>
    <t>F001-1251</t>
  </si>
  <si>
    <t>F001-1252</t>
  </si>
  <si>
    <t>F001-1253</t>
  </si>
  <si>
    <t>RIJ-CIX</t>
  </si>
  <si>
    <t>TMB-LIM</t>
  </si>
  <si>
    <t>TRASLADO SHUY TORRES RUTH</t>
  </si>
  <si>
    <t>F001-1244</t>
  </si>
  <si>
    <t>F006-1099</t>
  </si>
  <si>
    <t>F001-1254</t>
  </si>
  <si>
    <t>05032023</t>
  </si>
  <si>
    <t>06032023</t>
  </si>
  <si>
    <t>MEDEVAC VASQUEZ VASQUEZ JOSEFA</t>
  </si>
  <si>
    <t>F006-1282</t>
  </si>
  <si>
    <t>F006-1097</t>
  </si>
  <si>
    <t>07042023</t>
  </si>
  <si>
    <t>HOSP. REG.  AYACUCHO</t>
  </si>
  <si>
    <t>HOSP. REG AREQUIPA</t>
  </si>
  <si>
    <t>F001-1267</t>
  </si>
  <si>
    <t>F001-1268</t>
  </si>
  <si>
    <t>F001-1269</t>
  </si>
  <si>
    <t>F001-1270</t>
  </si>
  <si>
    <t>F001-1263</t>
  </si>
  <si>
    <t>F001-1264</t>
  </si>
  <si>
    <t>F001-1265</t>
  </si>
  <si>
    <t>F001-1266</t>
  </si>
  <si>
    <t>08042023</t>
  </si>
  <si>
    <t>HOSP. STA. ROSA</t>
  </si>
  <si>
    <t>PEM-LIM</t>
  </si>
  <si>
    <t>07032023</t>
  </si>
  <si>
    <t>08032023</t>
  </si>
  <si>
    <t>09032023</t>
  </si>
  <si>
    <t>CONTRATO N° 78 - GRALO-ESSALUD-2022
“CONTRATACION DE SERVICIO PARA TRANSPORTE ASISTIDO DE PACIENTES
POR VIA AEREA AMBULANCIA AEREA SERVICIOS DE EMERGENCIA HOSPITAL III
IQUITOS- ESSALUD RED ASISTENCIAL LORETO”.</t>
  </si>
  <si>
    <t>F001-1255</t>
  </si>
  <si>
    <t>351256 DEPOSITADO EN CHEQUES VERIFICAR A QUE FACTURAS AFECTAN</t>
  </si>
  <si>
    <t>TOCACHE-LIM</t>
  </si>
  <si>
    <t>MEDEVAC VASQUEZ ROJAS KIARA GRESELY</t>
  </si>
  <si>
    <t>MEDEVAC LOPEZ SILVA ROSA MARÍA</t>
  </si>
  <si>
    <t>F006-1379</t>
  </si>
  <si>
    <t>TRASLADO JAUREGUI DE LA CRUZ LIZ GIOVANA</t>
  </si>
  <si>
    <t>F006-1381</t>
  </si>
  <si>
    <t>TRASLADO SUAREZ CASTILLO LEONARDO FABIAN</t>
  </si>
  <si>
    <t>MEDEVAC PCTE PACIENTE: LOPEZ MOZOMBITE ARTURO</t>
  </si>
  <si>
    <t>F001-1278</t>
  </si>
  <si>
    <t>MEDEVAC PCTE CUSIHUALLPA AMPUERO MANUEL SILVESTRE</t>
  </si>
  <si>
    <t>F001-1277</t>
  </si>
  <si>
    <t>OB 2221P</t>
  </si>
  <si>
    <t>HOSP. REG. VIREGN DE FATIMA</t>
  </si>
  <si>
    <t>ESSALUD HUARAZ</t>
  </si>
  <si>
    <t>ATA-LIM</t>
  </si>
  <si>
    <t>50. ESSALUD HUARAZ</t>
  </si>
  <si>
    <t>TRASLADO PCTE MEZA AREVALO BEATRIZ VICTORIA</t>
  </si>
  <si>
    <t>TRASLADO PCTE ISUIZA PASHANASI FIDEL</t>
  </si>
  <si>
    <t>F001-1276</t>
  </si>
  <si>
    <t>F001-1279</t>
  </si>
  <si>
    <t>HOSPOITAL REGIONAL DE LORETO</t>
  </si>
  <si>
    <t>HUU-LIM</t>
  </si>
  <si>
    <t>PEÑA/VALLES</t>
  </si>
  <si>
    <t>MEDEVAC PCTE HUAMANI QUISPE YENI KAREN</t>
  </si>
  <si>
    <t>F001-1310</t>
  </si>
  <si>
    <t>FEBRERO</t>
  </si>
  <si>
    <t>F001-1204</t>
  </si>
  <si>
    <t>MARZO</t>
  </si>
  <si>
    <t>FACTURACION</t>
  </si>
  <si>
    <t>FACTURA</t>
  </si>
  <si>
    <t>F001-1283</t>
  </si>
  <si>
    <t>MEDEVAC PCTE MARMANILLO SANCHEZ ARMIDA</t>
  </si>
  <si>
    <t>X EJECUTAR</t>
  </si>
  <si>
    <t>EJECUCIÓN</t>
  </si>
  <si>
    <t>TRASLADO PCTE GRÁNDEZ PEZO DE BARDALEZ SHIRLEY MARLI</t>
  </si>
  <si>
    <t>PEÑA/VALLEJOS</t>
  </si>
  <si>
    <t>IMPERIUM INVERSIONES SAC</t>
  </si>
  <si>
    <t>F001-1321</t>
  </si>
  <si>
    <t>F001-1322</t>
  </si>
  <si>
    <t>F001-1315</t>
  </si>
  <si>
    <t>F001-1316</t>
  </si>
  <si>
    <t>F001-1317</t>
  </si>
  <si>
    <t>F001-1318</t>
  </si>
  <si>
    <t>TRANSPORTE AEREO RN QUISPE FERNANDEZ DYLAN</t>
  </si>
  <si>
    <t>ASISTENCIA MEDICA EN VUELO PACIENTE QUISPE FERNANDEZ DYLAN</t>
  </si>
  <si>
    <t>ASISTENCIA MEDICA EN VUELO PACIENTE RN CHATA MAMANI ANDREA MIA</t>
  </si>
  <si>
    <t>TRANSPORTE AEREO RN CHATA MAMANI ANDREA MIA</t>
  </si>
  <si>
    <t>TRANSPORTE AEREO RAMOS VASQUEZ NICOLE JAZMIN</t>
  </si>
  <si>
    <t>ASISTENCIA MEDICA EN VUELO PACIENTE RAMOS VASQUEZ NICOLE JAZMIN</t>
  </si>
  <si>
    <t>F001-1324</t>
  </si>
  <si>
    <t>TRASLADO PCTE LAVI PEÑA CESAR</t>
  </si>
  <si>
    <t>F001-1323</t>
  </si>
  <si>
    <t>DRA. YATACO</t>
  </si>
  <si>
    <t>aseguramiento.hra@gmail.com</t>
  </si>
  <si>
    <t>F001-1325</t>
  </si>
  <si>
    <t>F001-1319</t>
  </si>
  <si>
    <t>MEDEVAC VIERA SEMINARIO ARON ELIASER</t>
  </si>
  <si>
    <t>GISELL</t>
  </si>
  <si>
    <t>gissel.jimenez@essalud.gob.pe</t>
  </si>
  <si>
    <t>ANALISTA ADQUISICIONES</t>
  </si>
  <si>
    <t>itarrilloc07@gmail.com</t>
  </si>
  <si>
    <t>976 454 380</t>
  </si>
  <si>
    <t>ANALISTA DE PROGRAMACIÓN</t>
  </si>
  <si>
    <t>IRVIN TARRILLO CALVAY</t>
  </si>
  <si>
    <t>marco.perez@essalud.gob.pe</t>
  </si>
  <si>
    <t>CONTACTO 4</t>
  </si>
  <si>
    <t>JORGE QUIÑE</t>
  </si>
  <si>
    <t>jorge.quine@essalud.gob.pe</t>
  </si>
  <si>
    <t>mary.galvez@essalud.gob.pe</t>
  </si>
  <si>
    <t>REFERENCIAS JEFE</t>
  </si>
  <si>
    <t>jose.escalante@essalud.gob.pe</t>
  </si>
  <si>
    <t>ZULY GUTIERREZ</t>
  </si>
  <si>
    <t>OF. SEGUROS</t>
  </si>
  <si>
    <t>HOSPITAL REG. CHACHAPOYAS</t>
  </si>
  <si>
    <t>F001-1329</t>
  </si>
  <si>
    <t>F006-1482</t>
  </si>
  <si>
    <t>TRANSPORTE AEREO PCTE CHAUCA VANEGAS VALERIE ELIANE</t>
  </si>
  <si>
    <t>ASISTENCIA MEDICA PCTE CHAUCA VANEGAS VALERIE ELIANE</t>
  </si>
  <si>
    <t>F001-1326</t>
  </si>
  <si>
    <t>F001-1327</t>
  </si>
  <si>
    <t>YMS-IQT</t>
  </si>
  <si>
    <t>ESSALU PCL</t>
  </si>
  <si>
    <t>TRASLADO PCTE GRETCHEN ELIZABET AMASIFUEN YUMBATO</t>
  </si>
  <si>
    <t>F001-1331</t>
  </si>
  <si>
    <t>TRASLADO PCTE MONTALVAN FERNANDEZ, KARLA CECILIA</t>
  </si>
  <si>
    <t>F001-1332</t>
  </si>
  <si>
    <t xml:space="preserve">TRASLADO PCTE KIMBERLY DANITZA TORRES RENGIFO </t>
  </si>
  <si>
    <t>F001-1328</t>
  </si>
  <si>
    <t>F001-1311</t>
  </si>
  <si>
    <t>RENTERIA PISCOYA FRANCISCO CARTA GARANTÍA N° 0101-202300025-IN/SALUDPOL/GG/OS/US/AMAZONAS</t>
  </si>
  <si>
    <t>F001-1314</t>
  </si>
  <si>
    <t>TRUJILLO CABRERA JORGE ENRIQUE CARTA GARANTÍA N° HN05-202300006-IN/SALUDPOL/GG/OS/US/HUÁNUCO</t>
  </si>
  <si>
    <t>TCG-LIM</t>
  </si>
  <si>
    <t>YPARRAGUIRRE CANTARO KEYLOR EDRIAN CARTA GARANTÍA N°. SM02-202300013 - IN/SALUDPOL/GG/GCS</t>
  </si>
  <si>
    <t>MEDEVAC PCTE MAMANI MACHACA BREIDY ZARAI LIA</t>
  </si>
  <si>
    <t>F001-1339</t>
  </si>
  <si>
    <t>F001-1336</t>
  </si>
  <si>
    <t>F001-1335</t>
  </si>
  <si>
    <t>MEDEVAC PCTE RENDON VILLENA AURORA ERNESTINA</t>
  </si>
  <si>
    <t>F001-1340</t>
  </si>
  <si>
    <t>F001-1338</t>
  </si>
  <si>
    <t>F001-1337</t>
  </si>
  <si>
    <t>MEDEVAC PCTE ESCOBAR DÍAZ MARIO MACARIO</t>
  </si>
  <si>
    <t>TRASLADO PCTE NICOLAS PABLO TOLENTINO RIOS</t>
  </si>
  <si>
    <t>F001-1320</t>
  </si>
  <si>
    <t>MEDEVAC RENGIFO ZAMBRANO ROSA</t>
  </si>
  <si>
    <t>MEDEVAC BEDRILLANA ORE MARIA JESUS</t>
  </si>
  <si>
    <t>F001-1330</t>
  </si>
  <si>
    <t>F001-1275</t>
  </si>
  <si>
    <t>TRASLADO PCTE BERNARDINA GLADYS RAMOS CARRASCO</t>
  </si>
  <si>
    <t>F001-1341</t>
  </si>
  <si>
    <t>MEDEVAC MUÑOZ MEZA MAGDIEL MACKENZIE</t>
  </si>
  <si>
    <t>SALDO PENDIENTE DE EJECUTAR</t>
  </si>
  <si>
    <t>SALDO PENDIENTE EJECUTAR</t>
  </si>
  <si>
    <t>HOSP. REG. LORETO</t>
  </si>
  <si>
    <t>DURAN-CAMARENA</t>
  </si>
  <si>
    <t>TRASLADO PCTES  PINEDO PINCHI LORY ANDREA - LOPEZ DEL CASTILLO MILAGROS DEL CARMEN</t>
  </si>
  <si>
    <t>TRASLADO PCTE CHOTA FASANANDO DOROTY</t>
  </si>
  <si>
    <t>TRASLADO PCTE BENITES LEON RUBI DANIELA</t>
  </si>
  <si>
    <t>F001-1343</t>
  </si>
  <si>
    <t>F001-1344</t>
  </si>
  <si>
    <t>TRASLADO PCTE MARICAHUA CUMARI DE VASQUEZ CLAUDIA IBETT</t>
  </si>
  <si>
    <t>MEDEVAC PCTE RAMOS LLAJA JEISON JHAIR</t>
  </si>
  <si>
    <t>F001-1347</t>
  </si>
  <si>
    <t>TRASLADO PCTE PETTY YULIANA VALLADARES QUEREVALU</t>
  </si>
  <si>
    <t>TRASLADO PCTE ADELA GONZALES VDA DE ANGULO</t>
  </si>
  <si>
    <t>F001-1345</t>
  </si>
  <si>
    <t>F001-1346</t>
  </si>
  <si>
    <t>TRASLADO SARELA PETRONILA PAREDES SINACAY</t>
  </si>
  <si>
    <t>F001-1772</t>
  </si>
  <si>
    <t>01042023</t>
  </si>
  <si>
    <t>BURBANO7VALLEJOS</t>
  </si>
  <si>
    <t>MANT</t>
  </si>
  <si>
    <t>DURAN/GUIDICHE</t>
  </si>
  <si>
    <t>F001-1353</t>
  </si>
  <si>
    <t>MEDEVAC PCTE RAMIREZ INGA ANITA</t>
  </si>
  <si>
    <t>TRASLADO PCTE JESSENIA ESHELLY BENITES MARIN</t>
  </si>
  <si>
    <t>EJEUCIÓN</t>
  </si>
  <si>
    <t>TRASLADO PCTE ESTHER PEREZ QUIJANO DE SOLANO</t>
  </si>
  <si>
    <t>F001-1354</t>
  </si>
  <si>
    <t>F001-1351</t>
  </si>
  <si>
    <t>MEDEVAC PCTE ACUÑA LOAYZA RN</t>
  </si>
  <si>
    <t>02042023</t>
  </si>
  <si>
    <t>03042023</t>
  </si>
  <si>
    <t>04042023</t>
  </si>
  <si>
    <t>HOSP. REG. MOPQUEGUA</t>
  </si>
  <si>
    <t>MEDEVAC PCTE BAILA PACHERRES ELMER MARTIN</t>
  </si>
  <si>
    <t>F001-1342</t>
  </si>
  <si>
    <t>TRASLADO LIZ JAUREGUI DE LA CRUZ</t>
  </si>
  <si>
    <t>ESSALUD PIUCALLPA</t>
  </si>
  <si>
    <t>F001-1357</t>
  </si>
  <si>
    <t>F001-1358</t>
  </si>
  <si>
    <t>TRASLADO PCTE RUIZ GOMEZ RUTH ROSARIO</t>
  </si>
  <si>
    <t>TRASLADO PCTE TERRONES MACHOA ANLLI VANESA</t>
  </si>
  <si>
    <t>MEDEVAC PCTE ALAVA NOTENO LITA</t>
  </si>
  <si>
    <t>F001-1359</t>
  </si>
  <si>
    <t>05042023</t>
  </si>
  <si>
    <t>06042023</t>
  </si>
  <si>
    <t>CH-JC</t>
  </si>
  <si>
    <t>HOSP. REG TARAPOTO</t>
  </si>
  <si>
    <t>09042023</t>
  </si>
  <si>
    <t>MEDEVAC PCTE  ENRIQUE HORACIO TORRES PISCO</t>
  </si>
  <si>
    <t>F006-1723</t>
  </si>
  <si>
    <t>MEDEVAC PCTE KATTY PENADILLO SALDAÑA</t>
  </si>
  <si>
    <t>TRASLADO PCTE LILONGE BRAZZAVILL DEL CASTILLO GONZALES</t>
  </si>
  <si>
    <t>F001-1362</t>
  </si>
  <si>
    <t>F001-1365</t>
  </si>
  <si>
    <t>SEGÚN INFORMACIÓN PASA DE ADQ. EL 10-04-23</t>
  </si>
  <si>
    <t>CH-JA</t>
  </si>
  <si>
    <t>1277-2023-2707</t>
  </si>
  <si>
    <t>1277-2023-2726</t>
  </si>
  <si>
    <t>1277-2023-2783</t>
  </si>
  <si>
    <t>1277-2023-2771</t>
  </si>
  <si>
    <t>1277-2023-2831</t>
  </si>
  <si>
    <t>1277-2023-2874</t>
  </si>
  <si>
    <t>1277-2023-1142</t>
  </si>
  <si>
    <t>1277-2023-1202</t>
  </si>
  <si>
    <t>1277-2023-1203</t>
  </si>
  <si>
    <t>1277-2023-1277</t>
  </si>
  <si>
    <t>1277-2023-1278</t>
  </si>
  <si>
    <t>1277-2023-1345</t>
  </si>
  <si>
    <t>1277-2023-1472</t>
  </si>
  <si>
    <t>1277-2023-1473</t>
  </si>
  <si>
    <t>1277-2023-1585</t>
  </si>
  <si>
    <t>1277-2023-1657</t>
  </si>
  <si>
    <t>1277-2023-2112</t>
  </si>
  <si>
    <t>1277-2023-2111</t>
  </si>
  <si>
    <t>1277-2023-2468</t>
  </si>
  <si>
    <t>1277-2023-2552</t>
  </si>
  <si>
    <t>1277-2023-2553</t>
  </si>
  <si>
    <t>1277-2023-2602</t>
  </si>
  <si>
    <t>1277-2023-2603</t>
  </si>
  <si>
    <t>MEDEVAC PCTE TORVISCO BARCENA BEATRIZ</t>
  </si>
  <si>
    <t>MEDEVAC PCTE FASANANDO TAMANI GAELA</t>
  </si>
  <si>
    <t>F001-1363</t>
  </si>
  <si>
    <t>MEDEVAC PCTE MATHEWS DIAZ CARLOS ROGER</t>
  </si>
  <si>
    <t>F001-1364</t>
  </si>
  <si>
    <t>MEDEVAC PCTE VITERI CANELOS CLARA</t>
  </si>
  <si>
    <t>MEDEVAC PCTE LARA LUQUILLAS ANA ROSA</t>
  </si>
  <si>
    <t xml:space="preserve">JARA FASABI, JULIETT DEL PILAR CARTA GARANTÍA N°. SM02-202300020 - IN/SALUDPOL/GG/GCS
</t>
  </si>
  <si>
    <t>CL-JC</t>
  </si>
  <si>
    <t>TRASLADO PCTE HURTADO VILCATOMA WALTER</t>
  </si>
  <si>
    <t>F001-1374</t>
  </si>
  <si>
    <t>MEDEVAC PCTE RODRIGUEZ CALDERON CRISTIANO RONALDO</t>
  </si>
  <si>
    <t>MEDEVAC LEYVA SAMAJEN KEN DILVER</t>
  </si>
  <si>
    <t>F001-1360</t>
  </si>
  <si>
    <t>F001-1361</t>
  </si>
  <si>
    <t>TRANSPORTE AMBULANCIA AEREA PCTE SALCEDO AÑASCO BRIZZ MAYLEN</t>
  </si>
  <si>
    <t>ASISTENCIA MEDICA PCTE SALCEDO AÑASCO BRIZZ MAYLEN</t>
  </si>
  <si>
    <t>F006-2149</t>
  </si>
  <si>
    <t>MEDEVAC PCTE ADRIANO FELIPE FRANCISCO RAMOS FERNANDEZ</t>
  </si>
  <si>
    <t>F006-2096</t>
  </si>
  <si>
    <t>HOSP. REG. AYACUCHO</t>
  </si>
  <si>
    <t>TIRAD0/GUIDICHE</t>
  </si>
  <si>
    <t>F001-1378</t>
  </si>
  <si>
    <t>MEDEVAC PCTE RODRIGUEZ TUANAMA NATANAEL</t>
  </si>
  <si>
    <t>MEDEVAC OCHOA PAUCCA DANIA SOFIA</t>
  </si>
  <si>
    <t>MEDEVAC VEGA MARTILLO MELITH ADRIANA</t>
  </si>
  <si>
    <t>F001-1402</t>
  </si>
  <si>
    <t>TRASLADO PCTE MARIO LEONARD MORENO VASQUEZ</t>
  </si>
  <si>
    <t>F001-1403</t>
  </si>
  <si>
    <t>F001-1377</t>
  </si>
  <si>
    <t>TRASLADO PCTE HERMÓGENES PIPA MAGIPO</t>
  </si>
  <si>
    <t>F006-2202</t>
  </si>
  <si>
    <t>MEDEVAC OLORTEGUI CORREA NOE</t>
  </si>
  <si>
    <t>F001-1387</t>
  </si>
  <si>
    <t>MEDEVAC RENGIFO BARRANTES EIDA CRISTINA</t>
  </si>
  <si>
    <t>MEDEVAC  CORDOVA ISUIZA LIAN ANDRE</t>
  </si>
  <si>
    <t>F001-1404</t>
  </si>
  <si>
    <t>MEDEVAC PCTE AGÜERO ALEJANDRIA ERIK GAEL</t>
  </si>
  <si>
    <t>F001-1408</t>
  </si>
  <si>
    <t>F001-1406</t>
  </si>
  <si>
    <t>CHEQUEO</t>
  </si>
  <si>
    <t>MAJORO</t>
  </si>
  <si>
    <t>TIRADO/GUIDICHE/DURAN</t>
  </si>
  <si>
    <t>HOSP. ABANCAY</t>
  </si>
  <si>
    <t>PEÑA/INSTRUCCIÓN</t>
  </si>
  <si>
    <t>TRASALDO</t>
  </si>
  <si>
    <t>TCQ-LIM</t>
  </si>
  <si>
    <t xml:space="preserve">X EJECUTAR SEGÚN ORDEN DE COMPRA </t>
  </si>
  <si>
    <t>51. HOSP. ABANCAY</t>
  </si>
  <si>
    <t>TRASLADO PCTE ALVA TATAJE ERICK KAO-SEN</t>
  </si>
  <si>
    <t>TRASLADO PCTES DAVILA PIZANGO LUZ CRISTINA - RAMIREZ VILLANUEVA DOLLY</t>
  </si>
  <si>
    <t>F001-1410</t>
  </si>
  <si>
    <t>TRASLADO PCTE CAMPOS RODRIGUEZ BASTI LUZ</t>
  </si>
  <si>
    <t>F001-1412</t>
  </si>
  <si>
    <t>TRASLADO PCTE GLORIA VICTORIA RIOS FLORES</t>
  </si>
  <si>
    <t>F001-1413</t>
  </si>
  <si>
    <t>MEDEVAC ORDOÑEZ PEÑA ADELAIDA</t>
  </si>
  <si>
    <t>MEDEVAC QUISPE RUIZ GLORIA</t>
  </si>
  <si>
    <t>F001-1414</t>
  </si>
  <si>
    <t>MEDEVAC PCTE TORRES MOSCOSO CARLOS ARNULFO</t>
  </si>
  <si>
    <t>F001-1405</t>
  </si>
  <si>
    <t>F001-1415</t>
  </si>
  <si>
    <t>F001-1416</t>
  </si>
  <si>
    <t>MEDEVAC PCTE GONZALES COZAL JHEISON DAVID</t>
  </si>
  <si>
    <t>MEDEVAC PCTE FERNANDEZ BOLIVAR MARCO ANTONIO</t>
  </si>
  <si>
    <t>MEDEVAC PCTE LA MADRID UBILLUS ALEJANDRO</t>
  </si>
  <si>
    <t>1277-2023-3161</t>
  </si>
  <si>
    <t>F001-1375</t>
  </si>
  <si>
    <t>F001-1428</t>
  </si>
  <si>
    <t>F001-1429</t>
  </si>
  <si>
    <t>F001-1427</t>
  </si>
  <si>
    <t>F001-1430</t>
  </si>
  <si>
    <t>F001-1431</t>
  </si>
  <si>
    <t>F001-1432</t>
  </si>
  <si>
    <t>F001-1433</t>
  </si>
  <si>
    <t>F001-1435</t>
  </si>
  <si>
    <t>MEDEVAC PCTE RN HERRERA PALACIOS</t>
  </si>
  <si>
    <t>F006-2450</t>
  </si>
  <si>
    <t>HOSP. REG TUMBES</t>
  </si>
  <si>
    <t>F006-2442</t>
  </si>
  <si>
    <t>21. FENIX</t>
  </si>
  <si>
    <t>SERVICIO MÉDICO INTEGRAL PCTE LAMA FLORES PERLITA</t>
  </si>
  <si>
    <t>ABRIL</t>
  </si>
  <si>
    <t>MEDEVAC PCTE TORRES CAMPOS JORGE LUIS</t>
  </si>
  <si>
    <t>GM-JC</t>
  </si>
  <si>
    <t>MEDEVAC CARRERO LOZADA NOLBER</t>
  </si>
  <si>
    <t xml:space="preserve">MEDEVAC CHINCHIHUALPA MONTES LUIS HERNÁN </t>
  </si>
  <si>
    <t>TRASLADO CPTE FLORES MORI JAIME</t>
  </si>
  <si>
    <t>MEDEVAC PCTE HIJAR ROMERO MARLON OPEX</t>
  </si>
  <si>
    <t>IQT.LIM</t>
  </si>
  <si>
    <t>F001-1452</t>
  </si>
  <si>
    <t>F001-1453</t>
  </si>
  <si>
    <t>PEÑA/ZULIAGA</t>
  </si>
  <si>
    <t>MANTENIMIENTO</t>
  </si>
  <si>
    <t>PCL LIM</t>
  </si>
  <si>
    <t>02052023</t>
  </si>
  <si>
    <t>HOSP. REG. MOQUEGUA</t>
  </si>
  <si>
    <t>MEDEVAC PCTE VASQUEZ MACEDO SABINO</t>
  </si>
  <si>
    <t>MEDEVAC PCTE SAYAS HUAMAN SEBASTIANA</t>
  </si>
  <si>
    <t>F001-1401</t>
  </si>
  <si>
    <t>F001-1447</t>
  </si>
  <si>
    <t>F001-1457</t>
  </si>
  <si>
    <t>F001-1446</t>
  </si>
  <si>
    <t>F001-1448</t>
  </si>
  <si>
    <t>F001-1449</t>
  </si>
  <si>
    <t>EJECUTADO</t>
  </si>
  <si>
    <t>EJ.EQUIPADA</t>
  </si>
  <si>
    <t>EJ. NO EQUIPADA</t>
  </si>
  <si>
    <t>AMBULANCIA EQUIPADA</t>
  </si>
  <si>
    <t>AMBULANCIA NO  EQUIPADA</t>
  </si>
  <si>
    <t>TRASLADO PCTE JUMANGA RUIZ EDTIH PATRICIA</t>
  </si>
  <si>
    <t>F001-1458</t>
  </si>
  <si>
    <t>SALDO</t>
  </si>
  <si>
    <t>N° SERVICIOS</t>
  </si>
  <si>
    <t>TOTAL PENDIENTE EJECUCIÓN</t>
  </si>
  <si>
    <t>F001-1444</t>
  </si>
  <si>
    <t>F001-1445</t>
  </si>
  <si>
    <t>35. HOSP. SANTA ROSA DE PEM- MADRE DE DIOS</t>
  </si>
  <si>
    <t>ESSAlUD PUCALLPA</t>
  </si>
  <si>
    <t>03052023</t>
  </si>
  <si>
    <t>04052023</t>
  </si>
  <si>
    <t>TRASLADO PCTE ISABEL TEOLINDA RUIZ ARBILDO</t>
  </si>
  <si>
    <t>MAYO</t>
  </si>
  <si>
    <t>1277-2023-3496</t>
  </si>
  <si>
    <t>1277-2023-3565</t>
  </si>
  <si>
    <t>F001-1461</t>
  </si>
  <si>
    <t>TRASLADO PCTE CACHAY DE PAREDES JEENY</t>
  </si>
  <si>
    <t>TRASLADO PCTE ANTONIA RUIZ DE FLORES</t>
  </si>
  <si>
    <t>1277-2023-3566</t>
  </si>
  <si>
    <t>1277-2023-3340</t>
  </si>
  <si>
    <t>05052023</t>
  </si>
  <si>
    <t>TRASLADO PCTE MORENO SAMANIEGO SERGIO GUSTAVO</t>
  </si>
  <si>
    <t>F001-1459</t>
  </si>
  <si>
    <t>06052023</t>
  </si>
  <si>
    <t>07052023</t>
  </si>
  <si>
    <t>ZA-LIM</t>
  </si>
  <si>
    <t>08052023</t>
  </si>
  <si>
    <t>MEDEVAC PCTE YUPANQUI QUISPE SAUL</t>
  </si>
  <si>
    <t>TRASLADO PCTE CUNYAS MANANITA MARIANA</t>
  </si>
  <si>
    <t>F001-1466</t>
  </si>
  <si>
    <t>09052023</t>
  </si>
  <si>
    <t>JAMES/VALLEJOS</t>
  </si>
  <si>
    <t>F001-1382,1383,1384,1385, 1386</t>
  </si>
  <si>
    <t>ESSALUD PUICALLPA</t>
  </si>
  <si>
    <t>MEDEVAC PCTE MIRZA MARINA SANGAMA DE VARGAS</t>
  </si>
  <si>
    <t>MEDEVAC PCTE CASTILLO LIZANA MARI LUZ</t>
  </si>
  <si>
    <t>LIM-PIU</t>
  </si>
  <si>
    <t>MEDEVAC PCTE SULLCA QUIHUI ANDY ANTONY</t>
  </si>
  <si>
    <t>SERVICIO MÉDICO INTEGRAL PCTE MONTALBAN HUAMAN RN</t>
  </si>
  <si>
    <t>F001-1479</t>
  </si>
  <si>
    <t>F001-1480</t>
  </si>
  <si>
    <t>ESSALUD TARAPOTO DIRECTA</t>
  </si>
  <si>
    <t>MEDEVAC PCTE VELA SOPLIN JUBER</t>
  </si>
  <si>
    <t>MEDEVAC PCTE CORDOVA ROMAN NELI</t>
  </si>
  <si>
    <t>MEDEVAC PCTE LLAMOCTANTA ARTEAGA CAMILO VALENTINO</t>
  </si>
  <si>
    <t>MEDEVAC PCTE MUÑOZ MONTENEGRO DANIEL</t>
  </si>
  <si>
    <t>MEDEVAC PCTE RIMAI CHAMAYA DEREK</t>
  </si>
  <si>
    <t>MEDEVAC PCTE GUERRERO SALAZAR HERNANDO</t>
  </si>
  <si>
    <t>MEDEVAC TREJO MANRIQUE FREDDY</t>
  </si>
  <si>
    <t>PEÑA-PEREA</t>
  </si>
  <si>
    <t>HOSP. REG. TUMBES</t>
  </si>
  <si>
    <t>TRASLADO PCTE VILLALTA GOMEZ MARCOS GABRIEL</t>
  </si>
  <si>
    <t>AYP- LIM</t>
  </si>
  <si>
    <t>MEDEVAC PCTE CONTRERAS PEREZ STEFANO MILAN</t>
  </si>
  <si>
    <t>1277-2023-3866</t>
  </si>
  <si>
    <t>TRASLADO PCTES NOAH NOEL TARAZONA PALACIO Y ESTHER AYDA MARTEL CHAVEZ</t>
  </si>
  <si>
    <t>MEDEVAC PCTE RN MARICHIN RODRIGUEZ</t>
  </si>
  <si>
    <t>F006-2634</t>
  </si>
  <si>
    <t xml:space="preserve">MEDEVAC PCTE ICOMENA LAULATE GILBERTO JUNIOR </t>
  </si>
  <si>
    <t>MEDEVAC PCTE GUEVARA LUCANA CONCEPCIÓN</t>
  </si>
  <si>
    <t>F001-1483</t>
  </si>
  <si>
    <t>MEDEVAC PCTE GARAY AREVALO ARIANA MISHEL</t>
  </si>
  <si>
    <t>TRASLADO PCTE SINARAHUA SANGAMA RUSSY</t>
  </si>
  <si>
    <t>PEÑA/PEREA</t>
  </si>
  <si>
    <t>CH-LIM</t>
  </si>
  <si>
    <t>TRANSPORTE AMBULANCIA AEREA PCTE GALINDO DE CHARA JULIA</t>
  </si>
  <si>
    <t>ASISTENCIA MEDICA PCTE GALINDO DE CHARA JULIA</t>
  </si>
  <si>
    <t>52. ESSALUD PUNO</t>
  </si>
  <si>
    <t>MEDEVAC PCTE OLIVERA SINARAHUA MAIA VALERIA</t>
  </si>
  <si>
    <t>MEDEVAC PCTE OLIVERA SINARAHUA MARIAM VALERY</t>
  </si>
  <si>
    <t>MEDEVAC PCTE CORONADO SANCHEZ LUIS ENRIQUE</t>
  </si>
  <si>
    <t>MEDEVAC PCTE FELIX ZAMALLOA FAUSTINO GREGORIO</t>
  </si>
  <si>
    <t>VER</t>
  </si>
  <si>
    <t>TRASLADO PCTE ROXANA JUDITH CHALCO LLANQUI</t>
  </si>
  <si>
    <t>TRASLADO PCTES WILLIAM SALDAÑA MELENDEZ -  JANINA RENGIFO MELENDEZ</t>
  </si>
  <si>
    <t>TRASLADO PCTE ANY BRENDA LOYA PAIMA</t>
  </si>
  <si>
    <t>TRASLADO PCTE LUCIO OLIVER PACAYA JULCA</t>
  </si>
  <si>
    <t>F006-3094</t>
  </si>
  <si>
    <t>F006-3095</t>
  </si>
  <si>
    <t>F001-1494</t>
  </si>
  <si>
    <t>F001-1505</t>
  </si>
  <si>
    <t>1277-2023-4092</t>
  </si>
  <si>
    <t>MEDEVAC PCTE VILLEGAS CCORISAPRA MARCELINA</t>
  </si>
  <si>
    <t>F001-1506</t>
  </si>
  <si>
    <t>F001-1507</t>
  </si>
  <si>
    <t>F001-1508</t>
  </si>
  <si>
    <t>MEDEVAC PCTE ALVAREZ CAMINADA VALERIO</t>
  </si>
  <si>
    <t>MEDEVAC PCTE MOLLINEDO YUNGURI YARELI</t>
  </si>
  <si>
    <t>SERVICIO TRASLADO PCTE MONTALBAN HUAMAN RN</t>
  </si>
  <si>
    <t>SERVICIO TRASLADO PCTE LAMA FLORES PERLITA</t>
  </si>
  <si>
    <t>UNISTAR</t>
  </si>
  <si>
    <t>MEDEVAC PCTE  TAPULLIMA TANANTA YOHANA GEORGETTE</t>
  </si>
  <si>
    <t>MEDEVAC PCTE CALLATA AÑAZCO RN</t>
  </si>
  <si>
    <t>F001- 1463</t>
  </si>
  <si>
    <t>SERVICIO TRASLADO PCTE GARCIA MIRO ALONDRA</t>
  </si>
  <si>
    <t>SERVICIO MÉDICO PCTE GARCIA MIRO ALONDRA</t>
  </si>
  <si>
    <t>MEDEVAC PCTE NITIVIRI FLORES MARLENE LUCIANA</t>
  </si>
  <si>
    <t>MEDEVAC PCTE ARONI HUAMANI EFRAIN FLORENTINO</t>
  </si>
  <si>
    <t>MEDEVAC PCTE RICOPA CAINAMARI REIDELINDA</t>
  </si>
  <si>
    <t>F001-1522</t>
  </si>
  <si>
    <t>MEDEVAC PCTE FERNANDEZ RIOS FERNANDO</t>
  </si>
  <si>
    <t>F001-1523</t>
  </si>
  <si>
    <t>F001-1488</t>
  </si>
  <si>
    <t>2091 VIVE</t>
  </si>
  <si>
    <t>MZ-LIM</t>
  </si>
  <si>
    <t>HOSP. HONORIO DELGADO</t>
  </si>
  <si>
    <t>HOSP. CHANCHAMAYO</t>
  </si>
  <si>
    <t>TRASLADO PCTE HJUAN TALEXIO TECCO</t>
  </si>
  <si>
    <t>F006-3266</t>
  </si>
  <si>
    <t>TRASLADO PCTE RAMIREZ LEYVA LUZ LILIANA</t>
  </si>
  <si>
    <t>1277-2023-4314</t>
  </si>
  <si>
    <t>MEDEVAC PCTE YUMBATO REYNA JAZMIN</t>
  </si>
  <si>
    <t>F001-1532</t>
  </si>
  <si>
    <t>F001-1529</t>
  </si>
  <si>
    <t>MEDEVAC PCTE MONCADA CHOTA JORGE LUIS</t>
  </si>
  <si>
    <t>MEDEVAC PCTE LOPEZ VILLANUEVA CLAVERIANO</t>
  </si>
  <si>
    <t>TRASLADO PCTE PINEDO BARDALES LIZARDO</t>
  </si>
  <si>
    <t>F001-1530</t>
  </si>
  <si>
    <t>F006-3326</t>
  </si>
  <si>
    <t>53. HOSP. HONORIO DELGADO AREQUIPA</t>
  </si>
  <si>
    <t>JJA-LIM</t>
  </si>
  <si>
    <t>02062023</t>
  </si>
  <si>
    <t>REGION JUNIN SALUD TARMA</t>
  </si>
  <si>
    <t>54. REGIÓN JUNIN - SALUD TARMA</t>
  </si>
  <si>
    <t>REGIÓN JUNÍN - TARMA SALUD</t>
  </si>
  <si>
    <t>HOSP. VIRGEN DE FÁTIMA</t>
  </si>
  <si>
    <t>MEDEVAC PCTE ALBURQUEQUE OVIEDO NELCI</t>
  </si>
  <si>
    <t>F001-1516</t>
  </si>
  <si>
    <t>MEDEVAC PCTE RAMOS TOVAR FRANCISCO</t>
  </si>
  <si>
    <t>F001- 1515</t>
  </si>
  <si>
    <t>F001-1510</t>
  </si>
  <si>
    <t>F001-1511</t>
  </si>
  <si>
    <t>JUNIO</t>
  </si>
  <si>
    <t>TRANSPORTE AEREO QUISPE RODRIGUEZ YARITZA MAGDIEL</t>
  </si>
  <si>
    <t>03062023</t>
  </si>
  <si>
    <t>05062023</t>
  </si>
  <si>
    <t>MEDEVAC PCTE CHAVEZ FERNANDEZ BELISARIO</t>
  </si>
  <si>
    <t>F001-1533</t>
  </si>
  <si>
    <t>SALDO PENDIENTE</t>
  </si>
  <si>
    <t>F001-1552</t>
  </si>
  <si>
    <t>F001-1553</t>
  </si>
  <si>
    <t>SERVICIO MÉDICO PCTE RODRIGUEZ BETENCOURT HEILYN</t>
  </si>
  <si>
    <t>SERVICIO TRASLADO PCTE RODRIGUEZ BETENCOURT HEILYN</t>
  </si>
  <si>
    <t>MEDEVAC PCTE GAMARRA PONTE PAUL ABDIEL</t>
  </si>
  <si>
    <t>TRASLADO PCTE HORACIO LUDEÑA HUAYAMI</t>
  </si>
  <si>
    <t>F001-1503</t>
  </si>
  <si>
    <t>F001-1504</t>
  </si>
  <si>
    <t>F001-1550</t>
  </si>
  <si>
    <t>F006-3323</t>
  </si>
  <si>
    <t>06062023</t>
  </si>
  <si>
    <t>MEDEVAC PCTE CORDOVA DIAZ DANITZA DEL PILAR</t>
  </si>
  <si>
    <t>AL</t>
  </si>
  <si>
    <t>HOSP. REG. TARAPOTO</t>
  </si>
  <si>
    <t>07062023</t>
  </si>
  <si>
    <t>ESSALUD PUNO</t>
  </si>
  <si>
    <t>F001-1513</t>
  </si>
  <si>
    <t>MEDEVAC PCTE GUEVARA CRUZ SANTIAGO RAUL</t>
  </si>
  <si>
    <t>MEDEVAC PCTE VILLAVICENCIO CARDOZO DE MERA ANGELICA MARIA</t>
  </si>
  <si>
    <t>MEDEVAC PCTE CHAMULI RAMIREZ JOSE</t>
  </si>
  <si>
    <t>F001-1560</t>
  </si>
  <si>
    <t>F001-1561</t>
  </si>
  <si>
    <t>F001- 1559</t>
  </si>
  <si>
    <t xml:space="preserve">SERV </t>
  </si>
  <si>
    <t>F001-1535 A F001- 1547</t>
  </si>
  <si>
    <t>MEDEVAC PCTE IBARRA NAVARRETE BLANCA</t>
  </si>
  <si>
    <t>MEDEVAC PCTE CATAY MANDUJANO LEANDRA</t>
  </si>
  <si>
    <t>F001-1548</t>
  </si>
  <si>
    <t>F001-1549</t>
  </si>
  <si>
    <t>TRASLADO PCTE DAREK YARETH VALERA VASQUEZ</t>
  </si>
  <si>
    <t>TRASLADO PCTE LEIDY SABRINA PEREZ ATRAVERO</t>
  </si>
  <si>
    <t>MEDEVAC PCTE CISNEROS INFANTES LUZ HERLINDA</t>
  </si>
  <si>
    <t>F001-1564</t>
  </si>
  <si>
    <t>F001-1565</t>
  </si>
  <si>
    <t>SERVICIO TRASLADO PCTE ZELADA DE DIOS DANILO ENRIQUE BENITO</t>
  </si>
  <si>
    <t>SERVICIO MÉDICO PCTE ZELADA DE DIOS DANILO ENRIQUE BENITO</t>
  </si>
  <si>
    <t>F001-1566</t>
  </si>
  <si>
    <t>F001-1570</t>
  </si>
  <si>
    <t>F001-1569</t>
  </si>
  <si>
    <t>F001-1568</t>
  </si>
  <si>
    <t>F001-1567</t>
  </si>
  <si>
    <t>HOSP. REG. LAMBAYEQUE</t>
  </si>
  <si>
    <t>08062023</t>
  </si>
  <si>
    <t>09062023</t>
  </si>
  <si>
    <t>MYA/ZULOAGA</t>
  </si>
  <si>
    <t>HOSP. REG. CHACHAPOYAS</t>
  </si>
  <si>
    <t>PCL-RIJ</t>
  </si>
  <si>
    <t>MEDEVAC PCTE QUISPE ALVAREZ BRISEYDA KRISDEY</t>
  </si>
  <si>
    <t>F001-1587</t>
  </si>
  <si>
    <t>MEDEVAC PCTE MURAYARI CARRION KARINA LLOJANY</t>
  </si>
  <si>
    <t>TRASLADO PCTE ESPIRITU ZUMAETA JADEN</t>
  </si>
  <si>
    <t>TRASLADO PCTE SARA PIERFEDERICI DONAYRE</t>
  </si>
  <si>
    <t>TRASLADO PCTE JULIO CESAR TORREALVA MEZA</t>
  </si>
  <si>
    <t>F001- 1571</t>
  </si>
  <si>
    <t>F001-1573</t>
  </si>
  <si>
    <t>1277-2023-4755</t>
  </si>
  <si>
    <t>F001-1588</t>
  </si>
  <si>
    <t>F006-3761</t>
  </si>
  <si>
    <t>1277-2023-4543</t>
  </si>
  <si>
    <t>1277-2023-4378</t>
  </si>
  <si>
    <t>1277-2023-4315</t>
  </si>
  <si>
    <t>1277-2023-4421</t>
  </si>
  <si>
    <t>F001-1596</t>
  </si>
  <si>
    <t>MEDEVAC PCTE VASQUEZ PEREZ MARIA AURORA</t>
  </si>
  <si>
    <t>MEDEVAC PCTE OLORTEGUI RUIZ EITHAN SANTIAGO</t>
  </si>
  <si>
    <t>F001-1589</t>
  </si>
  <si>
    <t>MEDEVAC PCTE MARTINEZ VELA SEGUNDO MARCIAL</t>
  </si>
  <si>
    <t>F001-1590</t>
  </si>
  <si>
    <t>MEDEVAC PCTE LLAMO RAMIREZ ORIOL</t>
  </si>
  <si>
    <t>MEDEVAC PCTE ZAMBRANO ALMEIDA SELFA ESTELA</t>
  </si>
  <si>
    <t>F001-1591</t>
  </si>
  <si>
    <t>HOSP. SANTA ROSA PIURA</t>
  </si>
  <si>
    <t>BENAAVENTE/ZULOAGA</t>
  </si>
  <si>
    <t>MEDEVAC PCTE VIGIL ZAMORA DAVID</t>
  </si>
  <si>
    <t>MEDEVAC PCTE AGUILAR ROJAS DANIEL MARTIN</t>
  </si>
  <si>
    <t>MEDEVAC PCTE WILCAMANGO HERRERA JHENIFER</t>
  </si>
  <si>
    <t>55. HOSP. SANTA ROSA PIURA</t>
  </si>
  <si>
    <t>MEDEVAC PCTE FERNANDEZ CORONEL MARLY</t>
  </si>
  <si>
    <t>TRASLADO PCTE VILLACORTA GONZALEZ NOAH KAREL</t>
  </si>
  <si>
    <t>MEDEVAC PCTE VELA HUACHOS MAJU DANIELA</t>
  </si>
  <si>
    <t>TRASLADO PCTE GOMEZ SANCHEZ JANNEL JOSUE</t>
  </si>
  <si>
    <t xml:space="preserve">TRASLADO PCTE VENANCIO CALDERON VITORIO </t>
  </si>
  <si>
    <t>MEDEVAC PCTE RENGIFO LUNA DANAE  F001-1599  Y 1604 F001-1574</t>
  </si>
  <si>
    <t>1277-2023-4929</t>
  </si>
  <si>
    <t>1277-2023-4930</t>
  </si>
  <si>
    <t>1277-2023-3589</t>
  </si>
  <si>
    <t>TRASLADO PCTE LOJA MARIN IVONNE</t>
  </si>
  <si>
    <t>1277-2023-3692</t>
  </si>
  <si>
    <t>MEDEVAC PCTE PANDURO VELA ANDRES</t>
  </si>
  <si>
    <t>MEDEVAC PCTE SANCHEZ GUTIERREZ JAIME ERICK</t>
  </si>
  <si>
    <t>MEDEVAC PCTE CAMPOS PULACHE ADRIANA ALESSANDRA</t>
  </si>
  <si>
    <t xml:space="preserve">HOSP. DE LA AMISTAD PERÚ - COREA SANTA ROSA II-2 </t>
  </si>
  <si>
    <t>F001-1613</t>
  </si>
  <si>
    <t>F001-1614</t>
  </si>
  <si>
    <t>MEDEVAC PCTE PAREDES FLORES NESTOR</t>
  </si>
  <si>
    <t>MEDEVAC PCTE OLIVEIRA SANTILLAN MAURO</t>
  </si>
  <si>
    <t>MEDEVAC PCTE RENGIFO VARAS MERY</t>
  </si>
  <si>
    <t xml:space="preserve">MEDEVACPCTE CARITIMARI GONZALES JOSUANI </t>
  </si>
  <si>
    <t>MEDEVAC PCTE CANCHARI PASMIÑO ROMEL</t>
  </si>
  <si>
    <t>HOSP.REG. AYACUCHO</t>
  </si>
  <si>
    <t>TRASLADO PCTE SHUPINGAHUA VELASQUEZ FRANK MILER</t>
  </si>
  <si>
    <t>F006-3944</t>
  </si>
  <si>
    <t>TRASLADO PCTE MANUELA CORDOVA ROLDAN</t>
  </si>
  <si>
    <t>F006-3945</t>
  </si>
  <si>
    <t>F001-1603</t>
  </si>
  <si>
    <t>NC-LIM</t>
  </si>
  <si>
    <t>NEXA DEL SUR</t>
  </si>
  <si>
    <t>MEDEVAC PCTE RENGIFO RIOS VICTORIA SARAI</t>
  </si>
  <si>
    <t>TRASLADO TAPULLIMA TUANAMA HERLINDA</t>
  </si>
  <si>
    <t>MEDEVAC VIDARTE DIAZ BLANCA CATARINA</t>
  </si>
  <si>
    <t>F001-1619</t>
  </si>
  <si>
    <t>MEDEVAC PCTE MONTEZA RODRIGUEZ FRANK ANTONY</t>
  </si>
  <si>
    <t>MEDEVAC PCTE MUNDACA DIAZ MYRIAN</t>
  </si>
  <si>
    <t>TRASLADO PCTE DEYSI JESSENIA PINEDO DOMINOTTE</t>
  </si>
  <si>
    <t>TRASLADO PCTE OMAR HJALMAR ESPINOZA FLORES</t>
  </si>
  <si>
    <t>TIRADO/CAMARENE</t>
  </si>
  <si>
    <t>TRASLADO PCTE WAGNER TEODORO GUERRA TANDAZO</t>
  </si>
  <si>
    <t>F001-1639</t>
  </si>
  <si>
    <t>F001-1638</t>
  </si>
  <si>
    <t>TRASLADO PCTE DYLAN GAEL TAMANI LLERENA</t>
  </si>
  <si>
    <t>TRASLADO PCTE MARIA GUADALUPE DUEÑAS SUITO DE CASANOVA</t>
  </si>
  <si>
    <t>F001-1640</t>
  </si>
  <si>
    <t>F001-1641</t>
  </si>
  <si>
    <t xml:space="preserve">NETO SIN COMISIÓN </t>
  </si>
  <si>
    <t>01072023</t>
  </si>
  <si>
    <t>BURBANO7VALLES</t>
  </si>
  <si>
    <t>MEDEVAC PCTE FERNANDEZ QUISPE NOEMI JHALU</t>
  </si>
  <si>
    <t>MEDEVAC PCTE TUPA ROLDAN DE MEJIA DULIA JUSTINA</t>
  </si>
  <si>
    <t>02072023</t>
  </si>
  <si>
    <t>F001-1656</t>
  </si>
  <si>
    <t>PCTE DIAZ SANCHEZ JUAN CARLOS</t>
  </si>
  <si>
    <t>MEDEVAC PCTE DOMINGUEZ ORDOÑEZ JEISON</t>
  </si>
  <si>
    <t>WILBERT VIZACARRA</t>
  </si>
  <si>
    <t>06072023</t>
  </si>
  <si>
    <t>F001-1664</t>
  </si>
  <si>
    <t>05072023</t>
  </si>
  <si>
    <t>PEREA/VALLES</t>
  </si>
  <si>
    <t>GREAT NAZCA TOURS SRL</t>
  </si>
  <si>
    <t>MEDEVAC PEREZ CHAVEZ DAYRA RENATA</t>
  </si>
  <si>
    <t>LIM-RIJ</t>
  </si>
  <si>
    <t>07072023</t>
  </si>
  <si>
    <t>EP</t>
  </si>
  <si>
    <t>HOSP. DE LAS MERCEDES</t>
  </si>
  <si>
    <t>08072023</t>
  </si>
  <si>
    <t>09072023</t>
  </si>
  <si>
    <t>F001-1666</t>
  </si>
  <si>
    <t>F001-1667</t>
  </si>
  <si>
    <t>F001-1669</t>
  </si>
  <si>
    <t>F001-1670, F001-1671, F001-1672, F001-1673</t>
  </si>
  <si>
    <t>MEDEVAC PCTE MENDOZA PEREZ ELIZABETH</t>
  </si>
  <si>
    <t>ESSLAUD PIURA</t>
  </si>
  <si>
    <t>MEDEVAC PCTE AGUILAR SILVA GERALDINE RAQUEL</t>
  </si>
  <si>
    <t>MEDEVAC FUSTAMANTE CHAMAYA CARLA JANNI</t>
  </si>
  <si>
    <t>F001-1676</t>
  </si>
  <si>
    <t>F001-1623 A LA 1650, F001-1652, F001-1653, F001-1657, F001-1658, F001-1659, F001-11660, F001-1661</t>
  </si>
  <si>
    <t>F001-1678, F001-1679</t>
  </si>
  <si>
    <t>F001-1677</t>
  </si>
  <si>
    <t>TRASLADO PCTE EISTEN KELVIN MORI CORTEZ</t>
  </si>
  <si>
    <t>TRASLADO PCTE LEA RAQUEL FLORES DE COPA</t>
  </si>
  <si>
    <t>TRASLADO PCTE ABBY ANTONIA MEDINA ZEGARRA</t>
  </si>
  <si>
    <t>TRASLADO PCTE ZOE IZARO PALOMINO MONTERO</t>
  </si>
  <si>
    <t>JULIO</t>
  </si>
  <si>
    <t>F001-1701</t>
  </si>
  <si>
    <t>MEDEVAC PCTE ALTAMIRANO HUAMAN MIRIAM ARISBETH</t>
  </si>
  <si>
    <t>F001-1702</t>
  </si>
  <si>
    <t>MEDEVAC PCTE BAZAN VASQUEZ NATANIEL CATALEYA</t>
  </si>
  <si>
    <t>MEDEVAC PCTE CHINO VELA ADRIAN ADRIEL</t>
  </si>
  <si>
    <t>F006-4462</t>
  </si>
  <si>
    <t>MEDEVAC PCTE SANCHEZ RODRIGUEZ CESAR AGUSTO</t>
  </si>
  <si>
    <t>MEDEVAC PCTE LINARES BICERRA ARLES AUGUSTO</t>
  </si>
  <si>
    <t>MEDEVAC PCTE MALAVERRY RUIAZ WITMER</t>
  </si>
  <si>
    <t>MEDEVAC PCTE NASHNATE TAPULLIMA DOLORES</t>
  </si>
  <si>
    <t>MEDEVAC PCTE DEL CASTILLO VARGAS JUAN CARLOS</t>
  </si>
  <si>
    <t>MEDEVAC PCTE SOPLIN ALZAMORA OLGA ESTHER</t>
  </si>
  <si>
    <t>HOSP.REG.LORETO</t>
  </si>
  <si>
    <t>F001-1694</t>
  </si>
  <si>
    <t>MEDEVAC PCTE ZARATE SILVA CAMILA</t>
  </si>
  <si>
    <t>F001-1703</t>
  </si>
  <si>
    <t>MEDEVAC PCTE BERROSPI DE VELASQUEZ BLANCA MARIA</t>
  </si>
  <si>
    <t>MEDEVAC PCTE PAYBA GARCIA LUCCAS SANTIAGO </t>
  </si>
  <si>
    <t>F001-1698</t>
  </si>
  <si>
    <t>F001-1680</t>
  </si>
  <si>
    <t>MIERCOLES 25016  LA FACTURA LA 1680</t>
  </si>
  <si>
    <t>F001-1646</t>
  </si>
  <si>
    <t>F001-1645</t>
  </si>
  <si>
    <t>F001-1647</t>
  </si>
  <si>
    <t>F001-1642</t>
  </si>
  <si>
    <t>F001-1644</t>
  </si>
  <si>
    <t>F001-1462</t>
  </si>
  <si>
    <t>TRASLADO PCTE NANCY CARRION PISCO - LLECI LEONOR SILVANO AHUANARI</t>
  </si>
  <si>
    <t>TRASLADO PCTE PECHE LINARES JUAN MANUEL-ESTEBES CASTILLO YOE LUIS</t>
  </si>
  <si>
    <t>TRASLADO PCTE AGUILAR DE LA CRUZ KATHERINE</t>
  </si>
  <si>
    <t>TRASLADO PCTE GARCIA TELLO JAIME</t>
  </si>
  <si>
    <t>MEDEVAC PCTE KATHERIN LOZADA BENITES</t>
  </si>
  <si>
    <t>TRASLADO PCTE RENGIFO VALLEJOS CAMILA MACARENA</t>
  </si>
  <si>
    <t>HOSP. REG. TACNA</t>
  </si>
  <si>
    <t>REPRESENTACIONES LACHO EIRL</t>
  </si>
  <si>
    <t>MEDEVAC PCTE CHAVEZ VILLEGAS MARIELITA DEL PILAR</t>
  </si>
  <si>
    <t>F001-1665</t>
  </si>
  <si>
    <t>F001-1704</t>
  </si>
  <si>
    <t>MEDEVAC PCTE BRAVO MONSALVE AITANA ABIGAIL</t>
  </si>
  <si>
    <t>MEDEVAC PCTE PIÑA GONZALES HINA MISORA</t>
  </si>
  <si>
    <t>F006-4698</t>
  </si>
  <si>
    <t>MEDEVAC PCTE TAYUJINT NAJAR ORLANDO</t>
  </si>
  <si>
    <t>F001- 1715</t>
  </si>
  <si>
    <t>F001- 1716</t>
  </si>
  <si>
    <t>F001-1713</t>
  </si>
  <si>
    <t>F001-1714</t>
  </si>
  <si>
    <t>F001-1749</t>
  </si>
  <si>
    <t>TRANSPORTE AMBULANCIA AEREA PCTE MAQUERA MAMANI LUZ MILAGROS</t>
  </si>
  <si>
    <t>ASISTENCIA MEDICA PCTE MAQUERA MAMANI LUZ MILAGROS</t>
  </si>
  <si>
    <t>F001-1745</t>
  </si>
  <si>
    <t>F001-1754</t>
  </si>
  <si>
    <t>F001-1755</t>
  </si>
  <si>
    <t>F001-1756</t>
  </si>
  <si>
    <t>F001-1757</t>
  </si>
  <si>
    <t>F001-1758</t>
  </si>
  <si>
    <t>F001-1759</t>
  </si>
  <si>
    <t>F001-1760</t>
  </si>
  <si>
    <t>TRASLADO PCTE FLORCITA RUIZ REATEGUI</t>
  </si>
  <si>
    <t>TRASLADO PCTE CLARISA ELIANA ROJAS FERNANDEZ</t>
  </si>
  <si>
    <t>F001-1721</t>
  </si>
  <si>
    <t>F001-1720</t>
  </si>
  <si>
    <t>HOSP. REJ . TUMBES</t>
  </si>
  <si>
    <t>MEDEVAC PCTE NACIMIENTO COLLANTES KEVIN ANTONI</t>
  </si>
  <si>
    <t>F001-1770</t>
  </si>
  <si>
    <t>F001-1771</t>
  </si>
  <si>
    <t>F001-1773</t>
  </si>
  <si>
    <t>MEDEVAC PCTE QUISPE CARHUAPOMA ANTONIO INTI</t>
  </si>
  <si>
    <t>MEDEVAC PCTE PAREJA MESICANO ELIANA</t>
  </si>
  <si>
    <t>MEDEVAC PCTE SANTIAGO ARTETA ANGEL</t>
  </si>
  <si>
    <t>TRASLADO PCTE PAREDES PEZO JUANA CLAVERA</t>
  </si>
  <si>
    <t>TRASLADO PCTE ASPAJO CARDENAS ARNULFO</t>
  </si>
  <si>
    <t>MEDEVAC PCTE MORI LUCAS JOSÉ ADRIAN</t>
  </si>
  <si>
    <t xml:space="preserve">TRASLADO PCTE VEGA TORRES LINDA LOREN </t>
  </si>
  <si>
    <t xml:space="preserve">TRASLADO PCTE RUIZ SALDAÑA YRIS MILAGRITOS </t>
  </si>
  <si>
    <t>F001-1763</t>
  </si>
  <si>
    <t>F001-1764</t>
  </si>
  <si>
    <t>MEDEVAC PCTE RODRIGUEZ DE HIDALGO BLANCA</t>
  </si>
  <si>
    <t>MEDEVAC PCTE VILCANQUI HUARAHUARA AMIRA MIA</t>
  </si>
  <si>
    <t>01082023</t>
  </si>
  <si>
    <t>HOSP. LAS MERCEDES CIX</t>
  </si>
  <si>
    <t>02082023</t>
  </si>
  <si>
    <t>F001-1780</t>
  </si>
  <si>
    <t xml:space="preserve">MEDEVAC PCTE PEZO ARMAS ANGEL DANIEL </t>
  </si>
  <si>
    <t>TRASLADO PCTE GRIMALDO RIGOBERTO BACILIO MOTTA</t>
  </si>
  <si>
    <t>F001-1781</t>
  </si>
  <si>
    <t>TRANSPORTE PCTE DIAZ TIU RN</t>
  </si>
  <si>
    <t>SERV. MEDICO PCTE DIAZ TIU RN</t>
  </si>
  <si>
    <t>03082023</t>
  </si>
  <si>
    <t>CONTRATO Nº 48-2023-HRA                   X 03 SERVICIOS</t>
  </si>
  <si>
    <t>04082023</t>
  </si>
  <si>
    <t>ESSALUD LAMBAYEQUE</t>
  </si>
  <si>
    <t>MEDEVAC PCTE UTIA DE LA CRUZ ROBINSONN</t>
  </si>
  <si>
    <t>F001-1783</t>
  </si>
  <si>
    <t>F001-1775</t>
  </si>
  <si>
    <t>F001-1674</t>
  </si>
  <si>
    <t>F001-1784</t>
  </si>
  <si>
    <t>F001-1776</t>
  </si>
  <si>
    <t>F001-1751</t>
  </si>
  <si>
    <t>F001-1774</t>
  </si>
  <si>
    <t>F001-1686</t>
  </si>
  <si>
    <t>05082023</t>
  </si>
  <si>
    <t xml:space="preserve">ESSALUD CUSCO </t>
  </si>
  <si>
    <t>06082023</t>
  </si>
  <si>
    <t>07082023</t>
  </si>
  <si>
    <t>YMS/LIM</t>
  </si>
  <si>
    <t>SERV. MEDICO PCTE GREFFA CHACHA XIANA GAELA</t>
  </si>
  <si>
    <t>F001-1788</t>
  </si>
  <si>
    <t>F001-1436</t>
  </si>
  <si>
    <t>F001-1070  F001-1789</t>
  </si>
  <si>
    <t>F001-1790</t>
  </si>
  <si>
    <t>MEDEVAC PCTE CONDORI QUISPE TOMASA JUSTA</t>
  </si>
  <si>
    <t>MEDEVAC PCTE FLORES CORNEJO ALONDRA MARIELA</t>
  </si>
  <si>
    <t>MEDEVAC PCTE GARCIA SHAPIAMA ALEX WAGNER</t>
  </si>
  <si>
    <t>F001-1792</t>
  </si>
  <si>
    <t>AGOSTO</t>
  </si>
  <si>
    <t>TRASLADO PCTE ROSA OTILIA LOZANO VASQUEZ</t>
  </si>
  <si>
    <t>F001-1793</t>
  </si>
  <si>
    <t>TRASLADO PCTE SILVANO CHU MIA NAHOMY</t>
  </si>
  <si>
    <t>F001-1782</t>
  </si>
  <si>
    <t>F001-1791</t>
  </si>
  <si>
    <t>08082023</t>
  </si>
  <si>
    <t>OGESS ALTO HUALLAGA</t>
  </si>
  <si>
    <t>LEYENDA</t>
  </si>
  <si>
    <t>NO FACTURADO A LA FECHA</t>
  </si>
  <si>
    <t>FACTURADO EN EL MES SIGUIENTE</t>
  </si>
  <si>
    <t>FACTURADO EN EL MES SUB SIGUIENTE</t>
  </si>
  <si>
    <t>LETRAS</t>
  </si>
  <si>
    <t>TIENE OBSERVACIONES EL SERVICIO</t>
  </si>
  <si>
    <t>FACTURADO EN EL MES</t>
  </si>
  <si>
    <t xml:space="preserve">FACTURADO A LOS CUATRO MESES POSTERIORES </t>
  </si>
  <si>
    <t xml:space="preserve">FACTURADO A LOS CINCO MESES POSTERIORES </t>
  </si>
  <si>
    <t>FACTURADO EN MAJORO SELVA</t>
  </si>
  <si>
    <t>09082023</t>
  </si>
  <si>
    <t>MEDEVAC PCTE MARTEL SANCHEZ ISIDORO JUVITO</t>
  </si>
  <si>
    <t>MEDEVAC PCTE PAJARES WEKSELMAN JORGE EDUARDO</t>
  </si>
  <si>
    <t>MEDEVAC PCTE  O'BESSO RAMIREZ GRIKA GUIOVANKA</t>
  </si>
  <si>
    <t>HOSPITAL LAS MERCEDES CHICLAYO</t>
  </si>
  <si>
    <t>TRANSPORTE PCTE HOYOS MEDINA JULIO</t>
  </si>
  <si>
    <t>SERV. MEDICO PCTE HOYOS MEDINA JULIO</t>
  </si>
  <si>
    <t>MEDEVAC PCTE CESPEDES DIAZ ERIKSON JAIME</t>
  </si>
  <si>
    <t>MEDEVAC PCTE FASABI SABOYA DAVID ESTEBAN</t>
  </si>
  <si>
    <t>F006-5228</t>
  </si>
  <si>
    <t>1861-2021</t>
  </si>
  <si>
    <t>CUS-JUL</t>
  </si>
  <si>
    <t>PARTICULAR TURISTAS</t>
  </si>
  <si>
    <t>REPRESENTACIONES LACHO</t>
  </si>
  <si>
    <t>F001-1809</t>
  </si>
  <si>
    <t>HOSPITAL REGIONAL DE LAMBAYEQUE</t>
  </si>
  <si>
    <t>MEDEVAC PCTE REYES PADILLA DAYLEN</t>
  </si>
  <si>
    <t>MEDEVAC PCTE VALLES PACHAMORA EITHAN ALESSANDRO</t>
  </si>
  <si>
    <t>HOSP-. STA. ROSA</t>
  </si>
  <si>
    <t>HOSP. REG LORETO</t>
  </si>
  <si>
    <t>F001-1829-F001-1830</t>
  </si>
  <si>
    <t>TRASLADO PCTE JOSE CARLOS REATEGUI SANCHEZ</t>
  </si>
  <si>
    <t>F006-5681</t>
  </si>
  <si>
    <t>TRASLADO PCTE IVAN VARGAS SANGAMA</t>
  </si>
  <si>
    <t>F001-1824</t>
  </si>
  <si>
    <t>TRASLADO PCTE FLOR GENI ISUIZA ROCHA</t>
  </si>
  <si>
    <t>F001-1823</t>
  </si>
  <si>
    <t>MEDEVAC PCTE HOLGUIN CRUZ ADELA</t>
  </si>
  <si>
    <t>F001- 1822</t>
  </si>
  <si>
    <t>F001- 1833</t>
  </si>
  <si>
    <t>F001-1821</t>
  </si>
  <si>
    <t>F001-1820</t>
  </si>
  <si>
    <t>F001-1818</t>
  </si>
  <si>
    <t>F001- 1817</t>
  </si>
  <si>
    <t>F001-1814</t>
  </si>
  <si>
    <t>F001-1816</t>
  </si>
  <si>
    <t>F001-1815</t>
  </si>
  <si>
    <t>MEDEVAC PCTE CASTILLO RIOS FELICITA</t>
  </si>
  <si>
    <t>F001-1810</t>
  </si>
  <si>
    <t>F001-1811</t>
  </si>
  <si>
    <t>MEDEVAC PCTE TORRES REGIFO EBOLY MICAL</t>
  </si>
  <si>
    <t>MEDEVAC PCTE BARDALES FERNANDEZ LLERME ZENAIDA</t>
  </si>
  <si>
    <t>F001-1841</t>
  </si>
  <si>
    <t>MEDEVAC PCTE AYALA TINEO FELIPE</t>
  </si>
  <si>
    <t>F001-1842</t>
  </si>
  <si>
    <t>MEDEVAC PCTE VALDIVIEZO RUESTA DEYMER</t>
  </si>
  <si>
    <t>F001-1843</t>
  </si>
  <si>
    <t>AMERICA CARDIVASCULAR</t>
  </si>
  <si>
    <t>MEDEVAC PCTE DEL AGUILA MORANTE LUZ SEMIRA</t>
  </si>
  <si>
    <t>F001-1812</t>
  </si>
  <si>
    <t>MEDEVAC PCTE CASTILLO PEREZ RONY ANTONIO</t>
  </si>
  <si>
    <t>F001-1800</t>
  </si>
  <si>
    <t>MEDEVAC PCTE RIOS DE FERNANDEZ BELEN</t>
  </si>
  <si>
    <t>MEDEVAC PCTE VASQUEZ SANCHEZ BETTY CINAL</t>
  </si>
  <si>
    <t>HOSP. REG. HON.DELGADO</t>
  </si>
  <si>
    <t>CONTRATO 3 SERVICIOS</t>
  </si>
  <si>
    <t>F001-1887</t>
  </si>
  <si>
    <t>MEDEVAC PCTE VENTURA ORISANO KEMBLER</t>
  </si>
  <si>
    <t>F001-1839</t>
  </si>
  <si>
    <t>FACTURADO EN EL TERCER MES POSTERIOR</t>
  </si>
  <si>
    <t>F001-1835</t>
  </si>
  <si>
    <t>F001-1813</t>
  </si>
  <si>
    <t xml:space="preserve">F001-1879 </t>
  </si>
  <si>
    <t>MEDEVAC PCTE GERVASSI GONZALES, LUIS HUMBERTO Carta de Garantía Nro. 0701-202300094 - IN/SALUDPOL/GG/GCS</t>
  </si>
  <si>
    <t>MEDEVAC PCTE MIRANDA VILLENA LIDA ASUNCIÓN</t>
  </si>
  <si>
    <t>F001-1837</t>
  </si>
  <si>
    <t>MEDEVAC PCTE TIPO BERMUDEZ DYLAN THIAGO</t>
  </si>
  <si>
    <t>MOYA/VALLE</t>
  </si>
  <si>
    <t>F001-1844; F001-1845; F001-1846</t>
  </si>
  <si>
    <t>F001-1847; F001-1848; F001-1849; F001-1850; F001-1851; F001-1852</t>
  </si>
  <si>
    <t>F001-1853</t>
  </si>
  <si>
    <t>F001-1854</t>
  </si>
  <si>
    <t>MEDEVAC PCTE TORRES CASAS OSBEN FERMIN</t>
  </si>
  <si>
    <t>HOSP. REG.LORETO</t>
  </si>
  <si>
    <t>MEDEVAC PCTE CASTRO DE MORE NANCY DEL ROSARIO</t>
  </si>
  <si>
    <t>F001-1897</t>
  </si>
  <si>
    <t>TRASLADO PCTE KEREN JULISSA DEL AGUILA NORONHA</t>
  </si>
  <si>
    <t>F001-1888</t>
  </si>
  <si>
    <t>F001-1801</t>
  </si>
  <si>
    <t>F001-1894</t>
  </si>
  <si>
    <t>F001-1898</t>
  </si>
  <si>
    <t>F001-1902</t>
  </si>
  <si>
    <t>MEDEVAC PCTE TELLO GARCIA AMMY MERCEDES</t>
  </si>
  <si>
    <t>F001-1905</t>
  </si>
  <si>
    <t>F001-1907</t>
  </si>
  <si>
    <t>F001-1908</t>
  </si>
  <si>
    <t>F001-1909</t>
  </si>
  <si>
    <t>F001-1910</t>
  </si>
  <si>
    <t>F001-1911</t>
  </si>
  <si>
    <t>F001-1912</t>
  </si>
  <si>
    <t>F001-1913</t>
  </si>
  <si>
    <t>MEDEVAC PCTE VEGA CARDENAS AIORIA ASIRI</t>
  </si>
  <si>
    <t>F001-1900</t>
  </si>
  <si>
    <t>F001-1904</t>
  </si>
  <si>
    <t>F001-1903</t>
  </si>
  <si>
    <t>F001-1915</t>
  </si>
  <si>
    <t>F001-1914</t>
  </si>
  <si>
    <t>TRASLADO PCTE LOPEZ ISUIZA ERLITH</t>
  </si>
  <si>
    <t>BENAAVENTE/PEREA</t>
  </si>
  <si>
    <t>HOSP. REG. IQUITOS</t>
  </si>
  <si>
    <t>01092023</t>
  </si>
  <si>
    <t>02092023</t>
  </si>
  <si>
    <t>BUBANO/PEREA</t>
  </si>
  <si>
    <t>03092023</t>
  </si>
  <si>
    <t>HOS. REG TARAPOTO</t>
  </si>
  <si>
    <t>04092023</t>
  </si>
  <si>
    <t>F001-1901</t>
  </si>
  <si>
    <t>MEDEVAC PCTE CELIS TENTES SANDRA</t>
  </si>
  <si>
    <t>MEDEVAC PCTE CASTAÑEDA DIAZ ZOE ARIADNE</t>
  </si>
  <si>
    <t>MEDEVAC PCTE VELA SANCHEZ DEYVIS ALEXANDER</t>
  </si>
  <si>
    <t>F001-1857</t>
  </si>
  <si>
    <t>F001-1858</t>
  </si>
  <si>
    <t>F001-1860</t>
  </si>
  <si>
    <t>F001-1859</t>
  </si>
  <si>
    <t>F001-1866</t>
  </si>
  <si>
    <t>F001-1867</t>
  </si>
  <si>
    <t>F001-1875</t>
  </si>
  <si>
    <t>F001-1865</t>
  </si>
  <si>
    <t>F001-1864</t>
  </si>
  <si>
    <t>F001-1868</t>
  </si>
  <si>
    <t>F001-1856</t>
  </si>
  <si>
    <t>F001-1870</t>
  </si>
  <si>
    <t>F001-1863</t>
  </si>
  <si>
    <t>F001-1872</t>
  </si>
  <si>
    <t>F001-1871</t>
  </si>
  <si>
    <t>F001-1877</t>
  </si>
  <si>
    <t>F001-1861</t>
  </si>
  <si>
    <t>F001-1873</t>
  </si>
  <si>
    <t>F001-1874</t>
  </si>
  <si>
    <t>F001-1876</t>
  </si>
  <si>
    <t>F001-1862</t>
  </si>
  <si>
    <t>F001-1855</t>
  </si>
  <si>
    <t>F001-1869</t>
  </si>
  <si>
    <t>F001-1696</t>
  </si>
  <si>
    <t>MEDEVAC PCTE IBAÑEZ GUEDES RUTSHBER RONALD</t>
  </si>
  <si>
    <t>MEDEVAC PCTE QUEVEDO DE GRANDEZ ZARELA</t>
  </si>
  <si>
    <t>05092023</t>
  </si>
  <si>
    <t>07092023</t>
  </si>
  <si>
    <t>08092023</t>
  </si>
  <si>
    <t>F001-1896</t>
  </si>
  <si>
    <t>F001-1906</t>
  </si>
  <si>
    <t>F001-1918</t>
  </si>
  <si>
    <t>F001-1798</t>
  </si>
  <si>
    <t>29- 08 y 11-09-23</t>
  </si>
  <si>
    <t>MEDEVAC PCTE BENITO ARAGON BRIANY AYGUL</t>
  </si>
  <si>
    <t>F001-1945</t>
  </si>
  <si>
    <t>TRASLADO PCTE LUCY CARMELINA FLORES DE DEL AGUILA</t>
  </si>
  <si>
    <t>F001-1938</t>
  </si>
  <si>
    <t>TRASLADO PCTE ANGELA MILAGROS MENDOZA SANTAMARIA</t>
  </si>
  <si>
    <t>F001-1939</t>
  </si>
  <si>
    <t>TRASLADO PCTE MARINA BARDALES FLORES</t>
  </si>
  <si>
    <t>F001-1940</t>
  </si>
  <si>
    <t>MEDEVAC PCTE HUAYUNGA URACO VICTORIA</t>
  </si>
  <si>
    <t>MEDEVAC CPTE AYACHE GUERRERO AARON HAMILTON</t>
  </si>
  <si>
    <t>F001-1923</t>
  </si>
  <si>
    <t>F001-1920</t>
  </si>
  <si>
    <t>F001-1921</t>
  </si>
  <si>
    <t>F001-1932</t>
  </si>
  <si>
    <t>SETIEMBRE</t>
  </si>
  <si>
    <t>F001-1928   F001-1929</t>
  </si>
  <si>
    <t>F001-1924</t>
  </si>
  <si>
    <t>HOSP. REG MANUEL NUÑEZ BUTRON</t>
  </si>
  <si>
    <t>HOSP. REG. JAEN</t>
  </si>
  <si>
    <t>F006-6287</t>
  </si>
  <si>
    <t>MEDEVAC PCTE HERRERA DE GARRATH JESUS</t>
  </si>
  <si>
    <t>MEDEVAC PCTE PUERTA Y OCAMPO FELIPE Carta de Garantia NO. 0101-202300062 - IN/SALUDPOL/GG/OS/US/AMAZONAS</t>
  </si>
  <si>
    <t xml:space="preserve">TRASLADO  PCTE RODRIGUEZ DAVILA LUIS EDUARDO </t>
  </si>
  <si>
    <t>F001-1950</t>
  </si>
  <si>
    <t>TRANSPORTE PCTE VARGAS DIAZ KATALEYA</t>
  </si>
  <si>
    <t>SERV. MEDICO PCTE VARGAS DIAZ KATALEYA</t>
  </si>
  <si>
    <t>TRANSPORTE PCTE CARRILLO CHANTA LUZ CLARITA</t>
  </si>
  <si>
    <t>SERV. MEDICO PCTE CARRILLO CHANTA LUZ CLARITA</t>
  </si>
  <si>
    <t>MEDEVAC PCTE FLORES AGUIRRE ELIZABETH</t>
  </si>
  <si>
    <t>MEDEVAC PCTE MESTANZA MARTINEZ LOYDITA</t>
  </si>
  <si>
    <t>MEDEVAC PCTE SEGURA GUEVARA FERNANDO</t>
  </si>
  <si>
    <t>MEDEVAC PCTE NANFUÑAY ZEÑA GUALBERTO</t>
  </si>
  <si>
    <t>MEDEVAC FASABI MIRANDA NIEL</t>
  </si>
  <si>
    <t>MEDEVAC FASABI MIRANDA IKER</t>
  </si>
  <si>
    <t>F001-1953</t>
  </si>
  <si>
    <t>F001-1954</t>
  </si>
  <si>
    <t>VUELO CANCELADO</t>
  </si>
  <si>
    <t>CUS-MF</t>
  </si>
  <si>
    <t>F001-1963</t>
  </si>
  <si>
    <t>F001-1964</t>
  </si>
  <si>
    <t>MEDEVAC PCTE PEREZ SALVADOR MILAGROS KATHERINE</t>
  </si>
  <si>
    <t>MEDEVAC PCTE IPARRAGUIRRE MESIA ALBERTO</t>
  </si>
  <si>
    <t>MEDEVAC PCTE SANCHEZ PINEDO MARIA DEL PILAR</t>
  </si>
  <si>
    <t>MEDEVAC PCTE ANDIA ORE ROLANDO WILFREDO</t>
  </si>
  <si>
    <t>HOSP. GENERAL DE JAEN</t>
  </si>
  <si>
    <t>HOSP. MANUEL  NUÑEZ BUTON PUNO</t>
  </si>
  <si>
    <t>BENVENTE/ZULOAGA</t>
  </si>
  <si>
    <t>F001-1834</t>
  </si>
  <si>
    <t xml:space="preserve">TRASLADO PCTE OCHOA CORREA LIAM LEONEL </t>
  </si>
  <si>
    <t>HOSPITAL JAMO TUMBES</t>
  </si>
  <si>
    <t>F001-1967</t>
  </si>
  <si>
    <t>F001-1925</t>
  </si>
  <si>
    <t>MEDEVAC PCTE PINEDA HUALLPA ALISSON RIANA</t>
  </si>
  <si>
    <t>TRASLADO PCTE CASTRO FLORES FANY RAQUEL</t>
  </si>
  <si>
    <t>MF-LIM</t>
  </si>
  <si>
    <t>MEDEVAC PCTE FARFAN MUJICA GRIMALDO</t>
  </si>
  <si>
    <t>MEDEVAC PCTE RODRIGUEZ DUEÑAS ANDY</t>
  </si>
  <si>
    <t>F001-1982</t>
  </si>
  <si>
    <t>F001-1983</t>
  </si>
  <si>
    <t>F001-1761</t>
  </si>
  <si>
    <t>F006-1632</t>
  </si>
  <si>
    <t>F006-1772</t>
  </si>
  <si>
    <t>HOSPITAL GENERAL DE JAEN</t>
  </si>
  <si>
    <t>F001-1211</t>
  </si>
  <si>
    <t>F001-1969</t>
  </si>
  <si>
    <t>F001-1970</t>
  </si>
  <si>
    <t>F001-1971</t>
  </si>
  <si>
    <t>F001-1972</t>
  </si>
  <si>
    <t>SERV. MEDICO PCTE VELA PEREZ MARIAM JOHANA</t>
  </si>
  <si>
    <t>SERV. TRANSPORTE AEREO PCTE VELA PEREZ MARIAM JOHANA</t>
  </si>
  <si>
    <t>SERV. TRANSPORTE AEREO CHINO VELA ADRIAN ADRIEL</t>
  </si>
  <si>
    <t>SERV. MEDICO PCTE CHINO VELA ADRIAN ADRIEL</t>
  </si>
  <si>
    <t>F001-1980</t>
  </si>
  <si>
    <t>F001-1984</t>
  </si>
  <si>
    <t>MEDEVAC PCTE ZEVALLOS RENGIFO JUAN DOMINGO</t>
  </si>
  <si>
    <t>F001-1990</t>
  </si>
  <si>
    <t>ESSLAUD PUCALLPA</t>
  </si>
  <si>
    <t>TRASLADO PCTE MAYUMI JAMILETH CHOTA PIZANGO</t>
  </si>
  <si>
    <t>TRASLADO PCTE EMELDA LUZ LOZANO AREVALO</t>
  </si>
  <si>
    <t>F001-1979</t>
  </si>
  <si>
    <t>TRASLADO PCTE ANDREA ALEJANDRA SILVA VIDURRIZAGA</t>
  </si>
  <si>
    <t>TRASLADO PCTE MARIA CARMELA PANDURO MACEDO</t>
  </si>
  <si>
    <t>F001-1977</t>
  </si>
  <si>
    <t>F001-1987</t>
  </si>
  <si>
    <t>F001-1988</t>
  </si>
  <si>
    <t>MEDEVAC PCTE HERNANDEZ GALVIS SANTIAGO MATIAS</t>
  </si>
  <si>
    <t>F001-1973</t>
  </si>
  <si>
    <t>F001-2000</t>
  </si>
  <si>
    <t>F001-2001</t>
  </si>
  <si>
    <t>F001-2002</t>
  </si>
  <si>
    <t>F001-2003</t>
  </si>
  <si>
    <t>SERV. MEDICO PCTE RUJEL BUSTAMANTE GENESIS IRMA</t>
  </si>
  <si>
    <t>TRANSPORTE PCTE RUJEL BUSTAMANTE GENESIS IRMA</t>
  </si>
  <si>
    <t>SERV. MEDICO PCTE TOCTO MEJIA FRANCISCO GERONIMO</t>
  </si>
  <si>
    <t>TRANSPORTE PCTE TOCTO MEJIA FRANCISCO GERONIMO</t>
  </si>
  <si>
    <t>TRANSPORTE PCTE ALAMA OLIVARES OLINDA</t>
  </si>
  <si>
    <t>SERV. MEDICO PCTE ALAMA OLIVARES OLINDA</t>
  </si>
  <si>
    <t>HOSPITAL REG. HUANUCO</t>
  </si>
  <si>
    <t>03102023</t>
  </si>
  <si>
    <t>04102023</t>
  </si>
  <si>
    <t>HOS.REG.JAMO TUMBES</t>
  </si>
  <si>
    <t>56. HOSP. LAS MERCEDES CHICLAYO</t>
  </si>
  <si>
    <t>57. OGESS HUALLAGA</t>
  </si>
  <si>
    <t>58. REPRESENTACIONES LACHO</t>
  </si>
  <si>
    <t>HOSP. REGIONAL HUANUCO</t>
  </si>
  <si>
    <t xml:space="preserve">TRANSPORTE PCTE RODRIGUEZ REMENTERIA MARIA RAQUEL </t>
  </si>
  <si>
    <t>SERV. MEDICO PCTE RODRIGUEZ REMENTERIA MARIA RAQUEL</t>
  </si>
  <si>
    <t>F001-2009</t>
  </si>
  <si>
    <t>MEDEVAC PCTE SANCHEZ GRANADOS ELMER KEYVER</t>
  </si>
  <si>
    <t>F001-1991</t>
  </si>
  <si>
    <t>MEDEVAC PCTE DAN GADRIEL ESTEBAN CAUPER</t>
  </si>
  <si>
    <t>F001-2010</t>
  </si>
  <si>
    <t>05102023</t>
  </si>
  <si>
    <t>HOSP. REG AYACUCHO</t>
  </si>
  <si>
    <t>HOSP. GUILLERMO DIAZ</t>
  </si>
  <si>
    <t>MEDEVAC PCTE GARCIA TORRES EMERSON GIANLUCA</t>
  </si>
  <si>
    <t>F001-1880</t>
  </si>
  <si>
    <t>MEDEVAC PCTE HUAMAN GOMEZ FRANCIS HENDERSON</t>
  </si>
  <si>
    <t>MEDEVAC PCTE LLONTOP CRUZ ANDREA</t>
  </si>
  <si>
    <t>MEDEVAC PCTE CESPEDES CARRILLO JORGE NAZARIO</t>
  </si>
  <si>
    <t>F001-1993</t>
  </si>
  <si>
    <t>MEDEVAC PCTE MESTANZA CARRASCO XILENE ELIZABETH</t>
  </si>
  <si>
    <t>MEDEVAC PCTE REYNA DEL AGUILA ELSA</t>
  </si>
  <si>
    <t>F001-1986</t>
  </si>
  <si>
    <t>MEDEVAC PCTE PECHE CAHUAZA JOHN BRUCE</t>
  </si>
  <si>
    <t>MEDEVAC PCTE ARMAS ARIMUYA ELENA INES</t>
  </si>
  <si>
    <t>TRASLADO PCTE MAYA GONZALES EUGENIO FIDENCIO - RICOPA CACHIQUE NOE</t>
  </si>
  <si>
    <t>MEDEVAC PCTE DIELMITH LELY RAMIREZ IHUARAQUI</t>
  </si>
  <si>
    <t>F001-2006</t>
  </si>
  <si>
    <t>F001-2017</t>
  </si>
  <si>
    <t>06092023</t>
  </si>
  <si>
    <t>09102023</t>
  </si>
  <si>
    <t>06102023</t>
  </si>
  <si>
    <t>08102023</t>
  </si>
  <si>
    <t>080102023</t>
  </si>
  <si>
    <t>CONTRATO 006 -2023 -HRL</t>
  </si>
  <si>
    <t>NOTAS  ITEM 1</t>
  </si>
  <si>
    <t>NOTAS ITEM 2</t>
  </si>
  <si>
    <t>ITEM 1 EJECUCIÓN</t>
  </si>
  <si>
    <t>ITEM 2 EJECUCIÓN</t>
  </si>
  <si>
    <t>CONTRATO 2021</t>
  </si>
  <si>
    <t>CONTRATO 2023___</t>
  </si>
  <si>
    <t>CONTRATO Nº …….2023-HRA                   X 03 SERVICIOS</t>
  </si>
  <si>
    <t>HOSPITAL BELEN</t>
  </si>
  <si>
    <t>MEDEVAC PCTE LINARES GUERRERO JOSUÉ</t>
  </si>
  <si>
    <t>F001-1968</t>
  </si>
  <si>
    <t>F001-1989</t>
  </si>
  <si>
    <t>F001-1893</t>
  </si>
  <si>
    <t>TRASLADO PCTE GIA RAMOS GUTIERREZ</t>
  </si>
  <si>
    <t>TRASLADO PCTE MARIA REATEGUI DE TENAZOA</t>
  </si>
  <si>
    <t>F001-2028</t>
  </si>
  <si>
    <t>TRASLADO PCTE EMILY A. RODRIGUEZ MENDOZA</t>
  </si>
  <si>
    <t>F001-2029</t>
  </si>
  <si>
    <t>TRASLADO PCTE  SEBASTIAN MANCHINARI MANUEL</t>
  </si>
  <si>
    <t>F001-2005</t>
  </si>
  <si>
    <t xml:space="preserve">F001 - 2020 </t>
  </si>
  <si>
    <t>F001-1592</t>
  </si>
  <si>
    <t>F001-1600</t>
  </si>
  <si>
    <t>MEDEVAC PCTE ROBALINO SANTANA NANCY VANESSA</t>
  </si>
  <si>
    <t>MEDEVAC PCTE MONTREUIL FRIAS VICTOR HUGO</t>
  </si>
  <si>
    <t>F001-2037</t>
  </si>
  <si>
    <t>TRASLADO PCTE VASQUEZ TORRES RICHARD LUIS</t>
  </si>
  <si>
    <t>MEDEVAC PCTE VILCAHUAMAN VIZCARRA SEBASTIAN JOSE</t>
  </si>
  <si>
    <t>TRASLADO PCTE CINDY BEATRIZ MEZA IGLESIAS</t>
  </si>
  <si>
    <t>F001-2055</t>
  </si>
  <si>
    <t>SEGURO SOCIAL DE SALUD</t>
  </si>
  <si>
    <t>HOSP.REG LORETO</t>
  </si>
  <si>
    <t>F001-2054</t>
  </si>
  <si>
    <t>F001-2047</t>
  </si>
  <si>
    <t>F001-2048</t>
  </si>
  <si>
    <t>MEDEVAC PCTE LUZA AGOSI JUSTINA</t>
  </si>
  <si>
    <t>F001-2049</t>
  </si>
  <si>
    <t>MEDEVAC PCTE HUANCCO MAMANI ARTURO GILBERTO</t>
  </si>
  <si>
    <t>ESSALID PIURA</t>
  </si>
  <si>
    <t xml:space="preserve">MEDEVAC PCTE MEDINA RIVERA NELSON </t>
  </si>
  <si>
    <t>F001-2046</t>
  </si>
  <si>
    <t>MEDEVAC PCTE HORNA RUIZ FELICIA</t>
  </si>
  <si>
    <t>MEDEVAC PCTE BARDALES RIOS BRENDA</t>
  </si>
  <si>
    <t>F006-7200</t>
  </si>
  <si>
    <t>MEDEVAC PCTE VEGA SANDI CLOVIS MAURO</t>
  </si>
  <si>
    <t>F001-2059</t>
  </si>
  <si>
    <t>F001-2060</t>
  </si>
  <si>
    <t xml:space="preserve">TRASLADO PCTE REATEGUI PINEDO CIRO KALEB </t>
  </si>
  <si>
    <t>MEDEVAC PCTE PIÑEIRO VDA DE TANCHIVA WILMA SADITH</t>
  </si>
  <si>
    <t>F001-2052</t>
  </si>
  <si>
    <t>F001 - 2034</t>
  </si>
  <si>
    <t>MEDEVAC PCTE LOPEZ HUAMANI ROY YEISON</t>
  </si>
  <si>
    <t>MEDEVAC PCTE AMASIFUEN CHAVEZ MARLON CESAR</t>
  </si>
  <si>
    <t>F001-1797</t>
  </si>
  <si>
    <t>HOSP. HIPOLITO UNANUE TACNA</t>
  </si>
  <si>
    <t>OCTUBRE</t>
  </si>
  <si>
    <t>MEDEVAC PCTE PAREDES VASQUEZ ZAHARA DALIA</t>
  </si>
  <si>
    <t>MEDEVAC PCTE FLORES SALINAS GUSTAVO</t>
  </si>
  <si>
    <t xml:space="preserve">MEDEVAC PCTE ZAPANA CAHUAYA VALERIA </t>
  </si>
  <si>
    <t>MEDEVAC PCTE COAQUIRA CURO YANG JOAO</t>
  </si>
  <si>
    <t>HOSP.JAMO TUMBES</t>
  </si>
  <si>
    <t>F001-2050</t>
  </si>
  <si>
    <t>F001-2051</t>
  </si>
  <si>
    <t>al 24/10/23</t>
  </si>
  <si>
    <t>F001-2070</t>
  </si>
  <si>
    <t>TRASLADO PCTE VELASQUEZ ZEVALLOS CARMEN LUZ</t>
  </si>
  <si>
    <t>F001-2069</t>
  </si>
  <si>
    <t>TRASLADO PCTE  CHAMBI ARAPA MELITON</t>
  </si>
  <si>
    <t xml:space="preserve">TRASLADO PCTE CHUJUTALLI MEGO CECILIA </t>
  </si>
  <si>
    <t>F001-2021</t>
  </si>
  <si>
    <t>F001-2023</t>
  </si>
  <si>
    <t>F001-2024</t>
  </si>
  <si>
    <t>F001-2072</t>
  </si>
  <si>
    <t>F001-2073</t>
  </si>
  <si>
    <t>TRANSPORTE PCTE PEREYRA BERECHE JESÚS YADIEL</t>
  </si>
  <si>
    <t>SERV. MEDICO PCTE PEREYRA BERECHE JESÚS YADIEL</t>
  </si>
  <si>
    <t>MEDEVAC PCTE GAMARRA ARANYA ANGEL</t>
  </si>
  <si>
    <t>F001-2067</t>
  </si>
  <si>
    <t>MEDEVAC PCTE HUAMANI EVANAN LUCIO</t>
  </si>
  <si>
    <t>MEDEVAC PCTE VASQUEZ ORE ERICK JHAEL</t>
  </si>
  <si>
    <t>MEDEVAC PCTE AGUILA QUISPE LEONEL YERIK</t>
  </si>
  <si>
    <t>F001-2071</t>
  </si>
  <si>
    <t>01102023</t>
  </si>
  <si>
    <t>MEDEVAC PCTE HERNANDEZ MENOR ROSMERY</t>
  </si>
  <si>
    <t>MEDEVAC PCTE COLLANTES HERRERAJHAIR</t>
  </si>
  <si>
    <t>MEDEVAC PCTE OJANAMA DAVILA LOUIS KARIM</t>
  </si>
  <si>
    <t>MEDEVAC PCTE LOPEZ HERNANDEZ RN</t>
  </si>
  <si>
    <t>MEDEVAC PCTE MONTALVO SHUPINGAHUA MAURO</t>
  </si>
  <si>
    <t>20. ESSALUD YURIMAGUAS</t>
  </si>
  <si>
    <t>MEDEVAC PCTE ORTIZ SANCHEZ ADRIEL SAID</t>
  </si>
  <si>
    <t>F001-2078</t>
  </si>
  <si>
    <t>F001-2079</t>
  </si>
  <si>
    <t>MEDEVAC PCTE CUBAS DÍAZ RONAL</t>
  </si>
  <si>
    <t>MEDEVAC PCTE BUSTAMANTE FLORES DOMINICK VALENTINO</t>
  </si>
  <si>
    <t>F001-2083</t>
  </si>
  <si>
    <t>SERV. TRANSPORTE  PCTE GREFFA CHACHA XIANA GAELA 92287663</t>
  </si>
  <si>
    <t>SERV. MEDICO PCTE VELA APAGUEÑO EDITA DNI 43413837</t>
  </si>
  <si>
    <t>SERV. TRANSPORTE AEREO FLORES PISCO EDRIAN JARED DNI 93520997</t>
  </si>
  <si>
    <t>SERV. MEDICO PCTE FLORES PISCO EDRIAN JARED DNI 93520997</t>
  </si>
  <si>
    <t>SERV. TRANSPORTE AEREO VELA APAGUEÑO EDITA DNI 43413837</t>
  </si>
  <si>
    <t>MEDEVAC PCTE CORONADO AREVALO MARIA CAROLINA</t>
  </si>
  <si>
    <t>F001-2081</t>
  </si>
  <si>
    <t>F001-2082</t>
  </si>
  <si>
    <t>TRANSPORTE PCTE SIXTO REBOLLEDO RN</t>
  </si>
  <si>
    <t>SERV. MEDICO PCTE SIXTO REBOLLEDO RN</t>
  </si>
  <si>
    <t>MEDEVAC PCTE TORRES PEREZ SANDRO SEBASTIAN</t>
  </si>
  <si>
    <t>F001-2076</t>
  </si>
  <si>
    <t>F001-2077</t>
  </si>
  <si>
    <t>F001-2099</t>
  </si>
  <si>
    <t>F001-2100</t>
  </si>
  <si>
    <t>MEDEVAC PCTE ALVARADO DOLLY LUIS ALEJANDRO</t>
  </si>
  <si>
    <t>MEDEVAC CPTE FLORES RUIZ SAULO LUIS</t>
  </si>
  <si>
    <t>TRANSPORTE PCTE SAMPERTEGUI HERNANDEZ ETHAN EDUARDO</t>
  </si>
  <si>
    <t>SERV. MEDICO PCTE SAMPERTEGUI HERNANDEZ ETHAN EDUARDO</t>
  </si>
  <si>
    <t>MEDEVAC PCTE GARCIA SANCHEZ CESAR TOMAS</t>
  </si>
  <si>
    <t>MEDEVAC PCTE RIOS QUESQUEN PERLA MARÍA</t>
  </si>
  <si>
    <t>F001-2103</t>
  </si>
  <si>
    <t>02112023</t>
  </si>
  <si>
    <t>MEDEVAC PCTE PINTO FASABI BRAD MARCEL</t>
  </si>
  <si>
    <t>MEDEVAC PCTE REATEGUI YUMBATO GINA CARISIA</t>
  </si>
  <si>
    <t>F001-2106</t>
  </si>
  <si>
    <t>F001-2107</t>
  </si>
  <si>
    <t>MOYA/RODRIGUEZ</t>
  </si>
  <si>
    <t>03112023</t>
  </si>
  <si>
    <t>LIM-CIX-LIM</t>
  </si>
  <si>
    <t>TRASLADO PCTE TORRE TUESTA LUZ AYDE</t>
  </si>
  <si>
    <t>TRASLADO PCTE LETICIA KAROLINA RAMIREZ VASQUEZ</t>
  </si>
  <si>
    <t>F001-2104</t>
  </si>
  <si>
    <t>F001-2105</t>
  </si>
  <si>
    <t>TRASLADO PCTE SAMAME ESPINOZA EMELY MERIL</t>
  </si>
  <si>
    <t>F001-2095</t>
  </si>
  <si>
    <t>F001-2108</t>
  </si>
  <si>
    <t>CONTRATO N°….- HR-MNB
HOSPITAL REGIONAL MANUEL NUÑEZ BUTRON PUNO</t>
  </si>
  <si>
    <t>MEDEVAC PCTE ISIDRO CHUIN ALISON ALONDRA</t>
  </si>
  <si>
    <t>HOSPITAL REGIONAL LAMBAYEQUE</t>
  </si>
  <si>
    <t>04112023</t>
  </si>
  <si>
    <t>05112023</t>
  </si>
  <si>
    <t>JOSAMI LABS SAC</t>
  </si>
  <si>
    <t>ESSALUD TARAPOTO TRASLADO CONTRATO</t>
  </si>
  <si>
    <t>08112023</t>
  </si>
  <si>
    <t>07112023</t>
  </si>
  <si>
    <t>F001-2118</t>
  </si>
  <si>
    <t>F001-2112</t>
  </si>
  <si>
    <t>F001-2113</t>
  </si>
  <si>
    <t>F001-2114</t>
  </si>
  <si>
    <t>F001-2115</t>
  </si>
  <si>
    <t>F001-2116</t>
  </si>
  <si>
    <t>TRASLADO PCTE  OSWALDO RIOS FABABA</t>
  </si>
  <si>
    <t>F001-2111</t>
  </si>
  <si>
    <t>18. ESSALUD TARAPOTO</t>
  </si>
  <si>
    <t>MEDEVAC PCTE DAVILA PHILIPPON OSCAR ALBERTO</t>
  </si>
  <si>
    <t>TRASLADO PCTE POMA CONDORI JESSICA</t>
  </si>
  <si>
    <t>F001-2123</t>
  </si>
  <si>
    <t>F001-2124</t>
  </si>
  <si>
    <t>F001-1930</t>
  </si>
  <si>
    <t>F001-1931</t>
  </si>
  <si>
    <t>GREAT NASCA TOURS</t>
  </si>
  <si>
    <t>LIM-ZA-LIM</t>
  </si>
  <si>
    <t>F001-2125</t>
  </si>
  <si>
    <t>F001-2130</t>
  </si>
  <si>
    <t>F001-2131</t>
  </si>
  <si>
    <t>HOSP. STA. ROSA PURTO MALDONADO</t>
  </si>
  <si>
    <t>MEDEVAC PCTE JAUREGUI ZUZUNAGA ANGELICA DORIS</t>
  </si>
  <si>
    <t>F001-2132</t>
  </si>
  <si>
    <t>TOTAL DEUDAS</t>
  </si>
  <si>
    <t>HOSPITAL DE APOYO III SULLANA</t>
  </si>
  <si>
    <t>HOSP. DE APOYO II SULLANA</t>
  </si>
  <si>
    <t>62.HOSP. DE APOYO II SULLANA</t>
  </si>
  <si>
    <t>61. HOSP. BELEN LAMBAYEQUE</t>
  </si>
  <si>
    <t>MEDEVAC PCTE JUAREZ CHINCHAY JESÚS GABRIEL</t>
  </si>
  <si>
    <t>MEDEVAC PCTE LEÓN LOPEZ JUAN OSWALDO</t>
  </si>
  <si>
    <t>MEDEVAC PCTE CHURATA ACHATA HIEN MELETH DARICE</t>
  </si>
  <si>
    <t>ESSALUD TARAPOTO MEDEVAC CONTRATO</t>
  </si>
  <si>
    <t>TN-AQP</t>
  </si>
  <si>
    <t>TN-LIM</t>
  </si>
  <si>
    <t>ESSALUD TACNA</t>
  </si>
  <si>
    <t>DURAND-CAMARENA</t>
  </si>
  <si>
    <t>DURAND/GUIDICHE</t>
  </si>
  <si>
    <t xml:space="preserve">63.ESSALUD TACNA </t>
  </si>
  <si>
    <t>MEDEVAC PCTE OLIVERA ACUÑA ELMER</t>
  </si>
  <si>
    <t xml:space="preserve">MEDEVAC PCTE VASQUEZ LLATAS MARIA ESTERIA </t>
  </si>
  <si>
    <t>MEDEVAC PCTE VELA LOPEZ ENITH</t>
  </si>
  <si>
    <t>MEDEVAC PCTE ROJAS TERRONES FLOR MARILU</t>
  </si>
  <si>
    <t>TRASLADO PCTE RODRIGUEZ MOZOMBITE ZARELA</t>
  </si>
  <si>
    <t>TRASLADO PCTE TUANAMA VELA JAIRO</t>
  </si>
  <si>
    <t>TRASLADO PCTE VASQUEZ ZAVALETA DANIELA MERCEDES</t>
  </si>
  <si>
    <t>MEDEVAC PCTE TAPULLIMA ARIMUYA JHON HARRY</t>
  </si>
  <si>
    <t>MEDEVAC PCTE CHAVEZ VASQUEZ CAROLINE JENIFFER</t>
  </si>
  <si>
    <t>MEDEVAC PCTE HERRERA SORIA DE GUILLEN GILMA ANGELA</t>
  </si>
  <si>
    <t>TOTAL DEUDA</t>
  </si>
  <si>
    <t>MEDEVAC PCTE VIVANCO GIBAJA RENAN EDUARDO</t>
  </si>
  <si>
    <t xml:space="preserve">ZARO </t>
  </si>
  <si>
    <t>CM-IQT</t>
  </si>
  <si>
    <t>TRASLADO PCTE RIGOBERTA CARHUAS VDA DE ZUÑIGA</t>
  </si>
  <si>
    <t>TRASLADO PCTE MAGDALENA CABELLO LORENZA</t>
  </si>
  <si>
    <t>F001-2139</t>
  </si>
  <si>
    <t>F001-2165</t>
  </si>
  <si>
    <t>F001-2166</t>
  </si>
  <si>
    <t>F001-2137</t>
  </si>
  <si>
    <t>MEDEVAC PCTE AMPUERO MEZA ANGEL</t>
  </si>
  <si>
    <t xml:space="preserve">TRASLADO PCTE MORALES VALDIVIEZO EDITH </t>
  </si>
  <si>
    <t xml:space="preserve">TRASLADO PCTE MENA CCORICAS YESENIA EPIFANIA </t>
  </si>
  <si>
    <t>MEDEVAC PCTE GERARDO LLANOS GASPELU</t>
  </si>
  <si>
    <t>F006-8095</t>
  </si>
  <si>
    <t>F006-8099</t>
  </si>
  <si>
    <t>MEDEVAC PCTE JORGE BENSIMON CHAVEZ</t>
  </si>
  <si>
    <t>POSITIVA SEGUROS</t>
  </si>
  <si>
    <t>HOSP. GOYENECHE</t>
  </si>
  <si>
    <t>64.LA POSITIVA SEGUROS</t>
  </si>
  <si>
    <t>RIMAC</t>
  </si>
  <si>
    <t>F001-2164</t>
  </si>
  <si>
    <t>ESSALUD TARPOTO</t>
  </si>
  <si>
    <t>TRASLADO PCTE BARTRA LEVEAU NATALI MILAGROS</t>
  </si>
  <si>
    <t>MEDEVAC PCTE CHUNG CURI RANDY FRANCESCA</t>
  </si>
  <si>
    <t>MEDEVAC PCTE LOZANO VELA FILTER</t>
  </si>
  <si>
    <t>HOSPITAL REGIONAL AYACUCHO</t>
  </si>
  <si>
    <t>MEDEVAC PCTE ALZAMORA MARTINEZ DARIANA ELIZABETH</t>
  </si>
  <si>
    <t>F001-2140</t>
  </si>
  <si>
    <t>F001-2169</t>
  </si>
  <si>
    <t>MEDEVAC PCTE RAFAEL TORRES LUZVINDA (LIM-CIX)</t>
  </si>
  <si>
    <t>MEDEVAC PCTE ALVÁREZ CORDOVA DAVID (CIX-LIM)</t>
  </si>
  <si>
    <t>F001-2168</t>
  </si>
  <si>
    <t>F001-2175</t>
  </si>
  <si>
    <t>MEDEVAC PCTE VARGAS DE LA CRUZ MARIA MARCELINA</t>
  </si>
  <si>
    <t>F001-2044</t>
  </si>
  <si>
    <t>F001-1752</t>
  </si>
  <si>
    <t>F006-5053</t>
  </si>
  <si>
    <t>F006-5052</t>
  </si>
  <si>
    <t>F001-2122</t>
  </si>
  <si>
    <t>SEGURO SANITAS</t>
  </si>
  <si>
    <t>01122023</t>
  </si>
  <si>
    <t>HOSP. REG.  JAMO TUMBES</t>
  </si>
  <si>
    <t>SANITAS PERÚ SA EPS</t>
  </si>
  <si>
    <t>65.SANITAS PERÚ SA EPS</t>
  </si>
  <si>
    <t>02122023</t>
  </si>
  <si>
    <t>HOSPITAL REGIONAL HERRMILIO VALDIZAN</t>
  </si>
  <si>
    <t>24. HOSP. HIPOLITO UNANUE  TACNA</t>
  </si>
  <si>
    <t>MEDEVAC PCTE LARICO LOPE MAYUMI LIZETH</t>
  </si>
  <si>
    <t>MEDEVAC PCTE VELAYARCE TAMINCHI LEYDI ETHEL</t>
  </si>
  <si>
    <t>F001-2172</t>
  </si>
  <si>
    <t>F001-2171</t>
  </si>
  <si>
    <t>CONTRATO N° 48-2023-HRHD</t>
  </si>
  <si>
    <t>MEDEVAC PCTE SALAZAR DELGADO MIA AYCE</t>
  </si>
  <si>
    <t>F001-2190</t>
  </si>
  <si>
    <t>05122023</t>
  </si>
  <si>
    <t>HOSPITAL SANTA ROSA PUERTO MALDONADO</t>
  </si>
  <si>
    <t>06122023</t>
  </si>
  <si>
    <t>OGESS ALTO MAYO</t>
  </si>
  <si>
    <t>F001-1952</t>
  </si>
  <si>
    <t>F001-2189</t>
  </si>
  <si>
    <t>F001-2192</t>
  </si>
  <si>
    <t>F001-2181</t>
  </si>
  <si>
    <t>F001-2182</t>
  </si>
  <si>
    <t>F001-2183</t>
  </si>
  <si>
    <t>F001-2184</t>
  </si>
  <si>
    <t>F001-2185</t>
  </si>
  <si>
    <t>F001-2186</t>
  </si>
  <si>
    <t>TRANSPORTE PCTE NORIEGA SULLON ALANNA</t>
  </si>
  <si>
    <t>SERV. MEDICO PCTE NORIEGA SULLON ALANNA</t>
  </si>
  <si>
    <t>ASISTENCIA MEDICA PCTE CALCINA ALVARADO ITZEL MADRID</t>
  </si>
  <si>
    <t>TRANSPORTE AEREO PCTE CALCINA ALVARADO ITZEL MADRID</t>
  </si>
  <si>
    <t>F001-2204</t>
  </si>
  <si>
    <t>F001-2205</t>
  </si>
  <si>
    <t xml:space="preserve">TRASLADO PCTE VASQUEZ ANGULO DENNIS HUMBERTO </t>
  </si>
  <si>
    <t>F001-2187</t>
  </si>
  <si>
    <t>OB 2221</t>
  </si>
  <si>
    <t>07122023</t>
  </si>
  <si>
    <t>TRASLADO PCTE AGUILAR MERINO BARTOLOME JORGE</t>
  </si>
  <si>
    <t>F001-2207</t>
  </si>
  <si>
    <t>HOSP. REG. HONORIO DELGADO</t>
  </si>
  <si>
    <t>MEDEVAC PCTE HURTADO BALLENA JAVIER FERNANDO</t>
  </si>
  <si>
    <t>MEDEVAC PCTE RAMOS ALBARRÁN JAYER JEAN</t>
  </si>
  <si>
    <t>F001-2212</t>
  </si>
  <si>
    <t>F001-2213</t>
  </si>
  <si>
    <t>09122023</t>
  </si>
  <si>
    <t>MEDEVAC PCTE RAMOS FERNANDEZ BACA VIOLETA</t>
  </si>
  <si>
    <t>F001-2216</t>
  </si>
  <si>
    <t>MEDEVAC PCTE ZAMBRANO ZAMBRANO MARIA</t>
  </si>
  <si>
    <t>SUCESION INDIVISA MALCA BECERRA LEOVIGILDO</t>
  </si>
  <si>
    <t>MEDEVAC PCTE VELASQUEZ ASTETE FERNANDO ANTUANT</t>
  </si>
  <si>
    <t>F001-2217</t>
  </si>
  <si>
    <t>13122023</t>
  </si>
  <si>
    <t>CONTRATO Nº 0…...-2023-HRA                   X 03 SERVICIOS</t>
  </si>
  <si>
    <t>MEDEVAC PCTE CORNELIO ORELLANA ZAVIELI LUCIA</t>
  </si>
  <si>
    <t>TRASLADO PCTE VELA PINEDO ROMAN</t>
  </si>
  <si>
    <t>TRASLADO PCTE PRETELL RENGIFO ROSA ERMINDA</t>
  </si>
  <si>
    <t>TRASLADO PCTE SAAVEDRA REYNA SANDY JHOANA</t>
  </si>
  <si>
    <t>MEDEVAC PCTE NARRO CABALLERO CARLOS HEBER</t>
  </si>
  <si>
    <t>MEDEVAC PCTE GARCIA RODRIGUEZ ADIN JHOMAR</t>
  </si>
  <si>
    <t>MEDEVAC PCTE IDROGO DIAZ ANA KEILA</t>
  </si>
  <si>
    <t>F001-2220</t>
  </si>
  <si>
    <t>F001-2040</t>
  </si>
  <si>
    <t>F001-2208</t>
  </si>
  <si>
    <t>F001-2210</t>
  </si>
  <si>
    <t>MEDEVAC PCTE TICLIAHUANCA HIDALGO CRISTIAN</t>
  </si>
  <si>
    <t>HOSP. MANUEL NUÑEZ BUTRÓN</t>
  </si>
  <si>
    <t>15-122023</t>
  </si>
  <si>
    <t>F001-2135</t>
  </si>
  <si>
    <t>F001-2136</t>
  </si>
  <si>
    <t>15122023</t>
  </si>
  <si>
    <t>17122023</t>
  </si>
  <si>
    <t>18122023</t>
  </si>
  <si>
    <t>HOSP. SANTA ROSA PUERTO MALDONADO</t>
  </si>
  <si>
    <t>F001-2225</t>
  </si>
  <si>
    <t>F001-2226</t>
  </si>
  <si>
    <t>F001-2227</t>
  </si>
  <si>
    <t>F001-2230</t>
  </si>
  <si>
    <t>F001-2231</t>
  </si>
  <si>
    <t>F001-2232</t>
  </si>
  <si>
    <t>F001-2223</t>
  </si>
  <si>
    <t>F001-2222</t>
  </si>
  <si>
    <t>F001-2221</t>
  </si>
  <si>
    <t>MEDEVAC PCTE CASQUINO YLASACA RACHEL DANAS</t>
  </si>
  <si>
    <t>TTP-LIM</t>
  </si>
  <si>
    <t>HOSPITAL REGIONAL HERMILIO VALDIZAN</t>
  </si>
  <si>
    <t>MEDEVAC PCTE MATIAS MELCHOR RN</t>
  </si>
  <si>
    <t>HOSP. STA. ROSA PUERTO MALDONADO</t>
  </si>
  <si>
    <t>F001-2258</t>
  </si>
  <si>
    <t>F001-2259</t>
  </si>
  <si>
    <t>F001-2260</t>
  </si>
  <si>
    <t>F001-2261</t>
  </si>
  <si>
    <t>F001-2262</t>
  </si>
  <si>
    <t>20122023</t>
  </si>
  <si>
    <t>BUERBANO/PEREA</t>
  </si>
  <si>
    <t>MEDEVAC PCTE PFOCCO TUNQUIPA CESAR JOSÉ</t>
  </si>
  <si>
    <t>MEDEVAC PCTE REQUEJO ALTAMIRANO NILVER VICENTE</t>
  </si>
  <si>
    <t>MEDEVAC PCTE GOMEZ TUESTA DE GONZALES LLENI</t>
  </si>
  <si>
    <t>MEDEVAC PCTE RAMOS IPANAQUE LUIS ARMANDO</t>
  </si>
  <si>
    <t>MEDEVAC PCTE FASABI GUERRA UBILDOR</t>
  </si>
  <si>
    <t>F001-2263</t>
  </si>
  <si>
    <t>MEDEVAC PCTE JAIME CARRERA MILAN ADRIEL</t>
  </si>
  <si>
    <t>MEDEVAC PCTE MORALES GOMEZ KELLYMAR ARLET ARUNA</t>
  </si>
  <si>
    <t xml:space="preserve">TRASLADO PCTE SANCHEZ DELGADO JENNIFER CRISTINA Y SABOYA TAFUR WILMA LUZ </t>
  </si>
  <si>
    <t>F001-2265</t>
  </si>
  <si>
    <t>TRASLADO PCTE PEREZ NEYRA YAZIEL IAM</t>
  </si>
  <si>
    <t>MEDEVAC PCTE BLAS PEREZ MIA ANTONELLA</t>
  </si>
  <si>
    <t>MEDEVAC PCTE TAPIA VASQUEZ JULISSA MARISOL</t>
  </si>
  <si>
    <t>21122023</t>
  </si>
  <si>
    <t>OB2091</t>
  </si>
  <si>
    <t>22122023</t>
  </si>
  <si>
    <t>PALOMINO/CARRILLO</t>
  </si>
  <si>
    <t>TRASLADO PCTE FLORES BALTAZAR MARIA AMPARO</t>
  </si>
  <si>
    <t>MEDEVAC PCTE INGA MENDIVIL ALESIA</t>
  </si>
  <si>
    <t>MEDEVAC PCTE ARIAS GANDULLIA KAROL KATHERIN</t>
  </si>
  <si>
    <t>F001-2313</t>
  </si>
  <si>
    <t>F001-2314</t>
  </si>
  <si>
    <t>F001-2315</t>
  </si>
  <si>
    <t>BURBANO/ PEREA</t>
  </si>
  <si>
    <t>23122023</t>
  </si>
  <si>
    <t>HOSP. EL CARMEN  - HUANCAYO</t>
  </si>
  <si>
    <t>JJ-LIM</t>
  </si>
  <si>
    <t>ORDEN DE SERVICIO</t>
  </si>
  <si>
    <t>SALUPOL HUANUCO</t>
  </si>
  <si>
    <t>24122023</t>
  </si>
  <si>
    <t>HOSP. REG CAJAMARCA</t>
  </si>
  <si>
    <t>JR-LIM</t>
  </si>
  <si>
    <t>25122023</t>
  </si>
  <si>
    <t>26122023</t>
  </si>
  <si>
    <t>HOSP BELEN TRUJILLO</t>
  </si>
  <si>
    <t>JAMO TUMBES</t>
  </si>
  <si>
    <t>DIA SIGUIENTE 27/12/23</t>
  </si>
  <si>
    <t>27122023</t>
  </si>
  <si>
    <t>SALUPOL ANDAHUAYLAS</t>
  </si>
  <si>
    <t>HOSP REG AYACUCHO</t>
  </si>
  <si>
    <t>PEÑA /VALLES</t>
  </si>
  <si>
    <t>DIA SIGUIENTE 28/12/23</t>
  </si>
  <si>
    <t>IVAN/RONALD</t>
  </si>
  <si>
    <t>--------</t>
  </si>
  <si>
    <t>EL VUELO SE REALIZO CON LA AERONAVE DE ZAETA, YA QUE LA 2091 DE VIVE NO PUDO VOLAR POR MOTIVO FALLAS</t>
  </si>
  <si>
    <t>--------------</t>
  </si>
  <si>
    <t>-----</t>
  </si>
  <si>
    <t>28122023</t>
  </si>
  <si>
    <t xml:space="preserve">DURAN / CAMARENA </t>
  </si>
  <si>
    <t>HOSP REGIONAL TPP</t>
  </si>
  <si>
    <t>29122026</t>
  </si>
  <si>
    <t>HOSP REGIONAL LORETO</t>
  </si>
  <si>
    <t>DURAND/CAMARENA</t>
  </si>
  <si>
    <t>30122023</t>
  </si>
  <si>
    <t>31122023</t>
  </si>
  <si>
    <t>BENAVENTE/RODRIGUEZ</t>
  </si>
  <si>
    <t>HOSPITAL SANTA ROSA PIURA</t>
  </si>
  <si>
    <t>01012024</t>
  </si>
  <si>
    <t>OB1983</t>
  </si>
  <si>
    <t>02012024</t>
  </si>
  <si>
    <t>CHM-LIM</t>
  </si>
  <si>
    <t>0B2104</t>
  </si>
  <si>
    <t>03012024</t>
  </si>
  <si>
    <t>PEÑA7VALLEJOS</t>
  </si>
  <si>
    <t>F001-2297; F001-2298; F001-2299; F001-2300</t>
  </si>
  <si>
    <t>49. RIMAC SEGUROS</t>
  </si>
  <si>
    <t>F001-2287</t>
  </si>
  <si>
    <t>F001-2306</t>
  </si>
  <si>
    <t>F001-2293</t>
  </si>
  <si>
    <t>F001-2279</t>
  </si>
  <si>
    <t>F001-2278</t>
  </si>
  <si>
    <t>F001-2277</t>
  </si>
  <si>
    <t>SERV. TRANSPORTE AEREO VELA TAPULLIMA LINSER DNI 45774470</t>
  </si>
  <si>
    <t>SERV. MEDICO PCTE VELA TAPULLIMA LINSER DNI 45774470</t>
  </si>
  <si>
    <t>F001-2274</t>
  </si>
  <si>
    <t>F001-2275</t>
  </si>
  <si>
    <t>F001-2276</t>
  </si>
  <si>
    <t>TRASLADO PCTE SCAR A. GONZALES MARQUEZ</t>
  </si>
  <si>
    <t>F001-2283</t>
  </si>
  <si>
    <t>F001-2268</t>
  </si>
  <si>
    <t>MEDEVAC PCTE MERA PICHIRRI PAULO ROBERTO</t>
  </si>
  <si>
    <t>TRASLADO PCTE MILCA AURORA PEREZ ROJAS</t>
  </si>
  <si>
    <t>TRASLADO PCTE SCOBEDO MOZOMBITE LIZ MARILIA</t>
  </si>
  <si>
    <t>F001-2267</t>
  </si>
  <si>
    <t>F001-2305</t>
  </si>
  <si>
    <t>29122023</t>
  </si>
  <si>
    <t>OB2091 VIVE</t>
  </si>
  <si>
    <t>MEDEVAC PCTE FLORES ALEJO AXEL MATEO</t>
  </si>
  <si>
    <t>F001-2291</t>
  </si>
  <si>
    <t>MEDEVAC PCTE CABALLERO SAJAMI SASHA ESMITH</t>
  </si>
  <si>
    <t>F001-2290</t>
  </si>
  <si>
    <t>MEDEVAC PCTE VASQUEZ CASTRO JIMMY JAMPIER</t>
  </si>
  <si>
    <t>F001-2289</t>
  </si>
  <si>
    <t>F001-2288</t>
  </si>
  <si>
    <t>HOISP. REG. HONORIO DELGADO</t>
  </si>
  <si>
    <t>MEDEVAC PCTE BARCENA QUIÑONES JEREMY NICOLAS</t>
  </si>
  <si>
    <t>F001-2272</t>
  </si>
  <si>
    <t>PAGADO DENTRO DE LOS 14200</t>
  </si>
  <si>
    <t>MEDEVAC PCTE ROJAS CACHO ALVARO JOSE</t>
  </si>
  <si>
    <t>F001-2271</t>
  </si>
  <si>
    <t>22:30 APROX</t>
  </si>
  <si>
    <t>04012024</t>
  </si>
  <si>
    <t>HOSPITAL II SULLANA</t>
  </si>
  <si>
    <t>05012024</t>
  </si>
  <si>
    <t>MANUEL NUÑEZ BUTRON</t>
  </si>
  <si>
    <t>CAMARENA/TIRADO</t>
  </si>
  <si>
    <t>PILOTOS VIVE</t>
  </si>
  <si>
    <t>06012024</t>
  </si>
  <si>
    <t>07012024</t>
  </si>
  <si>
    <t>08012024</t>
  </si>
  <si>
    <t>BURBANO/RODRIGUEZ</t>
  </si>
  <si>
    <t>09012024</t>
  </si>
  <si>
    <t>MEDEVAC PCTE YUCA MAMANI INGRIT MIRYAM</t>
  </si>
  <si>
    <t>MEDEVAC PCTE GUZMÁN DELGADO JUAN JOSE</t>
  </si>
  <si>
    <t>MEDEVAC PCTE LOPEZ DE ALVAREZ MERCEDES AURORA</t>
  </si>
  <si>
    <t>MEDEVAC PCTE BORDA MUÑOZ MILAN FRANCIS USAIN</t>
  </si>
  <si>
    <t>MEDEVAC PCTE GUERRERO MANIHUARI MARISELA KARINA</t>
  </si>
  <si>
    <t>MEDEVAC PCTE GARCIA VARGAS EVAN DIDIER</t>
  </si>
  <si>
    <t>MEDEVAC PCTE SULLCA PAQUITA DANA JHOSELYN</t>
  </si>
  <si>
    <t>MEDEVAC PCTE FLORES DIAZ ARIAN MATEO</t>
  </si>
  <si>
    <t>MEDEVAC PCTE AGUILAR DEL CASTILLO ABRIL AQUILINA</t>
  </si>
  <si>
    <t>MEDEVAC PCTE HILARIO CALDAS JOSÉ DAVID</t>
  </si>
  <si>
    <t>MEDEVAC PCTE SORIA BABILONIA JAZMIN</t>
  </si>
  <si>
    <t>MEDEVAC PCTE RUIZ SILVA KUESLY JACOBITA</t>
  </si>
  <si>
    <t>MEDEVAC PCTE ORIZANO CAJAS</t>
  </si>
  <si>
    <t>MEDEVAC PCTE SIMON JURADO</t>
  </si>
  <si>
    <t>MEDEVAC PCTE MOZOMBITE SANCHEZ MARIA ELEONOR</t>
  </si>
  <si>
    <t>MEDEVAC PCTE MESIA VASQUEZ WENCESLAO</t>
  </si>
  <si>
    <t>MEDEVAC PCTE ROJAS GARCIA LUIS RICARDO</t>
  </si>
  <si>
    <t>MEDEVAC PCTE HIDALGO RIOS BERTHA ELENA</t>
  </si>
  <si>
    <t>MEDEVAC PCTE COBOS PEREZ MARIA ELENA</t>
  </si>
  <si>
    <t>MEDEVAC PCTE AROSEMENA BARTRA BECQUER JHONNY</t>
  </si>
  <si>
    <t>MEDEVAC PCTE SERRANTES SANCHEZ IRASEMA DILIAN</t>
  </si>
  <si>
    <t>MEDEVAC PCTE VELAZCO PEJOVEZ JORGE REYNALDO</t>
  </si>
  <si>
    <t>MEDEVAC PCTE CARDENAS HUARANCCA ESTANISLAO</t>
  </si>
  <si>
    <t>MEDEVAC PCTE ROJAS LAURA NANCY DARIA</t>
  </si>
  <si>
    <t>F001-2218</t>
  </si>
  <si>
    <t>F001-2219</t>
  </si>
  <si>
    <t>F001-2301</t>
  </si>
  <si>
    <t>TRANSPORTE PCTE  PAJOY FEIJO ALAIN</t>
  </si>
  <si>
    <t>SERV. MEDICO PCTE PAJOY FEIJO ALAIN</t>
  </si>
  <si>
    <t>TRANSPORTE PCTE CORREA ROMERO RN</t>
  </si>
  <si>
    <t>SERV. MEDICO PCTE CORREA ROMERO RN</t>
  </si>
  <si>
    <t>F001-2311</t>
  </si>
  <si>
    <t>F001-2310</t>
  </si>
  <si>
    <t>F001-2307</t>
  </si>
  <si>
    <t>F001-2308</t>
  </si>
  <si>
    <t>F001-2309</t>
  </si>
  <si>
    <t>F001-2312</t>
  </si>
  <si>
    <t xml:space="preserve">TRANSPORTE PCTE RETETE SANCHEZ MIA ISABELLA </t>
  </si>
  <si>
    <t xml:space="preserve">SERV. MEDICO PCTE RETETE SANCHEZ MIA ISABELLA  </t>
  </si>
  <si>
    <t>TRANSPORTE PCTE SEDANO REVOLLEDO CLAUDIA MARIANA</t>
  </si>
  <si>
    <t>SERV. MEDICO PCTE SEDANO REVOLLEDO CLAUDIA MARIANA</t>
  </si>
  <si>
    <t>F001-2321</t>
  </si>
  <si>
    <t>F001-2323</t>
  </si>
  <si>
    <t>F001-2324</t>
  </si>
  <si>
    <t>CONFIPETROL</t>
  </si>
  <si>
    <t>MEDEVAC PCTE GALVEZ GUERRERO RN</t>
  </si>
  <si>
    <t>F001-2292</t>
  </si>
  <si>
    <t>F001-2282</t>
  </si>
  <si>
    <t>F001-2281</t>
  </si>
  <si>
    <t>ZARO LO HIZO</t>
  </si>
  <si>
    <t>TRASLADO PCTE ESPINOZA SANDOVAL ELIO</t>
  </si>
  <si>
    <t>SERVICIO/PACIENTE</t>
  </si>
  <si>
    <t>BENAVENTE/RODRRIGUEZ</t>
  </si>
  <si>
    <t>F001-2284</t>
  </si>
  <si>
    <t>F001-2304</t>
  </si>
  <si>
    <t>F001-2328</t>
  </si>
  <si>
    <t>F001-2329</t>
  </si>
  <si>
    <t>F001-2330</t>
  </si>
  <si>
    <t>F001-2331</t>
  </si>
  <si>
    <t>F001-2332</t>
  </si>
  <si>
    <t>MEDEVAC PCTE HERMOSA ESCOBEDO FUEL ISAIAS</t>
  </si>
  <si>
    <t>MEDEVAC PCTE CARTAGENA GUISADO CINTHYA</t>
  </si>
  <si>
    <t>F001-2355</t>
  </si>
  <si>
    <t>F001-2360</t>
  </si>
  <si>
    <t>F001-2361</t>
  </si>
  <si>
    <t>F001-2362</t>
  </si>
  <si>
    <t>MEDEVAC PCTE FLORES OROSCO SOLASH</t>
  </si>
  <si>
    <t>F001-2363</t>
  </si>
  <si>
    <t>MEDEVAC PCTE ROMERO UMERES ROGER ANIBAL</t>
  </si>
  <si>
    <t>MEDEVAC PCTE MARCO CACERES NUÑEZ</t>
  </si>
  <si>
    <t>MEDEVAC PCTE SANCHEZ MACHUCA MIGUEL</t>
  </si>
  <si>
    <t>MEDEVAC PCTE TORRES CHINO JANSI</t>
  </si>
  <si>
    <t>MEDEVAC PCTE MONTOYA CABRERA GINO CAYETANO</t>
  </si>
  <si>
    <t>MEDEVAC PCTE ZUTA TOCHON NELLY FRANCISCA</t>
  </si>
  <si>
    <t>MEDEVAC PCTE BLANCO RAMIREZ PERCY ENRIQUE</t>
  </si>
  <si>
    <t>MEDEVAC PCTE DAVILA BELLODAS ANGELO ANATOLY</t>
  </si>
  <si>
    <t>MEDEVAC PCTE LOPEZ APAZA ENRIQUE</t>
  </si>
  <si>
    <t>MEDEVAC PCTE CASTILLO CHUQUIHUANCA CARMEN</t>
  </si>
  <si>
    <t>MEDEVAC PCTE VILCA BARRANTES MIRIAM</t>
  </si>
  <si>
    <t>MEDEVAC PCTE MONTES CASTILLO DAYANA MILAGROS</t>
  </si>
  <si>
    <t>MEDEVAC PCTE HUACCACHI ORMACHEA JIMMY LUCIO</t>
  </si>
  <si>
    <t>0B2209</t>
  </si>
  <si>
    <t>TRANSPORTE PCTE  BARRERA QUEVEDO RN</t>
  </si>
  <si>
    <t>SERV. MEDICO PCTE BARRERA QUEVEDO RN</t>
  </si>
  <si>
    <t>TRASLADO PCTE PEREZ RUIZ NILSON ANDERSON</t>
  </si>
  <si>
    <t>F001-2336</t>
  </si>
  <si>
    <t>F001-2337</t>
  </si>
  <si>
    <t>TRASLADO PCTE RODRIGUEZ DAVILA LUIS EDUARDO</t>
  </si>
  <si>
    <t>F001-2335</t>
  </si>
  <si>
    <t>OPÉRADOR LOGISTICO DASOSA</t>
  </si>
  <si>
    <t>F001-2188</t>
  </si>
  <si>
    <t xml:space="preserve">MEDEVAC PCTE TRIGOSO GUZMAN MATHIUS IZAN </t>
  </si>
  <si>
    <t>F001 - 2286</t>
  </si>
  <si>
    <t xml:space="preserve">MEDEVAC PCTE BOCANEGRA CAMPO YURI JEANETTE ARLENE </t>
  </si>
  <si>
    <t>F001-2270</t>
  </si>
  <si>
    <t>F001-2280</t>
  </si>
  <si>
    <t>CONTRATO N°54- GRALO-ESSALUD-2023
“CONTRATACION DE SERVICIO PARA TRANSPORTE ASISTIDO DE PACIENTES
POR VIA AEREA AMBULANCIA AEREA SERVICIOS DE EMERGENCIA HOSPITAL III
IQUITOS- ESSALUD RED ASISTENCIAL LORETO”.</t>
  </si>
  <si>
    <t>TRASLADO PCTES ESQUIVEL CASIMIRO PEDRO MATTHEW-SALAZAR CASIMIRO LEONARDO TERRY</t>
  </si>
  <si>
    <t>MEDEVAC PCTE CALCINA LECHUGA, CÉSAR</t>
  </si>
  <si>
    <t>MEDEVAC PCTE RICALDE FLOREZ LEONCIO</t>
  </si>
  <si>
    <t>F001-2372</t>
  </si>
  <si>
    <t>TRASLADO PCTE SABOYA RAMIREZ DIANA MABEL</t>
  </si>
  <si>
    <t>TRASLADO PCTE TUESTA ACUÑA GLADIS</t>
  </si>
  <si>
    <t>F001-1617</t>
  </si>
  <si>
    <t>TRASLADO PCTE NAVARRO CAMPANA JACKELINE SUSAN</t>
  </si>
  <si>
    <t>TRASLADO PCTE NOVOA RUBIO CECILIA ESTEFANY</t>
  </si>
  <si>
    <t>TRASLADO PCTE RAMIREZ GRANDEZ CARLOS SEBASTIAN</t>
  </si>
  <si>
    <t>PEÑA/RODRIGUEZ</t>
  </si>
  <si>
    <t>HOSPITAL DE LAS MERCEDES</t>
  </si>
  <si>
    <t>67.HOSP. BELEN TRUJILLO</t>
  </si>
  <si>
    <t>MOLYA/RODRIGUEZ</t>
  </si>
  <si>
    <t>CU-LIM</t>
  </si>
  <si>
    <t>POEÑA/VALLEJOS</t>
  </si>
  <si>
    <t>MEDEVAC PCTE CARRASCO LOPEZ CIPRIANO</t>
  </si>
  <si>
    <t>MEDEVAC PCTE MONTEMAYOR QUISPE KEYLA EMILIANE</t>
  </si>
  <si>
    <t>F001-2379</t>
  </si>
  <si>
    <t>F001-2380</t>
  </si>
  <si>
    <t>TRASLADO PCTE CULQUI RAMIREZ KAROLAIN</t>
  </si>
  <si>
    <t>MEDEVAC PCTE ISUIZA MURRIETA ALEXANDER</t>
  </si>
  <si>
    <t>TRASLADO PCTE LOPEZ FLORES TEOFILO</t>
  </si>
  <si>
    <t>TRASLADO PCTE BRANCACHO SHAHUANO CARLITA</t>
  </si>
  <si>
    <t>F001-2377</t>
  </si>
  <si>
    <t>F001-2378</t>
  </si>
  <si>
    <t>MEDEVAC PCTE MURAYARI DEL AGUILA JESÚS ANDRÉ</t>
  </si>
  <si>
    <t>APERTURA DE AEROPUERTO 07/01 SERVICIO D ETARAPOTO-TOMAR EN CUENTA PARA FACTURACION</t>
  </si>
  <si>
    <t>TRANSPORTE PCTE DIOSES ZAPATA RN</t>
  </si>
  <si>
    <t>SERV. MEDICO PCTE DIOSES ZAPATA RN</t>
  </si>
  <si>
    <t>F001-2397</t>
  </si>
  <si>
    <t>F001-2381</t>
  </si>
  <si>
    <t>F001-2382</t>
  </si>
  <si>
    <t>F001-2383</t>
  </si>
  <si>
    <t>F001-2384</t>
  </si>
  <si>
    <t>F001-2385</t>
  </si>
  <si>
    <t>F001-2386</t>
  </si>
  <si>
    <t>F001-2387</t>
  </si>
  <si>
    <t>F001-2388</t>
  </si>
  <si>
    <t>F001-2389</t>
  </si>
  <si>
    <t>F001-2390</t>
  </si>
  <si>
    <t>F001-2392</t>
  </si>
  <si>
    <t>F001-2393</t>
  </si>
  <si>
    <t>F001-2394</t>
  </si>
  <si>
    <t>F001-2395</t>
  </si>
  <si>
    <t>F001-2396</t>
  </si>
  <si>
    <t>F001-2398</t>
  </si>
  <si>
    <t>MEDEVAC PCTE VALIENTE SANTAMARIA BRENDA NICOLE</t>
  </si>
  <si>
    <t>MEDEVAC PCTE MORI ARICARA EYMER</t>
  </si>
  <si>
    <t>F001-2374</t>
  </si>
  <si>
    <t>F001-2375</t>
  </si>
  <si>
    <t>GOMEZ QUISPE RUDY</t>
  </si>
  <si>
    <t>aquí</t>
  </si>
  <si>
    <t>MEDEVAC PCTE ALTAMIRANO VEGA JAIME AUGUSTO</t>
  </si>
  <si>
    <t>F001-2302</t>
  </si>
  <si>
    <t>F001-2365</t>
  </si>
  <si>
    <t>MEDEVAC PCTE AREVALO FASANANDO ESTHER ANGELICA</t>
  </si>
  <si>
    <t>GEAN CARLO CASAMAYOR</t>
  </si>
  <si>
    <t xml:space="preserve">geancarlo.casamayor@essalud.gob.pe elmo.salinas@essalud.gob.pe
</t>
  </si>
  <si>
    <t>milagrosrodriguezpinedo@gmail.com</t>
  </si>
  <si>
    <t>MILAGROS RODRIGUEZ PINEDO</t>
  </si>
  <si>
    <t>zulygch@hotmail.com 
logisticavirgendefatima@gmail.com</t>
  </si>
  <si>
    <t>DR. CARLOS VILLANUEVA</t>
  </si>
  <si>
    <t>flor.villanueva@essalud.gog.pe</t>
  </si>
  <si>
    <t xml:space="preserve">LIC.CARLOS LÓPEZ ALGUIAR </t>
  </si>
  <si>
    <t xml:space="preserve">carlos.lopeza@essalud.gob.pe
Carloslopez979@hotmail.com
</t>
  </si>
  <si>
    <t>NELLY MUÑOZ</t>
  </si>
  <si>
    <t>ABEL VASQUEZ</t>
  </si>
  <si>
    <t>CARLA RODRIGUEZ</t>
  </si>
  <si>
    <t>carla.rodriguez@essalud.gob.pe</t>
  </si>
  <si>
    <t>programacion.rpl.especialista1@gmail.com</t>
  </si>
  <si>
    <t>referenciahga@essalud.gob.pe</t>
  </si>
  <si>
    <t>EDGAR VILLANUEVA</t>
  </si>
  <si>
    <t>FACTURACIÓN</t>
  </si>
  <si>
    <t>MIGUEL PANDURO</t>
  </si>
  <si>
    <t>redtarapotofacturacionservicio@gmail.com</t>
  </si>
  <si>
    <t>LIC. NANI TINOCO JEFE REFERENCIAS</t>
  </si>
  <si>
    <t>MEDEVAC PCTE CRUZ CORDOVA LIDIA</t>
  </si>
  <si>
    <t>LA POSITIVA</t>
  </si>
  <si>
    <t>ANDREA VARGAS</t>
  </si>
  <si>
    <t>referenciasalorimac@rimac.com.pe</t>
  </si>
  <si>
    <t>DRA. GUISSELLA JESUS PERALTA</t>
  </si>
  <si>
    <t>GESTORA ATENCION EXTRAHOSPITALARIA</t>
  </si>
  <si>
    <t>F001-2405</t>
  </si>
  <si>
    <t>MEDEVAC PCTE LAURA MIJARES YESHUA MATHIAS</t>
  </si>
  <si>
    <t>MEDEVAC PCTE NEIRA CARRILLO YESICA DEL PILAR</t>
  </si>
  <si>
    <t>MEDEVAC PCTE FARIAS HERRERA JESUS</t>
  </si>
  <si>
    <t>MEDEVAC PCTE TORRE RUEDA JUAN ENRIQUE</t>
  </si>
  <si>
    <t>F001-2422</t>
  </si>
  <si>
    <t>MEDEVAC PCTE RIVERA RAMIREZ DANNAFE</t>
  </si>
  <si>
    <t>MEDEVAC PCTE CASTILLO SOLANO NAEL</t>
  </si>
  <si>
    <t>MEDEVAC PCTE CAMPOS YAHUARA JESUS</t>
  </si>
  <si>
    <t>MEDEVAC PCTE ALEJANDRIA MEDINA NORBIL</t>
  </si>
  <si>
    <t>MEDEVAC PCTE TUANAMA IZQUIERDO LIAN DILAN</t>
  </si>
  <si>
    <t>TRANSPORTE PCTE CHERO IMAN LIAM MATEO</t>
  </si>
  <si>
    <t>SERV. MEDICO PCTE CHERO IMAN LIAM MATEO</t>
  </si>
  <si>
    <t>MEDEVAC PCTE HURTADO ESTANIS MARIO</t>
  </si>
  <si>
    <t>F001-2480</t>
  </si>
  <si>
    <t>01022024</t>
  </si>
  <si>
    <t>02022024</t>
  </si>
  <si>
    <t>MEDEVAC PCTE MACEDO GOMEZ ALDO</t>
  </si>
  <si>
    <t>MEDEVAC PCTE AQUINO AMANQUI YHAEL THIAGO</t>
  </si>
  <si>
    <t>MEDEVAC PCTE HUAMAN DE LIRA LUISA</t>
  </si>
  <si>
    <t>F001-2085</t>
  </si>
  <si>
    <t>MEDEVAC PCTE NAVAL NAVAL DE MERA EVERARDINA</t>
  </si>
  <si>
    <t>04022024</t>
  </si>
  <si>
    <t>CAMARENA/GUIDICHE</t>
  </si>
  <si>
    <t>03022024</t>
  </si>
  <si>
    <t>MEDEVAC PCTE LABAN PISCO ROSMERY HAYLIT</t>
  </si>
  <si>
    <t>F001-2441</t>
  </si>
  <si>
    <t>F001-2442</t>
  </si>
  <si>
    <t>HOSPITAL EL CARMEN</t>
  </si>
  <si>
    <t>12:1|2</t>
  </si>
  <si>
    <t>MEDEVAC PCTE RAMOS ZAVALETA LUAM BRADLEY</t>
  </si>
  <si>
    <t>RM-LIM</t>
  </si>
  <si>
    <t>34. HOSP. REG. TARAPOTO</t>
  </si>
  <si>
    <t>HOSP. HIPOLITO UNANUE- TACNA</t>
  </si>
  <si>
    <t>HOJA DE TRAMITE/APM</t>
  </si>
  <si>
    <t>MEDEVAC PCTE PUMA HUAÑEC HERACLIO</t>
  </si>
  <si>
    <t>F001-2450</t>
  </si>
  <si>
    <t>TRASLADO PCTE CACHIQUE SHUPINGAHUA EWLINGTON</t>
  </si>
  <si>
    <t>F001-2449</t>
  </si>
  <si>
    <t>MEDEVAC PCTE NILDA BARBARAN RAMIREZ</t>
  </si>
  <si>
    <t>MEDEVAC PCTE NELLY VILLAVERDE DIAZ</t>
  </si>
  <si>
    <t>TRASLADO PCTE ROSMERY AQUISE MANTILLA</t>
  </si>
  <si>
    <t>MEDEVAC PCTE NASYA VALENTINA CHAVEZ RAMIREZ</t>
  </si>
  <si>
    <t>TRASLADO PCTE NELLY MORENO DE CARRER</t>
  </si>
  <si>
    <t>F001-2433</t>
  </si>
  <si>
    <t>MEDEVAC PCTE ALEX MONTOYA MOZOMBITE</t>
  </si>
  <si>
    <t>F001-2434</t>
  </si>
  <si>
    <t>TRASLADO PCTE CONSULEO DE JESUS JIMENEZ RIOS</t>
  </si>
  <si>
    <t>F001-2435</t>
  </si>
  <si>
    <t>TRASLADO PCTE OSA ERMINDA PRETELL RENGIFO</t>
  </si>
  <si>
    <t>F001-2436</t>
  </si>
  <si>
    <t>TRASLADO PCTE JIUSTHIN CELIS GARCIA</t>
  </si>
  <si>
    <t>F001-2437</t>
  </si>
  <si>
    <t>F001-2443</t>
  </si>
  <si>
    <t>F001-2444</t>
  </si>
  <si>
    <t>F001-2447</t>
  </si>
  <si>
    <t>F001-2448</t>
  </si>
  <si>
    <t>F001-2432</t>
  </si>
  <si>
    <t>MEDEVAC PCTE ALMUDENA TELLO VARGAS</t>
  </si>
  <si>
    <t>F001-2452</t>
  </si>
  <si>
    <t>F001-2427</t>
  </si>
  <si>
    <t>F001-2415</t>
  </si>
  <si>
    <t>F001-2416</t>
  </si>
  <si>
    <t>F001-2417</t>
  </si>
  <si>
    <t>F001-2418</t>
  </si>
  <si>
    <t>F001-2419</t>
  </si>
  <si>
    <t>F001-2406</t>
  </si>
  <si>
    <t>F001-2407</t>
  </si>
  <si>
    <t>F001-2408</t>
  </si>
  <si>
    <t>F001-2409</t>
  </si>
  <si>
    <t>F001-2410</t>
  </si>
  <si>
    <t>F001-2411</t>
  </si>
  <si>
    <t>F001-2412</t>
  </si>
  <si>
    <t>F001-2413</t>
  </si>
  <si>
    <t>TRASLADO PCTE TORRES SALAZAR SUSY VANESSA</t>
  </si>
  <si>
    <t>CLINICA RODRIGUEZ</t>
  </si>
  <si>
    <t>F001-2439</t>
  </si>
  <si>
    <t>CONTRATO N°76-2023/HAPCSR II-2-1</t>
  </si>
  <si>
    <t>09022024</t>
  </si>
  <si>
    <t>06022024</t>
  </si>
  <si>
    <t>07022024</t>
  </si>
  <si>
    <t>08022024</t>
  </si>
  <si>
    <t>LIM-ZA</t>
  </si>
  <si>
    <t>MEDEVAC PCTE ALMANZA MENDOZA, ANGGIE EDITA</t>
  </si>
  <si>
    <t>MEDEVAC PCTE PEÑA RAMIREZ, RENELDO</t>
  </si>
  <si>
    <t>MEDEVAC PCTE GIL TORRES ALEJANDRIN</t>
  </si>
  <si>
    <t>MEDEVAC PCTE TORO RIVERA JHON</t>
  </si>
  <si>
    <t>MEDEVAC PCTE DEL CAMPO PEREZ EDUARDO SANTIAGO</t>
  </si>
  <si>
    <t>MEDEVAC PCTE SILVA PICÓN JOSE MANUEL</t>
  </si>
  <si>
    <t>MEDEVAC PCTE CABRERA TANCHIVA JAIME SANTIAGO</t>
  </si>
  <si>
    <t>MEDEVAC PCTE CAMARENA FLORES PABLO MAGNO</t>
  </si>
  <si>
    <t xml:space="preserve">MEDEVAC PCTE ARCE BRUFFAU GERARDO ALFONSO </t>
  </si>
  <si>
    <t>MEDEVAC PCTE DE LA CRUZ WILLIAM FRANCO</t>
  </si>
  <si>
    <t>HOSP APOYO SANTIAGO APOSTOL BAGUA GRANDE</t>
  </si>
  <si>
    <t>MEDEVAC PCTE MAYTA URURI RODOLFO ELEUTERIO</t>
  </si>
  <si>
    <t>F001-2462</t>
  </si>
  <si>
    <t>HOSPITAL LAS MERCEDES</t>
  </si>
  <si>
    <t>OPERADORES DASOSA</t>
  </si>
  <si>
    <t>MEDEVAC PCTE TAIPE CCORA DIANA</t>
  </si>
  <si>
    <t>F001-2465</t>
  </si>
  <si>
    <t>MEDEVAC PCTE PADILLA SAENZ DE TELLO MARIA DEL CARMEN</t>
  </si>
  <si>
    <t>MEDEVAC PCTE MELENDEZ REATEGUI LUIS RONNY</t>
  </si>
  <si>
    <t>MEDEVAC PCTE RODRIGUEZ FLORES RAUL</t>
  </si>
  <si>
    <t>CHARTER 1era  PART PRINC</t>
  </si>
  <si>
    <t>CHARTER 2da PART PRINC</t>
  </si>
  <si>
    <t>F001-2458</t>
  </si>
  <si>
    <t>F001-2459</t>
  </si>
  <si>
    <t>F001-2457</t>
  </si>
  <si>
    <t>MEDEVAC PCTE VILLAREAL VASQUEZ MARY LILIA</t>
  </si>
  <si>
    <t>MEDEVAC PCTE REATEGUI CORDOVA WILLIAM MANUEL</t>
  </si>
  <si>
    <t>MEDEVAC PCTE TARRILLO ROJAS BERCELISA</t>
  </si>
  <si>
    <t>BURBSNO/PEREA</t>
  </si>
  <si>
    <t>HOSP. II DE SULLANA</t>
  </si>
  <si>
    <t>TRASLADO PCTE HUAZANGA ICAHUATE ANA LIZ</t>
  </si>
  <si>
    <t>SERVICIO DE TRANSPORTE AÉREO PCTE PRIETO ESTELA RN</t>
  </si>
  <si>
    <t>SERVICIO MÉDICO INTEGRAL EN AMBULANCIA AÉREA PCTE PRIETO ESTELA RN</t>
  </si>
  <si>
    <t>F001-2471</t>
  </si>
  <si>
    <t>F001-2472</t>
  </si>
  <si>
    <t>F001-2469</t>
  </si>
  <si>
    <t>F001-2474</t>
  </si>
  <si>
    <t>CAMARENA/CAMARENA</t>
  </si>
  <si>
    <t>HONORIO DELGADO</t>
  </si>
  <si>
    <t>JAMO</t>
  </si>
  <si>
    <t>PCCL-LIM</t>
  </si>
  <si>
    <t>TRASLADO PCTE LUIS FERNANDO CUEVA TARICUARIMA</t>
  </si>
  <si>
    <t>TRASLADO PCTE ROSA AURORA MANUHUARI VASQUEZ VDA DE MANUYAMA</t>
  </si>
  <si>
    <t>TRASLADO PCTE BACILIA SARA MOLFINO FARFAN</t>
  </si>
  <si>
    <t>F001-2463</t>
  </si>
  <si>
    <t>F001-2464</t>
  </si>
  <si>
    <t>F001-2473</t>
  </si>
  <si>
    <t>MEDEVAC PCTE HINOJOSA HUAMAN JOE JOEL</t>
  </si>
  <si>
    <t>F001-2477</t>
  </si>
  <si>
    <t>MEDEVAC PCTE MATIAS LOPEZ AITANA AYRIS</t>
  </si>
  <si>
    <t>MEDEVAC PCTE VARGAS VALLES CESAR ORLANDO</t>
  </si>
  <si>
    <t>MEDEVAC PCTE EIZAGUIRRE ROBALINO RAMON ARTURO</t>
  </si>
  <si>
    <t>MEDEVAC PCTE FLORES AÑASCO GRECCIA LUCERO</t>
  </si>
  <si>
    <t>F001-2485</t>
  </si>
  <si>
    <t>F001-2486</t>
  </si>
  <si>
    <t>F001-2487</t>
  </si>
  <si>
    <t>F001-2460</t>
  </si>
  <si>
    <t>TRASLADO PCTE ETTY LUZ RODRIGUEZ PEREZ</t>
  </si>
  <si>
    <t>TRASLADO PCTE JULIO CESAR ECHEBARRIA DIAZ</t>
  </si>
  <si>
    <t>F001-2479</t>
  </si>
  <si>
    <t>F001-2490</t>
  </si>
  <si>
    <t>F001-2491</t>
  </si>
  <si>
    <t>F001-2430</t>
  </si>
  <si>
    <t>F001-2431</t>
  </si>
  <si>
    <t>HOSP. REG DE CHULUCANAS</t>
  </si>
  <si>
    <t>69.HOSP. CHULUCANAS</t>
  </si>
  <si>
    <t>BAGUA GRANDE</t>
  </si>
  <si>
    <t>DRA VIOLETA LILIANA FLORES</t>
  </si>
  <si>
    <t>MEDEVAC PCTE ASPAJO HUANUIRI DANIEL ALEXANDER</t>
  </si>
  <si>
    <t xml:space="preserve">MEDEVAC PCTE IRARICA GUEVARA DARWIN RODRIGO </t>
  </si>
  <si>
    <t>F001-2494</t>
  </si>
  <si>
    <t>B001-66</t>
  </si>
  <si>
    <t>01032024</t>
  </si>
  <si>
    <t>04032024</t>
  </si>
  <si>
    <t>03032024</t>
  </si>
  <si>
    <t>CAMARENA/GUDICHE</t>
  </si>
  <si>
    <t>02032024</t>
  </si>
  <si>
    <t>MEDEVAC PCTE AMPUERO MUÑOZ FELIX</t>
  </si>
  <si>
    <t>MEDEVAC PCTE VALDEZ MEJIA MAURO JUNIOR</t>
  </si>
  <si>
    <t>MEDEVAC PCTE TAIPE RAMOS LINA URSULA</t>
  </si>
  <si>
    <t>MEDEVAC PCTE  ZEVALLOS VILELA VDA DE GAMARRA CLOTILDE</t>
  </si>
  <si>
    <t>MEDEVAC PCTE JULCA DE SALAZAR ISABEL</t>
  </si>
  <si>
    <t>MEDEVAC PCTE OTERO PEÑA ARTURO</t>
  </si>
  <si>
    <t>05032024</t>
  </si>
  <si>
    <t>HOSP. LAS MERCEDES</t>
  </si>
  <si>
    <t>07032024</t>
  </si>
  <si>
    <t>TRASLADO PCTE PACHECO SOTO ALFONSO</t>
  </si>
  <si>
    <t>F001-2496</t>
  </si>
  <si>
    <t>F001-2497</t>
  </si>
  <si>
    <t xml:space="preserve">TRASLADO PCTE LOPEZ AREVALO VIVIAN LIZETH </t>
  </si>
  <si>
    <t>TRASLADO PCTE SILVA RENGIFO CARLOS EDUARDO</t>
  </si>
  <si>
    <t xml:space="preserve">TRASLADO PCTE DEL AGUILA GUEVARA ROBERTO CARLOS </t>
  </si>
  <si>
    <t xml:space="preserve">TRASLADO PCTE SAJAMI VDA E VASQUEZ ROSARIO RAMIREZ </t>
  </si>
  <si>
    <t>TRASLADO PCTE MARLENE GUEVARA RUIZ</t>
  </si>
  <si>
    <t>F001-2498</t>
  </si>
  <si>
    <t>F001-2499</t>
  </si>
  <si>
    <t>F001-2500</t>
  </si>
  <si>
    <t>F001-2506</t>
  </si>
  <si>
    <t>MEDEVAC PCTE BARBARAN GARCIA DARWING ALEX</t>
  </si>
  <si>
    <t>MEDEVAC PCTE VIENA COLLAZOS ALATZ VALENTIN</t>
  </si>
  <si>
    <t>TRANSPORTE AMBULANCIA AEREA PCTE MORALES ARPE JOSE ANTONIO</t>
  </si>
  <si>
    <t>ASISTENCIA MEDICA PCTE MORALES ARPE JOSE ANTONIO</t>
  </si>
  <si>
    <t>F001-2508</t>
  </si>
  <si>
    <t>F001-2510</t>
  </si>
  <si>
    <t>08032024</t>
  </si>
  <si>
    <t>09032024</t>
  </si>
  <si>
    <t>10032024</t>
  </si>
  <si>
    <t>HOSP. STA ROSA PIURA</t>
  </si>
  <si>
    <t>MEDEVAC PCTE ROJAS DE CAMPOS NATIVIDAD DE JESÚS</t>
  </si>
  <si>
    <t>MEDEVAC PCTE QUICHIZ ALVARADO EITHAM GAEL</t>
  </si>
  <si>
    <t>F001-2504</t>
  </si>
  <si>
    <t>F001-2503</t>
  </si>
  <si>
    <t>MEDEVAC PCTE CARRION SANCHEZ EMILIO</t>
  </si>
  <si>
    <t>MEDEVAC PCTE CHAVEZ CHACALTANA RICARDO WILLIAM</t>
  </si>
  <si>
    <t>F001-2518</t>
  </si>
  <si>
    <t>F001-2519</t>
  </si>
  <si>
    <t>BENAVENTE/VALLEEJOS</t>
  </si>
  <si>
    <t>HOSP. BELEN DE TRUJILLO</t>
  </si>
  <si>
    <t>F001-2483</t>
  </si>
  <si>
    <t>F001-2484</t>
  </si>
  <si>
    <t>MEDEVAC PCTE AÑO DE UGARTE MARIA FAUSTINA</t>
  </si>
  <si>
    <t>F001-2520</t>
  </si>
  <si>
    <t>F001-2521</t>
  </si>
  <si>
    <t>MEDEVAC PCTE UBILLUS ORCHEZ JACOB KALETH</t>
  </si>
  <si>
    <t>MEDEVAC PCTE ALBERCA JUWAU XIOMARA</t>
  </si>
  <si>
    <t>F001-2517</t>
  </si>
  <si>
    <t>F001-2501</t>
  </si>
  <si>
    <t>TRASLADO PCTE LILIAN VIVIANA CHAVEZ LEON</t>
  </si>
  <si>
    <t>TRASLADO PCTE NORITH RAMIREZ TUANAMA</t>
  </si>
  <si>
    <t>F001-2513</t>
  </si>
  <si>
    <t>F001-2512</t>
  </si>
  <si>
    <t>MEDEVAC PCTE GLADYS ROMINA CARDENAS GONZALES</t>
  </si>
  <si>
    <t>F001-2515</t>
  </si>
  <si>
    <t>MEDEVAC PCTE ESPINO TORRES HENRY</t>
  </si>
  <si>
    <t>F001-2522</t>
  </si>
  <si>
    <t>MEDEVAC PCTE DE LA CRUZ GUERRERO ALESSIO GAEL</t>
  </si>
  <si>
    <t xml:space="preserve">MEDEVAC PCTE FERNANDEZ PAISIC JACK STIVER </t>
  </si>
  <si>
    <t>MEDEVAC PCTE RIMARACHIN URRUTIA ALEXIS ADRIAN</t>
  </si>
  <si>
    <t>MEDEVAC PCTE RODRIGUEZ FERNANDEZ, GILBER</t>
  </si>
  <si>
    <t>FENIX GROUP</t>
  </si>
  <si>
    <t xml:space="preserve">MEDEVAC PCTE MAMANI MELO SANTOS ENRIQUE </t>
  </si>
  <si>
    <t>MEDEVAC PCTE AGUIRRE QUISPE CORALINE COLETTE</t>
  </si>
  <si>
    <t>MEDEVAC PCTE ZAPATA BUSTAMANTE VALERIA</t>
  </si>
  <si>
    <t>MEDEVAC PCTE DAVILA ARRASCUE LUZ ESMILDA</t>
  </si>
  <si>
    <t>MEDEVAC PCTE PAZ ATANACIO GIANNA ANDREA</t>
  </si>
  <si>
    <t>MEDEVAC PCTE TUESTA CIENFUEGOS MARIANA NICOLE</t>
  </si>
  <si>
    <t>MEDEVAC PCTE ANGULO MORI MANUEL MAURICIO</t>
  </si>
  <si>
    <t>MEDEVAC PCTE CASTILLO SALCEDO VERONICA VANESA</t>
  </si>
  <si>
    <t>MEDEVAC PCTE MENDOZA SOLUCO DELBER</t>
  </si>
  <si>
    <t>MEDEVAC PCTE PONTE CAMPOS JOSHUA JAZIEL</t>
  </si>
  <si>
    <t>MEDEVAC PCTE OLIVARES SILVA CARLOS ALEXIS</t>
  </si>
  <si>
    <t>MOYA/RODRIGUEZ/OBS ALARCON</t>
  </si>
  <si>
    <t>DASOSA</t>
  </si>
  <si>
    <t>HOSP. REGIONAL CAJAMARCA</t>
  </si>
  <si>
    <t>F001-2528</t>
  </si>
  <si>
    <t>F001-2529</t>
  </si>
  <si>
    <t>F001-2530</t>
  </si>
  <si>
    <t>MEDEVAC PCTE CRISOLOGO CABALLERO JOVER LI</t>
  </si>
  <si>
    <t>F001-2531</t>
  </si>
  <si>
    <t>F001-2532</t>
  </si>
  <si>
    <t>F001-2533</t>
  </si>
  <si>
    <t>TIRADO7GUIDICHE</t>
  </si>
  <si>
    <t>ONAYA YACON EIRL</t>
  </si>
  <si>
    <t>F001-2536</t>
  </si>
  <si>
    <t>F001-2537</t>
  </si>
  <si>
    <t>TRANSPORTE PCTE VINCES PURIZAGA KHALESSI</t>
  </si>
  <si>
    <t>F001-2535</t>
  </si>
  <si>
    <t>MEDEVAC PCTE MANTILLA LINARES ALIPIO JUAN</t>
  </si>
  <si>
    <t>F001-2551</t>
  </si>
  <si>
    <t>MEDEVAC PCTE JAZMIN SORIA BABILONIA</t>
  </si>
  <si>
    <t>TRASLADO PCTE SAMANTHA FUENTES RAMOS</t>
  </si>
  <si>
    <t>TRASLADO PCTE GUTY PAMELA SANDOVAL VELA</t>
  </si>
  <si>
    <t>TRASLADO PCTE ADRIANA CAMILA RENGIFO GUERRA</t>
  </si>
  <si>
    <t>MEDEVAC PCTE CARLITOS MARTIN VASQUEZ QUISPE</t>
  </si>
  <si>
    <t>MEDEVAC PCTE GABRIELA JAZMIN PAIMA FASABI</t>
  </si>
  <si>
    <t>F001-2545</t>
  </si>
  <si>
    <t>F001-2544</t>
  </si>
  <si>
    <t>F001-2540</t>
  </si>
  <si>
    <t>F001-2542</t>
  </si>
  <si>
    <t>F001-2543</t>
  </si>
  <si>
    <t>F001-2547</t>
  </si>
  <si>
    <t>MEDEVAC PCTE MARIELA GOMEZ DELGADO</t>
  </si>
  <si>
    <t>TRASLADO PCTE LANCA ELIZABETH MARTINEZ DE ARISTA</t>
  </si>
  <si>
    <t>F001-2546</t>
  </si>
  <si>
    <t>F001-2548</t>
  </si>
  <si>
    <t>F001-2553</t>
  </si>
  <si>
    <t>F001-2554</t>
  </si>
  <si>
    <t>MEDEVAC PCTE NORIEGA LINARES CARLOS OCTAVIO</t>
  </si>
  <si>
    <t>F001-2552</t>
  </si>
  <si>
    <t>HOSP. BAGUA CHICA</t>
  </si>
  <si>
    <t>ESSALUD HUANCAVELICA</t>
  </si>
  <si>
    <t>71.ESSALUD HUANCAVELICA</t>
  </si>
  <si>
    <t>MEDEVAC PCTE RIVAS GUERRA EVELYN DEL CARMEN</t>
  </si>
  <si>
    <t>MEDEVAC PCTE CACHIQUE ACHO NADINE ESTEFANI</t>
  </si>
  <si>
    <t>F001-2555</t>
  </si>
  <si>
    <t>F001-2556</t>
  </si>
  <si>
    <t>MZA-LIM</t>
  </si>
  <si>
    <t>MEDEVAC PCTE REATEGUI BARTRA HERMAN MARTIN</t>
  </si>
  <si>
    <t>F001-2557</t>
  </si>
  <si>
    <t>HOSP. HONORIO DELGADO -AREQUIPA</t>
  </si>
  <si>
    <t>MEDEVAC PCTE GAMARRA CHAÑI JOSHIMAR ALEXANDER</t>
  </si>
  <si>
    <t>MEDEVAC PCTE HUAMAN GARCIA MARVIN GERALD</t>
  </si>
  <si>
    <t>F001-2558</t>
  </si>
  <si>
    <t>MEDEVAC PCTE PUYUPAT KAYAP ADY</t>
  </si>
  <si>
    <t>SAETA</t>
  </si>
  <si>
    <t>F001-2524</t>
  </si>
  <si>
    <t>F001-2538</t>
  </si>
  <si>
    <t>MOYA/RODRIGUEZ/ALARCON</t>
  </si>
  <si>
    <t>MOYTA/PEREA/ALARCON</t>
  </si>
  <si>
    <t>MEDEVAC PCTE GARMENDIA GALLEGOS MARCO ANTONIO</t>
  </si>
  <si>
    <t>MEDEVAC PCTE VALER BARCENA HUGO ERNESTO</t>
  </si>
  <si>
    <t>F001-2560</t>
  </si>
  <si>
    <t>F001-2561</t>
  </si>
  <si>
    <t>MEDEVAC PCTE CCAYO VIVANCO LHIAM GHAEL</t>
  </si>
  <si>
    <t>F001-2562</t>
  </si>
  <si>
    <t>MEDEVAC PCTE BARDALES VASQUEZ JESUS MARTIN</t>
  </si>
  <si>
    <t>MEDEVAC PCTE ROJAS VDA DE YALTA ELVA MARIA</t>
  </si>
  <si>
    <t>MEDEVAC PCTE ELJARRATE ACHO HARLIN</t>
  </si>
  <si>
    <t>MEDEVAC PCTE ZUÑIGA REYES EVANS NATHAN</t>
  </si>
  <si>
    <t>MEDEVAC PCTE RAMOS GALLARDO CESAR BREYNER</t>
  </si>
  <si>
    <t>MEDEVAC PCTE VALDIVIA VALDIVIA TEOFILO</t>
  </si>
  <si>
    <t>MEDEVAC PCTE CORTEZ PAUCAR NELSON YOEL</t>
  </si>
  <si>
    <t>MEDEVAC PCTE FALCON DURAN EMERCIO BENITO</t>
  </si>
  <si>
    <t xml:space="preserve">HOSP. BAGUA </t>
  </si>
  <si>
    <t>MEDEVAC PCTE OLIVERA SANTA CRUZ TIAGO VALENTINO</t>
  </si>
  <si>
    <t>MEDEVAC PCTE ISUIZA ARTEAGA CARLOS ALBERTO</t>
  </si>
  <si>
    <t>F001-2565</t>
  </si>
  <si>
    <t>F001-2539</t>
  </si>
  <si>
    <t>MARGARITA MILAGROS BAZAN ASCENCIOS</t>
  </si>
  <si>
    <t>020420244</t>
  </si>
  <si>
    <t>SERV. MEDICO PCTE PAREDES ARCE MARI CARMEN</t>
  </si>
  <si>
    <t>TRANSPORTE PCTE  PAREDES ARCE MARI CARMEN</t>
  </si>
  <si>
    <t>TRANSPORTE PCTE LUNA SOCOLA DANIEL</t>
  </si>
  <si>
    <t>SERV. MEDICO PCTE LUNA SOCOLA DANIEL</t>
  </si>
  <si>
    <t>F001-2570</t>
  </si>
  <si>
    <t>F001-2571</t>
  </si>
  <si>
    <t>F001-2572</t>
  </si>
  <si>
    <t>F001-2573</t>
  </si>
  <si>
    <t>F001-2575</t>
  </si>
  <si>
    <t>F001-2576</t>
  </si>
  <si>
    <t>F001-2577</t>
  </si>
  <si>
    <t>F001-2578</t>
  </si>
  <si>
    <t>F001-2580</t>
  </si>
  <si>
    <t>F001-2581</t>
  </si>
  <si>
    <t>03042024</t>
  </si>
  <si>
    <t>04042024</t>
  </si>
  <si>
    <t>MOYA/PEREA/M</t>
  </si>
  <si>
    <t>F001-2583</t>
  </si>
  <si>
    <t>UNIDAD EJECUTORA 404 - SALUD UTCUBAMBA</t>
  </si>
  <si>
    <t>68.UNIDAD EJECUTORA 404 - SALUD UTCUBAMBA</t>
  </si>
  <si>
    <t>05042024</t>
  </si>
  <si>
    <t>HOSP. HONORIO DELGADO AREQUIPA</t>
  </si>
  <si>
    <t>F001-2585</t>
  </si>
  <si>
    <t>F001-2586</t>
  </si>
  <si>
    <t>F001-2534</t>
  </si>
  <si>
    <t>07042024</t>
  </si>
  <si>
    <t>08042024</t>
  </si>
  <si>
    <t>MEDEVAC PCTE SERRANO GONZALES ALFREDO</t>
  </si>
  <si>
    <t>F001-2590</t>
  </si>
  <si>
    <t xml:space="preserve">MEDEVAC PCTE PEÑA RIVADENEIRA MATT JARED </t>
  </si>
  <si>
    <t>F001-2591</t>
  </si>
  <si>
    <t>09042024</t>
  </si>
  <si>
    <t>HIPOLITO UNANUE</t>
  </si>
  <si>
    <t>MOYA/RODRIGUEZ/S</t>
  </si>
  <si>
    <t>F001-2592</t>
  </si>
  <si>
    <t>MEDEVAC PCTE APAZA ARA ALEXXIA ASHLYN</t>
  </si>
  <si>
    <t xml:space="preserve">MEDEVAC PCTRE HUANCA HUANCA MARTINA </t>
  </si>
  <si>
    <t>SOL. CONCILIACIÓN FALLIDA- PROYECTA VISITA</t>
  </si>
  <si>
    <t>MEDEVAC PCTE GUTIERREZ VARGAS CALIP JASAN</t>
  </si>
  <si>
    <t>FECHA PAGO-ENVIO</t>
  </si>
  <si>
    <t>FECHA PAGO-ENVÍO</t>
  </si>
  <si>
    <t>MEDEVAC PCTE POBLETE MONGE JOSÉ BALDOMERO</t>
  </si>
  <si>
    <t>MEDEVAC PCTE ORTÍZ CARPIO HERNAN LUIS</t>
  </si>
  <si>
    <t>ENVIADO</t>
  </si>
  <si>
    <t>ESPERANDO PRESUPUESTO ENTIDAD</t>
  </si>
  <si>
    <t>MEDEVAC PCTE PAREDES TACO ANICETO</t>
  </si>
  <si>
    <t>EN RECONOCIMIENTO</t>
  </si>
  <si>
    <t>MEDEVAC PCTE PARIONA SINCHE ALFREDO</t>
  </si>
  <si>
    <t>F001-2593</t>
  </si>
  <si>
    <t>TRASALDO PCTE PANDURO MONCADA, VICTOR MANUEL</t>
  </si>
  <si>
    <t>TRASLADO PCTE PINTA REVILLA MAGALI</t>
  </si>
  <si>
    <t>MEDEVAC PCTE NAVARRO DE SAAVEDRA IRMA</t>
  </si>
  <si>
    <t>MEDEVAC PCTE CHICOMA ARELLANO PEDRO MIGUEL</t>
  </si>
  <si>
    <t>MEDEVAC PCTE CAMPOS CACHIQUE WALTER</t>
  </si>
  <si>
    <t>F001-2584</t>
  </si>
  <si>
    <t>TRASLADO PCTE LOZANO ALEGRIA RULEN</t>
  </si>
  <si>
    <t>ESTA EN CONCILIACIÓN CON RESOLUCION Y ACTA PARA EL PAGO</t>
  </si>
  <si>
    <t>MEDEVAC PCTE REYNOSO RAMIREZ REYNALDO JERSHON</t>
  </si>
  <si>
    <t>TRASLADO PCTE MORI PANDURO SEGUNDO WILL ANTONIO</t>
  </si>
  <si>
    <t>TRASLADO PCTE ALVA RUIZ SOL YAREL</t>
  </si>
  <si>
    <t>MEDEVAC PCTE ALVAREZ MINAYA UBALDO</t>
  </si>
  <si>
    <t>F001-2594</t>
  </si>
  <si>
    <t>HOSP. CARMEN HUANCAYO</t>
  </si>
  <si>
    <t>HOSP. BELEN TRUJILLO</t>
  </si>
  <si>
    <t>BENAVENTE/ALARCON</t>
  </si>
  <si>
    <t>66.HOSP. REG. CAJAMARCA</t>
  </si>
  <si>
    <t>ANITA MENDIVES</t>
  </si>
  <si>
    <t>PROCESOS LOGISTICA</t>
  </si>
  <si>
    <t>ZAIDA QUIROGA</t>
  </si>
  <si>
    <t>MEDEVAC PCTE VELASQUEZ ÑAUPA DEYSI MARA</t>
  </si>
  <si>
    <t>HOSP. REG. SULLANA</t>
  </si>
  <si>
    <t>F001-2602</t>
  </si>
  <si>
    <t>MEDEVAC PCTE RICO QUISPE ROBERTH ENRIQUE</t>
  </si>
  <si>
    <t>F001-2603</t>
  </si>
  <si>
    <t>OPERADORES LOGISTICOS DASOSA</t>
  </si>
  <si>
    <t>F001-2619</t>
  </si>
  <si>
    <t>MEDEVAC PCTE MALDONADO ROMERO RN</t>
  </si>
  <si>
    <t>F001-2624</t>
  </si>
  <si>
    <t>MEDEVAC PCTE REYES QUEZADA JOSTIN ERICKSON</t>
  </si>
  <si>
    <t>MEDEVAC PCTE REATEGUI NATORCE JOSE LUIS</t>
  </si>
  <si>
    <t>F001-2625</t>
  </si>
  <si>
    <t>F001-2626</t>
  </si>
  <si>
    <t>MEDEVAC PCTE ACOSTA PORTOCARRERO RODRIGO JESÚS</t>
  </si>
  <si>
    <t>F001-2627</t>
  </si>
  <si>
    <t>F001-2596</t>
  </si>
  <si>
    <t>F001-2598</t>
  </si>
  <si>
    <t>F001-2599</t>
  </si>
  <si>
    <t>F001-2605</t>
  </si>
  <si>
    <t>CONTRATO 25 SALUDPOL</t>
  </si>
  <si>
    <t>MEDEVAC PCTE VILLALBA VELASQUEZ JUAN JESUS A</t>
  </si>
  <si>
    <t>F001-2628</t>
  </si>
  <si>
    <t>F001-2629</t>
  </si>
  <si>
    <t>MEDEVAC PCTE ALVARADO VASQUEZ ROLANDO FRED</t>
  </si>
  <si>
    <t>MEDEVAC PCTE PEZO AHUANARI ALMENDRA ANALI</t>
  </si>
  <si>
    <t>F001-2631</t>
  </si>
  <si>
    <t>MEDEVAC PCTE ROBLES VALDEZ DANIEL ALEJANDRO</t>
  </si>
  <si>
    <t>F001-2632</t>
  </si>
  <si>
    <t>F001-2630</t>
  </si>
  <si>
    <t>CARMEN QUISPE DE YANTAS</t>
  </si>
  <si>
    <t>F001-2606</t>
  </si>
  <si>
    <t>F001-2607</t>
  </si>
  <si>
    <t>F001-2608</t>
  </si>
  <si>
    <t>F001-2609</t>
  </si>
  <si>
    <t>F001-2209  F001-2610</t>
  </si>
  <si>
    <t>F001-2610</t>
  </si>
  <si>
    <t>F001-2612</t>
  </si>
  <si>
    <t>F001-2611</t>
  </si>
  <si>
    <t>F001-2613</t>
  </si>
  <si>
    <t>F001-2614</t>
  </si>
  <si>
    <t>F001-2616</t>
  </si>
  <si>
    <t>F001-2617</t>
  </si>
  <si>
    <t>F001-2618</t>
  </si>
  <si>
    <t>PEÑA/ALARCON</t>
  </si>
  <si>
    <t>BURBANO/ALARCON</t>
  </si>
  <si>
    <t>MAG</t>
  </si>
  <si>
    <t>TRASLADO PCTE  RUIZ ARCENTALES LINDIS ELIZETH</t>
  </si>
  <si>
    <t>F001-2633</t>
  </si>
  <si>
    <t>TRASLADO PCTE MORI VASQUEZ JOSE MAGNO</t>
  </si>
  <si>
    <t>F001-2634</t>
  </si>
  <si>
    <t>HOSP. II SULLANA</t>
  </si>
  <si>
    <t>MEDEVAC PCTE ZARATE ROZAS DAVID CESAR</t>
  </si>
  <si>
    <t>F001-2638</t>
  </si>
  <si>
    <t>MEDEVAC PCTE SALAZAR URRUTIA CIRILO</t>
  </si>
  <si>
    <t>F001-2639</t>
  </si>
  <si>
    <t>MEDEVAC PCTE BURGA VEGA JORGE KEVIN</t>
  </si>
  <si>
    <t>F001-2600</t>
  </si>
  <si>
    <t>MEDEVAC PCTE AREVALO MALAFAYA, JOSE LAURO</t>
  </si>
  <si>
    <t>F001-2637</t>
  </si>
  <si>
    <t>MEDEVAC PCTE CARTAGENA CHACO VICTOR LINO</t>
  </si>
  <si>
    <t>SERV. MEDICO PCTE VINCES PURIZAGA KHALESSI CAETANA</t>
  </si>
  <si>
    <t>F001-2644</t>
  </si>
  <si>
    <t>F001-2645</t>
  </si>
  <si>
    <t>F001-2643</t>
  </si>
  <si>
    <t>MEDEVAC PCTE PAREDES FLORES DIEGO</t>
  </si>
  <si>
    <t>MEDEVAC PCTE GONZALES MEJIA MONICA ANTONELLA</t>
  </si>
  <si>
    <t>F001-2652</t>
  </si>
  <si>
    <t xml:space="preserve">PEÑA/PEREA </t>
  </si>
  <si>
    <t>VALLES/PEÑA</t>
  </si>
  <si>
    <t>HUARAZ-LIM</t>
  </si>
  <si>
    <t>MOYA/ALARCON</t>
  </si>
  <si>
    <t>CAMARENA/R</t>
  </si>
  <si>
    <t>TRANSPORTE PCTE SOSA ESQUEN FAUSTINO</t>
  </si>
  <si>
    <t>SERV. MEDICO PCTE SOSA ESQUEN FAUSTINO</t>
  </si>
  <si>
    <t>MEDEVAC PCTE DELGADO VALIENTE VALENTINA SOLANSH</t>
  </si>
  <si>
    <t>MEDEVAC PCTE FERNANDEZ ALARCÓN LOGAN URIEL</t>
  </si>
  <si>
    <t>MEDEVAC PCTE SAMAME MERA ELAR</t>
  </si>
  <si>
    <t>MEDEVAC PCTE TARICUARIMA MANIHUARI SOFIA MICAELA</t>
  </si>
  <si>
    <t>MEDEVAC PCTE DIAZ NUNURA ELMER MARTIN ANDERSON</t>
  </si>
  <si>
    <t>MEDEVAC PCTE LEON GARCIA DE ABANTO GINA DEL MILAGRO</t>
  </si>
  <si>
    <t>MEDEVAC PCTE MANRIQUE RIVAS GUILLERMO SIMÓN</t>
  </si>
  <si>
    <t>MEDEVAC PCTE RAMOS CAMIZAN WILLIAN WILBERTO</t>
  </si>
  <si>
    <t>MEDEVAC PCTE CLAUDIO TIBURCIO YURIEL DAFNE</t>
  </si>
  <si>
    <t>MEDEVAC PCTE COLLANQUI BELLOTA NELSON FABRIZIO</t>
  </si>
  <si>
    <t>MEDEVAC PCTE MURGA ANGELES ROSARIO SOLEDAD</t>
  </si>
  <si>
    <t>F001-2672</t>
  </si>
  <si>
    <t>F001-2673</t>
  </si>
  <si>
    <t>F001-2674</t>
  </si>
  <si>
    <t>F001-2675</t>
  </si>
  <si>
    <t>F001-2676</t>
  </si>
  <si>
    <t>F001-2677</t>
  </si>
  <si>
    <t>F001-2678</t>
  </si>
  <si>
    <t>F001-2679</t>
  </si>
  <si>
    <t>F001-2680</t>
  </si>
  <si>
    <t>MEDEVAC PCTE JARA BURGA JHOSEP CALEFT</t>
  </si>
  <si>
    <t>F001-2681</t>
  </si>
  <si>
    <t>VALLES/BENAVENTE</t>
  </si>
  <si>
    <t>ESSALUD  LORETO</t>
  </si>
  <si>
    <t>PEÑA/S</t>
  </si>
  <si>
    <t>CONTRATO N° 11- GRALO-ESSALUD-2024
“CONTRATACION DE SERVICIO PARA TRANSPORTE ASISTIDO DE PACIENTES
POR VIA AEREA AMBULANCIA AEREA SERVICIOS DE EMERGENCIA HOSPITAL III
IQUITOS- ESSALUD RED ASISTENCIAL LORETO”.</t>
  </si>
  <si>
    <t>CONTRATO Nº 017-2024-HRA                   X 05 SERVICIOS</t>
  </si>
  <si>
    <t>MEDEVAC PCTE VARGAS LOZANO ERNESTO</t>
  </si>
  <si>
    <t>MEDEVAC PCTE DEL AGUILA ARIRAMA ARIUS</t>
  </si>
  <si>
    <t>F001-2682</t>
  </si>
  <si>
    <t>F001-2683</t>
  </si>
  <si>
    <t>MEDEVAC PCTE INGA DEL CASTILLO SANTIAGO DARIEL</t>
  </si>
  <si>
    <t>F001-2685</t>
  </si>
  <si>
    <t>MEDEVAC PCTE HUAYCOCHEA HUARACCA ARTURO</t>
  </si>
  <si>
    <t>TRANSPORTE PCTE HERRERA CARRILLO JHON JAIRO</t>
  </si>
  <si>
    <t>SERV. MEDICO PCTE HERRERA CARRILLO JHON JAIRO</t>
  </si>
  <si>
    <t>HOSP. REGIONAL AYACUCHO</t>
  </si>
  <si>
    <t>BENAVENTE/SANCHEZ</t>
  </si>
  <si>
    <t>BURBANO/SANCHEZ</t>
  </si>
  <si>
    <t>CAMARENA/SANCHEZ</t>
  </si>
  <si>
    <t>MEDEVAC PCTE QUISPE QUICHUA MARIELA</t>
  </si>
  <si>
    <t>F001-2689</t>
  </si>
  <si>
    <t>MEDEVAC PCTE ATOCHA HERNANDO RN</t>
  </si>
  <si>
    <t>F001-2686</t>
  </si>
  <si>
    <t>TRASLADO PCTE ESPINOZA MACEDO, FRANCO ENRIQUE</t>
  </si>
  <si>
    <t>F001-2690</t>
  </si>
  <si>
    <t>F001-2696</t>
  </si>
  <si>
    <t>F001-2691</t>
  </si>
  <si>
    <t>F001-2692</t>
  </si>
  <si>
    <t>PEÑA/SANCHEZ/ALARCON</t>
  </si>
  <si>
    <t>MEDEVAC PCTE PAREDES MALDONADO WILDER</t>
  </si>
  <si>
    <t>MEDEVAC PCTE MIRICHIN PIZANGO LUZ PALMIR</t>
  </si>
  <si>
    <t>MEDEVAC PCTE FUENTES VALLEJOS RONALD HENRY</t>
  </si>
  <si>
    <t>MEDEVAC PCTE SANCHEZ GARCIA JHONAN</t>
  </si>
  <si>
    <t>TRASLADO PCTE SANGAMA SINARAHUA MELITA</t>
  </si>
  <si>
    <t>TRASLADO PCTE MOZOMBITE RENGIFO LUCIA</t>
  </si>
  <si>
    <t>TRASLADO PCTE BARDALEZ CORDOVA MARBELLY</t>
  </si>
  <si>
    <t>TRASLADO PCTE ISUIZA SINARAHUA RUSEL</t>
  </si>
  <si>
    <t>MEDEVAC PCTE MONJA MIO JOSE DE LOS SANTOS</t>
  </si>
  <si>
    <t>F001-2699</t>
  </si>
  <si>
    <t>BENAVENTE/VALLEJOS/M</t>
  </si>
  <si>
    <t xml:space="preserve">TRASLADO PCTE RAMIREZ ZUMAETA LILA </t>
  </si>
  <si>
    <t>F001-2697</t>
  </si>
  <si>
    <t>TRASLADO PCTE ALBERTO S. ESCUDERO SALAS</t>
  </si>
  <si>
    <t>F001-2698</t>
  </si>
  <si>
    <t>MEDEVAC PCTE GRANADOS MARTINEZ NATHALY</t>
  </si>
  <si>
    <t>F001-2702</t>
  </si>
  <si>
    <t>MEDEVAC PCTE TORRES PASICHE GIANCARLO</t>
  </si>
  <si>
    <t>F001-2703</t>
  </si>
  <si>
    <t>MEDEVAC PCTE PEREZ RUELAS JUAN</t>
  </si>
  <si>
    <t>F006-2664</t>
  </si>
  <si>
    <t>MEDEVAC PCTE MARTINEZ AZUAJE BRIANNA VICTORIA</t>
  </si>
  <si>
    <t>F001-2667</t>
  </si>
  <si>
    <t>F001-2704</t>
  </si>
  <si>
    <t>F001-2646</t>
  </si>
  <si>
    <t>F001-2647</t>
  </si>
  <si>
    <t>F001-2648</t>
  </si>
  <si>
    <t>F001-2649</t>
  </si>
  <si>
    <t>F001-2650</t>
  </si>
  <si>
    <t>F001-2651</t>
  </si>
  <si>
    <t>F001-2662</t>
  </si>
  <si>
    <t>F001-2661</t>
  </si>
  <si>
    <t>F001-2666</t>
  </si>
  <si>
    <t>F001-2665</t>
  </si>
  <si>
    <t>F001-2541</t>
  </si>
  <si>
    <t>BENAVENTE/PEREA/MENDOZA</t>
  </si>
  <si>
    <t>HOSP. SANTA GEMA</t>
  </si>
  <si>
    <t>72.HOSP. SANTA GEMA</t>
  </si>
  <si>
    <t>MEDEVAC PCTE MURRIETA CORREA ARTEMIO</t>
  </si>
  <si>
    <t>MEDEVAC PCTE ACOSTA PORTOCARRERO RODRIGO JESUS</t>
  </si>
  <si>
    <t>F001-2708</t>
  </si>
  <si>
    <t>F001-2709</t>
  </si>
  <si>
    <t>IAFAS MGP</t>
  </si>
  <si>
    <t>73.IAFAS DE LA MARINA DE GUERRA DEL PERÚ</t>
  </si>
  <si>
    <t>MEDEVAC PCTE TERAN GUIBIN ANDRES</t>
  </si>
  <si>
    <t>SANTA ROSA PIURA</t>
  </si>
  <si>
    <t>BENAVENTE/PEREA/ALARCON</t>
  </si>
  <si>
    <t>TUIRADO/CAMARENA</t>
  </si>
  <si>
    <t>17;49</t>
  </si>
  <si>
    <t>JAE-LIM</t>
  </si>
  <si>
    <t>HOSP. BAGUA</t>
  </si>
  <si>
    <t>BENAVENTE/PEREA/ALVARADO</t>
  </si>
  <si>
    <t>BENAVENTE/RODRIGUEZ/ALVARADO</t>
  </si>
  <si>
    <t>MEDEVAC PCTE  CESPEDES ALCALA VELA LUCIANA</t>
  </si>
  <si>
    <t>F001-2710</t>
  </si>
  <si>
    <t>TRASLADO PCTE DIEGO SALDAÑA KEYLER JAZIEL</t>
  </si>
  <si>
    <t>MEDEVAC PCTE ALIAGA YNUMA MARIA ALEJANDRA</t>
  </si>
  <si>
    <t>F001-2712</t>
  </si>
  <si>
    <t>F001-2711</t>
  </si>
  <si>
    <t>TRASLADO PCTE MELENDEZ ROMERO THEARE LYAM</t>
  </si>
  <si>
    <t>F001-2713</t>
  </si>
  <si>
    <t>TRASLADO PCTE CALAMPA TAMINCHI YOSTER</t>
  </si>
  <si>
    <t>F001-2714</t>
  </si>
  <si>
    <t>TRASLADO PCTE AHUANARI ROJAS MAGNA</t>
  </si>
  <si>
    <t>F001-2715</t>
  </si>
  <si>
    <t xml:space="preserve">MEDEVAC PCTE VERA PEÑA FELIX ERNESTO </t>
  </si>
  <si>
    <t>HOSPITAL TINGO MARIA</t>
  </si>
  <si>
    <t>OB2092</t>
  </si>
  <si>
    <t>MEDEVAC PCTE MONTENEGRO CARUAJULCA ETHAN</t>
  </si>
  <si>
    <t>F001-2720</t>
  </si>
  <si>
    <t>F001-2641</t>
  </si>
  <si>
    <t>74.HOSP. REGIONAL TINGO MARIA</t>
  </si>
  <si>
    <t>MEDEVAC PCTE PHILIPS REYNA PRYSCILLA</t>
  </si>
  <si>
    <t>TRASLADO PCTE ALTAMIRANO DELGADO ANA</t>
  </si>
  <si>
    <t>LIM-TMB</t>
  </si>
  <si>
    <t>HOSPITAL JAEN</t>
  </si>
  <si>
    <t>F001-2706</t>
  </si>
  <si>
    <t>F001-2707</t>
  </si>
  <si>
    <t>SERV. MEDICO PCTE DUQUE ANCAJIMA IVANNA</t>
  </si>
  <si>
    <t>TRANSPORTE AÉREO PCTE DUQUE ANCAJIMA IVANNA</t>
  </si>
  <si>
    <t>TRASLADO PCTE PEREZ SALES MIA GRECIA</t>
  </si>
  <si>
    <t>MOYA/RODRIGUEZ/ALVARADO</t>
  </si>
  <si>
    <t>MEDEVAC PCTE QUIROZ VALDEZ JUAN CLEMENTE</t>
  </si>
  <si>
    <t>MEDEVAC PCTE MONZON MAURICIO EVELYN JHOANA</t>
  </si>
  <si>
    <t>F001-2732</t>
  </si>
  <si>
    <t>F001-2731</t>
  </si>
  <si>
    <t>TRASLADO PCTE ARANA MENDOCILLA CESAR ALEJANDRO</t>
  </si>
  <si>
    <t>TRASLADO PCTE SABINO MASGO CESAR AUGUSTO</t>
  </si>
  <si>
    <t>F001-2729</t>
  </si>
  <si>
    <t>F001-2730</t>
  </si>
  <si>
    <t xml:space="preserve">CAMARENA/REYNER </t>
  </si>
  <si>
    <t>MEDEVAC PCTE TELLO GUIZADO YUDITH</t>
  </si>
  <si>
    <t>F001-2747</t>
  </si>
  <si>
    <t>MEDEVAC PCTE LEYTON RUIZ STEFANO GAEL</t>
  </si>
  <si>
    <t>03062024</t>
  </si>
  <si>
    <t>02062024</t>
  </si>
  <si>
    <t>01062024</t>
  </si>
  <si>
    <t>PEN-LIM</t>
  </si>
  <si>
    <t>INTERANDES</t>
  </si>
  <si>
    <t>HOSP. HUANCAYO</t>
  </si>
  <si>
    <t>HOSP. GENERAL JAEN</t>
  </si>
  <si>
    <t>04062024</t>
  </si>
  <si>
    <t>HOSP. REG LAMBAYEQUE</t>
  </si>
  <si>
    <t>F001-2740</t>
  </si>
  <si>
    <t>MEDEVAC PCTE GONZALES ORIZANO GISELLE CATHLYN</t>
  </si>
  <si>
    <t>05062024</t>
  </si>
  <si>
    <t>HOSP. JAMO TUMBES</t>
  </si>
  <si>
    <t>06062024</t>
  </si>
  <si>
    <t>VALLES/PEREA</t>
  </si>
  <si>
    <t>07062024</t>
  </si>
  <si>
    <t>STT-LIM</t>
  </si>
  <si>
    <t>09062024</t>
  </si>
  <si>
    <t>HOSP GOYENECHE</t>
  </si>
  <si>
    <t>ESSALUD TUMBES</t>
  </si>
  <si>
    <t>08062024</t>
  </si>
  <si>
    <t xml:space="preserve">SERVICENTRO JESUS MARIA </t>
  </si>
  <si>
    <t>75.ESSALUD TUMBES</t>
  </si>
  <si>
    <t>F001-2728</t>
  </si>
  <si>
    <t>F001-2727</t>
  </si>
  <si>
    <t>F001-2721</t>
  </si>
  <si>
    <t>F001-2722</t>
  </si>
  <si>
    <t>F001-2725</t>
  </si>
  <si>
    <t>MEDEVAC PCTE ROJAS PANDURO GENESIS CRISTINA</t>
  </si>
  <si>
    <t>F001-2764</t>
  </si>
  <si>
    <t>TRANSPORTE PCTE MENDOZA VILLEGAS DAIA NAIZIBETH</t>
  </si>
  <si>
    <t>SERV. MEDICO PCTE MENDOZA VILLEGAS DAIA NAIZIBETH</t>
  </si>
  <si>
    <t>VALLES/VALLEJOS</t>
  </si>
  <si>
    <t>MEDEVAC PCTE NUÑEZ DEL PRADO VENERO GOYO ALFREDO</t>
  </si>
  <si>
    <t>F001-2768</t>
  </si>
  <si>
    <t>F001-2769</t>
  </si>
  <si>
    <t>MEDEVAC PCTE VARGAS SALDAÑA FLOR DE MARIA</t>
  </si>
  <si>
    <t>MEDEVAC PCTE VASQUEZ CAHUAZA CLEVER</t>
  </si>
  <si>
    <t>F001-2770</t>
  </si>
  <si>
    <t>F001-2771</t>
  </si>
  <si>
    <t>TRASLADO  PCTE CASTILLO CHIROQUE TEOFILO</t>
  </si>
  <si>
    <t>TRASLADO  PCTE REATEGUI PEREZ JESSICA LORENA</t>
  </si>
  <si>
    <t>F001-2751</t>
  </si>
  <si>
    <t>F001-2752</t>
  </si>
  <si>
    <t>TRASLADO  PCTE CASTRO CAMAYTERI WILMER ANGELO</t>
  </si>
  <si>
    <t>TRASLADO PCTE UPIACHIHUA FASANANDO ELVA</t>
  </si>
  <si>
    <t>TRASLADO PCTE TIBURCIO ALCEDO LUZ BERTHA</t>
  </si>
  <si>
    <t>F001-2758</t>
  </si>
  <si>
    <t>F001-2757</t>
  </si>
  <si>
    <t>MEDEVAC PCTE MENDOZA PEREZ ABRAN</t>
  </si>
  <si>
    <t>VALLES/RODRIGUEZ</t>
  </si>
  <si>
    <t>HOSP REGIONAL LAMBAYEQUE</t>
  </si>
  <si>
    <t>PEÑA/SANCHEZ</t>
  </si>
  <si>
    <t>MEDEVAC PCTE ALAMO NOLE JORGE</t>
  </si>
  <si>
    <t>MEDEVAC PCTE ALEGRIA AUCA EDGAR</t>
  </si>
  <si>
    <t>F001-2773</t>
  </si>
  <si>
    <t>MEDEVAC PCTE IBAÑEZ FRANCO ELVIA VIOLETA</t>
  </si>
  <si>
    <t>MEDEVAC PCTE YALTA FLORES JAVIER</t>
  </si>
  <si>
    <t>MEDEVAC PCTE FLORES ATHIAS AVELINO</t>
  </si>
  <si>
    <t>MEDEVAC PCTE ARBILDO UBILLUS SARA</t>
  </si>
  <si>
    <t>F001-2777</t>
  </si>
  <si>
    <t>F001-2778</t>
  </si>
  <si>
    <t>F001-2779</t>
  </si>
  <si>
    <t>F001-2780</t>
  </si>
  <si>
    <t>F001-2781</t>
  </si>
  <si>
    <t>F001-2782</t>
  </si>
  <si>
    <t>F001-2783</t>
  </si>
  <si>
    <t>F001-2784</t>
  </si>
  <si>
    <t>F001-2785</t>
  </si>
  <si>
    <t>F001-2786</t>
  </si>
  <si>
    <t>F001-2788</t>
  </si>
  <si>
    <t>F001-2789</t>
  </si>
  <si>
    <t>F001-2790</t>
  </si>
  <si>
    <t>F001-2791</t>
  </si>
  <si>
    <t>F001-2792</t>
  </si>
  <si>
    <t>F001-2793</t>
  </si>
  <si>
    <t>F001-2794</t>
  </si>
  <si>
    <t>F001-2795</t>
  </si>
  <si>
    <t>F001-2796</t>
  </si>
  <si>
    <t>F001-2797</t>
  </si>
  <si>
    <t>F001-2787</t>
  </si>
  <si>
    <t>F001-2798</t>
  </si>
  <si>
    <t>MEDEVAC PCTE PALOMINO GUERRA KATHERIN</t>
  </si>
  <si>
    <t>F001-2642</t>
  </si>
  <si>
    <t>MEDEVAC PCTE CORDOVA MAICELO ARLET</t>
  </si>
  <si>
    <t>F001-2801</t>
  </si>
  <si>
    <t>F001-2802</t>
  </si>
  <si>
    <t>F001-2803</t>
  </si>
  <si>
    <t>MEDEVAC PCTE MIO HONORES CATALEYA EMILY</t>
  </si>
  <si>
    <t>MEDEVAC PCTE ISLACHIN PIPA GLORIA</t>
  </si>
  <si>
    <t>F001-2804</t>
  </si>
  <si>
    <t>F001-2774</t>
  </si>
  <si>
    <t>MEDEVAC PCTE CHING DAVILA LUIS</t>
  </si>
  <si>
    <t>MEDEVAC PCTE RUIZ RUIZ JORGE ALBERTO</t>
  </si>
  <si>
    <t>F001-2805</t>
  </si>
  <si>
    <t>MEDEVAC PCTE CALDERON CHAVEZ THIAGO DANIEL</t>
  </si>
  <si>
    <t>F001-2807</t>
  </si>
  <si>
    <t>MEDEVAC PCTE CISNEROS ARROYO SHARUK YEIKO SMITH</t>
  </si>
  <si>
    <t>F001-2808</t>
  </si>
  <si>
    <t>LIM-ZA-CUS-LIM</t>
  </si>
  <si>
    <t>VALLES/SANCHEZ</t>
  </si>
  <si>
    <t>PARTICULAR -VINO DE DIOSPI SULLANA</t>
  </si>
  <si>
    <t>NAZCA LINES</t>
  </si>
  <si>
    <t>MEDEVAC PCTE UGAZ RODRIGUEZ LUIS ALBERTO</t>
  </si>
  <si>
    <t>F001-2810</t>
  </si>
  <si>
    <t>F001-2812</t>
  </si>
  <si>
    <t>F001-2813</t>
  </si>
  <si>
    <t>F001-2814</t>
  </si>
  <si>
    <t>MEDEVAC PCTE AQUINO QUISPE DIANA ALESSANDRA</t>
  </si>
  <si>
    <t>MEDEVAC CPTE CHUCHON FIGUEROA HAEL HASAN</t>
  </si>
  <si>
    <t>MEDEVAC PCTE ROMAN CHOCHOCA EDITH ELIZABETH</t>
  </si>
  <si>
    <t>F001-2815</t>
  </si>
  <si>
    <t>F001-2816</t>
  </si>
  <si>
    <t>F001-2746</t>
  </si>
  <si>
    <t>MEDEVAC PCTE GUEVARA TANTALEAN ALCIDES</t>
  </si>
  <si>
    <t>MEDEVAC PCTE SALAZAR CASTILLO ALEXIS</t>
  </si>
  <si>
    <t>F001-2756</t>
  </si>
  <si>
    <t>F001-2800</t>
  </si>
  <si>
    <t>MEDEVAC PCTE JULCA TAN ANDRY CAMILA</t>
  </si>
  <si>
    <t>MEDEVAC PCTE LLANOS DEL AGUILA DILAN</t>
  </si>
  <si>
    <t>PEÑA/MENDOZA</t>
  </si>
  <si>
    <t>F001-2716</t>
  </si>
  <si>
    <t>MEDEVAC PCTE RIOS TORRES ERICK SANDRO</t>
  </si>
  <si>
    <t>MEDEVAC PCTE QUISPE YARUCURI  FERMIN</t>
  </si>
  <si>
    <t>MEDEVAC PCTE TALLEDO ZAPATA TEODULO</t>
  </si>
  <si>
    <t>MEDEVAC PCTE AYBAR ZAMORA JOSUE TEOBALDO</t>
  </si>
  <si>
    <t>MEDEVAC PCTE DELGADO CHENTA NELSON</t>
  </si>
  <si>
    <t>MEDEVAC PCTE MONTENEGRO RIOJAS TRHEVOR HEYNAR</t>
  </si>
  <si>
    <t>MEDEVAC PCTE SILVERA CHICLLA DAFNE ALEXA</t>
  </si>
  <si>
    <t>MEDEVAC PCTE HUAÑEC APAZA, JOSE LUIS</t>
  </si>
  <si>
    <t>MEDEVAC PCTE CASTRO MIRANDA, NORA LETICIA</t>
  </si>
  <si>
    <t>BENAVENTE/ALVARADO</t>
  </si>
  <si>
    <t>MOYA/E</t>
  </si>
  <si>
    <t xml:space="preserve">F001-2821  </t>
  </si>
  <si>
    <t>F001-2822</t>
  </si>
  <si>
    <t>TRASLADO PCTE FRANCISCO PIZANGO CALLA</t>
  </si>
  <si>
    <t>F001-2817</t>
  </si>
  <si>
    <t>TRASLADO PCTE PANDURO CARBAJAL IGNACIO</t>
  </si>
  <si>
    <t>F001-2818</t>
  </si>
  <si>
    <t>TRASLADO PCTE RENGIFO ROJAS JORGE ALBERTO</t>
  </si>
  <si>
    <t>F001-2819</t>
  </si>
  <si>
    <t>TRASLADO PCTE LOPEZ RUIZ JULIO</t>
  </si>
  <si>
    <t>F001-2820</t>
  </si>
  <si>
    <t>TRASLADO PCTE ZAVALETA COPIA MARISOL</t>
  </si>
  <si>
    <t>F001-2823</t>
  </si>
  <si>
    <t>F001-2772</t>
  </si>
  <si>
    <t>F001-2826</t>
  </si>
  <si>
    <t>MEDEVAC PCTE BUSTAMANTE SIESQUEN ALEXANDRA CATALEYA</t>
  </si>
  <si>
    <t>MEDEVAC PCTE CASTAÑEDA VASQUEZ RN</t>
  </si>
  <si>
    <t>F001-2827</t>
  </si>
  <si>
    <t>F001-2828</t>
  </si>
  <si>
    <t>VALLES/ALARCON</t>
  </si>
  <si>
    <t>ALVARADO/BENAVENTE</t>
  </si>
  <si>
    <t>MOYA/ALARCÓN</t>
  </si>
  <si>
    <t>MEDEVAC PCTE INUMA YAHUARCANI LILIA HIBANELA</t>
  </si>
  <si>
    <t>F001-2717</t>
  </si>
  <si>
    <t>F001-2832</t>
  </si>
  <si>
    <t>CLINICA DEL INCA SAC</t>
  </si>
  <si>
    <t>F001-2835</t>
  </si>
  <si>
    <t>MEDEVAC PCTE MACEDO TECCO ROSA ANGELICA</t>
  </si>
  <si>
    <t>F001-2837</t>
  </si>
  <si>
    <t>MOYA/ALVARADO</t>
  </si>
  <si>
    <t>MEDEVAC PCTE GODOS GIMENEZ STALIN</t>
  </si>
  <si>
    <t>F001-2831</t>
  </si>
  <si>
    <t>ALVARADO/MOYA</t>
  </si>
  <si>
    <t>MEDEVAC PCTE ARREDONDO DE FLORES GRISELDA</t>
  </si>
  <si>
    <t>MEDEVAC PCTE SALCEDO AYALA ROBERTO</t>
  </si>
  <si>
    <t>F001-2838</t>
  </si>
  <si>
    <t>MEDEVAC PCTE ISUIZA GONZALES YAMILA</t>
  </si>
  <si>
    <t>F001-2829</t>
  </si>
  <si>
    <t>TRASLADO PCTE PERZ SILVA JAMES NEMECIO</t>
  </si>
  <si>
    <t>F001-2830</t>
  </si>
  <si>
    <t>BENAVENTE/MENDOZA</t>
  </si>
  <si>
    <t>MEDEVAC PCTE CORDERO ORIUNDO MAXIMO</t>
  </si>
  <si>
    <t>F001-2839</t>
  </si>
  <si>
    <t>MEDEVAC PCTE  SUAREZ CARHUAPOMA MIRTA FLOR</t>
  </si>
  <si>
    <t>F001-2841</t>
  </si>
  <si>
    <t>MEDEVAC PCTE MONTALVAN VASQUEZ MILAGROS VALERIA</t>
  </si>
  <si>
    <t>MEDEVAC PCTE USHIÑAHUA SILVA GRACIELA</t>
  </si>
  <si>
    <t>TIRADO/DURAN</t>
  </si>
  <si>
    <t>MEDEVAC PCTE TORRES CAHUACHI ZULLY</t>
  </si>
  <si>
    <t>F001-2844</t>
  </si>
  <si>
    <t>F001-2842</t>
  </si>
  <si>
    <t>F001-2843</t>
  </si>
  <si>
    <t>MEDEVAC PCTE QUEZADA CHUICA CINDHY ISABELLA</t>
  </si>
  <si>
    <t>F001-2824</t>
  </si>
  <si>
    <t>TRASLADO PCTE AYLLON ESQUIA EMILY MARITZA</t>
  </si>
  <si>
    <t>TRASLADO PCTE NAVARRO DEL AGUILA MARIA DEL PILAR</t>
  </si>
  <si>
    <t>F001-2846</t>
  </si>
  <si>
    <t>F001-2847</t>
  </si>
  <si>
    <t>MEDEVAC PCTE SUAREZ HUITE BELINDA YAMILETH</t>
  </si>
  <si>
    <t>02072024</t>
  </si>
  <si>
    <t>OB 2092</t>
  </si>
  <si>
    <t>ALARCON/PEÑA</t>
  </si>
  <si>
    <t>TRANSPORTE PCTE SOLANO SANTISTEBAN GENESIS</t>
  </si>
  <si>
    <t>SERV. MEDICO PCTE SOLANO SANTISTEBAN GENESIS</t>
  </si>
  <si>
    <t>MEDEVAC PCTE FIGUEROA GONZALES BERNABE MODESTO DENNIS</t>
  </si>
  <si>
    <t>MEDEVAC PCTE BENAVENTE GUTIERREZ GENARA</t>
  </si>
  <si>
    <t>F001-2857</t>
  </si>
  <si>
    <t>MEDEVAC PCTE QUISPE PAQUIYAURI GAEL ADRIAN</t>
  </si>
  <si>
    <t>F001-2858</t>
  </si>
  <si>
    <t>ALVARADO/PEÑA</t>
  </si>
  <si>
    <t>MEDEVAC PCTE CORRALES GUEVARA FLAVIO SMITH</t>
  </si>
  <si>
    <t>03072024</t>
  </si>
  <si>
    <t>PEÑA/ALVARADO</t>
  </si>
  <si>
    <t xml:space="preserve">MEDEVAC PCTE SUIKAI SAUKAI GAEL ADRIAN </t>
  </si>
  <si>
    <t>F001-2859</t>
  </si>
  <si>
    <t>TRASLADO PCTE NERMA BRONCANO ELVIS REMIGIO</t>
  </si>
  <si>
    <t>TRASLADO PCTE ENESES BRAVO WINDOLINA DEYSI</t>
  </si>
  <si>
    <t>TRASLADO PCTE ALVAREZ CUBA FELICITA</t>
  </si>
  <si>
    <t>F001-2848</t>
  </si>
  <si>
    <t>F001-2849</t>
  </si>
  <si>
    <t>F001-2850</t>
  </si>
  <si>
    <t>VIETTEL PERÚ SAC</t>
  </si>
  <si>
    <t>04072024</t>
  </si>
  <si>
    <t>ESSALUD CAHCAHAPOYAS</t>
  </si>
  <si>
    <t>TRASLADO PCTE BARRETO SILVA BRIANA ABIGAIL</t>
  </si>
  <si>
    <t>TRASLADO PCTE ARCE TORRES TOMAS SEGUNDO</t>
  </si>
  <si>
    <t>05072024</t>
  </si>
  <si>
    <t>HOSP SANTA ROSA PUERTO MALDONADO</t>
  </si>
  <si>
    <t>F001-2861</t>
  </si>
  <si>
    <t>F001-2862</t>
  </si>
  <si>
    <t>MEDEVAC PCTE RODRIGUEZ MARTINEZ NANCY</t>
  </si>
  <si>
    <t>F001-2863</t>
  </si>
  <si>
    <t>CONTRATO N° 016-2024-GRSM/DIRESA-OGESS-AM/D</t>
  </si>
  <si>
    <t>MEDEVAC PCTE VERA SANTA CRUZ MILY DAILITH</t>
  </si>
  <si>
    <t>MEDEVAC PCTE QUEZADA TIRADO HECTOR EDUARDO</t>
  </si>
  <si>
    <t>F001-2866</t>
  </si>
  <si>
    <t>08072024</t>
  </si>
  <si>
    <t>06072024</t>
  </si>
  <si>
    <t>CAMARENA/REYNER</t>
  </si>
  <si>
    <t>TPP-IQT</t>
  </si>
  <si>
    <t>HOSP. REGIONAL AYP</t>
  </si>
  <si>
    <t>CONTRATO DE SERVICIOS N° ……. D-RAHU-ESSALUD-2024</t>
  </si>
  <si>
    <t>TOTAL CONTRATO</t>
  </si>
  <si>
    <t>TOTAL</t>
  </si>
  <si>
    <t>MEDEVAC PCTE TOOPE NOAH LEVI</t>
  </si>
  <si>
    <t>F001-2869</t>
  </si>
  <si>
    <t>09072024</t>
  </si>
  <si>
    <t>MEDEVAC PCTE CHUNGA NEYRA DANNA SOFIA</t>
  </si>
  <si>
    <t>MEDEVAC PCTE CASTRO VEGA JORGE FERNANDO</t>
  </si>
  <si>
    <t>MEDEVAC PCTE OBLITAS SILVA ISAC GAMALIEL</t>
  </si>
  <si>
    <t>MEDEVAC PCTE GAMBOA ALVAREZ ANGEL GABRIEL</t>
  </si>
  <si>
    <t>HOSPITAL DOMIGO OLAVEGOYA</t>
  </si>
  <si>
    <t>10072024</t>
  </si>
  <si>
    <t>MEDEVAC PCTE CAMPOS MARCOS DEBURA</t>
  </si>
  <si>
    <t>11072024</t>
  </si>
  <si>
    <t>MEDEVAC PCTE CARDENAS CORAS AUGUSTO FELIX</t>
  </si>
  <si>
    <t>TRASLADO PCTE LINARES ALEGRIA KATIUSCA</t>
  </si>
  <si>
    <t>TRASLADO PCTE VARGAS RAMOS SARAY RAQUEL</t>
  </si>
  <si>
    <t>TRASLADO PCTE FELIPA CAVERO CHRISTIAN ESTEBAN</t>
  </si>
  <si>
    <t>F001-2874</t>
  </si>
  <si>
    <t>F001-2872</t>
  </si>
  <si>
    <t xml:space="preserve">MEDEVAC PCTE MARIO ALBERTO TRISTAN GONZALES </t>
  </si>
  <si>
    <t>F001-2871</t>
  </si>
  <si>
    <t>76.HOSP. DOMINGO OLAVEGOYA JAUJA</t>
  </si>
  <si>
    <t>F001-2883</t>
  </si>
  <si>
    <t>F001-2885</t>
  </si>
  <si>
    <t>F001-2884</t>
  </si>
  <si>
    <t>MEDEVAC PCTE AMASIFUEN ESCALANTE LLERLY</t>
  </si>
  <si>
    <t>F001-2876</t>
  </si>
  <si>
    <t>MEDEVAC PCTE CARIAJANO YANDARI ROBINSON</t>
  </si>
  <si>
    <t>F001-2877</t>
  </si>
  <si>
    <t>12072024</t>
  </si>
  <si>
    <t>VALLES/MENDOZA</t>
  </si>
  <si>
    <t xml:space="preserve"> 18:38</t>
  </si>
  <si>
    <t>HOSP HONORIO DELGADO</t>
  </si>
  <si>
    <t>13072024</t>
  </si>
  <si>
    <t>14072024</t>
  </si>
  <si>
    <t>15072024</t>
  </si>
  <si>
    <t>SANITAS</t>
  </si>
  <si>
    <t>16072024</t>
  </si>
  <si>
    <t>17072024</t>
  </si>
  <si>
    <t>TRASLADO PCTE TANANTA CUMAPA GRICELDA</t>
  </si>
  <si>
    <t>MEDEVAC PCTE MORI RIOS BELEM</t>
  </si>
  <si>
    <t>MEDEVAC PCTE MERINO SCHAUSS LUIS FORTUNATO</t>
  </si>
  <si>
    <t>F001-2888</t>
  </si>
  <si>
    <t>TRASLADO PCTE ROBLES VILCA EDITH</t>
  </si>
  <si>
    <t>F001-2893</t>
  </si>
  <si>
    <t>MEDEVAC PCTE ESCOBEDO CAHUAZA JUAN ROMAN</t>
  </si>
  <si>
    <t>F001-2889</t>
  </si>
  <si>
    <t>F001-2894</t>
  </si>
  <si>
    <t>TRASLADO PCTE NAVARRO SOLSOL LUIS MANUEL</t>
  </si>
  <si>
    <t>MEDEVAC PCTE MARQUEZ YUMBATO ISABEL</t>
  </si>
  <si>
    <t>MEDEVAC PCTE MONTENEGRO CARITIMARI KARLA</t>
  </si>
  <si>
    <t>MEDEVAC PCTE LING PEÑA FRANCISCO JAVIER</t>
  </si>
  <si>
    <t>F001-2901</t>
  </si>
  <si>
    <t>F001-2900</t>
  </si>
  <si>
    <t>F001-2897</t>
  </si>
  <si>
    <t>F001-2898</t>
  </si>
  <si>
    <t>F001-2899</t>
  </si>
  <si>
    <t>MEDEVAC PCTE MONTENEGRO AGUIRRE WILLIAM GODOFREDO</t>
  </si>
  <si>
    <t>MEDEVAC PCTE DIAZ COLLANTES WALTER</t>
  </si>
  <si>
    <t>MEDEVAC PCTE AREVALO TACURE WALTER ERNESTO</t>
  </si>
  <si>
    <t>MEDEVAC PCTE GUEVARA PALMA LUIS DALTON</t>
  </si>
  <si>
    <t>MEDEVAC PCTE ROCHA GUTIERREZ ADRIANA FERNANDA</t>
  </si>
  <si>
    <t>MEDEVAC PCTE CONTRERAS PRADO ANTONIETA</t>
  </si>
  <si>
    <t>MEDEVAC PCTE JUSTO AGUIRRE NORA</t>
  </si>
  <si>
    <t>MEDEVAC PCTE AGUILERA YARLEQUE ROBERTO CARLOS</t>
  </si>
  <si>
    <t>MEDEVAC PCTE APAZA CATUNDA JUDITH JOSEFA</t>
  </si>
  <si>
    <t>MEDEVAC PCTE TABOADA MEZA CRISTHIAN</t>
  </si>
  <si>
    <t>MEDEVAC PCTE CORREA TINEDO YARAIL MARCELINO</t>
  </si>
  <si>
    <t>MEDEVAC PCTE QUEVEDO MORI GINA PATRICIA</t>
  </si>
  <si>
    <t>MEDEVAC PCTE ALAVE CHOQUE LUZGARDA</t>
  </si>
  <si>
    <t>MEDEVAC PCTE MEZA AYALA MARCELO ALBERTO</t>
  </si>
  <si>
    <t>MOYA/SANCHEZ</t>
  </si>
  <si>
    <t>TRANSPORTE PCTE SALDARRIAGA VALLADARES ALBERTO</t>
  </si>
  <si>
    <t>SERV. MEDICO PCTE SALDARRIAGA VALLADARES ALBERTO</t>
  </si>
  <si>
    <t>F001-2904</t>
  </si>
  <si>
    <t>HOSP. SANTA ROSA PTO MDO</t>
  </si>
  <si>
    <t>F001-2882</t>
  </si>
  <si>
    <t>MEDEVAC PCTE JEREMEY CHRISTOPHER WHITE</t>
  </si>
  <si>
    <t>F001-2923</t>
  </si>
  <si>
    <t>SERV. TRANSPORTE PCTE PUÑO MOGOLLON MARIE JOSEPH</t>
  </si>
  <si>
    <t>SERV. MEDICO PCTE PUÑO MOGOLLON MARIE JOSEPH</t>
  </si>
  <si>
    <t>F001-2924</t>
  </si>
  <si>
    <t>F001-2925</t>
  </si>
  <si>
    <t>TGI-LIM</t>
  </si>
  <si>
    <t>F001-2929</t>
  </si>
  <si>
    <t>MEDEVAC PCTE RENGIFO SANDOVAL ZOE LUISA</t>
  </si>
  <si>
    <t>MEDEVAC PCTE BARDALES VALQUI CEIN</t>
  </si>
  <si>
    <t>MEDEVAC PCTE TORRES VELA JULYAN SANTIAGO</t>
  </si>
  <si>
    <t>F001-2916</t>
  </si>
  <si>
    <t>F001-2917</t>
  </si>
  <si>
    <t>F001-2919</t>
  </si>
  <si>
    <t>MEDEVAC PCTE TORRES VELA JOANS SEBASTIAN</t>
  </si>
  <si>
    <t>MEDEVAC PCTE DE SOUZA MACHUCA ANDREIA MILAGROS</t>
  </si>
  <si>
    <t>MEDEVAC PCTE UWEK YAGKITAI ZOE ARLETH</t>
  </si>
  <si>
    <t>F001-2930</t>
  </si>
  <si>
    <t>F001-2931</t>
  </si>
  <si>
    <t>F001-2932</t>
  </si>
  <si>
    <t>01082024</t>
  </si>
  <si>
    <t>02082024</t>
  </si>
  <si>
    <t>04082024</t>
  </si>
  <si>
    <t>03082024</t>
  </si>
  <si>
    <t xml:space="preserve">GREAT NASCA </t>
  </si>
  <si>
    <t>MOYA/MENDOZA</t>
  </si>
  <si>
    <t>MEDEVAC PCTE CRUZ DE ALMEIDA DERICK DANIEL</t>
  </si>
  <si>
    <t>F001-2937</t>
  </si>
  <si>
    <t>MEDEVAC PCTE GOMEZ BENDEZU EMELY DASHLEY</t>
  </si>
  <si>
    <t>F001-2938</t>
  </si>
  <si>
    <t>MEDEVAC PCTE ROJAS MATTURANO JUAN FERNANDO</t>
  </si>
  <si>
    <t>MEDEVAC  PCTE CAMPOS PEREZ FABIOLA GLADYS</t>
  </si>
  <si>
    <t>F001-2903</t>
  </si>
  <si>
    <t>TRASLADO PCTE DIAZ BARBARAN MARIA DEL CARMEN</t>
  </si>
  <si>
    <t>F001-2912</t>
  </si>
  <si>
    <t>TRASLADO PCTE SALAZAR FERNANDEZ BERONICA NATIVIDAD</t>
  </si>
  <si>
    <t xml:space="preserve">MEDEVAC PCTE MOROTE YENQUE GEORGIA </t>
  </si>
  <si>
    <t>MEDEVAC PCTE PARDO MELENDEZ ANA ISABEL</t>
  </si>
  <si>
    <t>MEDEVAC PCTE MONTES ZEGARRA CAROLINA</t>
  </si>
  <si>
    <t>05082024</t>
  </si>
  <si>
    <t>06082024</t>
  </si>
  <si>
    <t>07082024</t>
  </si>
  <si>
    <t>MEDEVAC PCTE REYNA MACEDO KIKE LINO</t>
  </si>
  <si>
    <t>TRASLADO PCTE TANCHIVA VELA VIOLETA</t>
  </si>
  <si>
    <t>TRASLADO PCTE ZELA HUAYHUA JUAN ALBERTO</t>
  </si>
  <si>
    <t>F001-2940</t>
  </si>
  <si>
    <t>F001-2942</t>
  </si>
  <si>
    <t>F001-2943</t>
  </si>
  <si>
    <t>F001-2719</t>
  </si>
  <si>
    <t>F001-2951</t>
  </si>
  <si>
    <t>MEDEVAC PCTE TANGOA SAIRO LIAM SAMIR</t>
  </si>
  <si>
    <t>MEDEVAC PCTE MORENO VALLE RN-93900648</t>
  </si>
  <si>
    <t>MEDEVAC PCTE SALVADOR BAYLON SAMIRA -79595574</t>
  </si>
  <si>
    <t>MEDEVAC PCTE GALLEGOS CASTILLO JAIME EDUARDO-09278761</t>
  </si>
  <si>
    <t>MEDEVAC PCTE CRUZ MANAY RN-93921340</t>
  </si>
  <si>
    <t>MEDEVAC PCTE PAJARES OTINIANO GEORGINA LEIA</t>
  </si>
  <si>
    <t>F001-2952</t>
  </si>
  <si>
    <t>MEDEVAC PCTE PUERTA ROMAN SEBASTIAN LUCIANO</t>
  </si>
  <si>
    <t>MEDEVAC PCTE PAREDES VEGA JOSÉ ALEXANDER</t>
  </si>
  <si>
    <t>08082024</t>
  </si>
  <si>
    <t>09082024</t>
  </si>
  <si>
    <t>BURBANO/MENDOZA</t>
  </si>
  <si>
    <t>F001-2910</t>
  </si>
  <si>
    <t xml:space="preserve">MEDEVAC PCTE QUISPE CUTIPA ANA LUZ </t>
  </si>
  <si>
    <t>F001-2908</t>
  </si>
  <si>
    <t>AY-LIM</t>
  </si>
  <si>
    <t>EO-LIM</t>
  </si>
  <si>
    <t>HOSP REG CHIMBOTE</t>
  </si>
  <si>
    <t>SERV. TRANSPORTE PCTE CHIMBO JULCA JEREMY MATEO</t>
  </si>
  <si>
    <t>SERV. MEDICO PCTE CHIMBO JULCA JEREMY MATEO</t>
  </si>
  <si>
    <t>MEDEVAC PCTE LLAYSON CRISTOBAL SIAS MURAYARI</t>
  </si>
  <si>
    <t>TRASLADO PCTE TORRES DEL AGUILA MARTHA LUZ</t>
  </si>
  <si>
    <t>TRASLADO PCTE HUANCI RUIZ RODOLFO Y DEL CASTILLO CARBAJAL LUIS</t>
  </si>
  <si>
    <t>MEDEVAC PCTE SULCA AGUILAR ELIZABETH</t>
  </si>
  <si>
    <t>F001-2973</t>
  </si>
  <si>
    <t>MEDEVAC PCTE CASTRO RENGIFO JASAN JESUS</t>
  </si>
  <si>
    <t>MEDEVAC PCTE BANEGA ZAMBRANO KARLY LEONELA</t>
  </si>
  <si>
    <t>MEDEVAC PCTE MONCADA FARFAN JAVIER MARIANO</t>
  </si>
  <si>
    <t>MEDEVAC PCTE RETO REGALADO MELISSA NATHALY</t>
  </si>
  <si>
    <t>F001-2961</t>
  </si>
  <si>
    <t>F001-2966</t>
  </si>
  <si>
    <t>F001-2967</t>
  </si>
  <si>
    <t>F001-2968</t>
  </si>
  <si>
    <t>F001-2969</t>
  </si>
  <si>
    <t>TRASLADO PCTE VARGAS SAAVEDRA LUIS ENRIQUE</t>
  </si>
  <si>
    <t>F001-2970</t>
  </si>
  <si>
    <t>MEDEVAC PCTE ZUMAETA RENGIFO GENESIS LUCIANA</t>
  </si>
  <si>
    <t>F001-2971</t>
  </si>
  <si>
    <t>MEDEVAC PCTE OROPESA CHIVILCHES JESUS LUIS</t>
  </si>
  <si>
    <t>MEDEVAC PCTE CONTRERAS CORDOVA AINARA YANADID</t>
  </si>
  <si>
    <t>MEDEVAC PCTE VASQUEZ SANCHEZ ANDERSON TERCERO</t>
  </si>
  <si>
    <t>MEDEVAC PCTE HIDALGO ORDOÑEZ FABRIZIO</t>
  </si>
  <si>
    <t>F001-2856</t>
  </si>
  <si>
    <t>F001-2978</t>
  </si>
  <si>
    <t>F001-2979</t>
  </si>
  <si>
    <t>F001-2980</t>
  </si>
  <si>
    <t xml:space="preserve">MEDEVAC PCTE GARCIA CARHUAYANO CHARLES JIMMY </t>
  </si>
  <si>
    <t>F001-2944</t>
  </si>
  <si>
    <t>F001-2945</t>
  </si>
  <si>
    <t>HOSP. REG.  MOQUEGUA</t>
  </si>
  <si>
    <t>MEDEVAC PCTE CARRASCO FALLA ERIC ALEXIS</t>
  </si>
  <si>
    <t>MEDEVAC PCTE PAURO VERA ALDO REY</t>
  </si>
  <si>
    <t>MEDEVAC PCTE PEZANTES DIAZ JORGE LUIS</t>
  </si>
  <si>
    <t>MEDEVAC PCTE SANTAMARIA ACOSTA JOSE</t>
  </si>
  <si>
    <t>MEDEVAC PCTE MORALES DE VARGAS JULIA ELIANA</t>
  </si>
  <si>
    <t>MEDEVAC PCTE ALMANZA MENDIETA ANGGIE EDITA</t>
  </si>
  <si>
    <t>HOSP. SANTA ROSA PEM</t>
  </si>
  <si>
    <t>MEDEVAC PCTE HUAMAN HUAMAN JHEYNER</t>
  </si>
  <si>
    <t>MEDEVAC CPTE GONZALES CACERES SONIA LUZ</t>
  </si>
  <si>
    <t>TRASLADO PCTE BARDALES ASPAJO MARGELINA ANA ELVA</t>
  </si>
  <si>
    <t>F001-2976</t>
  </si>
  <si>
    <t>MEDEVAC PCTE SAIRE ROJAS QORI ATHENEA</t>
  </si>
  <si>
    <t>F001-2996</t>
  </si>
  <si>
    <t>F001-2997</t>
  </si>
  <si>
    <t>MEDEVAC PCTE SANCHEZ ALVARADO DERLI</t>
  </si>
  <si>
    <t>F001-2892</t>
  </si>
  <si>
    <t>F001-2975</t>
  </si>
  <si>
    <t>MEDEVAC PCTE CARBAJAL OLMOS HILDA</t>
  </si>
  <si>
    <t>MEDEVAC PCTE SALAZAR GOMEZ JESUS</t>
  </si>
  <si>
    <t>F001-2998</t>
  </si>
  <si>
    <t>F001-2999</t>
  </si>
  <si>
    <t>F001-3000</t>
  </si>
  <si>
    <t>F001-2953</t>
  </si>
  <si>
    <t>F001-2983</t>
  </si>
  <si>
    <t>F001-2982</t>
  </si>
  <si>
    <t>BLUE HORIZON GROUP</t>
  </si>
  <si>
    <t>GUSAL PERU SAC</t>
  </si>
  <si>
    <t>F001-3004</t>
  </si>
  <si>
    <t>MEDEVAC PCTE LEAÑO PALOMINO JULIAN</t>
  </si>
  <si>
    <t>F001-3005</t>
  </si>
  <si>
    <t>MEDEVAC PCTE CARRASCO NAVARRETE JULIO RICARDO</t>
  </si>
  <si>
    <t>F001-3007</t>
  </si>
  <si>
    <t>MEDEVAC PCTE CAMPOS GONZALES ANITA ANGELICA</t>
  </si>
  <si>
    <t>F001-3008</t>
  </si>
  <si>
    <t>TRASLADO PCTE SOLANO RAMIREZ ROSA ELVIRA</t>
  </si>
  <si>
    <t>ESASALUD AYACUCHO</t>
  </si>
  <si>
    <t>VALLES7VALLEJOS</t>
  </si>
  <si>
    <t>MEDEVAC PCTE DEL AGUILA LOZANO XIMENA LUCIANA</t>
  </si>
  <si>
    <t>MEDEVAC PCTE MANIHUARI VELASQUEZ LUIS ALEXANDER</t>
  </si>
  <si>
    <t>MEDEVAC PCTE SAAVEDRA PITA JUAN CARLOS</t>
  </si>
  <si>
    <t>TRASLADO PCTE PAZ MURRIETA CESAR ALEJANDRO</t>
  </si>
  <si>
    <t>TRASLADO PCTE MELENDEZ MELENDEZ DANIEL</t>
  </si>
  <si>
    <t>AYA-LIM</t>
  </si>
  <si>
    <t>F001-3022</t>
  </si>
  <si>
    <t xml:space="preserve">MEDEVAC PCTE BASTIDAS ZUÑIGA </t>
  </si>
  <si>
    <t>ESSALUS IQUITOS</t>
  </si>
  <si>
    <t>REGIONAL AYACUCHO</t>
  </si>
  <si>
    <t>F001-3003</t>
  </si>
  <si>
    <t>MEDEVAC PCTE SANTOS HURTADO ESTEBE MATIAS</t>
  </si>
  <si>
    <t>F001-3025</t>
  </si>
  <si>
    <t>MEDEVAC PCTE SEMBRERA OROZCO DANNA GABRIELA</t>
  </si>
  <si>
    <t>F001-3026</t>
  </si>
  <si>
    <t>F001-3027</t>
  </si>
  <si>
    <t>MEDEVAC PCTE CHUNGA BAYONA SIXTO</t>
  </si>
  <si>
    <t>TRASLADO PCTE DEL AGUILA ISUIZA KAROL ESTEFANY</t>
  </si>
  <si>
    <t>F001-3019</t>
  </si>
  <si>
    <t>MEDEVAC PCTE GUEVARA SALIRROSAS NATALY FIORELLA</t>
  </si>
  <si>
    <t>F001-3009</t>
  </si>
  <si>
    <t>F001-3013</t>
  </si>
  <si>
    <t>MEDEVAC PCTE TTITO TAIRO JORGE</t>
  </si>
  <si>
    <t>F001-3028</t>
  </si>
  <si>
    <t>MEDEVAC PCTE DONAYRE HUAYANCA JOSE ALBERTO</t>
  </si>
  <si>
    <t>MEDEVAC PCTE VARGAS INGA JOSELITO</t>
  </si>
  <si>
    <t>F001-3029</t>
  </si>
  <si>
    <t>F001-3030</t>
  </si>
  <si>
    <t>MEDEVAC PCTE AMACIFUEN PADILLA RICHAR</t>
  </si>
  <si>
    <t>F001-3031</t>
  </si>
  <si>
    <t>TRASLADO PCTE MONTENEGRO ROJAS ARELIS</t>
  </si>
  <si>
    <t>HOSP. SANTA ROSA</t>
  </si>
  <si>
    <t>MEDEVAC PCTES MC GUIRK MICHAEL JHON - MC GUIRK BRENDA</t>
  </si>
  <si>
    <t>MEDEVAC PCTE CORIMANYA DE SURCO SABINA</t>
  </si>
  <si>
    <t>F001-3033</t>
  </si>
  <si>
    <t>F001-2981</t>
  </si>
  <si>
    <t>MEDEVAC PCTE PULIDO ROJAS DYLAN MATEO</t>
  </si>
  <si>
    <t>F001-3015</t>
  </si>
  <si>
    <t>F001-3016</t>
  </si>
  <si>
    <t>F001-3037</t>
  </si>
  <si>
    <t>F001-3036</t>
  </si>
  <si>
    <t>F001-3038</t>
  </si>
  <si>
    <t>F001-3039</t>
  </si>
  <si>
    <t>HOSP. TINGO MARIA</t>
  </si>
  <si>
    <t>NZ-LIM</t>
  </si>
  <si>
    <t>MACHUPICCHU VIPTOURS SRL</t>
  </si>
  <si>
    <t>EQG-LIM</t>
  </si>
  <si>
    <t>MEDEVAC PCTE CHANTELLE JANE CLENCIE</t>
  </si>
  <si>
    <t>F001-3046</t>
  </si>
  <si>
    <t>MEDEVAC PCTE QUINTANA FERNANDEZ DANIA CATALEYA</t>
  </si>
  <si>
    <t>F001-3048</t>
  </si>
  <si>
    <t>F001-3056</t>
  </si>
  <si>
    <t>MOYA/ALARCON/JE</t>
  </si>
  <si>
    <t>OB22221</t>
  </si>
  <si>
    <t>EQG-AQP</t>
  </si>
  <si>
    <t>HOSP.REG. LORETO</t>
  </si>
  <si>
    <t>TRANSPORTE AEREO PCTE ZAPATA CUTIPA DILAN DARYAN</t>
  </si>
  <si>
    <t>ASISTENCIA MEDICA EN VUELO PCTE QUISPE RODRIGUEZ YARITZA MAGDIEL</t>
  </si>
  <si>
    <t>ASISTENCIA MEDICA EN VUELO PCTE ZAPATA CUTIPA DILAN DARYAN</t>
  </si>
  <si>
    <t>MEDEVAC PCTE RAMIREZ LEON HUGO DAVID</t>
  </si>
  <si>
    <t>TRASLADO PCTE CHU ARBILDO GLADIS</t>
  </si>
  <si>
    <t>TRASLADO PCTE SALDAÑA MONTOYA RODOMIRO</t>
  </si>
  <si>
    <t>MEDEVAC PCTE MAMANI CUEVAS MIGUEL ANGEL</t>
  </si>
  <si>
    <t>F001-3065</t>
  </si>
  <si>
    <t>MEDEVAC PCTE QUINTANA CAMPOS ROY SIWAR</t>
  </si>
  <si>
    <t>F001-3066</t>
  </si>
  <si>
    <t>MOYA/SANCHEZ/JE</t>
  </si>
  <si>
    <t>TRASLADO PCTES TAPULLIMA NOA ESCOTT LENYN Y PAZ MORI JARED ALEXIU</t>
  </si>
  <si>
    <t>TRASLADO PCTE SANDOVAL VASQUEZ ELVIA ISABEL</t>
  </si>
  <si>
    <t>F001-3049</t>
  </si>
  <si>
    <t>F001-3050</t>
  </si>
  <si>
    <t>TRASLADO PCTE GARCIA CHOTA FLOR DE BELEN</t>
  </si>
  <si>
    <t>MEDEVAC PCTE  CASTILLO MELENDEZ FREDY</t>
  </si>
  <si>
    <t>TRASLADO PCTE DAVILA FLORES EITHAN ELIEL</t>
  </si>
  <si>
    <t>F001-3055</t>
  </si>
  <si>
    <t>F001-3051</t>
  </si>
  <si>
    <t>MEDEVAC PCTE SANTAMARIA MIL DAVID MISAEL</t>
  </si>
  <si>
    <t>MEDEVAC PCTE RIVERA SHUPINGAHUA LLIMY</t>
  </si>
  <si>
    <t>F001-3061</t>
  </si>
  <si>
    <t>F001-3060</t>
  </si>
  <si>
    <t>TRANSPORTE AEREO PCTE CASTILLO RAMOS JANETH ROSMERY</t>
  </si>
  <si>
    <t>ASISTENCIA MEDICA EN VUELO PCTE CASTILLO RAMOS JANETH ROSMERY</t>
  </si>
  <si>
    <t>MEDEVAC PCTE INGA BEJARANO LUIS REY STEVEN</t>
  </si>
  <si>
    <t>MEDEVAC PCTE CORDOVA CORDOVA DE SOCOLA FLORESMINDA</t>
  </si>
  <si>
    <t>MEDEVAC PCTE VALDERRAMA PIÑA BETY LUZ</t>
  </si>
  <si>
    <t>MEDEVAC PCTE PARHUAYO JIMENEZ MARISOL ROSARIO</t>
  </si>
  <si>
    <t>MEDEVAC PCTE VALLE AGUIRRE JOSE MAXIMO</t>
  </si>
  <si>
    <t>MEDEVAC PCTE RODRIGUEZ PACAYA LEONCIO</t>
  </si>
  <si>
    <t>MEDEVAC PCTE AVALOS ZAPATA JUAN DEL CARMEN</t>
  </si>
  <si>
    <t>MEDEVAC PCTE MEJIA MATTA HANNAH LUZ</t>
  </si>
  <si>
    <t>MEDEVAC PCTE QUISPE YACURI FERMIN</t>
  </si>
  <si>
    <t>MEDEVAC PCTE CALLE GRANADINO CARLOS LUIS</t>
  </si>
  <si>
    <t>MEDEVAC PCTE TERRONES VENTURA RICHARD GUSTAVO</t>
  </si>
  <si>
    <t>MEDEVAC PCTE CORDOVA PEREZ ADRIAN</t>
  </si>
  <si>
    <t>MEDEVAC PCTE FERNANDEZ FERNANDEZ JOSE MARCELO</t>
  </si>
  <si>
    <t>MEDEVAC PCTE QUISPE ZAVALA LUIS FERNANDO</t>
  </si>
  <si>
    <t>MEDEVAC PCTE AVALOS MACEDO MILAGROS JUANITA JUDITH</t>
  </si>
  <si>
    <t>F001-3069</t>
  </si>
  <si>
    <t>MEDEVAC PCTE SOUSA GARCIA CECILIA</t>
  </si>
  <si>
    <t>MOYA/SANCHEZ/ELERA</t>
  </si>
  <si>
    <t>MOYA/ALARCON/ELERA</t>
  </si>
  <si>
    <t>MEDEVAC PCTE VIDAURRE URRELO CESAR OMAR</t>
  </si>
  <si>
    <t>MEDEVAC PCTE SINTI PEZO EIPRIL SOFIA</t>
  </si>
  <si>
    <t>MEDEVAC PCTE MOZOMBITE MACAYO JHOMAYRA</t>
  </si>
  <si>
    <t>MEDEVAC PCTE AREVALO RODRIGUEZ FREDD NEALE</t>
  </si>
  <si>
    <t>MEDEVAC PCTE QUEVEDO ROSSI LUIS GABRIEL</t>
  </si>
  <si>
    <t>MEDEVAC PCTE MOZOMBITE FASABI LUCY PATRICIA</t>
  </si>
  <si>
    <t>MEDEVAC PCTE VIENA DEL AGUILA JANNETH YSABEL</t>
  </si>
  <si>
    <t>MEDEVAC PCTE PILCO AHUANARI ENZO MATEO</t>
  </si>
  <si>
    <t>MEDEVAC PCTE GALLARDO GONZALES ROLANDO</t>
  </si>
  <si>
    <t>F001-3084</t>
  </si>
  <si>
    <t>F001-3082</t>
  </si>
  <si>
    <t>F001-3081</t>
  </si>
  <si>
    <t>F001-3080</t>
  </si>
  <si>
    <t>F001-3079</t>
  </si>
  <si>
    <t>F001-3078</t>
  </si>
  <si>
    <t>F001-3077</t>
  </si>
  <si>
    <t>F001-3076</t>
  </si>
  <si>
    <t>F001-3075</t>
  </si>
  <si>
    <t>F001-3085, 3086</t>
  </si>
  <si>
    <t>MEDEVAC PCTE VILLANUEVA PONCE GLADYS KARINA</t>
  </si>
  <si>
    <t>MEDEVAC PCTE LIMACHI TURPO LUZ LEYLA</t>
  </si>
  <si>
    <t>F001-3087</t>
  </si>
  <si>
    <t>TRANSPORTE AEREO PCTE MEJIA CHAMPI DAVID ISMAEL</t>
  </si>
  <si>
    <t>ASISTENCIA MEDICA PCTE MEJIA CHAMPI DAVID ISMAEL</t>
  </si>
  <si>
    <t>ASISTENCIA MEDICA PCTE CCAPA CRUZ KATE GEORDANA</t>
  </si>
  <si>
    <t>TRANSPORTE AEREO PCTE CCAPA CRUZ KATE GEORDANA</t>
  </si>
  <si>
    <t>F001-3089</t>
  </si>
  <si>
    <t>F001-3090</t>
  </si>
  <si>
    <t>F001-3091</t>
  </si>
  <si>
    <t>F001-3092</t>
  </si>
  <si>
    <t>TIRADO/REYNER</t>
  </si>
  <si>
    <t>MEDEVAC PCTE PANDURO MESIA GEINER</t>
  </si>
  <si>
    <t>F001-3072</t>
  </si>
  <si>
    <t>F001-3054</t>
  </si>
  <si>
    <t>MEDEVAC PCTE ALVARIÑO SUAREZ MARCO A</t>
  </si>
  <si>
    <t>F001-3071</t>
  </si>
  <si>
    <t>MEDEVAC PCTE VALDERRAMA PEZO ARMANDO</t>
  </si>
  <si>
    <t>IAFAS DE LA MARINA DE GUERRA</t>
  </si>
  <si>
    <t>F001-3096</t>
  </si>
  <si>
    <t>MOYA/ALARCÓN/ELERA</t>
  </si>
  <si>
    <t>UNISTAR AIRLINES SAC</t>
  </si>
  <si>
    <t>MEDEVAC PCTE CANAQUIRI CRUZ EMIR JUNIOR</t>
  </si>
  <si>
    <t>F001-3101</t>
  </si>
  <si>
    <t>F001-3102</t>
  </si>
  <si>
    <t>MEDEVAC PCTE LASTRA INFANTAS ALEJANDRO DIONEL</t>
  </si>
  <si>
    <t>MEDEVAC PCTE BALLON NUÑEZ LUIS</t>
  </si>
  <si>
    <t>F001-3104</t>
  </si>
  <si>
    <t xml:space="preserve">MEDEVAC PCTE BRISTOW ROSEMERY ANNY </t>
  </si>
  <si>
    <t>PEÑA/CAMARENA/ELERA</t>
  </si>
  <si>
    <t>F001-3106</t>
  </si>
  <si>
    <t>F001-3107</t>
  </si>
  <si>
    <t>MEDEVAC PCTE CUNIAS CHUINGA NEXAR ISAI</t>
  </si>
  <si>
    <t xml:space="preserve">MEDEVAC PCTE GONZALES RICOPA MARCELO </t>
  </si>
  <si>
    <t>F001-3070</t>
  </si>
  <si>
    <t>CAMARENA/PEÑA</t>
  </si>
  <si>
    <t>HOSP. SANTA ROSA PTO MALDONADO</t>
  </si>
  <si>
    <t>CAMARENA/BENAVENTE</t>
  </si>
  <si>
    <t>TRASLADO PCTE NUREÑA FLORES ANA CAROLA</t>
  </si>
  <si>
    <t>MEDEVAC PCTE CASTILLO DEL AGUILA CARLOS</t>
  </si>
  <si>
    <t>VALLES/ELERA</t>
  </si>
  <si>
    <r>
      <t>CAMARENA/</t>
    </r>
    <r>
      <rPr>
        <sz val="11"/>
        <color rgb="FFFF0000"/>
        <rFont val="Calibri"/>
        <family val="2"/>
        <scheme val="minor"/>
      </rPr>
      <t>MOYA</t>
    </r>
  </si>
  <si>
    <t>al 30/09/24</t>
  </si>
  <si>
    <t>TRASLADO PCTE SOUZA TUANAMA JORGE AUGUSTO</t>
  </si>
  <si>
    <t>F001-3110</t>
  </si>
  <si>
    <t>MEDEVAC PCTE  REATEGUI MEZA LUCCAS MATHEO</t>
  </si>
  <si>
    <t>F001-3099</t>
  </si>
  <si>
    <t>TRASLADO  PCTE MANUEL AREVALO RIOS</t>
  </si>
  <si>
    <t>F001-3097</t>
  </si>
  <si>
    <t>TRASLADO PCTE AHUANARI MANIHUARI ALFREDO ELMER</t>
  </si>
  <si>
    <t>F001-3098</t>
  </si>
  <si>
    <t>01102024</t>
  </si>
  <si>
    <t>TRU-CUS</t>
  </si>
  <si>
    <t>SHUTTLE SUPPORT PERU S.A.C</t>
  </si>
  <si>
    <t>BENAVENTE/ELERA</t>
  </si>
  <si>
    <t>02102024</t>
  </si>
  <si>
    <t>03102024</t>
  </si>
  <si>
    <t>HOSP. SULLANA</t>
  </si>
  <si>
    <t>TRANSPORTE PCTE TERRONES CHERO FABIANA BRUNELLA</t>
  </si>
  <si>
    <t>SERV. MEDICOS PCTE TERRONES CHERO FABIANA BRUNELLA</t>
  </si>
  <si>
    <t xml:space="preserve">MEDEVAC PCTE ALEJANDRIA HUAMAN MULLER YAMAL </t>
  </si>
  <si>
    <t>MEDEVAC PCTE CAMPOS VILLEGAS KAREN LISSET</t>
  </si>
  <si>
    <t>04102024</t>
  </si>
  <si>
    <r>
      <t>MEDEVAC PCTE MAC</t>
    </r>
    <r>
      <rPr>
        <sz val="11"/>
        <color rgb="FFFF0000"/>
        <rFont val="Calibri"/>
        <family val="2"/>
        <scheme val="minor"/>
      </rPr>
      <t>E</t>
    </r>
    <r>
      <rPr>
        <sz val="11"/>
        <color theme="1"/>
        <rFont val="Calibri"/>
        <family val="2"/>
        <scheme val="minor"/>
      </rPr>
      <t>DO INGA LEONEL FIDEL</t>
    </r>
  </si>
  <si>
    <t>HOSP. REG JAMO TUMBES</t>
  </si>
  <si>
    <t>SERV. MEDICO PCTE RUEDA OLIVOS GABY VANESSA</t>
  </si>
  <si>
    <t>SERV. TRANSPORTE PCTE RUEDA OLIVOS GABY VANESSA</t>
  </si>
  <si>
    <t>F001-3123</t>
  </si>
  <si>
    <t>F001-3124</t>
  </si>
  <si>
    <t>05102024</t>
  </si>
  <si>
    <t>06102024</t>
  </si>
  <si>
    <t>07102024</t>
  </si>
  <si>
    <t>F001-3125</t>
  </si>
  <si>
    <t>MEDEVAC PCTE CHAVEZ PANDO EITHAN IAN</t>
  </si>
  <si>
    <t>F001-3093</t>
  </si>
  <si>
    <t>MEDEVAC PCTE HUAMAN VALENTIN SAMIR DIEGO</t>
  </si>
  <si>
    <t>MEDEVAC PCTE CONDEZO GONZALES GUILLERMO</t>
  </si>
  <si>
    <t>MEDEVAC PCTE BENITES AQUINO ALESSIA LUNA</t>
  </si>
  <si>
    <t>MEDEVAC PCTE JIMENEZ HUAMAN HUGO</t>
  </si>
  <si>
    <t>MEDEVAC PCTE SALVADOR ESTEBAN FELIPE</t>
  </si>
  <si>
    <t>MEDEVAC PCTE JAUSITO MAJUASH JARENK NUANG</t>
  </si>
  <si>
    <t>MEDEVAC PCTE AMASIFUEN SINTI ROSARIO OLIVIA</t>
  </si>
  <si>
    <t>MEDEVAC PCTE VASQUEZ BUSTAMANTE DANIA NAHOMY</t>
  </si>
  <si>
    <t>SERV. MEDICOS PCTE PALACIOS GIRON RN</t>
  </si>
  <si>
    <t>TRANSPORTE PCTE PALACIOS GIRON RN</t>
  </si>
  <si>
    <t>TRASLADO PCTE PINEDO LOPEZ KARELA</t>
  </si>
  <si>
    <t>MEDEVAC PCTE GOMEZ ALBORNOZ DAVID CARLOS</t>
  </si>
  <si>
    <t>MEDEVAC PCTE LOMAS GUERRA HANNA CAMILA</t>
  </si>
  <si>
    <t>MEDEVAC PCTE VERTIZ MERINO MICHELLE WALESKA</t>
  </si>
  <si>
    <t>09102024</t>
  </si>
  <si>
    <t>08102024</t>
  </si>
  <si>
    <t>F001-3057</t>
  </si>
  <si>
    <t>MEDEVAC PCTE ROJAS VEGA AMBAR SOFIA</t>
  </si>
  <si>
    <t>MEDEVAC PCTE CASAS LLAMACCA ALEXANDRA</t>
  </si>
  <si>
    <t>10102024</t>
  </si>
  <si>
    <t>11102024</t>
  </si>
  <si>
    <t>F001-3135</t>
  </si>
  <si>
    <t>12102024</t>
  </si>
  <si>
    <t>CAMARENA/VALLEJOS</t>
  </si>
  <si>
    <t>13102024</t>
  </si>
  <si>
    <t>14102024</t>
  </si>
  <si>
    <t>MEDEVAC PCTE TORRES AMASIFUEN IDELSO</t>
  </si>
  <si>
    <t>MEDEVAC PCTE GONZALES DE PINEDO LUCIA YBETH</t>
  </si>
  <si>
    <t>F001-3137</t>
  </si>
  <si>
    <t>F001-3138</t>
  </si>
  <si>
    <t>HOSP SANTA ROSA</t>
  </si>
  <si>
    <t>F001-3139</t>
  </si>
  <si>
    <t>MEDEVAC PCTE NUÑEZ HURTADO JUAN GABRIEL</t>
  </si>
  <si>
    <t>F001-3140</t>
  </si>
  <si>
    <t xml:space="preserve">MEDEVAC PCTE GUERRERO MIRANDA VICTOR RAUL </t>
  </si>
  <si>
    <t>F001-3141</t>
  </si>
  <si>
    <t>TRASLADO PCTE ZUTA VILCA RUTH</t>
  </si>
  <si>
    <t>MEDEVAC PCTE YALTA HUANCHO YSABEL</t>
  </si>
  <si>
    <t>F001-3146</t>
  </si>
  <si>
    <t>F001-3145</t>
  </si>
  <si>
    <t>F001-3147</t>
  </si>
  <si>
    <t>F001-3148</t>
  </si>
  <si>
    <t>F001-3149</t>
  </si>
  <si>
    <t>F001-3150</t>
  </si>
  <si>
    <t>F001-3151</t>
  </si>
  <si>
    <t>F001-3152</t>
  </si>
  <si>
    <t>F001-3153</t>
  </si>
  <si>
    <t>F001-3154</t>
  </si>
  <si>
    <t>F001-3155</t>
  </si>
  <si>
    <t>F001-3156</t>
  </si>
  <si>
    <t>F001-3157</t>
  </si>
  <si>
    <t>F001-3158</t>
  </si>
  <si>
    <t>BURBANO7SANCHEZ</t>
  </si>
  <si>
    <t>15102024</t>
  </si>
  <si>
    <t>MEDEVAC PCTE AÑACATA CACERES SAMUEL SEVERINO</t>
  </si>
  <si>
    <t>MEDEVAC PCTE GRANDA BARRIOS DE RIEGA LEONOR YSABEL</t>
  </si>
  <si>
    <t>MEDEVAC PCTE APAZA HERMOSA  FRANCISCA</t>
  </si>
  <si>
    <t>MEDEVAC PCTE CAMACHO MASIAS ALDAIR</t>
  </si>
  <si>
    <t>MEDEVAC PCTE AROCUTIPA HUANCA VICTOR HUGO</t>
  </si>
  <si>
    <t>MEDEVAC PCTE CARAZAS JULCA VICTOR ANDRES</t>
  </si>
  <si>
    <t>MEDEVAC PCTE RIMAICUNA VISUETA EVANS STEFANO</t>
  </si>
  <si>
    <t>MEDEVAC PCTE AQUINO BLAS ERICK SANTIAGO</t>
  </si>
  <si>
    <t>MEDEVAC PCTE RIVERA SANCHEZ OSWALDO ELI</t>
  </si>
  <si>
    <t>MEDEVAC PCTE TICERAN GALVEZ CESAR GONZALO</t>
  </si>
  <si>
    <t>MEDEVAC PCTE HOYOS REATEGUI DE CARDENAS NELI</t>
  </si>
  <si>
    <t>MEDEVAC PCTE TORRES SANTILLAN HILDEBRANDO</t>
  </si>
  <si>
    <t>MEDEVAC PCTE RAMOS MARQUEZ LUIS</t>
  </si>
  <si>
    <t>MEDEVAC PCTE HIDALGO TORRES EDWIN</t>
  </si>
  <si>
    <t>MEDEVAC PCTE CASTRO MARIÑO JORGE ALONZO</t>
  </si>
  <si>
    <t>F001-3159</t>
  </si>
  <si>
    <t>MEDEVAC PCTE VASQUEZ JIMENEZ BRITTANI FABIANA</t>
  </si>
  <si>
    <t>16102024</t>
  </si>
  <si>
    <t>HOSP. EL CARMEN HUANCAYO</t>
  </si>
  <si>
    <t>CONTRATO N° 0011 -2024-HRT II-2 JAMO</t>
  </si>
  <si>
    <t>F001-3132</t>
  </si>
  <si>
    <t>F001-3128</t>
  </si>
  <si>
    <t>F001-3116</t>
  </si>
  <si>
    <t>MEDEVAC PCTE KELLY R. DUEÑAS LOPEZ</t>
  </si>
  <si>
    <t>TRASLADO PCTE SUGEI J. REATEGUI CORNEJO</t>
  </si>
  <si>
    <t>F001-3117</t>
  </si>
  <si>
    <t>TRASLADO PCTE GALAN RUIZ SOFIA T.</t>
  </si>
  <si>
    <t>F001-3118</t>
  </si>
  <si>
    <t>TRASLADO PCTE AREVALO REATEGUI ARIANA N</t>
  </si>
  <si>
    <t>F001-3119</t>
  </si>
  <si>
    <t>MEDEVAC PCTE MATOS SILVANO LUIS ALBERTO</t>
  </si>
  <si>
    <t>F001-3160</t>
  </si>
  <si>
    <t>MEDEVAC PCTE PEZO VASQUEZ GEAN DAVID</t>
  </si>
  <si>
    <t>F001-3161</t>
  </si>
  <si>
    <t>TRASLADO PCTE VARGAS MORI SARALHELI</t>
  </si>
  <si>
    <t>MEDEVAC PCTE ALVAREZ HORA DECIO</t>
  </si>
  <si>
    <t>17102024</t>
  </si>
  <si>
    <t>F001-3163</t>
  </si>
  <si>
    <t>18102024</t>
  </si>
  <si>
    <t>INTERANDES ASSIST S.A.C.</t>
  </si>
  <si>
    <t xml:space="preserve">VALLES/ELERA </t>
  </si>
  <si>
    <t>CAMARENA/ELERA</t>
  </si>
  <si>
    <t>F001-3174</t>
  </si>
  <si>
    <t>F001-3173</t>
  </si>
  <si>
    <t>F001-3100</t>
  </si>
  <si>
    <t>MEDEVAC PCTE BARRETO APONTE MANUEL ALFREDO</t>
  </si>
  <si>
    <t>MEDEVAC PCTE PAIBA CHUNGA BETTY</t>
  </si>
  <si>
    <t>SERV. MEDICO PCTE CARO MANIHUARI TESI MARILU</t>
  </si>
  <si>
    <t>SERV. TRANSPORTE PCTE CARO MANIHUARI TESI MARILU</t>
  </si>
  <si>
    <t>F001-3177</t>
  </si>
  <si>
    <t>F001-3178</t>
  </si>
  <si>
    <t>F001-3180</t>
  </si>
  <si>
    <t>MEDEVAC PCTE PORTUGAL HURTADO JOSE LUIS</t>
  </si>
  <si>
    <t>F001-3181</t>
  </si>
  <si>
    <t>F001-3168</t>
  </si>
  <si>
    <t>F001-3169</t>
  </si>
  <si>
    <t>MEDEVAC PCTE CELIS FLORES MARCIANO</t>
  </si>
  <si>
    <t>F001-3182</t>
  </si>
  <si>
    <t>MEDEVAC PCTE SULCA QUISPE JOSE ENRIQUE</t>
  </si>
  <si>
    <t>F001-3183</t>
  </si>
  <si>
    <t>MEDEVAC PCTE LUNAZCO VELAZQUE SUSANA</t>
  </si>
  <si>
    <t>F001-3184</t>
  </si>
  <si>
    <t>BURBANO/ELERA</t>
  </si>
  <si>
    <t>MEDEVAC PCTE MUÑOZ BUSTAMANTE LEYDI</t>
  </si>
  <si>
    <t>MEDEVAC PCTE LIMA PEREZ IAN</t>
  </si>
  <si>
    <t>MEDEVAC PCTE MECA RUGEL ANGEL YERALDO</t>
  </si>
  <si>
    <t>MEDEVAC PCTE GONZALES YAPAPASCA KHEYLER JESUS</t>
  </si>
  <si>
    <t>MEDEVAC PCTE PACHECO RODRIGUEZ GUILLERMO</t>
  </si>
  <si>
    <t>F001-3114</t>
  </si>
  <si>
    <t>F001-3130</t>
  </si>
  <si>
    <t>MEDEVAC PCTE UTIA TAFUR HUMBERTO</t>
  </si>
  <si>
    <t>F001-3190</t>
  </si>
  <si>
    <t>F001-3189</t>
  </si>
  <si>
    <t>HOSP.REG. CUSCO</t>
  </si>
  <si>
    <t>GOLD STUDIO LAB EMPRESA INDIVIDUAL DE RESPONSABILIDAD LIMITADA</t>
  </si>
  <si>
    <t>78.HOSP. REGIONAL CUSCO</t>
  </si>
  <si>
    <t>MEDEVAC PCTE FLORES TECSI ADRIANO</t>
  </si>
  <si>
    <t>F001-3193</t>
  </si>
  <si>
    <t>CAMARENA/MENDOZA</t>
  </si>
  <si>
    <t>PEÑA/ELERA</t>
  </si>
  <si>
    <t>MEDEVAC PCTE PHILLIPS BARBARA LORRAINE</t>
  </si>
  <si>
    <t>F001-3195</t>
  </si>
  <si>
    <t>F001-3197</t>
  </si>
  <si>
    <t>CONTRATO N° 020 -2024-HHUT-DRSS</t>
  </si>
  <si>
    <t>VALLES/CAMARENA</t>
  </si>
  <si>
    <t>01112024</t>
  </si>
  <si>
    <t>VALLES/CAMRENA</t>
  </si>
  <si>
    <t>03112024</t>
  </si>
  <si>
    <t>CAMARENA/ALRCON</t>
  </si>
  <si>
    <t>HOSP. REGIONAL LORETO</t>
  </si>
  <si>
    <t>MEDEVAC PCTE PASHANASE LOPEZ AZIEL ETHAN</t>
  </si>
  <si>
    <t>SERV. TRANSPORTE PCTE DEL AGUILA GORDON RENZO VALENTINO</t>
  </si>
  <si>
    <t>SERV. MEDICO PCTE DEL AGUILA GORDON RENZO VALENTINO</t>
  </si>
  <si>
    <t>SERV. TRANSPORTE PCTE PANAIFO RODRIGUEZ PRYA DAYANI</t>
  </si>
  <si>
    <t>SERV. MEDICO PCTE  PANAIFO RODRIGUEZ PRYA DAYANI</t>
  </si>
  <si>
    <t>MEDEVAC PCTE VICTOR GASTELU CANCHO</t>
  </si>
  <si>
    <t>TRASLADO PCTE BEL GONZALES COMETIVOS</t>
  </si>
  <si>
    <t>F001-3191</t>
  </si>
  <si>
    <t>F001-3192</t>
  </si>
  <si>
    <t>MEDEVAC PCTE HERRERA TOVAR SOFIA ROSA</t>
  </si>
  <si>
    <t>MEDEVAC PCTE SILVA SANANCINA CLORINDA</t>
  </si>
  <si>
    <t>MEDEVAC PCTE PACOHUANACO QUEA GADIEL DANTE</t>
  </si>
  <si>
    <t>MEDEVAC PCTE GONZALES ASPAJO SOPHIA ELIZABETH</t>
  </si>
  <si>
    <t>F001-3166</t>
  </si>
  <si>
    <t xml:space="preserve">MEDEVAC PCTE RICSE CANCHANYA ABDIEL EMIR </t>
  </si>
  <si>
    <t>MEDEVAC PCTE HIDALGO VALERA ROLANDO</t>
  </si>
  <si>
    <t>MEDEVAC PCTE MIGUEL VILLANUEVA NALDA</t>
  </si>
  <si>
    <t>MEDEVAC PCTE ESPINOZA LAURENCIO VALERIANO</t>
  </si>
  <si>
    <t>MEDEVAC PCTE AREVALO SOLSOL JOEL ANGEL</t>
  </si>
  <si>
    <t>MEDEVAC PCTE MARTINEZ CUESTAS JUSTINIANO</t>
  </si>
  <si>
    <t>MEDEVAC PCTE TACURI MARTEL KATTY MARIANA</t>
  </si>
  <si>
    <t>F001-3203</t>
  </si>
  <si>
    <t>F001-3204</t>
  </si>
  <si>
    <t>05112024</t>
  </si>
  <si>
    <t>MEDEVAC PCTE CRISTOFORINI GABRIELLA</t>
  </si>
  <si>
    <t>MEDEVAC PCTE GUEVARA RAMOS IKER FABRICIO</t>
  </si>
  <si>
    <t>F001-3220</t>
  </si>
  <si>
    <t>MEDEVAC PCTE PALACIOS MELENDEZ BENJAMIN CALEB</t>
  </si>
  <si>
    <t>F001-3215</t>
  </si>
  <si>
    <t>MEDEVAC PCTE VARGAS PONCE JUAN CARLOS</t>
  </si>
  <si>
    <t>MEDEVAC PCTE DEL AGUILA ARIRAMA JUAN CARLOS</t>
  </si>
  <si>
    <t>TRASLADO PCTE ARANCIBIA GARCIA NELLY</t>
  </si>
  <si>
    <t>F001-3218</t>
  </si>
  <si>
    <t>70. HOSPITAL DE APOYO BAGUA</t>
  </si>
  <si>
    <t>06112024</t>
  </si>
  <si>
    <t>F001-3208</t>
  </si>
  <si>
    <t>F001-3209</t>
  </si>
  <si>
    <t>F001-3210</t>
  </si>
  <si>
    <t>F001-3211</t>
  </si>
  <si>
    <t>F001-3212</t>
  </si>
  <si>
    <t>F001-3213</t>
  </si>
  <si>
    <t>F001-3206</t>
  </si>
  <si>
    <t>ESSALUD PTO MALDONADO</t>
  </si>
  <si>
    <t>79.ESSALUD PTO. MALDONADO</t>
  </si>
  <si>
    <t>F001-3205</t>
  </si>
  <si>
    <t>07112024</t>
  </si>
  <si>
    <t>BURBANO/CAMARENA</t>
  </si>
  <si>
    <t>MEDEVAC PCTE TARRILLO COTRINA DAYANA CELESTE</t>
  </si>
  <si>
    <t>?</t>
  </si>
  <si>
    <t>F001-2854</t>
  </si>
  <si>
    <t>08112024</t>
  </si>
  <si>
    <t>F001-3230</t>
  </si>
  <si>
    <t>59. HOSP. GEN. JAEN</t>
  </si>
  <si>
    <t>F001-3231</t>
  </si>
  <si>
    <t>F001-3232</t>
  </si>
  <si>
    <t>F001-3233</t>
  </si>
  <si>
    <t>MOYA/ELERA</t>
  </si>
  <si>
    <t>09112024</t>
  </si>
  <si>
    <t>10112024</t>
  </si>
  <si>
    <t>11112024</t>
  </si>
  <si>
    <t>ESSALUD AYACUHO</t>
  </si>
  <si>
    <t>HOSP. REG. CAJAMARCA</t>
  </si>
  <si>
    <t>F001-3238</t>
  </si>
  <si>
    <t>SALDO X EJECUTAR</t>
  </si>
  <si>
    <t>12112024</t>
  </si>
  <si>
    <t>13112024</t>
  </si>
  <si>
    <t>MOYA/CAMARENA</t>
  </si>
  <si>
    <t>TRASLADO PCTE CARDENAS SALDAÑA PEDRO</t>
  </si>
  <si>
    <t>F001-3242</t>
  </si>
  <si>
    <t>TRASLADO PCTE CHOY SANCHEZ DE REATEGUI</t>
  </si>
  <si>
    <t>F001-3240</t>
  </si>
  <si>
    <t>MEDEVAC PCTE NESTOR CHUMBE NAVARRO</t>
  </si>
  <si>
    <t>F001-3241</t>
  </si>
  <si>
    <t>TRASLADO PCTE COLLAZOS DE BARDALES ZOILA</t>
  </si>
  <si>
    <t>F001-3227</t>
  </si>
  <si>
    <t>TRASLADO PCTE DIAZ SINARAHUA UZIEL JANDIR</t>
  </si>
  <si>
    <t>F001-3228</t>
  </si>
  <si>
    <t>TRASLADO PCTE GISELA ROMAINA CORDOVA</t>
  </si>
  <si>
    <t>F001-3244</t>
  </si>
  <si>
    <t>TRASLADO PCTE BORDOY LEANDRO NAHOMY THAYS</t>
  </si>
  <si>
    <t>F001-3245</t>
  </si>
  <si>
    <t>TRASLADO PCTE RUIZ DAVILA SIMON</t>
  </si>
  <si>
    <t>F001-3246</t>
  </si>
  <si>
    <t>F001-3247</t>
  </si>
  <si>
    <t>F001-3249</t>
  </si>
  <si>
    <t>MEDEVAC PCTE VALENZUELA SEGOVIA JUANA ALICSA</t>
  </si>
  <si>
    <t>CH-RJA</t>
  </si>
  <si>
    <t>CAMARENA/ALARCON</t>
  </si>
  <si>
    <t>MEDEVAC PCTE ARTEAGA ALBARRAN MARLY ZENAIDA</t>
  </si>
  <si>
    <t>F001-3251</t>
  </si>
  <si>
    <t>F001-3252</t>
  </si>
  <si>
    <t>14112024</t>
  </si>
  <si>
    <t>MEDEVAC PCTE WOODELL DE OCHOA LINDA JOAN</t>
  </si>
  <si>
    <t>F001-3254</t>
  </si>
  <si>
    <t>MEDEVAC PCTE VIVAS JACACHAGUA VERONICA PAULINA</t>
  </si>
  <si>
    <t>F001-3248</t>
  </si>
  <si>
    <t>MEDEVAC PCTE  RIOS PAREDES JARRINZON</t>
  </si>
  <si>
    <t>F001-3255</t>
  </si>
  <si>
    <t>15112024</t>
  </si>
  <si>
    <t>PEÑA/CAMARENA</t>
  </si>
  <si>
    <t>F001-3235</t>
  </si>
  <si>
    <t>MEDEVAC PCTE  CARBAJAL AVILA JHADY SHARMELY</t>
  </si>
  <si>
    <t>HOSP REG. AYACUCHO</t>
  </si>
  <si>
    <t>16112024</t>
  </si>
  <si>
    <t>17112024</t>
  </si>
  <si>
    <t>F001-3250</t>
  </si>
  <si>
    <t>MEDEVAC PCTE CCENCHO CENCIA KENNEDY</t>
  </si>
  <si>
    <t>F001-3266</t>
  </si>
  <si>
    <t>MEDEVAC PCTE BANCES OYOLA BRIANNA ANTUANET</t>
  </si>
  <si>
    <t>MEDEVAC PCTE RAMIREZ BARTRA ZASHEYLI NAYELI</t>
  </si>
  <si>
    <t>TRASLADO PCTE LOPEZ SHAHUANO GIANELLA</t>
  </si>
  <si>
    <t>F001-3263</t>
  </si>
  <si>
    <t>F001-3264</t>
  </si>
  <si>
    <t>MEDEVAC PCTE IXA SALDAÑA GABRIEL</t>
  </si>
  <si>
    <t>F001-3262</t>
  </si>
  <si>
    <t>TRASLADO PCTE ASIPALI GOYZUETA REYNA GABRIELA</t>
  </si>
  <si>
    <t>F001-3261</t>
  </si>
  <si>
    <t>MEDEVAC PCTE SALDAÑA GABRIEL ALONDRA</t>
  </si>
  <si>
    <t>F001-3260</t>
  </si>
  <si>
    <t>F001-3259</t>
  </si>
  <si>
    <t>TRASLADO PCTE RIOS NIETO JARITZA PAOLA</t>
  </si>
  <si>
    <t>MEDEVAC PCTE LORENZO PARODI JIMENEZ</t>
  </si>
  <si>
    <t>MEDEVAC PCTE CASTILLO SANCHEZ ALESSIO SALVADOR</t>
  </si>
  <si>
    <t>MEDEVAC PCTE CARO NOLASCO TOBIAS EMILIO</t>
  </si>
  <si>
    <t>MEDEVAC PCTE MORALES SILVA MILAN MATEO</t>
  </si>
  <si>
    <t>MEDEVAC PCTE RAMIREZ ZAPATA ELIZABETH PILAR</t>
  </si>
  <si>
    <t>F001-3167</t>
  </si>
  <si>
    <t>MEDEVAC PCTE DOLMOS VARGAS MAXIMO LEONARDO</t>
  </si>
  <si>
    <t>BLUE HORIZON GROUP LLC</t>
  </si>
  <si>
    <t>77.HOSP. EGB CHIMBOTE</t>
  </si>
  <si>
    <t>CONTRATO Nº …...-2024-HRA                   X 03 SERVICIOS</t>
  </si>
  <si>
    <t>MEDEVAC PCTE RN CALIZAYA PARI</t>
  </si>
  <si>
    <t>CONTRATO ESSALUD RAAM ITEM 1</t>
  </si>
  <si>
    <t>CONTRATO ESSALUD RAAM ITEM 2</t>
  </si>
  <si>
    <t>MEDEVAC PCTE CAMERO CARBONELLI DELFIN IGNACIO</t>
  </si>
  <si>
    <t>MEDEVAC PCTE ANCCO GONZALES DELY NICOLASA</t>
  </si>
  <si>
    <t>F001-3286</t>
  </si>
  <si>
    <t>F001-3287</t>
  </si>
  <si>
    <t>MEDEVAC PCTE CHINGUEL TOCTO EMILY</t>
  </si>
  <si>
    <t>F001-3288</t>
  </si>
  <si>
    <t>MEDEVAC PCTE VARGAS GOMEZ ABRAHAM AREN</t>
  </si>
  <si>
    <t>F001-3289</t>
  </si>
  <si>
    <t>LIM-CHY</t>
  </si>
  <si>
    <t>F001-3290</t>
  </si>
  <si>
    <t>F001-3291</t>
  </si>
  <si>
    <t>SERV. MEDICO PCTE YAICATE PACASA DANIEL</t>
  </si>
  <si>
    <t>F001-3258</t>
  </si>
  <si>
    <t>sin igv</t>
  </si>
  <si>
    <t>MEDEVAC PCTE DE LA CRUZ YNFANTE AYLIN MELANI</t>
  </si>
  <si>
    <t>MEDEVAC PCTE MORALES CHACHA OSCAR JOSUE</t>
  </si>
  <si>
    <t>F001-3293</t>
  </si>
  <si>
    <t>MEDEVAC PCTE GANDOLFO NINAJA BRIELLA CAROLINA</t>
  </si>
  <si>
    <t>MEDEVAC PCTE RODRIGUEZ MAYANGA EDINSON GAEL</t>
  </si>
  <si>
    <t>F001-3276</t>
  </si>
  <si>
    <t>F001-3277</t>
  </si>
  <si>
    <t>F001-3278</t>
  </si>
  <si>
    <t>F001-3279</t>
  </si>
  <si>
    <t>F001-3143</t>
  </si>
  <si>
    <t>F001-3294</t>
  </si>
  <si>
    <t>MEDEVAC PCTE HUAMANI GALINDO PELE</t>
  </si>
  <si>
    <t>F001-3295</t>
  </si>
  <si>
    <t>F001-3296</t>
  </si>
  <si>
    <t>F001-3297</t>
  </si>
  <si>
    <t>SERVICIO DE TRANSPORTE AÉREO PEREZ MARREROS CLAUDIO</t>
  </si>
  <si>
    <t>SERVICIO MÉDICO INTEGRAL EN AMBULANCIA AÉREA PEREZ MARREROS CLAUDIO</t>
  </si>
  <si>
    <t>MEDEVAC PCTE PIZANGO CHASNAMOTE NESTOR JENRY</t>
  </si>
  <si>
    <t>F001-3300</t>
  </si>
  <si>
    <t>F001-3302</t>
  </si>
  <si>
    <t>F001-3303</t>
  </si>
  <si>
    <t>F001-3236</t>
  </si>
  <si>
    <t>F001-3237</t>
  </si>
  <si>
    <t>F001-3275</t>
  </si>
  <si>
    <t>HOIS. REG TUMBES</t>
  </si>
  <si>
    <t>MEDEVAC PCTE MOLINA TRIVEÑO SIPRIANO SANTIAGO</t>
  </si>
  <si>
    <t>MEDEVAC PCTE MACEDO GUERRA OSWALDO</t>
  </si>
  <si>
    <t>MEDEVAC PCTE MARIÑAS ISUIZA JACK RODRIGO</t>
  </si>
  <si>
    <t>MEDEVAC PCTE RAMOS IRIARTE LUCAS EZEQUIEL</t>
  </si>
  <si>
    <t>MEDEVAC PCTE VASQUEZ DIAZ JOSE REYNULFO</t>
  </si>
  <si>
    <t>MEDEVAC PCTE LA ROSA MOSCAIZA BRIGUETTE  GUADALUPE</t>
  </si>
  <si>
    <t>MEDEVAC PCTE BARRETO SANTAMARIA CARLOS GIANPIERRE</t>
  </si>
  <si>
    <t>MEDEVAC PCTE QUISPE NAVARRO JOSE ADAN</t>
  </si>
  <si>
    <t>MEDEVAC PCTE DIAZ ARENAS MOISES JOSE</t>
  </si>
  <si>
    <t>MEDEVAC PCTE SILVA MEDINA HUMBERTO</t>
  </si>
  <si>
    <t>MEDEVAC PCTE PUMA ZAMATA JUAN JOSE</t>
  </si>
  <si>
    <t>MEDEVAC PCTE VERA VILLAFUERTE JORGE WASHINGTON</t>
  </si>
  <si>
    <t>MEDEVAC PCTE HUAMAN LIMAY JHORDY FERNANDO</t>
  </si>
  <si>
    <t>MEDEVAC PCTE DIAZ ALVAREZ ROBERT ISRAEL</t>
  </si>
  <si>
    <t>MEDEVAC PCTE MUÑOZ FRIAS ASHLEY XIMENA</t>
  </si>
  <si>
    <t>MEDEVAC PCTE JURADO MARQUEZ MIRIAM FRANCISCA</t>
  </si>
  <si>
    <t>MEDEVAC PCTE CORNEJO PAZO TIRZO BENIGNO</t>
  </si>
  <si>
    <t>MEDEVAC PCTE PINEDO MURRIETA MARIO SEGUNDO</t>
  </si>
  <si>
    <t>MEDEVAC PCTE MENDOZA TAFUR VDA DE ECHEVARRIA MIGUELINA</t>
  </si>
  <si>
    <t>ESCOLTA</t>
  </si>
  <si>
    <t>F001-3282</t>
  </si>
  <si>
    <t>F001-3283</t>
  </si>
  <si>
    <t>TRASLADO PCTE HILDA LETICIA VARGAS LINARES</t>
  </si>
  <si>
    <t>F001-3301</t>
  </si>
  <si>
    <t>TRASLADO PCTE SOTO REATEGUI JOSE MARCIAL</t>
  </si>
  <si>
    <t>F001-3304</t>
  </si>
  <si>
    <t>TRASLADO PCTE AURORA TAPULLIMA DE TUANAMA</t>
  </si>
  <si>
    <t>F001-3285</t>
  </si>
  <si>
    <t>MEDEVAC PCTE LUMPKIN PAUL MICHAEL</t>
  </si>
  <si>
    <t>F001-3313</t>
  </si>
  <si>
    <t>F001-3317</t>
  </si>
  <si>
    <t>MEDEVAC  PCTE ISUIZA TUANAMA KENDRICK SANTIAGO</t>
  </si>
  <si>
    <t>16;:26</t>
  </si>
  <si>
    <t>F001-3325</t>
  </si>
  <si>
    <t>HOSP. REG. CUSCO</t>
  </si>
  <si>
    <t>F001-3326</t>
  </si>
  <si>
    <t>MEDEVAC PCTE MATEO BORJA ALCIDES DANIEL</t>
  </si>
  <si>
    <t>F001-3305</t>
  </si>
  <si>
    <t>F001-3306</t>
  </si>
  <si>
    <t>F001-3307</t>
  </si>
  <si>
    <t>F001-3308</t>
  </si>
  <si>
    <t>F001-3309</t>
  </si>
  <si>
    <t>EPS</t>
  </si>
  <si>
    <t>ESCOLTA PCTE HUAMAN TOCTO ALEXIS SEBASTIAN</t>
  </si>
  <si>
    <t xml:space="preserve">MEDEVAC PCTE TOCTO REYES BERTHA </t>
  </si>
  <si>
    <t>MEDEVAC PCTE JIMENEZ REYES CARLOS ALFREDO</t>
  </si>
  <si>
    <t>F001-3334</t>
  </si>
  <si>
    <t>F001-3335</t>
  </si>
  <si>
    <t>F001-3338</t>
  </si>
  <si>
    <t>F001-3339</t>
  </si>
  <si>
    <t>F001-3340</t>
  </si>
  <si>
    <t>LET-IQT</t>
  </si>
  <si>
    <t>DIRECCION REGIONAL DE SALUD LORETO</t>
  </si>
  <si>
    <t>80.DIRECCION REGIONAL DE SALUD LORETO</t>
  </si>
  <si>
    <t xml:space="preserve">TOTAL DEUDA </t>
  </si>
  <si>
    <t xml:space="preserve">TRASLADO PCTE REATEGUI VALERA FRESI </t>
  </si>
  <si>
    <t>TRASLADO PCTE RIVERA QUICAÑA AYDEE</t>
  </si>
  <si>
    <t>F001-3315</t>
  </si>
  <si>
    <t>F001-3316</t>
  </si>
  <si>
    <t>F001-3318</t>
  </si>
  <si>
    <t>MEDEVAC PCTE CASTRO MALDONADO LINDER D.</t>
  </si>
  <si>
    <t>F001-3350</t>
  </si>
  <si>
    <t>MEDEVAC PCTE ISUIZA MAMIRO HERNAN</t>
  </si>
  <si>
    <t>F001-3351</t>
  </si>
  <si>
    <t>F001-3352</t>
  </si>
  <si>
    <t>F001-3353</t>
  </si>
  <si>
    <t>F001-3354</t>
  </si>
  <si>
    <t>F001-3348</t>
  </si>
  <si>
    <t>F001-3349</t>
  </si>
  <si>
    <t>SEGUROS</t>
  </si>
  <si>
    <t>TIPO SEGURO</t>
  </si>
  <si>
    <t>MEDEVAC PCTE QUISPE COTRINA JAZMIN YAQUELINE</t>
  </si>
  <si>
    <t>MEDEVAC PCTE FALCON BOZA ROSMERY</t>
  </si>
  <si>
    <t xml:space="preserve">MEDEVAC PCTE PINEDA VDA DE DIAZ JUSTINA OLGA </t>
  </si>
  <si>
    <t>MEDEVAC PCTE RIOS REYNA SEGUNDO CRISTOBAL</t>
  </si>
  <si>
    <t>MEDEVAC PCTE PUCCIO DE PINHO GIULIANA VALENTINA</t>
  </si>
  <si>
    <t>TRASLADO PCTE SIMARRA VASQUEZ PABLO BENJAMIN</t>
  </si>
  <si>
    <t>F001-3298</t>
  </si>
  <si>
    <t>F001-3312</t>
  </si>
  <si>
    <t>MEDEVAC PCTE GARCIA COHEN LINDAURA</t>
  </si>
  <si>
    <t>MEDEVAC PCTE HUYHUA ROCA BARUC SALOMON</t>
  </si>
  <si>
    <t>MEDEVAC PCTE ENCINAS SILVA DYLAN</t>
  </si>
  <si>
    <t>MEDEVAC PCTE SERNA YACILA ALMA</t>
  </si>
  <si>
    <t>F001-3365</t>
  </si>
  <si>
    <t>F001-3366</t>
  </si>
  <si>
    <t>SERV. TRANSPORTE PCTE MANUYAMA MOZOMBITE ALEXIS</t>
  </si>
  <si>
    <t>SERV. MEDICO PCTE MANUYAMA MOZOMBITE ALEXIS</t>
  </si>
  <si>
    <t>SERV. TRANSPORTE PCTE GUPIO TORRES KELER MILER</t>
  </si>
  <si>
    <t xml:space="preserve">SERV. MEDICO PCTE GUPIO TORRES KELER MILER </t>
  </si>
  <si>
    <t>MEDEVAC PCTE OSORIO ESTRELLA AUSTIN GABRIEL</t>
  </si>
  <si>
    <t>F001-3367</t>
  </si>
  <si>
    <t>F001-3368</t>
  </si>
  <si>
    <t>F001-3369</t>
  </si>
  <si>
    <t>F001-3370</t>
  </si>
  <si>
    <t>MEDEVAC PCTE SORIA ALVAREZ ISAAC SALVADOR</t>
  </si>
  <si>
    <t>F001-3371</t>
  </si>
  <si>
    <t>F001-3362</t>
  </si>
  <si>
    <t>HOSP. REG. GOYENECHE</t>
  </si>
  <si>
    <t>F001-3372</t>
  </si>
  <si>
    <t>F001-3361</t>
  </si>
  <si>
    <t>F001-3363</t>
  </si>
  <si>
    <t>F001-3355</t>
  </si>
  <si>
    <t>F001-3356</t>
  </si>
  <si>
    <t>F001-3358</t>
  </si>
  <si>
    <t>F001-3357</t>
  </si>
  <si>
    <t>F001-3359</t>
  </si>
  <si>
    <t>F001-3360</t>
  </si>
  <si>
    <t>SERV. TRANSPORTE PCTE YAICATE PACAYA DANIEL</t>
  </si>
  <si>
    <t>F001-3373</t>
  </si>
  <si>
    <t>F001-3374</t>
  </si>
  <si>
    <t>MEDEVAC PCTE MENDOZA OBREGON RN</t>
  </si>
  <si>
    <t>F001-3375</t>
  </si>
  <si>
    <t>MEDEVAC PCTE MEJIA CABRERA FIORELLA SUAHYL</t>
  </si>
  <si>
    <t>MEDEVAC PCTE ZAMORA BELLIDO YAN BEKER</t>
  </si>
  <si>
    <t>MEDEVAC PCTE PEREZ WILLIAM JOSEPH</t>
  </si>
  <si>
    <t>F001-3377</t>
  </si>
  <si>
    <t>MEDEVAC PCTE ANA FALCON TUESTA DE GRANDES</t>
  </si>
  <si>
    <t>MEDEVAC PCTE JANELLE A. PEREZ RODRIGUEZ</t>
  </si>
  <si>
    <t>TRASLADO PCTE CAROLA MOZOMBITE FLORES</t>
  </si>
  <si>
    <t>TRASLADO PCTE PAREDES GUTIERREZ SERGIO CALEB</t>
  </si>
  <si>
    <t>HOSP. REG JAEN</t>
  </si>
  <si>
    <t>CAJ-LIM</t>
  </si>
  <si>
    <t>MEDEVAC PCTE HERRERA NAIRA KASUMY</t>
  </si>
  <si>
    <t>F001-3382</t>
  </si>
  <si>
    <t>F001-3384</t>
  </si>
  <si>
    <t>LIM-PCL-LIM</t>
  </si>
  <si>
    <t>MEDEVAC PCTE GUTIERREZ TAPIA JORGE LUIS</t>
  </si>
  <si>
    <t>F001-3395</t>
  </si>
  <si>
    <t>MEDEVAC PCTE RIOJAS BANCES JUAN ALEJANDRO</t>
  </si>
  <si>
    <t>MAURA LOPEZ REAP</t>
  </si>
  <si>
    <t>SINCHE ORTEGA RN</t>
  </si>
  <si>
    <t>BENDEZU SALAZAR ANAT</t>
  </si>
  <si>
    <t xml:space="preserve">MEDINA ALARCON YENNY SARA </t>
  </si>
  <si>
    <t>MITMA DE ESCRIBA FLORENTINA REYNA</t>
  </si>
  <si>
    <t>UMPIRE DE MAMANI MARCELINA</t>
  </si>
  <si>
    <t>RIOS ALVA ESMERALDA DE JESUS</t>
  </si>
  <si>
    <t>VILLAFANA PUMARICRA DOLORES MILCA</t>
  </si>
  <si>
    <t>FABIAN TUCTO JOSE LUIS</t>
  </si>
  <si>
    <t>DAVILA RODRIGUEZ BRAYAN FABRIZIO</t>
  </si>
  <si>
    <t>HUAMAN LIMAY JHORDY FERNANDO</t>
  </si>
  <si>
    <t>CCAMA LAQUI DIEGO SIMIONE</t>
  </si>
  <si>
    <t>HUARANCA NUÑEZ ROMULO SABINO</t>
  </si>
  <si>
    <t>ZEVALLOS MOLINA MELANI ANDREA</t>
  </si>
  <si>
    <t>CRUZ CARRASCO BASILIO</t>
  </si>
  <si>
    <t>TORRES CASTAÑEDA JAMES</t>
  </si>
  <si>
    <t>F001-3333</t>
  </si>
  <si>
    <t>F001-3391</t>
  </si>
  <si>
    <t>MEDEVAC PCTE ROSILLO BALLONA THIAGO AGUSTIN</t>
  </si>
  <si>
    <t>F001-3392</t>
  </si>
  <si>
    <t>MEDEVAC PCTE FLORES GONZALES ROSSBITH</t>
  </si>
  <si>
    <t>F001-3393</t>
  </si>
  <si>
    <t>MEDEVAC PCTE CHAVEZ ALARCON DIEGO RAFAEL</t>
  </si>
  <si>
    <t>F001-3397</t>
  </si>
  <si>
    <t>MEDEVAC PCTE AZURIN BALLON JULIO CESAR</t>
  </si>
  <si>
    <t>F001-3385</t>
  </si>
  <si>
    <t>HOSP REG TARAPOTO</t>
  </si>
  <si>
    <t>MEDEVAC PCTE OYOLA GILES LIAM KAALEB</t>
  </si>
  <si>
    <t>MEDEVAC PCTE LARA MORI ESTEFANY G</t>
  </si>
  <si>
    <t>F001-3380</t>
  </si>
  <si>
    <t>F001-3379</t>
  </si>
  <si>
    <t>TRASLADO PCTE GARCIA TAPULLIMA CIRO ALEJANDRO</t>
  </si>
  <si>
    <t>TRASLADO PCTE LAURENCIO MALPARTIDA BRANDOL</t>
  </si>
  <si>
    <t>F001-3404</t>
  </si>
  <si>
    <t>F001-3405</t>
  </si>
  <si>
    <t>TRASLADO PCTE FASABI SABOYA JUAN ABELARDO</t>
  </si>
  <si>
    <t>MEDEVAC PCTE MARIN VARGAS DE JIMENEZ LOOY</t>
  </si>
  <si>
    <t>HOSPITAL REGIONAL DE CUSCO</t>
  </si>
  <si>
    <t>MEDEVAC PCTE SALAS SHUPINGAHUA ÑURITA</t>
  </si>
  <si>
    <t>MEDEVAC PCTE FABIAN CARHUA CLYDI FRANCIA</t>
  </si>
  <si>
    <t>TRASLADO PCTES PIÑA HUARATAPAIRO LIMBER ERNESTO E IPUSHIMA OCHAVANO ESTHER</t>
  </si>
  <si>
    <t>MEDEVAC PCTE RIOS JULCAHUANCA AYLA DANDARA</t>
  </si>
  <si>
    <t>MEDEVAC PCTE TURPO VASQUEZ LUZ NELIDA</t>
  </si>
  <si>
    <t>F001-3411</t>
  </si>
  <si>
    <t>F001-3412</t>
  </si>
  <si>
    <t>F001-3413</t>
  </si>
  <si>
    <t>TRASLADO PCTE TRASALDO DE PAX</t>
  </si>
  <si>
    <t>F001-3386</t>
  </si>
  <si>
    <t>F001-3387</t>
  </si>
  <si>
    <t>F001-3388</t>
  </si>
  <si>
    <t>F001-3389</t>
  </si>
  <si>
    <t>F001-3390</t>
  </si>
  <si>
    <t>MEDEVAC PCTE GAMARRA RAMON ZEYNEP BEYHAM GULBAHAR</t>
  </si>
  <si>
    <t>F001-3415</t>
  </si>
  <si>
    <t>F001-3417</t>
  </si>
  <si>
    <t>F001-3416</t>
  </si>
  <si>
    <t>MEDEVAC PCTE BACA CHACON SELENE</t>
  </si>
  <si>
    <t>F001-3418</t>
  </si>
  <si>
    <t>DURAN/LEYVA</t>
  </si>
  <si>
    <t>BENAVENTE/CAMARENA</t>
  </si>
  <si>
    <t>VIGENCIA CONTRATO</t>
  </si>
  <si>
    <t>SVC MEDICAL</t>
  </si>
  <si>
    <t>MEDEVAC PCTE PAIBA COLOMA MIA AITANA</t>
  </si>
  <si>
    <t>F001-3420</t>
  </si>
  <si>
    <t>F001-3407</t>
  </si>
  <si>
    <t>F001-3408</t>
  </si>
  <si>
    <t>F001-3421</t>
  </si>
  <si>
    <t>TRASLADO PCTE OSCAR PAZ VALERA</t>
  </si>
  <si>
    <t>F001-3422</t>
  </si>
  <si>
    <t>DAZA RAMOS LINDER</t>
  </si>
  <si>
    <t>ESPINOZA PADILLA FELICIANO ALVAYER</t>
  </si>
  <si>
    <t>F001-3219</t>
  </si>
  <si>
    <t>F001-3398</t>
  </si>
  <si>
    <t>F001-3399</t>
  </si>
  <si>
    <t>F001-3400</t>
  </si>
  <si>
    <t>F001-3401</t>
  </si>
  <si>
    <t>F001-3402</t>
  </si>
  <si>
    <t>F001-3403</t>
  </si>
  <si>
    <t>F001-3207</t>
  </si>
  <si>
    <t>MEDEVAC PCTE HERRERA GUADAÑA MAEL ABRAHAM</t>
  </si>
  <si>
    <t>F001-3431</t>
  </si>
  <si>
    <t>TRASLADO PCTE TORRES AMARINGO DOELITH</t>
  </si>
  <si>
    <t>TRASLADO PCTE GORDILLO REYES BETSABE EVELYN</t>
  </si>
  <si>
    <t>F001-3432</t>
  </si>
  <si>
    <t>F001-3433</t>
  </si>
  <si>
    <t>TRASLADO PCTE ROJAS MONRROY MEZALLINE</t>
  </si>
  <si>
    <t>MEDEVAC PCTE DIAZ TAPULLIMA TALITA JHOYLITH</t>
  </si>
  <si>
    <t>F001-3434</t>
  </si>
  <si>
    <t xml:space="preserve">MEDEVAC PCTE CHUIN KAJEKUI BRENTON </t>
  </si>
  <si>
    <t>MEDEVAC  PCTE CHUIN KAJEKUI MARLON KING</t>
  </si>
  <si>
    <t>F001-3438</t>
  </si>
  <si>
    <t>F001-3439</t>
  </si>
  <si>
    <t>F001-3436</t>
  </si>
  <si>
    <t>F001-3440</t>
  </si>
  <si>
    <t>F001-3441</t>
  </si>
  <si>
    <t>F001-3442</t>
  </si>
  <si>
    <t>F001-3443</t>
  </si>
  <si>
    <t>F001-3444</t>
  </si>
  <si>
    <t>F001-3445</t>
  </si>
  <si>
    <t>F001-3446</t>
  </si>
  <si>
    <t>F001-3447</t>
  </si>
  <si>
    <t>F001-3448</t>
  </si>
  <si>
    <t>F001-3449</t>
  </si>
  <si>
    <t>F001-3450</t>
  </si>
  <si>
    <t>F001-3452</t>
  </si>
  <si>
    <t>F001-3453</t>
  </si>
  <si>
    <t>F001-3454</t>
  </si>
  <si>
    <t>F001-3455</t>
  </si>
  <si>
    <t>F001-3456</t>
  </si>
  <si>
    <t>F001-3457</t>
  </si>
  <si>
    <t>F001-3458</t>
  </si>
  <si>
    <t>F001-3459</t>
  </si>
  <si>
    <t xml:space="preserve">SALDOS X EJECUTAR CONTRATOS  AL </t>
  </si>
  <si>
    <r>
      <t xml:space="preserve">ESSALUD TARAPOTO </t>
    </r>
    <r>
      <rPr>
        <b/>
        <sz val="11"/>
        <color rgb="FFFF0000"/>
        <rFont val="Calibri"/>
        <family val="2"/>
        <scheme val="minor"/>
      </rPr>
      <t>CONTRATO ITEM I</t>
    </r>
    <r>
      <rPr>
        <b/>
        <sz val="11"/>
        <color theme="1"/>
        <rFont val="Calibri"/>
        <family val="2"/>
        <scheme val="minor"/>
      </rPr>
      <t xml:space="preserve">  TRANSPORTE AÉREO DE EVACUACIÓN MÉDICA CON PERSONAL ESSALUD - CONTRATO 2023 </t>
    </r>
  </si>
  <si>
    <r>
      <t xml:space="preserve">ESSALUD TARAPOTO </t>
    </r>
    <r>
      <rPr>
        <b/>
        <sz val="11"/>
        <color rgb="FFFF0000"/>
        <rFont val="Calibri"/>
        <family val="2"/>
        <scheme val="minor"/>
      </rPr>
      <t>CONTRATO ITEM II</t>
    </r>
    <r>
      <rPr>
        <b/>
        <sz val="11"/>
        <color theme="1"/>
        <rFont val="Calibri"/>
        <family val="2"/>
        <scheme val="minor"/>
      </rPr>
      <t xml:space="preserve">  AMBULANCIA AEREA-CONTRATO 2023</t>
    </r>
  </si>
  <si>
    <t>MEDEVAC PCTE CHAUCA VENTURA JHON MIKEL</t>
  </si>
  <si>
    <t>MEDEVAC PCTE CARLOS CHAVEZ MILAN MANUEL</t>
  </si>
  <si>
    <t>MEDEVAC PCTE GUZMAN SOTO PAOLO SALVADOR</t>
  </si>
  <si>
    <t xml:space="preserve">MEDEVAC PCTE ESPINOZA SALAZAR NESTOR EUSEBIO </t>
  </si>
  <si>
    <t>F001-3462</t>
  </si>
  <si>
    <t>MEDEVAC PCTE TURPO NIEVES BRISA</t>
  </si>
  <si>
    <t>MEDEVAC PCTE TUANAMA PINEDO JHON KENEDI</t>
  </si>
  <si>
    <t>MEDEVAC PCTE GUEVARA FERNANDEZ NICOLAS EMANUEL</t>
  </si>
  <si>
    <t>F001-3460</t>
  </si>
  <si>
    <t>F001-3463</t>
  </si>
  <si>
    <t>MEDEVAC PCTE VIDAL NARCISO LIAM AARON</t>
  </si>
  <si>
    <t>MEDEVAC PCTE CHOCÑA LLALLICO JOSÉ CARLOS</t>
  </si>
  <si>
    <t>F001-3464</t>
  </si>
  <si>
    <t>MEDEVAC PCTE CRISTIANO GADIEL MAURICIO PAREDES</t>
  </si>
  <si>
    <t>F001-3465</t>
  </si>
  <si>
    <t xml:space="preserve">MEDEVAC PCTE HUAHUAMULLO HUILLCA MARIO </t>
  </si>
  <si>
    <r>
      <t xml:space="preserve">NOTAS  ITEM 1  </t>
    </r>
    <r>
      <rPr>
        <b/>
        <sz val="11"/>
        <color rgb="FFFF0000"/>
        <rFont val="Calibri"/>
        <family val="2"/>
        <scheme val="minor"/>
      </rPr>
      <t xml:space="preserve"> COMPLEMENTARIO</t>
    </r>
  </si>
  <si>
    <r>
      <t xml:space="preserve">NOTAS ITEM 2   </t>
    </r>
    <r>
      <rPr>
        <b/>
        <sz val="11"/>
        <color rgb="FFFF0000"/>
        <rFont val="Calibri"/>
        <family val="2"/>
        <scheme val="minor"/>
      </rPr>
      <t>COMPLEMENTARIO</t>
    </r>
  </si>
  <si>
    <r>
      <t xml:space="preserve">ITEM 1 EJECUCIÓN </t>
    </r>
    <r>
      <rPr>
        <b/>
        <sz val="11"/>
        <color rgb="FFFF0000"/>
        <rFont val="Calibri"/>
        <family val="2"/>
        <scheme val="minor"/>
      </rPr>
      <t>COMPLEMENTARIO</t>
    </r>
  </si>
  <si>
    <r>
      <t xml:space="preserve">ITEM 2 EJECUCIÓN </t>
    </r>
    <r>
      <rPr>
        <b/>
        <sz val="11"/>
        <color rgb="FFFF0000"/>
        <rFont val="Calibri"/>
        <family val="2"/>
        <scheme val="minor"/>
      </rPr>
      <t>COMPLEMENTARIO</t>
    </r>
  </si>
  <si>
    <t>F001-3466</t>
  </si>
  <si>
    <t>F001-3198</t>
  </si>
  <si>
    <t xml:space="preserve">48. ESSALUD PUCALLPA </t>
  </si>
  <si>
    <t xml:space="preserve">13. ESSALUD LORETO </t>
  </si>
  <si>
    <t>F001-3471</t>
  </si>
  <si>
    <t>MEDEVAC PCTE BARDALES CHAVEZ RAMON</t>
  </si>
  <si>
    <t xml:space="preserve">MEDEVAC PCTE CHUFANDAMA CHUMBE JESUS ANDERSON </t>
  </si>
  <si>
    <t>F001-3473</t>
  </si>
  <si>
    <t>F001-3474</t>
  </si>
  <si>
    <t>F001-3475</t>
  </si>
  <si>
    <t>F001-3476</t>
  </si>
  <si>
    <t>TRASLADO PCTE TRIGOSO DE USHIÑAHUA NORMA</t>
  </si>
  <si>
    <t>F001-3467</t>
  </si>
  <si>
    <t>MEDEVAC PCTE FLORES PANDURO GRISERIO</t>
  </si>
  <si>
    <t>TRASLADO PCTE REATEGUI SANGAMA MARA JAZMIN</t>
  </si>
  <si>
    <t>TRASLADO PCTE JESUS PEREZ ANDREA MARITZA</t>
  </si>
  <si>
    <t>F001-3470</t>
  </si>
  <si>
    <t>F001-3469</t>
  </si>
  <si>
    <t>F001-3468</t>
  </si>
  <si>
    <t>MEDEVAC PCTE LUCILA GOMEZ DE NEGRI</t>
  </si>
  <si>
    <t>F001-3426</t>
  </si>
  <si>
    <t>F001-3427</t>
  </si>
  <si>
    <t>al 08/01/24</t>
  </si>
  <si>
    <t>TRASLADO PCTE VELA MOZOMBITE ERICA T</t>
  </si>
  <si>
    <t>F001-3472</t>
  </si>
  <si>
    <t>TRASLADO PCTE PERALTA SALDAÑA GIANELLA E</t>
  </si>
  <si>
    <t>F001-3478</t>
  </si>
  <si>
    <t>TRASLADO PCTE CORDOVA CARO ARNALDO M</t>
  </si>
  <si>
    <t>F001-3479</t>
  </si>
  <si>
    <t>MEDEVAC PCTE TORRES VASQUEZ ROSA E</t>
  </si>
  <si>
    <t>F001-3480</t>
  </si>
  <si>
    <t>PEÑA ELERA</t>
  </si>
  <si>
    <t>MEDEVAC PCTE TAPAYAI CARITIMARI EMILI</t>
  </si>
  <si>
    <t>ESCOLTA MEDICA PCTE RUIZ CAINAMARI EMILIO</t>
  </si>
  <si>
    <t>MEDEVAC PCTE PALOMINO VILLANUEVA VICTOR</t>
  </si>
  <si>
    <t>F001-3484</t>
  </si>
  <si>
    <t>F001-3488</t>
  </si>
  <si>
    <t>BENAVENTE/SANCHEZ/MORENO</t>
  </si>
  <si>
    <t>HOSP. HIPOLITO UNANUE</t>
  </si>
  <si>
    <t>HOSP. REG. JAMO TUMBES</t>
  </si>
  <si>
    <t>VIREGN DE FATIMA</t>
  </si>
  <si>
    <t>MEDEVAC PCTE QUILICHE ARMAS JEFRI DANIEL</t>
  </si>
  <si>
    <t>MEDEVAC PCTE SALAS AMASIFUEN AITANA KHALESSY</t>
  </si>
  <si>
    <t>MEDEVAC PCTE FLORES NAPO KAIKO HAINETH</t>
  </si>
  <si>
    <t>TRASLADO PCTE PINEDO ARCE SHARON JULVIC</t>
  </si>
  <si>
    <t>TRASLADO PCTE DAVILA BARTRA ANTONIO</t>
  </si>
  <si>
    <t>TRASLADO PCTE MONZON DEL AGUILA LEANDRA ANTHONELLA</t>
  </si>
  <si>
    <t>F001-3489</t>
  </si>
  <si>
    <t>F001-3490</t>
  </si>
  <si>
    <t>F001-3491</t>
  </si>
  <si>
    <t>F001-3492</t>
  </si>
  <si>
    <t>F001-3493</t>
  </si>
  <si>
    <t>F001-3494</t>
  </si>
  <si>
    <t>TRASLADO PCTE VARGAS CHISTAMA ROSANA</t>
  </si>
  <si>
    <t>F001-3495</t>
  </si>
  <si>
    <t>MEDEVAC PCTE JIMENEZ NEYRA JIREH RAFAELA</t>
  </si>
  <si>
    <t>F001-3425</t>
  </si>
  <si>
    <t>MEDEVAC PCTE AGUIRRE NAVARRO LUIS FERNANDO</t>
  </si>
  <si>
    <t>F001-3496</t>
  </si>
  <si>
    <t>F001-3483</t>
  </si>
  <si>
    <t>MEDEVAC PCTE MARIA ILDEFONZO SUAREZ</t>
  </si>
  <si>
    <t>MEDEVAC PCTE JUAN BALTAZAR GUTIERREZ AZCURRA</t>
  </si>
  <si>
    <t>MEDEVAC PCTE DIAZ GARCIA ERODITA</t>
  </si>
  <si>
    <t>MEDEVAC PCTE CALDERON LICHARDI MARTHA ENITH</t>
  </si>
  <si>
    <t>F001-3500</t>
  </si>
  <si>
    <t>F001-3501</t>
  </si>
  <si>
    <t xml:space="preserve">MEDEVAC PCTE CAMPOS HUAMAN FANNY </t>
  </si>
  <si>
    <t>MEDEVAC PCTE CARRANZA GRANDEZ HUGO</t>
  </si>
  <si>
    <t>HOSP. REGIONAL DE LAMBAYEQUE</t>
  </si>
  <si>
    <t>TYL-LIM</t>
  </si>
  <si>
    <t>BURBNANO/MENDOZA</t>
  </si>
  <si>
    <t>N° VUELOS</t>
  </si>
  <si>
    <t>DESCRIPCIÓN</t>
  </si>
  <si>
    <t>IMPORTE</t>
  </si>
  <si>
    <t>CONTRATO 25-2023 SALUDPOL</t>
  </si>
  <si>
    <t>MEDEVAC PCTE UYPAN CORONEL ALONSO AGUSTIN</t>
  </si>
  <si>
    <t>F001-3512</t>
  </si>
  <si>
    <t>MEDEVAC PCTE SONCCO PACCO GERSSON FRANCA</t>
  </si>
  <si>
    <t>MEDEVAC PCTE AGUILAR TANGOA SHAYRA ALANA</t>
  </si>
  <si>
    <t>MEDEVAC PCTE AHUANARI FLORES BELLA FLOR</t>
  </si>
  <si>
    <t>MEDEVAC PCTE FERNANDEZ SINTI CIRA ELIZABETH</t>
  </si>
  <si>
    <t>MEDEVAC PCTE BARBA DEL AGUILA AUGUSTO ONTERE</t>
  </si>
  <si>
    <t>F001-3515</t>
  </si>
  <si>
    <t>F001-3516</t>
  </si>
  <si>
    <t>F001-3517</t>
  </si>
  <si>
    <t>F001-3518</t>
  </si>
  <si>
    <t>F001-3519</t>
  </si>
  <si>
    <t>F001-3520</t>
  </si>
  <si>
    <t>ESCOLTA MEDICA PCTE GONZALES PAREDES CHRISTINA</t>
  </si>
  <si>
    <t>F001-3521</t>
  </si>
  <si>
    <t>MEDEVAC PCTE DO SANTOS ALVEZ DE ARISTA MARIA JANISI</t>
  </si>
  <si>
    <t>SERV. MEDICO PCTE SALDARRIAGA ZAMBRANO</t>
  </si>
  <si>
    <t>SERV. MEDICO PCTE AMAYA ROMERO MATTEO GABRIEL</t>
  </si>
  <si>
    <t>TRANSPORTE PCTE SALDARRIAGA ZAMBRANO</t>
  </si>
  <si>
    <t>TRANSPORTE PCTE AMAYA ROMERO MATTEO GABRIEL</t>
  </si>
  <si>
    <t>CHOQUE HANCO PAUL</t>
  </si>
  <si>
    <t>RAMOS ACHIC FREDY JOEL</t>
  </si>
  <si>
    <t>NUÑEZ HERRERA HUGO JULIO</t>
  </si>
  <si>
    <t>CORONEL ROJAS LIDIA ROSA</t>
  </si>
  <si>
    <t>VARGAS FLORES JOEL</t>
  </si>
  <si>
    <t>ALVAREZ DE CASANI LUCILA SANTOS</t>
  </si>
  <si>
    <t>F001-3477</t>
  </si>
  <si>
    <t xml:space="preserve">MEDEVAC PCTE COAGUILA GUTIERREZ RIDBER IVAN </t>
  </si>
  <si>
    <t>F001-3419</t>
  </si>
  <si>
    <t xml:space="preserve">MEDEVAC PCTE BUSTAMANTE GRUNDY HOWARD </t>
  </si>
  <si>
    <t>F001-3527</t>
  </si>
  <si>
    <t>F001-3528</t>
  </si>
  <si>
    <t>MEDEVAC PCTE RODRIGUEZ BARZOLA VDA DE ANDRADE JUANA ZORAIDA</t>
  </si>
  <si>
    <t>F001-3502</t>
  </si>
  <si>
    <t>TRASLADO PCTE BARDALES DAVILA GERALDINE CAROLY</t>
  </si>
  <si>
    <t>F001-3503</t>
  </si>
  <si>
    <t>MEDEVAC PCTE TUESTA DEL AGUILA AURA LUZ</t>
  </si>
  <si>
    <t>F001-3504</t>
  </si>
  <si>
    <t>F001-3505</t>
  </si>
  <si>
    <t>TRASLADO PCTE  GALLARDO RUIZ LIZBETH</t>
  </si>
  <si>
    <t>TRASLADO PCTE VILCAÑAUPA SHAHUANO BENJY Y</t>
  </si>
  <si>
    <t>F001-3506</t>
  </si>
  <si>
    <t>TRASLADO PCTE CARDENAS LOZANO LUZ LLERME</t>
  </si>
  <si>
    <t>F001-3507</t>
  </si>
  <si>
    <t>MEDEVAC PCTE VALLADARES VILLEGAS ANGEL JESUS</t>
  </si>
  <si>
    <t>F001-3529</t>
  </si>
  <si>
    <t>MEDEVAC PCTE QUISPE QUISPE BETO EUSEBIO</t>
  </si>
  <si>
    <t>SANTA GEMA</t>
  </si>
  <si>
    <t>F001-3522</t>
  </si>
  <si>
    <t>ORDINOLA TORRES SOFÍA MARIANA</t>
  </si>
  <si>
    <t>HIDALGO CRUZ AARON MATTEO</t>
  </si>
  <si>
    <t>CALERO GARCIA BELLANY ESTEFF</t>
  </si>
  <si>
    <t>VALDERRAMA GARCIA RODOLFO</t>
  </si>
  <si>
    <t>MEDEVAC PCTE PEREZ URTEAGA VICTOR HUMBERTO</t>
  </si>
  <si>
    <t>MEDEVAC PCTE HUAMAN MISARAYME MISAEL</t>
  </si>
  <si>
    <t>F001-3531</t>
  </si>
  <si>
    <t>HOSP. REG . LAMBAYEQUE</t>
  </si>
  <si>
    <t>TRASLADO PCTE AREVALO SERVAN ERIKA VANESSA</t>
  </si>
  <si>
    <t>01022025</t>
  </si>
  <si>
    <t>ILQ-LIM</t>
  </si>
  <si>
    <t>02022025</t>
  </si>
  <si>
    <t>PEM-AQP</t>
  </si>
  <si>
    <t>03022025</t>
  </si>
  <si>
    <t>04022025</t>
  </si>
  <si>
    <t>VIRGEN DE FATIMA CHACHAPOYAS</t>
  </si>
  <si>
    <t>MEDEVAC PCTE MALCA CERDAN DUSHENKA</t>
  </si>
  <si>
    <t>MEDEVAC PCTE MEGO LIZANA ASHER FAVIAN</t>
  </si>
  <si>
    <t>05022025</t>
  </si>
  <si>
    <t xml:space="preserve">HOSP. JAMO </t>
  </si>
  <si>
    <t>06022025</t>
  </si>
  <si>
    <t>MEDEVAC PCTE HERRERA CALDERON DE TANG MARTHA</t>
  </si>
  <si>
    <t>F001-3546</t>
  </si>
  <si>
    <t>MEDEVAC PCTE MONTENEGRO GIL EVANS ANDRE</t>
  </si>
  <si>
    <t>MEDEVAC PCTE RODRIGUEZ SOTA EDUARDO</t>
  </si>
  <si>
    <t>MEDEVAC PCTE PRADA YERREN JOEL TULIO</t>
  </si>
  <si>
    <t>MEDEVAC PCTE LIZ DIAZ SILVA</t>
  </si>
  <si>
    <t>MEDEVAC PCTE LUCIANO CARBAJAL RISA</t>
  </si>
  <si>
    <t>MEDEVAC PCTE MARIA MAGDALENA ALCEDO REYES</t>
  </si>
  <si>
    <t>MEDEVAC PCTE JULIA MAXIMA ARTEAGA ATENCIA</t>
  </si>
  <si>
    <t>MEDEVAC PCTE JUAN DAVID HUAMAN HUAMAN</t>
  </si>
  <si>
    <t>MEDEVAC PCTE CHUJUTALLI SANGAMA PERCY</t>
  </si>
  <si>
    <t>F001-3541</t>
  </si>
  <si>
    <t>MEDEVAC PCTE SANCHEZ QUIJANO ANTONY</t>
  </si>
  <si>
    <t>MEDEVAC PCTE QUISPITONGO FORELLA LISBETH</t>
  </si>
  <si>
    <t>MEDEVAC PCTE GAMBETA HERRERA RENZO</t>
  </si>
  <si>
    <t>TRANSPORTE PCTE FAJARDO PEDRERA MILAN YARET</t>
  </si>
  <si>
    <t>SERV. MEDICO PCTE  FAJARDO PEDRERA MILAN YARET</t>
  </si>
  <si>
    <t>MEDEVAC PCTE SALDAÑA YSUIZA MARGARITA</t>
  </si>
  <si>
    <t>MEDEVAC PCTE PFOCCO HUISA ELIAS</t>
  </si>
  <si>
    <t>MEDEVAC PCTE GONGORA PEREZ PAULLET SOFIA</t>
  </si>
  <si>
    <t>07022025</t>
  </si>
  <si>
    <t>RIMAC EPS</t>
  </si>
  <si>
    <t>CONTRATO 000 -2024 -HRL</t>
  </si>
  <si>
    <t xml:space="preserve">CONTRATO N° 000-2025-HRL </t>
  </si>
  <si>
    <t>F001-3545</t>
  </si>
  <si>
    <t>09022025</t>
  </si>
  <si>
    <t>BENAVENTE/SANCHES/FM</t>
  </si>
  <si>
    <t>ESSSALUD LORETO</t>
  </si>
  <si>
    <t>08022025</t>
  </si>
  <si>
    <t>MEDEVAC PCTE MEZA MAJUAN VANIA ALESSANDRA</t>
  </si>
  <si>
    <t>F001-3564</t>
  </si>
  <si>
    <t>SERVICIO / PACIENTE</t>
  </si>
  <si>
    <r>
      <rPr>
        <b/>
        <sz val="11"/>
        <color rgb="FFFF0000"/>
        <rFont val="Calibri"/>
        <family val="2"/>
        <scheme val="minor"/>
      </rPr>
      <t>PRESTACIONES COMPLEMENTARIAS CONTRATO 34-2023 ITEM I</t>
    </r>
    <r>
      <rPr>
        <b/>
        <sz val="11"/>
        <color theme="1"/>
        <rFont val="Calibri"/>
        <family val="2"/>
        <scheme val="minor"/>
      </rPr>
      <t xml:space="preserve">  TRANSPORTE AÉREO DE EVACUACIÓN MÉDICA CON PERSONAL ESSALUD</t>
    </r>
  </si>
  <si>
    <r>
      <rPr>
        <b/>
        <sz val="11"/>
        <color rgb="FFFF0000"/>
        <rFont val="Calibri"/>
        <family val="2"/>
        <scheme val="minor"/>
      </rPr>
      <t>PRESTACIONES COMPLEMENTARIAS CONTRATO 36-2023  ITEM II</t>
    </r>
    <r>
      <rPr>
        <b/>
        <sz val="11"/>
        <color theme="1"/>
        <rFont val="Calibri"/>
        <family val="2"/>
        <scheme val="minor"/>
      </rPr>
      <t xml:space="preserve">  TRANSPORTE AÉREO - AMBUILANCIA AÉREA</t>
    </r>
  </si>
  <si>
    <r>
      <t xml:space="preserve">CONTRATACIONES </t>
    </r>
    <r>
      <rPr>
        <b/>
        <sz val="11"/>
        <color rgb="FFFF0000"/>
        <rFont val="Calibri"/>
        <family val="2"/>
        <scheme val="minor"/>
      </rPr>
      <t>DIRECTAS 2023 - 2025</t>
    </r>
  </si>
  <si>
    <r>
      <t xml:space="preserve">ESSALUD TARAPOTO </t>
    </r>
    <r>
      <rPr>
        <b/>
        <sz val="11"/>
        <color rgb="FFFF0000"/>
        <rFont val="Calibri"/>
        <family val="2"/>
        <scheme val="minor"/>
      </rPr>
      <t>CONTRATO ITEM I</t>
    </r>
    <r>
      <rPr>
        <b/>
        <sz val="11"/>
        <color theme="1"/>
        <rFont val="Calibri"/>
        <family val="2"/>
        <scheme val="minor"/>
      </rPr>
      <t xml:space="preserve">  TRANSPORTE AÉREO DE EVACUACIÓN MÉDICA CON PERSONAL ESSALUD - CONTRATO 2025</t>
    </r>
  </si>
  <si>
    <r>
      <t xml:space="preserve">ESSALUD TARAPOTO </t>
    </r>
    <r>
      <rPr>
        <b/>
        <sz val="11"/>
        <color rgb="FFFF0000"/>
        <rFont val="Calibri"/>
        <family val="2"/>
        <scheme val="minor"/>
      </rPr>
      <t>CONTRATO ITEM II</t>
    </r>
    <r>
      <rPr>
        <b/>
        <sz val="11"/>
        <color theme="1"/>
        <rFont val="Calibri"/>
        <family val="2"/>
        <scheme val="minor"/>
      </rPr>
      <t xml:space="preserve">  AMBULANCIA AEREA-CONTRATO 2025</t>
    </r>
  </si>
  <si>
    <t>TERMINADO</t>
  </si>
  <si>
    <t>PIRO GOMEZ DE CHAVEZ SADITA - SE SACÓ DE EXPEDIENTE - NO SE TRASLADO</t>
  </si>
  <si>
    <t>F001-3559</t>
  </si>
  <si>
    <t>CAMARENASANCHEZ</t>
  </si>
  <si>
    <t>F001-3555</t>
  </si>
  <si>
    <t>F001-3554</t>
  </si>
  <si>
    <t>F001-3548</t>
  </si>
  <si>
    <t>F001-3552</t>
  </si>
  <si>
    <t>F001-3566</t>
  </si>
  <si>
    <t>F001-3565</t>
  </si>
  <si>
    <t>F001-3567</t>
  </si>
  <si>
    <t>F001-3533</t>
  </si>
  <si>
    <t>F001-3532</t>
  </si>
  <si>
    <t>F001-3542</t>
  </si>
  <si>
    <t>F001-3568</t>
  </si>
  <si>
    <t>ESCOLTA MEDICA PCTE SANCHEZ FACHIN DE RANGEL LUZ</t>
  </si>
  <si>
    <t>ESCOLTA MEDICA  PCTE MATTOS ASPAJO RAMON</t>
  </si>
  <si>
    <t>ESCOLTA MEDICA  PCTE VEGA CARRANZA AUNER JOSELO</t>
  </si>
  <si>
    <t>ESCOLTA MEDICA  PCTE CEPEDA TACILLA OSCAR NILO</t>
  </si>
  <si>
    <t>ESCOLTA MEDICA  PCTE MOZOMBITE INCA VDA. DE BERNUY MARIA ESTELA</t>
  </si>
  <si>
    <t>ESCOLTA MEDICA  PCTE PANDURO DAVILA MIGLIO JACSON</t>
  </si>
  <si>
    <t>ESCOLTA MEDICA  PCTE INSAPILLO ARBILDO DE CHUMBE SINTIA FIORELA</t>
  </si>
  <si>
    <t>ESCOLTA MEDICA  PCTE DIAZ SANCHEZ CYNTHIA CRISTINA-AGUILAR CARDENAS HERMAN</t>
  </si>
  <si>
    <t>ESCOLTA MEDICA PCTE ALVES SONEHUA TANIA LUCY - LOZANO GRANDEZ LOANA ISABEL</t>
  </si>
  <si>
    <t>ESCOLTA MEDICA PCTE VERGARA MIRES WILFREDO</t>
  </si>
  <si>
    <t>ESCOLTA MEDICA PCTE RAMIREZ SANGAMA KELLY</t>
  </si>
  <si>
    <t>F001-3573</t>
  </si>
  <si>
    <t>F001-3574</t>
  </si>
  <si>
    <t>F001-3575</t>
  </si>
  <si>
    <t>MEDEVAC PCTE MOZAMBITE MONJA MATHIAS SAHEL</t>
  </si>
  <si>
    <t>MEDEVAC PCTE LLICO LLANOS KAY VALERIA CELIA</t>
  </si>
  <si>
    <t>F001-3576</t>
  </si>
  <si>
    <t xml:space="preserve">MEDEVAC PCTE VEGA FERNANDEZ BRISSA RAFAELA </t>
  </si>
  <si>
    <t>MEDEVAC PCTE ZEVALLOS FRETEL WILDER RUBEN</t>
  </si>
  <si>
    <t>MEDEVAC PCTE GONZALES TORRES MIA CATALIA</t>
  </si>
  <si>
    <t>F001-3570</t>
  </si>
  <si>
    <t>F001-3569</t>
  </si>
  <si>
    <t>MEDEVAC PCTE CHUMBE RODRIGUEZ MAYA KALESY</t>
  </si>
  <si>
    <t>TRASLADO PCTE TULUMBA GUERRA JULIO</t>
  </si>
  <si>
    <t>F001-3577</t>
  </si>
  <si>
    <t>F001-3578</t>
  </si>
  <si>
    <t>MEDEVAC PCTE INGA NOVOA ALAIA ANAEL</t>
  </si>
  <si>
    <t>MEDEVAC PCTE SAAVEDRA MELENDEZ LIAH AITANA</t>
  </si>
  <si>
    <t>MEDEVAC PCTE QUISPE HUAMAN ALEXANDER</t>
  </si>
  <si>
    <t>MEDEVAC PCTE MANTURANO VELASQUEZ AARON ULISES</t>
  </si>
  <si>
    <t>F001-3572</t>
  </si>
  <si>
    <t>F001-3580</t>
  </si>
  <si>
    <t>MEDEVAC PCTE  HUANUIRI MENDOZA LUCAS JAZIEL</t>
  </si>
  <si>
    <t>F001-3571</t>
  </si>
  <si>
    <t>MEDEVAC PCTE RUIZ PACAYA LUMIAN DANIELA</t>
  </si>
  <si>
    <t>MEDEVAC PCTE RENGIFO SOTO RAQUEL</t>
  </si>
  <si>
    <t>MEDEVAC PCTE MAIQUEN MACEDO EITHAN DEMIR</t>
  </si>
  <si>
    <t>ENVIADA WHATSAPP SR. JORGE</t>
  </si>
  <si>
    <t>F001-3584</t>
  </si>
  <si>
    <t>F001-3585</t>
  </si>
  <si>
    <t>F001-3586</t>
  </si>
  <si>
    <t>MEDEVAC PCTE HUERTA ROJAS RUFINO TEOFILO</t>
  </si>
  <si>
    <t>HOSP. REG. TINGO MARIA</t>
  </si>
  <si>
    <t>MEDEVAC PCTE ESCALANTE AYACHI NOAH GARET</t>
  </si>
  <si>
    <t>MEDEVAC PCTE DELGADO ACUÑA CRISTTEL MAROGI</t>
  </si>
  <si>
    <t xml:space="preserve">MEDEVAC PCTE QUINTANA VASQUEZ NOAH JHOAO </t>
  </si>
  <si>
    <t>MEDEVAC PCTE ALEJANDRIA HUAMÁN MULLER YAMAL</t>
  </si>
  <si>
    <t>F001-3591</t>
  </si>
  <si>
    <t>F001-3592</t>
  </si>
  <si>
    <t>F001-3593</t>
  </si>
  <si>
    <t>F001-3594</t>
  </si>
  <si>
    <t>F001-3596</t>
  </si>
  <si>
    <t>F001-3595</t>
  </si>
  <si>
    <t>al 25/02/25</t>
  </si>
  <si>
    <t>HOSP. VIRGEN D EFATIMA CHACHAPOYAS</t>
  </si>
  <si>
    <t>MEDEVAC PCTE  GUERRA PEREZ LUIS QUELAR</t>
  </si>
  <si>
    <t>MEDEVAC PCTE SANCHEZ SANANCINO IBBIE YITZEL</t>
  </si>
  <si>
    <t>MEDEVAC PCTE DIAZ CORDOVA ANTONIO</t>
  </si>
  <si>
    <t>MEDEVAC PCTE ACOSTA AMIAS DE MURAYARI ROCIO DEL PILAR</t>
  </si>
  <si>
    <t>HOS. REG TINGO MARIA</t>
  </si>
  <si>
    <t>F001-3603</t>
  </si>
  <si>
    <t>TRASLADO PCTE ESPINOZA RIOS CRISTINA LOYOLITH</t>
  </si>
  <si>
    <t>F001-3606</t>
  </si>
  <si>
    <t>F001-3588</t>
  </si>
  <si>
    <t>F001-3607</t>
  </si>
  <si>
    <t>F001-3608</t>
  </si>
  <si>
    <t>F001-3609</t>
  </si>
  <si>
    <t>MEDEVAC PCTE CUBAS REATEGUI KATHERIN</t>
  </si>
  <si>
    <t>MEDEVAC PCTE GONZALES LA TORRE BERSABE</t>
  </si>
  <si>
    <t>01032025</t>
  </si>
  <si>
    <t>02032025</t>
  </si>
  <si>
    <t>03032025</t>
  </si>
  <si>
    <t xml:space="preserve"> RETIRADO DE EXPEDIENTE DE COBRANZA POR NO ACEPTAR RECONOCERLO, SE ENVÍO SOLO PARA COBRAR 2025</t>
  </si>
  <si>
    <t>SERVICIO EJECUTADO AUCTORIZADO GERENCIA RUTA NO CORRESPONDIA, PESE A TENER APM - SE MANDÓ A COBRAR COMO SI FUERA DIRECTA 2024</t>
  </si>
  <si>
    <t>04032025</t>
  </si>
  <si>
    <t>05032025</t>
  </si>
  <si>
    <t>MEDEVAC PCTE SAAVEDRA CARRASCO KIMBERLY AITANA</t>
  </si>
  <si>
    <t>F001-3600</t>
  </si>
  <si>
    <t>F001-3601</t>
  </si>
  <si>
    <t xml:space="preserve">TRANSPORTE AEREO PCTE FASANANDO TANGOA ERICK TIZIANNO </t>
  </si>
  <si>
    <t xml:space="preserve">ASISTENCI MEDICA EN VUELO PCTE FASANANDO TANGOA ERICK TIZIANNO </t>
  </si>
  <si>
    <t>F001-3619</t>
  </si>
  <si>
    <t>F001-3620</t>
  </si>
  <si>
    <t>F001-3618</t>
  </si>
  <si>
    <t>MEDEVAC PCTE DETT CHICANA GRACIELA</t>
  </si>
  <si>
    <t>F001-3590</t>
  </si>
  <si>
    <t>F001-3621</t>
  </si>
  <si>
    <t>06032025</t>
  </si>
  <si>
    <t>HOSP REG AYAUCHO</t>
  </si>
  <si>
    <t>MEDEVAC PCTE PCTE GUIMARAES GOMEZ TADEO</t>
  </si>
  <si>
    <t>F001-3622</t>
  </si>
  <si>
    <t>MEDEVAC PCTE MONTENEGRO GONZALES FREDDY</t>
  </si>
  <si>
    <t>MEDEVAC PCTE CHAVEZ SOPLA ABNER RAUL</t>
  </si>
  <si>
    <t>MEDEVAC PCTE ALVA CHAVEZ DANY LUZ</t>
  </si>
  <si>
    <t>F001-3624</t>
  </si>
  <si>
    <t>F001-3625</t>
  </si>
  <si>
    <t>F001-3626</t>
  </si>
  <si>
    <t>MEDEVAC PCTE SANCHEZ CAPIRA JOSEPH ALEXANDER</t>
  </si>
  <si>
    <t>TRASLADO PCTE SUAREZ CANSINO LINDA MAYUMI</t>
  </si>
  <si>
    <t>TRASLADO PCTE  LEIVA PANAIFO GEISLER LENNAN</t>
  </si>
  <si>
    <t>F001-3597</t>
  </si>
  <si>
    <t>TRASLADO PCTE RIOS RUIZ ELMER</t>
  </si>
  <si>
    <t>MEDEVAC PCTE AMIRA KALESSI ALVARO TORRES</t>
  </si>
  <si>
    <t>TRASLADO PCTE MARIGENIA MURAYARI SILVANO</t>
  </si>
  <si>
    <t>TRASLADO PCTE MUÑOZ MONTEVERDE MATEO ALESSANDRO</t>
  </si>
  <si>
    <t>F001-3589</t>
  </si>
  <si>
    <t>TRASLADO PCTE CHONG MORI RISTER GIANNINA</t>
  </si>
  <si>
    <t>F001-2018</t>
  </si>
  <si>
    <t>07032025</t>
  </si>
  <si>
    <t>08032025</t>
  </si>
  <si>
    <t>MORENO/PEÑA</t>
  </si>
  <si>
    <t>MEDEVAC PCTE SAMPEN MONTALVAN JASSIEL CALEB</t>
  </si>
  <si>
    <t>F001-3602</t>
  </si>
  <si>
    <t>MEDEVAC PCTE QUISPE SAAVEDRA JOICY ZARAÍ</t>
  </si>
  <si>
    <t>HOSP. VIRGEN DE FATIMA</t>
  </si>
  <si>
    <t>09032025</t>
  </si>
  <si>
    <t>CHY-CIX</t>
  </si>
  <si>
    <t>MEDEVAC PCTE QUISPE QUISPE GRACE</t>
  </si>
  <si>
    <t>MEDEVAC PCTE QUINTANA MOSCOSO RUDI</t>
  </si>
  <si>
    <t>F001-3630</t>
  </si>
  <si>
    <t>F001-3631</t>
  </si>
  <si>
    <t>MEDEVAC PCTE CRISOSTOMO MARTIN SHIRLEY LISETH</t>
  </si>
  <si>
    <t>F001-3632</t>
  </si>
  <si>
    <t>MEDEVAC PCTE TELLO TORRES NATIVIDAD DE JESUS</t>
  </si>
  <si>
    <t>MEDEVAC PCTE VILCA INUMA RAPHAELLA PATTY</t>
  </si>
  <si>
    <t>F001-3633</t>
  </si>
  <si>
    <t>F001-3634</t>
  </si>
  <si>
    <t>MEDEVAC PCTE GONZALES SAAVEDRA KAROL MAGALY</t>
  </si>
  <si>
    <t>F001-3636</t>
  </si>
  <si>
    <t>F001-3637</t>
  </si>
  <si>
    <t>HOSP. REG TINGO MARIA</t>
  </si>
  <si>
    <t>CAMAREN/AELERA</t>
  </si>
  <si>
    <t>F001-3641</t>
  </si>
  <si>
    <t>MEDEVAC PCTE HURTADO ATAURIMA ARCEL SMITH</t>
  </si>
  <si>
    <t>MEDEVAC PCTE TORRES TORRES ALEXANDRA BHAJAR</t>
  </si>
  <si>
    <t>F001-3648</t>
  </si>
  <si>
    <t>F001-3649</t>
  </si>
  <si>
    <t>MEDEVAC PCTE CABELLO PONCE DANAIT BETSABE</t>
  </si>
  <si>
    <t>MEDEVAC PCTE CANTARO BARRIONUEVO CELESTINO</t>
  </si>
  <si>
    <t>F001-3650</t>
  </si>
  <si>
    <t>F001-3651</t>
  </si>
  <si>
    <t>MEDEVAC PCTE MAMANI SOTOMAYOR LIDEL PIERO</t>
  </si>
  <si>
    <t>F001-3652</t>
  </si>
  <si>
    <t>MEDEVAC PCTE REATEGUI RIVERA JHON MILTON</t>
  </si>
  <si>
    <t>MEDEVAC PCCTE  SALINAS MEDINA LIAM GABRIEL</t>
  </si>
  <si>
    <t>F001-3654</t>
  </si>
  <si>
    <t>F001-3655</t>
  </si>
  <si>
    <t>MEDEVAC PCTE CAQUI ALMINCO DYLAN DOMINIC</t>
  </si>
  <si>
    <t>MEDEVAC PCTE VASQUEZ CONTRERAS MIA VALENTINA</t>
  </si>
  <si>
    <t>F001-3653</t>
  </si>
  <si>
    <t>MEDEVAC PCTE MOÑOZ MORI JEN JESTTER</t>
  </si>
  <si>
    <t>MEDEVAC PCTE CCORAHUA TANTA AYSE ARIANA</t>
  </si>
  <si>
    <t>MEDEVAC PCTE ALANYA PALOMINO ANGEL DAVID</t>
  </si>
  <si>
    <t>MEDEVAC PCTE TARRILLO ALVAREZ VALENTINA YAKORI - MONTALVAN PUICON JORGE STEFANO</t>
  </si>
  <si>
    <t>MEDEVAC PCTE VICTOR S. RETUERTO RONDON</t>
  </si>
  <si>
    <t>MEDEVAC PCTE EDWIN VASQUEZ LOPEZ</t>
  </si>
  <si>
    <t>F001-3642</t>
  </si>
  <si>
    <t>MEDEVAC PCTE MAS SILVA HERNANDO</t>
  </si>
  <si>
    <t>F001-3643</t>
  </si>
  <si>
    <t>F001-3644</t>
  </si>
  <si>
    <t>MEDEVAC PCTE DIAZ CABANILLAS IVANNA MAVEL</t>
  </si>
  <si>
    <t>MEDEVAC PCTE ISIDRO ESPINOZA YESICA MARY</t>
  </si>
  <si>
    <t>MEDEVAC PCTE SALCEDO DE MIRONES ROSARIO CORALI</t>
  </si>
  <si>
    <t>MEDEVAC PCTE FARFAN CORDOVA DANIEL</t>
  </si>
  <si>
    <t>PBP-LIM</t>
  </si>
  <si>
    <t>MEDEVAC PCTE CREUZ RODRIGUEZ ALESSIA ANTONELLA</t>
  </si>
  <si>
    <t>MEDEVAC PCTE TAFUR GRANDEZ VDA. DE GRANDEZ ZOILA ROSA</t>
  </si>
  <si>
    <t>MEDEVAC PCTE CABEZUDO CASTILLO CARLOS F</t>
  </si>
  <si>
    <t>MEDEVAC PCTE DELGADO BABILONIA ALLEN DEMETRIO</t>
  </si>
  <si>
    <t>MEDEVAC PCTE ALARCON MERMA JOHN JOSE</t>
  </si>
  <si>
    <t>MEDEVAC PCTE PATIÑO DIAZ QUINTIN</t>
  </si>
  <si>
    <t>MEDEVAC PCTE AMARCANA VERGARA MARY CARLA</t>
  </si>
  <si>
    <t>MEDEVAC PCTE LEANDRES QUINTANA CRISTIAN</t>
  </si>
  <si>
    <t>MEDEVAC PCTE ZABARBURU TOCHON ANITA DEV JESUS</t>
  </si>
  <si>
    <t>MEDEVAC PCTE TINEO BERMUDO RUPERTO</t>
  </si>
  <si>
    <t>MEDEVAC PCTE CABEZUDO CASTILLO CARLOS FAUSTINO</t>
  </si>
  <si>
    <t>CONTRATO COMPLEMENTARIO AL CONTRATO N° 025-2023-IN-SALUDPOL</t>
  </si>
  <si>
    <t>COMPLEMENTARIO CONTRATO 25-2023 SALUDPOL</t>
  </si>
  <si>
    <t>MEDEVAC PCTE RAMIREZ YAICATE LLICETH</t>
  </si>
  <si>
    <t>MEDEVAC PCTE PINEDA VILLAROEL EDGAR</t>
  </si>
  <si>
    <t>F001-3656</t>
  </si>
  <si>
    <t>MEDEVAC PCTE MALPARTIDA LASTRA, NOAH YAEL</t>
  </si>
  <si>
    <t>MEDEVAC PCTE MALPARTIDA LASTRA YANDEL CRISTOPHER</t>
  </si>
  <si>
    <t>CAMARENA/MORENO/JA</t>
  </si>
  <si>
    <t>F001-3587</t>
  </si>
  <si>
    <t>F001-3657</t>
  </si>
  <si>
    <t>MEDEVAC PCTE MELENDEZ ARRIAGA GIANA VALERIA</t>
  </si>
  <si>
    <t>F001-3669</t>
  </si>
  <si>
    <t>MEDEVAC PCTE SALAZAR GASCO LUIS</t>
  </si>
  <si>
    <t>MEDEVAC PCTE PAREDES ARTETA JORGE DANIEL</t>
  </si>
  <si>
    <t>F001-3670</t>
  </si>
  <si>
    <t>F001-3671</t>
  </si>
  <si>
    <t>MEDEVAC PCTE ARCE GARCIA ANTONIO</t>
  </si>
  <si>
    <t>F001-3672</t>
  </si>
  <si>
    <t>MEDEVAC PCTE GALLARDO BERROSPI ROGELIO ROQUE</t>
  </si>
  <si>
    <t>MEDEVAC PCTE CARRANZA CAVERO SEBASTIAN FACUNDO</t>
  </si>
  <si>
    <t>MEDEVAC PCTE COX ELI JACKSON</t>
  </si>
  <si>
    <t>F001-3673</t>
  </si>
  <si>
    <t>F001-3684</t>
  </si>
  <si>
    <t>TRASLADO PCTE MORILLO CAMPOS LIDIA</t>
  </si>
  <si>
    <t>TRASLADO PCTE PANDURO MESIA ARAZELY</t>
  </si>
  <si>
    <t>TRASLADO PCTE YAICURIMA SANGAMA MIRIA KARENINA</t>
  </si>
  <si>
    <t>TRASLADO PCTE FLORES MENDOZA CAROL NATIVIDAD</t>
  </si>
  <si>
    <t>F001-3676</t>
  </si>
  <si>
    <t xml:space="preserve">TRASLADO PCTE SOTO PEREZ ANDI GABRIEL </t>
  </si>
  <si>
    <t xml:space="preserve">TRASLADO PCTE MENDOZA ANGULO ZADITH L. </t>
  </si>
  <si>
    <t>F001-3664</t>
  </si>
  <si>
    <t>TRASLADO PCTE LIZ CANDY LOPEZ PINEDO</t>
  </si>
  <si>
    <t>MEDEVAC PCTE ROGER PEREZ MOZOMBITE</t>
  </si>
  <si>
    <t>F001-3663</t>
  </si>
  <si>
    <t>F001-3659</t>
  </si>
  <si>
    <t>F001-3658</t>
  </si>
  <si>
    <t>TRASLADO PCTE STEPHAN ALVAREZ LOPEZ</t>
  </si>
  <si>
    <t>MEDEVAC PCTE GARCIA CANANAHUAY LYA GISSEL</t>
  </si>
  <si>
    <t>MEDEVAC PCTE RENGIFO TAPULLIMA JAIME MODESTO</t>
  </si>
  <si>
    <t>MEDEVAC PCTE NOLORBE SAQUIRAY SIMEON</t>
  </si>
  <si>
    <t>F001-3690</t>
  </si>
  <si>
    <t>F001-3691</t>
  </si>
  <si>
    <t>F001-3692</t>
  </si>
  <si>
    <t>F001-3613</t>
  </si>
  <si>
    <t>F001-3698</t>
  </si>
  <si>
    <t>F001-3704</t>
  </si>
  <si>
    <t>MEDEVAC LA TORRE REGALADO ILIANA AMPARO</t>
  </si>
  <si>
    <t>F001-3705</t>
  </si>
  <si>
    <t>ESSALUD TINGO MARIA</t>
  </si>
  <si>
    <t>MORENO/VALLEJOS</t>
  </si>
  <si>
    <t>01042025</t>
  </si>
  <si>
    <t>12. ESSALUD TINGO MARIA</t>
  </si>
  <si>
    <t>MEDEVAC PCTE DIAZ PEÑA THIAGO</t>
  </si>
  <si>
    <t>F001-3713</t>
  </si>
  <si>
    <t>02042025</t>
  </si>
  <si>
    <t>03042025</t>
  </si>
  <si>
    <t>BENAVENTE/SANCHES</t>
  </si>
  <si>
    <t>MEDEVAC PCTE BARBOZA CONDOR CAMILA</t>
  </si>
  <si>
    <t>F001-3708</t>
  </si>
  <si>
    <t>04042025</t>
  </si>
  <si>
    <t>CAMARENA/SANCHES</t>
  </si>
  <si>
    <t xml:space="preserve"> GWA MEDICAL S.A.C.</t>
  </si>
  <si>
    <t xml:space="preserve">F001 - 3510 </t>
  </si>
  <si>
    <t>ESCOLTA MEDICA</t>
  </si>
  <si>
    <t>OGESS AM</t>
  </si>
  <si>
    <t>F001-3537</t>
  </si>
  <si>
    <t>F001-3499</t>
  </si>
  <si>
    <t>F001-3538</t>
  </si>
  <si>
    <t>VIRGEN DE FATIMA</t>
  </si>
  <si>
    <t>F001-3525-3526</t>
  </si>
  <si>
    <t>F001-3539</t>
  </si>
  <si>
    <t>HOTEL AUGUST</t>
  </si>
  <si>
    <t>CTF-LIM</t>
  </si>
  <si>
    <t>F001-3540</t>
  </si>
  <si>
    <t>F001-3535</t>
  </si>
  <si>
    <t>F00-3613</t>
  </si>
  <si>
    <t>CD</t>
  </si>
  <si>
    <t>F001-3556</t>
  </si>
  <si>
    <t>F001-3667</t>
  </si>
  <si>
    <t>F001-3605</t>
  </si>
  <si>
    <t>F001-3650 Y F00-3651</t>
  </si>
  <si>
    <t>GOLD MEDIC</t>
  </si>
  <si>
    <t>CAMARENA/AELERA</t>
  </si>
  <si>
    <t>CAMARENA/VALLEJOS/ACUÑA</t>
  </si>
  <si>
    <t>AYP-CB</t>
  </si>
  <si>
    <t xml:space="preserve">ELECTRO DUNAS </t>
  </si>
  <si>
    <t>07042025</t>
  </si>
  <si>
    <t>05042025</t>
  </si>
  <si>
    <t>06042025</t>
  </si>
  <si>
    <t>F001-3702</t>
  </si>
  <si>
    <t>F001-3703</t>
  </si>
  <si>
    <t>08042025</t>
  </si>
  <si>
    <t>HOSP REG JAMO TUMBES</t>
  </si>
  <si>
    <t>MEDEVAC PCTE FLORES GUZMAN EDGAR SEVERINO</t>
  </si>
  <si>
    <t>MEDEVAC PCTE GONZALES MOREY MARIO RENE</t>
  </si>
  <si>
    <t>F001-3720</t>
  </si>
  <si>
    <t>F001-3721</t>
  </si>
  <si>
    <t>F001-3723</t>
  </si>
  <si>
    <t>F001-3724</t>
  </si>
  <si>
    <t>MEDEVAC PCTE ICOMENA NUÑEZ ISAURA</t>
  </si>
  <si>
    <t>F001-3722</t>
  </si>
  <si>
    <t>MEDEVAC PCTE MOLINA RAMOS JUAN CARLOS</t>
  </si>
  <si>
    <t>F001-3674</t>
  </si>
  <si>
    <t>F001-3675</t>
  </si>
  <si>
    <t>F001-3680</t>
  </si>
  <si>
    <t>F001-3683</t>
  </si>
  <si>
    <t>F001-3677</t>
  </si>
  <si>
    <t>F001-3679</t>
  </si>
  <si>
    <t>F001-3681</t>
  </si>
  <si>
    <t>MORENO/VALLEJOS/MARTINEZ</t>
  </si>
  <si>
    <t>09042025</t>
  </si>
  <si>
    <t>BENAVENTE/MENDOZA/MARTINEZ</t>
  </si>
  <si>
    <t>F001-3712</t>
  </si>
  <si>
    <t>SERVICIO-PACIENTE</t>
  </si>
  <si>
    <t>F001-3725</t>
  </si>
  <si>
    <t>F001-3729</t>
  </si>
  <si>
    <t>MEDEVAC PCTE CASTILLO TENORIO ILLARRY MIA</t>
  </si>
  <si>
    <t>F001-3728</t>
  </si>
  <si>
    <t>MEDEVAC PCTE DEYVID ANDREW FLORES JARA</t>
  </si>
  <si>
    <t>F001-3727</t>
  </si>
  <si>
    <t>F001-3730</t>
  </si>
  <si>
    <t>SERV. TRANSPORTE PCTE GARCIA VINCES ANNELLY YECCELINE</t>
  </si>
  <si>
    <t>SERV. MEDICO PCTE GARCIA VINCES ANNELLY YECCELINE</t>
  </si>
  <si>
    <t>SERV. TRANSPORTE PCTE ARRUNATEGUI RECOBARREN JULIO CESAR</t>
  </si>
  <si>
    <t>SERV. MEDICO PCTE ARRUNATEGUI RECOBARREN JULIO CESAR</t>
  </si>
  <si>
    <t>F001-3731</t>
  </si>
  <si>
    <t>F001-3732</t>
  </si>
  <si>
    <t>F001-3733</t>
  </si>
  <si>
    <t>F001-3734</t>
  </si>
  <si>
    <t>10042025</t>
  </si>
  <si>
    <t>11042025</t>
  </si>
  <si>
    <t>12042025</t>
  </si>
  <si>
    <t>13042025</t>
  </si>
  <si>
    <t>BENAVENTE/SANCHEZ/CM</t>
  </si>
  <si>
    <t>MORENO/MENDOZA</t>
  </si>
  <si>
    <t>MEDEVAC PCTE SANTILLAN JUAREZ ALMA</t>
  </si>
  <si>
    <t>F001-3719</t>
  </si>
  <si>
    <t>F001-3717</t>
  </si>
  <si>
    <t>14042025</t>
  </si>
  <si>
    <t>VALLEJOS/MENDOZA</t>
  </si>
  <si>
    <t>MEDEVAC PCTE IRVINE CATHERINE MARY</t>
  </si>
  <si>
    <t>MEDEVAC PCTE CULVER CHENNA MARIE</t>
  </si>
  <si>
    <t>F001-3742</t>
  </si>
  <si>
    <t>F001-3743</t>
  </si>
  <si>
    <t>MEDEVAC PCTE QUISPE HUAMAN ROXANA</t>
  </si>
  <si>
    <t>F001-3745</t>
  </si>
  <si>
    <t>15042025</t>
  </si>
  <si>
    <t>MORENO/SANCHEZ</t>
  </si>
  <si>
    <t>MEDEVAC PCTE CRUZ LASERNA CELINA</t>
  </si>
  <si>
    <t xml:space="preserve">MEDEVAC PCTE MACCA RUIZ MEY </t>
  </si>
  <si>
    <t>MEDEVAC PCTE ASPILCUETA GARAY ALANIS</t>
  </si>
  <si>
    <t>MEDEVAC PCTE ZEGARRA RODAS JHANNA DESIRE</t>
  </si>
  <si>
    <t>MEDEVAC PCTE FLORES ECHEVARRIA SIXTO</t>
  </si>
  <si>
    <t>F001-3746</t>
  </si>
  <si>
    <t>MEDEVAC PCTE VELASQUEZ SOUZA MARITA ISABELLA</t>
  </si>
  <si>
    <t>MEDEVAC PCTE CASIQUE VASQUEZ JUDITH MERIAN</t>
  </si>
  <si>
    <t>MEDEVAC PCTE PINEDO GARCIA LUIS ALBERTO</t>
  </si>
  <si>
    <t>F001-3748</t>
  </si>
  <si>
    <t>F001-3749</t>
  </si>
  <si>
    <t>F001-3716</t>
  </si>
  <si>
    <t>F001-3750</t>
  </si>
  <si>
    <t>TRASLADO PCTE SALAS RENGIFO TERESA RAQUEL</t>
  </si>
  <si>
    <t>TRASLADO PCTE BARTA PINEDO ENRIQUE</t>
  </si>
  <si>
    <t>TRASLADO PCTE REATEGUI ESCUDERO NAYA CRISY</t>
  </si>
  <si>
    <t>TRASLADO PCTE FASABI DIAZ JAKI LITALI</t>
  </si>
  <si>
    <t>MEDEVAC PCTE ZUMBA APAGÜEÑO BLANCA NIEVES</t>
  </si>
  <si>
    <t>F001-3693</t>
  </si>
  <si>
    <t>F001-3694</t>
  </si>
  <si>
    <t>F001-3695</t>
  </si>
  <si>
    <t>MEDEVAC PCTE DIAZ GUEVARA ANALY</t>
  </si>
  <si>
    <t>MEDEVAC PCTE PIJUCH PEAS AILEN NATALIA</t>
  </si>
  <si>
    <t>MEDEVAC PCTE CAMPOS CORDOVA NAYARITH ESTEFANI</t>
  </si>
  <si>
    <t>MEDEVAC PCTE MELENDEZ VARGAS ALFREDO TEOBALDO</t>
  </si>
  <si>
    <t>MEDEVAC PCTE GUEVARA VASQUEZ GLADIS VICTORIA</t>
  </si>
  <si>
    <t>MEDEVAC PCTE HUARIPATA PALOMINO PABLO CESAR</t>
  </si>
  <si>
    <t>MEDEVAC PCTE SANCHEZ MAUTINO MARIEL LILIAN</t>
  </si>
  <si>
    <t>MEDEVAC PCTE RODRIGUEZ GUERRA ERICK MILTON</t>
  </si>
  <si>
    <t>MEDEVAC PCTE MEZA LOZANO JOSE EDGAR</t>
  </si>
  <si>
    <t>MEDEVAC PCTE SALCEDO SALAS REVI HENRY</t>
  </si>
  <si>
    <t>MEDEVAC PCTE JIMENEZ BLANCO JOSE HERIBERTO</t>
  </si>
  <si>
    <t>MEDEVAC PCTE ARAGON GUTIERREZ JORGE ANTONIO</t>
  </si>
  <si>
    <t>MEDEVAC PCTE INCARROCA POLANCO FRANCISCO</t>
  </si>
  <si>
    <t>MEDEVAC PCTE VILLAR CLEMENTE DREX SUIMER</t>
  </si>
  <si>
    <t>MEDEVAC PCTE CRUZ TINCALLPA WALDIR MIGUEL</t>
  </si>
  <si>
    <t>MEDEVAC PCTE OLARTE MEDRANO FAUSTO</t>
  </si>
  <si>
    <t>MEDEVAC PCTE LOPEZ AZALDE IRIS VIOLETA - NO TRANS</t>
  </si>
  <si>
    <t>MEDEVAC PCTE HUARANGA TORRES JOHAYRA SHERLY ANGHELA</t>
  </si>
  <si>
    <t>MEDEVAC PCTE MELENDEZ ALVA JOSE SEBERO</t>
  </si>
  <si>
    <t>MEDEVAC PCTE GALVEZ MONTES JULIO CRISTHIAN</t>
  </si>
  <si>
    <t>MEDEVAC PCTE MEZA GONZALEZ DEL VALLE SANTIAGO OSCAR</t>
  </si>
  <si>
    <t>MEDEVAC PCTE RONDAN LAURENTE BRAYAN TITO</t>
  </si>
  <si>
    <t xml:space="preserve">MEDEVAC PCTE CARBAJAL ALMANZA CESAR </t>
  </si>
  <si>
    <t>F001-3706</t>
  </si>
  <si>
    <t xml:space="preserve">TRASLADO PCTE GUEVARA PINEDO ORFELINA I. </t>
  </si>
  <si>
    <t>F001-3707</t>
  </si>
  <si>
    <t xml:space="preserve">MEDEVAC PCTE VILLACORTA MACEDO JUAN M. </t>
  </si>
  <si>
    <t>F001-3710</t>
  </si>
  <si>
    <t>F001-3715</t>
  </si>
  <si>
    <t>MEDEVAC PCTE CORDOVA GIRON LEIDY J</t>
  </si>
  <si>
    <t>TRASLADO PCTE MOZOMBITE RUIZ NURIA</t>
  </si>
  <si>
    <t>TRASLADO PCTE CARRION MURGA FIORELLA A</t>
  </si>
  <si>
    <t xml:space="preserve">TRASLADO PCTE TRUJILLO PANDURO ESTEFANO B. </t>
  </si>
  <si>
    <t>F001-3738</t>
  </si>
  <si>
    <t>F001-3739</t>
  </si>
  <si>
    <t>TRASLADO PCTE QUISPE MATTIRE DANAE ALEXIA</t>
  </si>
  <si>
    <t>F001-3740</t>
  </si>
  <si>
    <t>MEDEVAC PCTE RÍOS FLORES AMERICO</t>
  </si>
  <si>
    <t>F001-3752</t>
  </si>
  <si>
    <t>CTF-PCL</t>
  </si>
  <si>
    <t>TRANSPORTE PCTE MARTINEZ JACINTO VICTOR</t>
  </si>
  <si>
    <t>SERV. MEDICO PCTE MARTINEZ JACINTO VICTOR</t>
  </si>
  <si>
    <t>TRANSPORTE PCTE SANCHEZ PINZON SOFIA</t>
  </si>
  <si>
    <t>SERV. MEDICO PCTE SANCHEZ PINZON SOFIA</t>
  </si>
  <si>
    <t>ENVIADO WHATSAPP REFERENCIAS</t>
  </si>
  <si>
    <t>TRASLADO PCTE RAMIREZ TUANAMA NORITH</t>
  </si>
  <si>
    <t>F001-3759</t>
  </si>
  <si>
    <t>F001-3711</t>
  </si>
  <si>
    <t>HOSP REG. CAJAMARCA</t>
  </si>
  <si>
    <t>16042025</t>
  </si>
  <si>
    <t xml:space="preserve">VALLES/CAMARENA </t>
  </si>
  <si>
    <t>GOLD MEDICAL</t>
  </si>
  <si>
    <t>F001-3771</t>
  </si>
  <si>
    <t xml:space="preserve">BENAVENTE/CAMARENA </t>
  </si>
  <si>
    <t>HOSPITAL LAS MERCEDES DE CHICLAYO</t>
  </si>
  <si>
    <t>ESSLUD PUCALLPA</t>
  </si>
  <si>
    <t>MORENO/ELERA</t>
  </si>
  <si>
    <t>JOSAMI LABS</t>
  </si>
  <si>
    <t>F001-3767</t>
  </si>
  <si>
    <t xml:space="preserve">HOSPITAL TINGO MARIA </t>
  </si>
  <si>
    <t xml:space="preserve">PEÑA/VALLEJOS </t>
  </si>
  <si>
    <t>LP-LIM</t>
  </si>
  <si>
    <t>HOSP. SANTA ROSA DE PIURA</t>
  </si>
  <si>
    <t>MEDEVAC PCTE MALDONADO CHAVEZ CARLOS HENRY</t>
  </si>
  <si>
    <t>F001-3772</t>
  </si>
  <si>
    <t>F001-3782</t>
  </si>
  <si>
    <t>F001-3783</t>
  </si>
  <si>
    <t>MORENO7CAMARENA</t>
  </si>
  <si>
    <t>MEDEVAC PCTE DIAZ SOLSOL DIEGO</t>
  </si>
  <si>
    <t>TRASLADO PCTE GONZALES MAGUIÑA MAXIMIANO SANTIAGO</t>
  </si>
  <si>
    <t>F001-3774</t>
  </si>
  <si>
    <t>F001-3776</t>
  </si>
  <si>
    <t>F001-3775</t>
  </si>
  <si>
    <t>MEDEVAC PCTE SOTELO SOLORZANO EVAN LORD</t>
  </si>
  <si>
    <t>TRASLADO PCTE DAVILA LAULATE LESLIE N</t>
  </si>
  <si>
    <t>MEDEVAC PCTE HIDALGO TANCHIVA MANAGER</t>
  </si>
  <si>
    <t>MEDEVAC PCTE ROJAS CAMPOS HUGO</t>
  </si>
  <si>
    <t>MEDEVAC PCTE RODRIGUEZ DE WONG ANA LUISA</t>
  </si>
  <si>
    <t>MEDEVAC PCTE OROCHE PANDURO DAVID</t>
  </si>
  <si>
    <t>MEDEVAC PCTE NONAKA GARCIA KENJI GENARO</t>
  </si>
  <si>
    <t>F001-3790</t>
  </si>
  <si>
    <t>F001-3791</t>
  </si>
  <si>
    <t>F001-3789</t>
  </si>
  <si>
    <t>MEDEVAC PCTE JODY LOUISE SMITH</t>
  </si>
  <si>
    <t>F001-3795</t>
  </si>
  <si>
    <t>TRASLADO PCTE PINEDA TORRES MARCELINO W</t>
  </si>
  <si>
    <t>F001-3793</t>
  </si>
  <si>
    <t>MEDEVAC PCTE ASIPALI FRANCIA KIMBERLY RUBI</t>
  </si>
  <si>
    <t>F001-3796</t>
  </si>
  <si>
    <t>MEDEVAC PCTE COLOS GALINDO PERCY</t>
  </si>
  <si>
    <t>TRASLADO PCTE CAO CAO JIAYIN AILEEN</t>
  </si>
  <si>
    <t>05052025</t>
  </si>
  <si>
    <t>01052025</t>
  </si>
  <si>
    <t>CAMARENA/VALLEEJOS</t>
  </si>
  <si>
    <t>02052025</t>
  </si>
  <si>
    <t>03052025</t>
  </si>
  <si>
    <t>BENAVENTE/VALELJOS</t>
  </si>
  <si>
    <t>04052025</t>
  </si>
  <si>
    <t>AERO CARE</t>
  </si>
  <si>
    <t>OLGA (FACTURARA DE SELVA)</t>
  </si>
  <si>
    <t>HOSP. DE APOYO BAGUA-LUJAN</t>
  </si>
  <si>
    <t>F001-3794</t>
  </si>
  <si>
    <t>MEDEVAC PCTE PAUCAR PAUCAR LUCERO THALIA</t>
  </si>
  <si>
    <t>MEDEVAC PCTE ROMERO RAMOS MARILUZ VANISSA</t>
  </si>
  <si>
    <t>F001-3780</t>
  </si>
  <si>
    <t>MEDEVAC PCTE HUMANCHA MAYHUA FRANCISCO</t>
  </si>
  <si>
    <t>F001-3778</t>
  </si>
  <si>
    <t>F001-3747</t>
  </si>
  <si>
    <t>MEDEVAC PCTE BARRIENTOS AYALA RN</t>
  </si>
  <si>
    <t>F001-3803</t>
  </si>
  <si>
    <t>F001-3804</t>
  </si>
  <si>
    <t>MEDEVAC PCTE NAVARRO RAMOS DE RODRIGUEZ EULA</t>
  </si>
  <si>
    <t>F001-3806</t>
  </si>
  <si>
    <t>F001-3805</t>
  </si>
  <si>
    <t>06052025</t>
  </si>
  <si>
    <t xml:space="preserve">MEDEVAC PCTE QUICAÑO CUADROS SOFIA XIOMARA	</t>
  </si>
  <si>
    <t>F001-3811</t>
  </si>
  <si>
    <t>TRASLADO PCTE ZEVALLOS AROSTEGUI LUISA</t>
  </si>
  <si>
    <t>MEDEVAC PCTE GOMEZ GONZALES MARIA A</t>
  </si>
  <si>
    <t>07052025</t>
  </si>
  <si>
    <t>MEDEVAC PCTE ZAMBRANO HERNANDEZ LUIS</t>
  </si>
  <si>
    <t>MEDEVAC PCTE C UEVA ALVA ELVIS</t>
  </si>
  <si>
    <t>MEDEVAC PCTE MALDONADO AGUILAR YESBETH ELISEBA</t>
  </si>
  <si>
    <t>MEDEVAC PCTE MALDONADO AGUILAR JOSAFAT NEFTALI</t>
  </si>
  <si>
    <t>MEDEVAC PCTE PILCO MORA HANNAH MARIA</t>
  </si>
  <si>
    <t>MEDEVAC PCTE GONZALES RIMARACHIN ANY</t>
  </si>
  <si>
    <t>FECHA ENVÍO-PAGO</t>
  </si>
  <si>
    <t>MEDEVAC PCTE VILLANUEVA SALAZAR ANYHELINA YULIE</t>
  </si>
  <si>
    <t>MEDEVAC PCTE GOMEZ PALOMINO GUSTAVO FABRICIO CESAR</t>
  </si>
  <si>
    <t>MEDEVAC PCTE DEQUENTEI TAQUI MARILIN</t>
  </si>
  <si>
    <t>MEDEVAC PCTE MORENO INUMA GUSTAVO ADOLFO</t>
  </si>
  <si>
    <t>TRASLADO PCTE EDWAR A. VELASCO CRISTOBAL</t>
  </si>
  <si>
    <t>F001-3813</t>
  </si>
  <si>
    <t>08052025</t>
  </si>
  <si>
    <t>BURBANO/MARTINEZ</t>
  </si>
  <si>
    <t>09052025</t>
  </si>
  <si>
    <t>BENAVENTE/MARTINEZ</t>
  </si>
  <si>
    <t>F001-3817</t>
  </si>
  <si>
    <t>ESSaLUD PUCALLPA</t>
  </si>
  <si>
    <t>MORENO/CAMARENA</t>
  </si>
  <si>
    <t>CAMARENA/MARTINEZ</t>
  </si>
  <si>
    <t>OB  2209</t>
  </si>
  <si>
    <t>CURTO/TIRADO</t>
  </si>
  <si>
    <t>14:07:00   ???</t>
  </si>
  <si>
    <t>TIRADO/LEYVA</t>
  </si>
  <si>
    <t>10052025</t>
  </si>
  <si>
    <t>11052025</t>
  </si>
  <si>
    <t>12052025</t>
  </si>
  <si>
    <t>HIPOLITO UNANUE TACNA</t>
  </si>
  <si>
    <t>MEDEVAC PCTE ILLATARQUI RIVERA MATEO EMMANUEL</t>
  </si>
  <si>
    <t>F001-3809</t>
  </si>
  <si>
    <t>F001-3824</t>
  </si>
  <si>
    <t>F001-3825</t>
  </si>
  <si>
    <t>MEDEVAC PCTE IFAT YONAYOV</t>
  </si>
  <si>
    <t>MEDEVAC PCTE  PLANCHE DANIEL MAURICE</t>
  </si>
  <si>
    <t>F001-3798</t>
  </si>
  <si>
    <t>F001-3799</t>
  </si>
  <si>
    <t>MEDEVAC PCTE KEITH ALCOCK</t>
  </si>
  <si>
    <t>F001-3826</t>
  </si>
  <si>
    <t>13052025</t>
  </si>
  <si>
    <t>VALLES/MARTINEZ/BECERRA</t>
  </si>
  <si>
    <t>MEDEVAC PCTE COLLQUE SORIA AILANY MAGDALENA</t>
  </si>
  <si>
    <t>MEDEVAC PCTE RUEDA ROJAS ESTRELLA AZUL</t>
  </si>
  <si>
    <t>TRASLADO PCTE NORIEGA VASQUEZ GINA</t>
  </si>
  <si>
    <t>TRASLADO PCTE KELLY TITO CULANTRES</t>
  </si>
  <si>
    <t>TRASLADO PCTE JODSE GILBERTO GONZALES RUIZ</t>
  </si>
  <si>
    <t>MEDEVAC PCTE EDUARDO CUBILLOS AORON AHMED</t>
  </si>
  <si>
    <t>MEDEVAC PCTE THIAGO SILVA ROSAS</t>
  </si>
  <si>
    <t xml:space="preserve">MEDEVAC PCTE RAMOS ALANIA DANIEL SAMUEL </t>
  </si>
  <si>
    <t xml:space="preserve">MEDEVAC PCTE GODOY LORENZO EDWIN HUMBERTO </t>
  </si>
  <si>
    <t xml:space="preserve">MEDEVAC PCTE DURAN TACUCHE MELODIE TEHILA </t>
  </si>
  <si>
    <t xml:space="preserve">MEDEVAC PCTE CARRION TRUJILLO ZOE SHAYEL </t>
  </si>
  <si>
    <t xml:space="preserve">MEDEVAC PCTE REYNOSO FIGUEROA NATZUMI LEYDY </t>
  </si>
  <si>
    <t xml:space="preserve">MEDEVAC PCTE GARCIA FERRER ADRIANO DANIEL </t>
  </si>
  <si>
    <t xml:space="preserve">MEDEVAC PCTE VALDIVIA SAMBRANO ALESSANDRO RUSSEL </t>
  </si>
  <si>
    <t>F001-3815</t>
  </si>
  <si>
    <t>MEDEVAC PCTE RIVERA PINEDO TATIANA ALEXANDRA</t>
  </si>
  <si>
    <t>MEDEVAC PCTE JUCOS PEREZ DORA</t>
  </si>
  <si>
    <t>MEDEVAC CPTE MAFALDO RIOS LELE SALVADOR</t>
  </si>
  <si>
    <t>MEDEVAC PCTE MUÑOZ ESTELA LUZ EMERITA</t>
  </si>
  <si>
    <t>MEDEVAC PCTE RAMOS CHOQUE ZOE SILVANA</t>
  </si>
  <si>
    <t>MEDEVAC PCTE ÑACARI ORMEÑO ANDERSON JABIER</t>
  </si>
  <si>
    <t>MEDEVAC PCTE TANGOA CHUMBE SHEYLA SOLANGE</t>
  </si>
  <si>
    <t>MEDEVAC PCTE CONTRERAS PINEDO SILVANNA PRISCILLA</t>
  </si>
  <si>
    <t>MEDEVAC PCTE LOPEZ RIOS ELFY JESUS</t>
  </si>
  <si>
    <t>MEDEVAC PCTE CHUMBE RENGIFO ARLAN JEFFERSON</t>
  </si>
  <si>
    <t>MEDEVAC PCTE LOPEZ ESCOBEDO THIAGO ALBERTO GIOVANNI</t>
  </si>
  <si>
    <t>MEDEVAC PCTE RIVERA SALAS CARMEN</t>
  </si>
  <si>
    <t>MEDEVAC PCTE JAIME FEBRES NOAH DARELL</t>
  </si>
  <si>
    <t>MEDEVAC PCTE HUANCAS RAMIREZ LUCIANA</t>
  </si>
  <si>
    <t>MEDEVAC PCTE HUAMAN LLANOS ELLIE ALAIA</t>
  </si>
  <si>
    <t>MEDEVAC PCTE VALVERDE RUIZ MARIA</t>
  </si>
  <si>
    <t>MEDEVAC PCTE DELGADO MEDINA JOSE DAVID</t>
  </si>
  <si>
    <t>MEDEVAC PCTE ARANDA RUBINA PAULO CESAR</t>
  </si>
  <si>
    <t>MEDEVAC PCTE CRUZ MONTES MARIA</t>
  </si>
  <si>
    <t>MEDEVAC PCTE LOYOLA VELA VICTOR KALET</t>
  </si>
  <si>
    <t>MEDEVAC PCTE CALERO GARCIA BELLANY ESTEFF</t>
  </si>
  <si>
    <t>MEDEVAC PCTE VIVANCO SEGOVIA ABEL MAXINO</t>
  </si>
  <si>
    <t>MEDEVAC PCTE LOPEZ CALATAYUD LUCAS SANTIAGO</t>
  </si>
  <si>
    <t>MEDEVAC PCTE LOPEZ ESPINOZA ALFONSO</t>
  </si>
  <si>
    <t>MEDEVAC PCTE ZULOAGA CACERES FRANCISCO EDDY</t>
  </si>
  <si>
    <t>MEDEVAC PCTE ESPINOZA VILCA FREDDY</t>
  </si>
  <si>
    <t>14052025</t>
  </si>
  <si>
    <t>VALLES/MARTINEZ</t>
  </si>
  <si>
    <t>15052025</t>
  </si>
  <si>
    <t>F001-3833</t>
  </si>
  <si>
    <t>MEDEVAC PCTE DAMASO CATANG IAN DEYMAR</t>
  </si>
  <si>
    <t>F001-3834</t>
  </si>
  <si>
    <t>F001-3835</t>
  </si>
  <si>
    <t>F001-3836</t>
  </si>
  <si>
    <t>F001-3837</t>
  </si>
  <si>
    <t>F001-3838</t>
  </si>
  <si>
    <t>F001-3839</t>
  </si>
  <si>
    <t>MEDEVAC PCTE CORONEL ZUÑIGA ANDERSON SAID</t>
  </si>
  <si>
    <t>CONTRATO N°16-2024/GRP-HAPCSR II-2-1</t>
  </si>
  <si>
    <t>F001-3840</t>
  </si>
  <si>
    <t>F001-3841</t>
  </si>
  <si>
    <t>HOSP. REG. AYACUHO</t>
  </si>
  <si>
    <t>16052025</t>
  </si>
  <si>
    <t>CONTRATO ORIGINAL</t>
  </si>
  <si>
    <t>EJECUCIÓN AL 16-05-25</t>
  </si>
  <si>
    <t>MEDEVAC PCTE NAVEROS HUILLCAPUMA KAREN</t>
  </si>
  <si>
    <t xml:space="preserve">IMPORTE CONTRATO </t>
  </si>
  <si>
    <t>F001-3737</t>
  </si>
  <si>
    <t>F001-3769</t>
  </si>
  <si>
    <t>17052025</t>
  </si>
  <si>
    <t>18052025</t>
  </si>
  <si>
    <t>13;:23</t>
  </si>
  <si>
    <t>19052025</t>
  </si>
  <si>
    <t xml:space="preserve">HOSP. REG. TINGO MARIA  </t>
  </si>
  <si>
    <t>F001-3848</t>
  </si>
  <si>
    <t>MEDEVAC PCTE BONILLA DOROTEO</t>
  </si>
  <si>
    <t>MEDEVAC PCTE CAMPOVERDE AMPUERO ARTURO</t>
  </si>
  <si>
    <t>MEDEVAC PCTE ISRAEL OLIVERA MANUEL JESUS</t>
  </si>
  <si>
    <t>MEDEVAC PCTE NAVARRO RUIZ AQUILES</t>
  </si>
  <si>
    <t>F001-3850</t>
  </si>
  <si>
    <t>TRANSPORTE AEREO PCTE HUILLACA CHILO EUSEBIO</t>
  </si>
  <si>
    <t>ASISTENCIA MEDICA PCTE HUILLACA CHILO EUSEBIO</t>
  </si>
  <si>
    <t>F001-3855</t>
  </si>
  <si>
    <t>F001-3857</t>
  </si>
  <si>
    <t>MEDEVAC PCTE FRANCE OUELLETTE</t>
  </si>
  <si>
    <t>F001-3854</t>
  </si>
  <si>
    <t>F001-3856</t>
  </si>
  <si>
    <t>ESCOLTA PCTE VASQUEZ PAREDES FATIMA DANIELA</t>
  </si>
  <si>
    <t>F001-3861</t>
  </si>
  <si>
    <t>MEDEVAC PCTE JAIME DE DE LA CRUZ VICTORIA ZOCIMA</t>
  </si>
  <si>
    <t>MEDEVAC PCTE RODRIGUEZ VILLA JOSE HILDEBRAND</t>
  </si>
  <si>
    <t xml:space="preserve">TRASLADO PCTE EATEGUI RÍOS MARGOLI </t>
  </si>
  <si>
    <t>F001-3858</t>
  </si>
  <si>
    <t>MEDEVAC PCTE ARIZON GARCÍA CÁRDENAS</t>
  </si>
  <si>
    <t>F001-3859</t>
  </si>
  <si>
    <t>TRASLADO PCTE PIERINA GERALDINE TELLO HUARAG</t>
  </si>
  <si>
    <t>MEDEVAC PCTE GARCIA ORNETA DANIEL.</t>
  </si>
  <si>
    <t>F001-3862</t>
  </si>
  <si>
    <t>F001-3863</t>
  </si>
  <si>
    <t>HOSP. DOCENTE LAS MERCEDES</t>
  </si>
  <si>
    <t>F001.3831</t>
  </si>
  <si>
    <t>F001-3832</t>
  </si>
  <si>
    <t>HOSP. REG. MANUEL NUÑEZ BUTRON</t>
  </si>
  <si>
    <t>F001-3860</t>
  </si>
  <si>
    <t>MEDEVAC PCTE LLANOS URCIA AILANY ARLETH</t>
  </si>
  <si>
    <t>F001-3866</t>
  </si>
  <si>
    <t>MEDEVAC PCTE CARDENAS PORRAS FABIO MATEO</t>
  </si>
  <si>
    <t>MEDEVAC PCTE CHOTA ARIRAMA ANDRE JESÚS</t>
  </si>
  <si>
    <t>MEDEVAC PCTE VALDIVIA BARBERIS VICTOR MANUEL</t>
  </si>
  <si>
    <t>ESSALUD CHCLAYO</t>
  </si>
  <si>
    <t>HOSP JAMO TUMBES</t>
  </si>
  <si>
    <t>F001-3829</t>
  </si>
  <si>
    <t>F001-3847</t>
  </si>
  <si>
    <t>HOSP REG. LORETO</t>
  </si>
  <si>
    <t>HOSP. LAS MERCEDES CHICLAYO</t>
  </si>
  <si>
    <t>MORENO/MARTINEZ</t>
  </si>
  <si>
    <t xml:space="preserve">TRASLADO REPUESTOS </t>
  </si>
  <si>
    <t>MEDEVAC PCTE MANIHUARI MACUYA LUIS</t>
  </si>
  <si>
    <t>MEDEVAC PCTE MALLAOPOMA PONCE KENDRA ESTRELLA</t>
  </si>
  <si>
    <t>MEDEVAC PCTE SANCHEZ MEDER MANIX</t>
  </si>
  <si>
    <t>MEDEVAC PCTE GUERRERO BERMEO JHEYSON</t>
  </si>
  <si>
    <t>F001-3871</t>
  </si>
  <si>
    <t>F001-3770</t>
  </si>
  <si>
    <t>F001-3687</t>
  </si>
  <si>
    <t>F001-3686</t>
  </si>
  <si>
    <t>F001-2993</t>
  </si>
  <si>
    <t>MEDEVAC PCTE CHILCON TANGOA ABDIEL</t>
  </si>
  <si>
    <t>PEÑA/MARTINEZ</t>
  </si>
  <si>
    <t>MEDEVAC PCTE ARREGUI REATEGUI LLERLI</t>
  </si>
  <si>
    <t>F001-3872</t>
  </si>
  <si>
    <t>MEDEVAC PCTE TORRES PEREZ LEO STALIN</t>
  </si>
  <si>
    <t>MEDEVAC PCTE FARFAN GUZMAN LEANDRO</t>
  </si>
  <si>
    <t>MEDEVAC PCTE SANDOVAL MONDRAGON THIAGO</t>
  </si>
  <si>
    <t>VALLES/PB</t>
  </si>
  <si>
    <t>HOSP. REGIONAL MOQUEGUA</t>
  </si>
  <si>
    <t>F001-2461</t>
  </si>
  <si>
    <t>F001-3579</t>
  </si>
  <si>
    <t>F001-3534</t>
  </si>
  <si>
    <t>F001-3508</t>
  </si>
  <si>
    <t>F001-3509</t>
  </si>
  <si>
    <t>BENAVENTE/PB</t>
  </si>
  <si>
    <t>02062025</t>
  </si>
  <si>
    <t>F001-3879</t>
  </si>
  <si>
    <t>MEDEVAC PCTE MARY E FAUST</t>
  </si>
  <si>
    <t>MEDEVAC PCTE VENTURA AYALA LUANA</t>
  </si>
  <si>
    <t>F001-3891</t>
  </si>
  <si>
    <t>F001-3881</t>
  </si>
  <si>
    <t>MEDEVAC PCTE ZUÑIGA QUIROZ LEONARDO</t>
  </si>
  <si>
    <t>F001-3873</t>
  </si>
  <si>
    <t>F001-3875</t>
  </si>
  <si>
    <t xml:space="preserve">MEDEVAC PCTE GODOY MARTINEZ ELVIO </t>
  </si>
  <si>
    <t>MEDEVAC PCTE VASQUEZ HIDALGO ANGEL</t>
  </si>
  <si>
    <t>F001-3880</t>
  </si>
  <si>
    <t>F001-3843</t>
  </si>
  <si>
    <t>SERV. MEDICO PCTE GUZMAN GONZALES NATHANIEL GUADALUPE</t>
  </si>
  <si>
    <t>SERV. TRANSPORTE PCTE GUZMAN GONZALES NATHANIEL GUADALUPE</t>
  </si>
  <si>
    <t>F001-3864</t>
  </si>
  <si>
    <t>F001-3865</t>
  </si>
  <si>
    <t>SERV. MEDICO PCTE APONTE LUDEÑA MAYERLI</t>
  </si>
  <si>
    <t>MEDEVAC PCTE CESPEDES CALLE AYLANY JAMILET</t>
  </si>
  <si>
    <t>MEDEVAC PCTE SERRATO OLIVA LAURA</t>
  </si>
  <si>
    <t>MEDEVAC PCTE PONCE REYES JOSEPH</t>
  </si>
  <si>
    <t>LA POSITIVA SEGUROS</t>
  </si>
  <si>
    <t>MEDEVAC PCTE URIARTE PINEDO MARIA ANGHI</t>
  </si>
  <si>
    <t>HIOSP. BELEN TRUJILLO</t>
  </si>
  <si>
    <t>03062025</t>
  </si>
  <si>
    <t xml:space="preserve">MEDEVAC PCTE QUISPE AGUIRRE MICHAEL  </t>
  </si>
  <si>
    <t>F001-3904</t>
  </si>
  <si>
    <t>MEDEVAC PCTE BOCANEGRA RIMACHI LUCIANA</t>
  </si>
  <si>
    <t>F001-3905</t>
  </si>
  <si>
    <t>MEDEVAC PCTE CHAVEZ RENGIFO VDA DE VILLASIS JULIA NORMA</t>
  </si>
  <si>
    <t>F001-3892</t>
  </si>
  <si>
    <t>F001-3895</t>
  </si>
  <si>
    <t>F001-3896</t>
  </si>
  <si>
    <t>F001-3897</t>
  </si>
  <si>
    <t>F001-3898</t>
  </si>
  <si>
    <t>F001-3901</t>
  </si>
  <si>
    <t>MEDEVAC PCTE TORRES CORDOVA EDILBRANDO</t>
  </si>
  <si>
    <t>04062025</t>
  </si>
  <si>
    <t>05062025</t>
  </si>
  <si>
    <t>VALLES/BECERRA</t>
  </si>
  <si>
    <t>06062025</t>
  </si>
  <si>
    <t>CAMARENA/BECERRA</t>
  </si>
  <si>
    <t>CORPORACION ADC S.A.</t>
  </si>
  <si>
    <t>07062025</t>
  </si>
  <si>
    <t>TRANSPORTE PCTE GUEVARA GUERRERO SEGUNDO FELIPE</t>
  </si>
  <si>
    <t>SERV. MEDICO PCTE GUEVARA GUERRERO SEGUNDO FELIPE</t>
  </si>
  <si>
    <t>09062025</t>
  </si>
  <si>
    <t>08062025</t>
  </si>
  <si>
    <t>BENAVENTE/BECERRA</t>
  </si>
  <si>
    <t>ESSALID YAYACUCHO</t>
  </si>
  <si>
    <t>TRASLADO PCTE PINEDO LOPEZ ADRIANO</t>
  </si>
  <si>
    <t>MEDEVAC PCTE AVILA RODRIGUEZ MARCO ANTONIO</t>
  </si>
  <si>
    <t>MEDEVAC PCTE FERNANDEZ LOPEZ MAYRA MARILYN</t>
  </si>
  <si>
    <t>MEDEVAC PCTE SALVATIERRA AUQUE ASHIYE AMIRA</t>
  </si>
  <si>
    <t>F001-3912</t>
  </si>
  <si>
    <t>F001-3913</t>
  </si>
  <si>
    <t>MEDEVAC PCTE APONTE LUDEÑA MAYERLI AILANIE</t>
  </si>
  <si>
    <t>F001-3908</t>
  </si>
  <si>
    <t>F001-3906</t>
  </si>
  <si>
    <t>F001-3907</t>
  </si>
  <si>
    <t>F001-3914</t>
  </si>
  <si>
    <t>F001-3915</t>
  </si>
  <si>
    <t>F001-3530</t>
  </si>
  <si>
    <t>10062025</t>
  </si>
  <si>
    <t>11062025</t>
  </si>
  <si>
    <t>12062025</t>
  </si>
  <si>
    <t>OMAR MOGOLLÓN</t>
  </si>
  <si>
    <t>F001-3917</t>
  </si>
  <si>
    <t>MEDEVAC PCTE CAMAYO SANCHEZ SANDRA</t>
  </si>
  <si>
    <t>F001-3827</t>
  </si>
  <si>
    <t>F001-3828</t>
  </si>
  <si>
    <t>F001-3899</t>
  </si>
  <si>
    <t>F001-3900</t>
  </si>
  <si>
    <t>F001-3920</t>
  </si>
  <si>
    <t>13062025</t>
  </si>
  <si>
    <t>MEDEVAC PCTE DEL AGUILA LOPEZ JUAN</t>
  </si>
  <si>
    <t>MEDEVAC PCTE CAHUACHI ESCOBAR ENITH</t>
  </si>
  <si>
    <t>ESCOLTA PCTE CAMASCA TAFUR FRANK</t>
  </si>
  <si>
    <t>F001-3925</t>
  </si>
  <si>
    <t>F001-3922</t>
  </si>
  <si>
    <t>F001-3923</t>
  </si>
  <si>
    <t>F001-3924</t>
  </si>
  <si>
    <t>F001-3867</t>
  </si>
  <si>
    <t>F001-3868</t>
  </si>
  <si>
    <t>MEDEVAC PCTE ORTIZ DE FASANANDO ELMITA MARIA</t>
  </si>
  <si>
    <t>F001-3926</t>
  </si>
  <si>
    <t>F001-3890</t>
  </si>
  <si>
    <t>MEDEVAC PCTE AMBLODEGUI AMUY AUGURIO</t>
  </si>
  <si>
    <t>MEDEVAC PCTE ACOS CHAIÑA BERNARDINA</t>
  </si>
  <si>
    <t>MEDEVAC PCTE COTRINA PUMAYALI EMILIANO ALYAM</t>
  </si>
  <si>
    <t xml:space="preserve">MEDEVAC PCTE CHOQUEÑA ARCAYA LIANS GAEL </t>
  </si>
  <si>
    <t>MEDEVAC PCTE CHAPIAMA GRANDEZ MAGDIEL</t>
  </si>
  <si>
    <t>MEDEVAC PCTE RODRIGUEZ FARFAN CESAR ARON</t>
  </si>
  <si>
    <t>MEDEVAC PCTE VILLASANTE COLPAERT JULIO WILBER</t>
  </si>
  <si>
    <t>MEDEVAC PCTE TOVAR CASTILLO JUBER MIGUEL</t>
  </si>
  <si>
    <t>MEDEVAC PCTE BASAURI TELLO JULIO MANUEL</t>
  </si>
  <si>
    <t>MEDEVAC PCTE TORREJON CHAVEZ SEGUNDO ARTURO</t>
  </si>
  <si>
    <t>MEDEVAC PCTE FLORES ESPINOZA ALFONSO</t>
  </si>
  <si>
    <t>MEDEVAC PCTE ARISMENDI QUISPICHUCO GINO ENRIQUE</t>
  </si>
  <si>
    <t>MEDEVAC PCTE AQUINO ALVAREZ REYNALDA</t>
  </si>
  <si>
    <t>MEDEVAC PCTE PAZ VIZCARRA LUIS GUSTAVO</t>
  </si>
  <si>
    <t>MEDEVAC PCTE GONZALES ALVARADO SANDRO</t>
  </si>
  <si>
    <t>MEDEVAC PCTE DIAZ PALACIOS KATHERINE</t>
  </si>
  <si>
    <t>TRASLADO PCTE SANCHEZ RODRIGUEZ LUIS REYNERIO</t>
  </si>
  <si>
    <t>F001-3877</t>
  </si>
  <si>
    <t>MEDEVAC PCTE TUCTO JURADO NICOLE ANDREA</t>
  </si>
  <si>
    <t>F001-3878</t>
  </si>
  <si>
    <t>MEDEVAC PCTE SANCHEZ USHUÑAHUA PAQUITA</t>
  </si>
  <si>
    <t>F001-3882</t>
  </si>
  <si>
    <t>14062025</t>
  </si>
  <si>
    <t>16062025</t>
  </si>
  <si>
    <t>BURBANO/BECERRA</t>
  </si>
  <si>
    <t xml:space="preserve">INCA AIR AMBIULANCE </t>
  </si>
  <si>
    <t>F001-3889</t>
  </si>
  <si>
    <t>MEDEVAC PCTE OSE NERY ZEGARRA</t>
  </si>
  <si>
    <t>F001-3918</t>
  </si>
  <si>
    <t>F001-3919</t>
  </si>
  <si>
    <t>MEDEVAC PCTE VERA DÍAZ NOAH STEFANO</t>
  </si>
  <si>
    <t>F001-3903</t>
  </si>
  <si>
    <t>TRASLADO PCTE NUNTA VASQUEZ BENITO</t>
  </si>
  <si>
    <t>F001-3902</t>
  </si>
  <si>
    <t>MEDEVAC PCTE VARA MOYA KIARA SOPHÍA</t>
  </si>
  <si>
    <t>MEDEVAC PCTE CORONACIÓN HUAMAN SAIDH ALEXANDER</t>
  </si>
  <si>
    <t>F001-3931</t>
  </si>
  <si>
    <t>F001-3930</t>
  </si>
  <si>
    <t>F001-3928</t>
  </si>
  <si>
    <t>F001-3929</t>
  </si>
  <si>
    <t>MEDEVAC PCTE KLIPTON SANGAMA CURICO</t>
  </si>
  <si>
    <t>MEDEVAC PCTE ANGULO SAJAMI MILAN GABRIEL</t>
  </si>
  <si>
    <t xml:space="preserve">TRASLADO PCTE MARIN ARBILDO RUDY ELY </t>
  </si>
  <si>
    <t>F001-3936</t>
  </si>
  <si>
    <t>F001-3932</t>
  </si>
  <si>
    <t>MEDEVAC PCTE TEXEIRA RENGIFO BELLALY</t>
  </si>
  <si>
    <t>MEDEVAC PCTE PAREDES ARMAS EVELYN ELENA</t>
  </si>
  <si>
    <t>TRASLADO PCTE RUIZ TAVERA MARIA TERESA DE</t>
  </si>
  <si>
    <t>F001-3942</t>
  </si>
  <si>
    <t>F001-3943</t>
  </si>
  <si>
    <t>F001-3940</t>
  </si>
  <si>
    <t>F001-3941</t>
  </si>
  <si>
    <t>17062025</t>
  </si>
  <si>
    <t>HOSP. SANTIAGO APOSTOL UTCUBAMBA</t>
  </si>
  <si>
    <t>F001-3944</t>
  </si>
  <si>
    <t>18062025</t>
  </si>
  <si>
    <t>ESSSALUD TARAPOTO</t>
  </si>
  <si>
    <t>19062025</t>
  </si>
  <si>
    <t>F001-3950</t>
  </si>
  <si>
    <t>MEDEVAC PCTE LOPEZ ACOSTA TOMOTEA CATALINA</t>
  </si>
  <si>
    <t>MEDEVAC PCTE CERVERA RUIZ RICARDO</t>
  </si>
  <si>
    <t>F001-3949</t>
  </si>
  <si>
    <t>F001-3951</t>
  </si>
  <si>
    <t>MEDEVAC PCTE VASQUEZ GARCIA SEBERINO</t>
  </si>
  <si>
    <t>MEDEVAC PCTE NUÑEZ CARBAJAL JUAN JOSÉ</t>
  </si>
  <si>
    <t>F001-3952</t>
  </si>
  <si>
    <t>F001-3953</t>
  </si>
  <si>
    <t>MEDEVAC PCTE ESPARZA CIEZA LUZ ANGELA</t>
  </si>
  <si>
    <t>F001-3957</t>
  </si>
  <si>
    <t>F001-3959</t>
  </si>
  <si>
    <t>TRASLADO PCTE GUERRA INUMA ELIZABETH PACIENTE - JESUS GUERRA MAGALI</t>
  </si>
  <si>
    <t xml:space="preserve">HOSP. REG JAMO TUMBES </t>
  </si>
  <si>
    <t>F001-3963</t>
  </si>
  <si>
    <t>F001-3964</t>
  </si>
  <si>
    <t>F001-3967</t>
  </si>
  <si>
    <t>F001-3971</t>
  </si>
  <si>
    <t>MEDEVAC PCTE PEREZ GUERRA GRECIA VIVIANA</t>
  </si>
  <si>
    <t>ESCOLTA PCTE RUIZ AMASIFUEN CRISTIANO NICOLAS</t>
  </si>
  <si>
    <t>MEDEVAC PCTE BARDALES MACEDO LUCAS URIEL</t>
  </si>
  <si>
    <t>MEDEVAC PCTE SHAYANA LILETH RIOS MARIN</t>
  </si>
  <si>
    <t>MEDEVAC PCTE PLAMONDON SHANE THOMAS</t>
  </si>
  <si>
    <t>F001-3977</t>
  </si>
  <si>
    <t>F001-3978</t>
  </si>
  <si>
    <t>TRANSPORTE PCTE FONSECA ROMERO PRISCILA</t>
  </si>
  <si>
    <t>SERV. MEDICO PCTE FONSECA ROMERO PRISCILA</t>
  </si>
  <si>
    <t>F001-3980</t>
  </si>
  <si>
    <t>F001-3981</t>
  </si>
  <si>
    <t>MEDEVAC PCTE ESPINOZA CANTEÑO EDITH CRICIA</t>
  </si>
  <si>
    <t>F001-3960</t>
  </si>
  <si>
    <t>F001-3961</t>
  </si>
  <si>
    <t>F001-3962</t>
  </si>
  <si>
    <t>MEDEVAC PCTE PIÑAN MANZANO FIORELA</t>
  </si>
  <si>
    <t>MEDEVAC PCTE AQUINO ORDOÑEZ ANAHY ARIANA</t>
  </si>
  <si>
    <t>CONTRATO 16-2025-HRA</t>
  </si>
  <si>
    <t>F001-3972</t>
  </si>
  <si>
    <t>F001-3976</t>
  </si>
  <si>
    <t>HOSP. DE APOYO I CHULUCANAS</t>
  </si>
  <si>
    <t>MEDEVAC PCTE VASQUEZ ESCOBEDO ARMANDO</t>
  </si>
  <si>
    <t>F001-3979</t>
  </si>
  <si>
    <t>TRASLADO PCTE ROSA MARIA RIOS CALDERON</t>
  </si>
  <si>
    <t>F001-3966</t>
  </si>
  <si>
    <t>F001-3933</t>
  </si>
  <si>
    <t>MEDEVAC PCTE SANTOS ALBERCA DYLAN EVID</t>
  </si>
  <si>
    <t>F001-3983</t>
  </si>
  <si>
    <t>F001-3997</t>
  </si>
  <si>
    <t>F001-3998</t>
  </si>
  <si>
    <t>F001-3996</t>
  </si>
  <si>
    <t>MEDEVAC PCTE DIAZ HUARIPATA MOISES</t>
  </si>
  <si>
    <t>MORENO/BECERRA</t>
  </si>
  <si>
    <t>MEDEVAC PCTE PRADO DIAZ, EUGENIA</t>
  </si>
  <si>
    <t>F001-3989</t>
  </si>
  <si>
    <t>MEDEVAC PCTE HUAMAN LLANTOY LUZ ANSHILY</t>
  </si>
  <si>
    <t>MEDEVAC PCTE QUISPE POMA SONCCO LUZ BRISEIDA</t>
  </si>
  <si>
    <t>CONTRATO Nº 16-2025-HRA                   X 15 SERVICIOS</t>
  </si>
  <si>
    <t>F001-4001</t>
  </si>
  <si>
    <t>F001-4003</t>
  </si>
  <si>
    <t>F001-3985</t>
  </si>
  <si>
    <t>F001-3988</t>
  </si>
  <si>
    <t>F001-3986</t>
  </si>
  <si>
    <t>F001-3987</t>
  </si>
  <si>
    <t>01072025</t>
  </si>
  <si>
    <t>F001-3994</t>
  </si>
  <si>
    <t>HOSP. BELEN LAMBAYEQUE</t>
  </si>
  <si>
    <t>F001-3982</t>
  </si>
  <si>
    <t>F001-3991</t>
  </si>
  <si>
    <t>F001-3990</t>
  </si>
  <si>
    <t>F001-3927</t>
  </si>
  <si>
    <t>AY-PCL</t>
  </si>
  <si>
    <t>F001-3970</t>
  </si>
  <si>
    <t>F001-3968</t>
  </si>
  <si>
    <t>02072025</t>
  </si>
  <si>
    <t>F001-3969</t>
  </si>
  <si>
    <t>04072025</t>
  </si>
  <si>
    <t>05072025</t>
  </si>
  <si>
    <t>MEDEVAC PCTE EITHAN JOAQUIN YNUMA</t>
  </si>
  <si>
    <t>F001-4016</t>
  </si>
  <si>
    <t>TRASLADO PCTE SINTHYA OJANAMA TAMINCHI</t>
  </si>
  <si>
    <t>F001-4010</t>
  </si>
  <si>
    <t>06072025</t>
  </si>
  <si>
    <t>MEDEVAC PCTE TUDELA DE CCORAHUA VICTORIA</t>
  </si>
  <si>
    <t>MEDEVAC PCTE ZUÑIGA ZUÑIGA ANA</t>
  </si>
  <si>
    <t>MEDEVAC PCTE MACHERO RUFINO TEMISTOCLES</t>
  </si>
  <si>
    <t>MEDEVAC PCTE CELADA CHACON JOEL ESTEBAN</t>
  </si>
  <si>
    <t>MEDEVAC PCTE ZOE CELESTE ADANAQUE MONTERO</t>
  </si>
  <si>
    <t>F001-4000</t>
  </si>
  <si>
    <t>F001-3999</t>
  </si>
  <si>
    <t>07072025</t>
  </si>
  <si>
    <t>08072025</t>
  </si>
  <si>
    <t xml:space="preserve">MEDEVAC PCTE RIOS VASQUEZ JUANA MILAGROS </t>
  </si>
  <si>
    <t>F001-4014</t>
  </si>
  <si>
    <t>09072025</t>
  </si>
  <si>
    <t>LIM-CAJ</t>
  </si>
  <si>
    <t>MEDEVAC PCTE ROA PAREDES MICHAEL JHOAN ALEXIS</t>
  </si>
  <si>
    <t>MEDEVAC PCTE VASQUEZ MACAHUACHI ZOE ALEXIS</t>
  </si>
  <si>
    <t>F001-4031</t>
  </si>
  <si>
    <t>F001-4032</t>
  </si>
  <si>
    <t>MEDEVAC PCTE DELGADO LIZANA THIAGO GAEL</t>
  </si>
  <si>
    <t>MEDEVAC PCTE GONZALES RIVA PATRICK NEY</t>
  </si>
  <si>
    <t>F001-4033</t>
  </si>
  <si>
    <t>MEDEVAC PCTE DURAND RUIZ ROLANDO DARIEL</t>
  </si>
  <si>
    <t>MEDEVAC PCTE RIVA HIDALGO ESTHER</t>
  </si>
  <si>
    <t>F001-4034</t>
  </si>
  <si>
    <t>MEDEVAC PCTE CHUQUIMANGO CARRASCO MARJHORIE ANGELI</t>
  </si>
  <si>
    <t>-</t>
  </si>
  <si>
    <t>MEDEVAC PCTE LLATAS CRUZ LUCAS ALEXANDER</t>
  </si>
  <si>
    <t>MEDEVAC PCTE PAREDES GARCIA ANDY WILLY</t>
  </si>
  <si>
    <t>MEDEVAC PCTE SALAS PORTILLA NATALY ANDREA</t>
  </si>
  <si>
    <t>TRASLADO PCTE CORONEL CARRASCO YENI MARILU</t>
  </si>
  <si>
    <t>MEDEVAC PCTE LOPEZ PEREA RICARDO SEGUNDO</t>
  </si>
  <si>
    <t>MEDEVAC PCTE JHEREMI CALET FRANCO YANA</t>
  </si>
  <si>
    <t>MEDEVAC PCTE CORI QUISPE JEAN PAUL</t>
  </si>
  <si>
    <t>MEDEVAC PCTE MENDOZA LOPEZ MAYCOL JHORDAN</t>
  </si>
  <si>
    <t>MEDEVAC PCTE LOZANO SANCHEZ LUCA GAEL</t>
  </si>
  <si>
    <t>MEDEVAC PCTE FERNANDEZ MARIN ERIKA LISBETH</t>
  </si>
  <si>
    <t>MEDEVAC PCTE CONTRERAS CASTRO CATALELLA AILEEN</t>
  </si>
  <si>
    <t>TOTAL CONTRATO ORIGINAL</t>
  </si>
  <si>
    <t xml:space="preserve">CONTRATO N° 025-2023-IN/SALUDPOL </t>
  </si>
  <si>
    <t xml:space="preserve">ADENDA AL CONTRATO N° 025-2023-IN/SALUDPOL </t>
  </si>
  <si>
    <t>TOTAL ADENDA DEL CONTRATO</t>
  </si>
  <si>
    <t>F001-4035</t>
  </si>
  <si>
    <t>10072025</t>
  </si>
  <si>
    <t>HOSP. RG. CAJAMARCA</t>
  </si>
  <si>
    <t>F001-4036</t>
  </si>
  <si>
    <t>MEDEVAC PCTE DOUGHERTY KERRY ANN 1.00</t>
  </si>
  <si>
    <t>ESCOLTA PCTE ORBE RAMIREZ LUISA ANGELICA</t>
  </si>
  <si>
    <t>11072025</t>
  </si>
  <si>
    <t>MEDEVAC PCTE COLLANTES LOZANO BERBELINA</t>
  </si>
  <si>
    <t>F001-4013</t>
  </si>
  <si>
    <t>14072025</t>
  </si>
  <si>
    <t>13072025</t>
  </si>
  <si>
    <t>12072025</t>
  </si>
  <si>
    <t>60. HOSP. REG. HUANUCO</t>
  </si>
  <si>
    <t>15072025</t>
  </si>
  <si>
    <t>F001-4055</t>
  </si>
  <si>
    <t>TRASLADO PCTE KELINA ESCOBAR BARBARAN</t>
  </si>
  <si>
    <t>F001-4030</t>
  </si>
  <si>
    <t>F001-4022</t>
  </si>
  <si>
    <t>TRASLADO PCTE SGRECIA VARGAS RUIZ</t>
  </si>
  <si>
    <t>F001-4017</t>
  </si>
  <si>
    <t>F001-4012</t>
  </si>
  <si>
    <t>16072025</t>
  </si>
  <si>
    <t>F001-3869</t>
  </si>
  <si>
    <t>SERV. MEDICO PCTE SUNCION JULCAHUANCA CRISTOFER SEBASTIAN</t>
  </si>
  <si>
    <t>SERV. TRANSPORTE PCTE SUNCION JULCAHUANCA CRISTOFER SEBASTIAN</t>
  </si>
  <si>
    <t>F001-4061</t>
  </si>
  <si>
    <t>F001-4062</t>
  </si>
  <si>
    <t>MEDEVAC PCTE DE LA CRUZ CORDOVA YARITZA</t>
  </si>
  <si>
    <t>F001-4063</t>
  </si>
  <si>
    <t>MEDEVAC PCTE ORDOÑEZ CALLIRGOS AYTANA CARLITA</t>
  </si>
  <si>
    <t>MEDEVAC PCTE ESPINOZA FIGUEROA HUGO RICARDO</t>
  </si>
  <si>
    <t>MEDEVAC PCTE VELA DEL CASTILLO VICTORIA</t>
  </si>
  <si>
    <t>F001-4058</t>
  </si>
  <si>
    <t>17072025</t>
  </si>
  <si>
    <t>TRASLADO PCTE SAAVEDRA PEREZ JOSE</t>
  </si>
  <si>
    <t>F001-4045</t>
  </si>
  <si>
    <t>F001-4046</t>
  </si>
  <si>
    <t>TRASLADO PCTE LOPEZ GONGORA ELIDERGIO</t>
  </si>
  <si>
    <t>F001-4050</t>
  </si>
  <si>
    <t>F001-4051</t>
  </si>
  <si>
    <t>F001-4052</t>
  </si>
  <si>
    <t>18072025</t>
  </si>
  <si>
    <t>JJA-LIMA</t>
  </si>
  <si>
    <t xml:space="preserve">ESCOLTA PCTE GUTIERREZ GUERRERO WILSON </t>
  </si>
  <si>
    <t>MEDEVAC PCTE CHUQIPIONDO GARCIA JORGE GERARDO</t>
  </si>
  <si>
    <t>F001-4069</t>
  </si>
  <si>
    <t>F001-4070</t>
  </si>
  <si>
    <t>F001-4071</t>
  </si>
  <si>
    <t>F001-4072</t>
  </si>
  <si>
    <t>F001-4067</t>
  </si>
  <si>
    <t>19072025</t>
  </si>
  <si>
    <t>MEDEVAC PCTE DIAZ CORONADO CESAR</t>
  </si>
  <si>
    <t>MEDEVAC PCTE SUAREZ RISCO JEAN PAUL</t>
  </si>
  <si>
    <t>MEDEVAC PCTE BONE GUY ROBERT RENE</t>
  </si>
  <si>
    <t>MEDEVAC PCTE LOPEZ GUERREROS LUIS ALFREDO</t>
  </si>
  <si>
    <t>MEDEVAC PCTE ZEGARRA JUAREZ MIGUEL HUGO</t>
  </si>
  <si>
    <t>F001-4073</t>
  </si>
  <si>
    <t>F001-4074</t>
  </si>
  <si>
    <t>F001-4075</t>
  </si>
  <si>
    <t>F001-4076</t>
  </si>
  <si>
    <t>F001-4077</t>
  </si>
  <si>
    <t>TRASLADO PCTE INGRID GUEVARA ISUIZA</t>
  </si>
  <si>
    <t>TRASLADO PCTE CLARA SILVA CASTRO</t>
  </si>
  <si>
    <t>F001-4064</t>
  </si>
  <si>
    <t>F001-4066</t>
  </si>
  <si>
    <t>MEDEVAC PCTE PERCY DE PINHO COLLAZOS</t>
  </si>
  <si>
    <t>F001-4065</t>
  </si>
  <si>
    <t>MEDEVAC PCTE VILLACORTA MURAYARI MAYER AYKE ZADIEL</t>
  </si>
  <si>
    <t>F001-4095</t>
  </si>
  <si>
    <t>F001-4096</t>
  </si>
  <si>
    <t>F001-4097</t>
  </si>
  <si>
    <t>F001-4098</t>
  </si>
  <si>
    <t>F001-4099</t>
  </si>
  <si>
    <t>F001-4100</t>
  </si>
  <si>
    <t>F001-4079</t>
  </si>
  <si>
    <t>MEDEVAC PCTE GARCIA SILVA JOSE THEO</t>
  </si>
  <si>
    <t>MEDEVAC PCTE GONZALES VASQUEZ XIMENA SARAÍ</t>
  </si>
  <si>
    <t>MEDEVAC PCTE AYUQUE RODRIGUEZ GERMAN JULIO</t>
  </si>
  <si>
    <t>MEDEVAC PCTE CUELLAR CHUQUIYAURI ZOSIMO JUAN</t>
  </si>
  <si>
    <t>F001-4049</t>
  </si>
  <si>
    <t>F001-4048</t>
  </si>
  <si>
    <t>F001-4047</t>
  </si>
  <si>
    <t>F001-4059</t>
  </si>
  <si>
    <t>MEDEVAC PCTE LEONARDO CARRASCO ZULY ROSA</t>
  </si>
  <si>
    <t>F001-4037</t>
  </si>
  <si>
    <t>MEDEVAC PCTE TRUJILLO CHAUPIS AYSUN MELEYSI</t>
  </si>
  <si>
    <t>F001-4084</t>
  </si>
  <si>
    <t>F001-4085</t>
  </si>
  <si>
    <t>F001-4086</t>
  </si>
  <si>
    <t>F001-4088</t>
  </si>
  <si>
    <t>F001-4090</t>
  </si>
  <si>
    <t>F001-4091</t>
  </si>
  <si>
    <t>F001-4101</t>
  </si>
  <si>
    <t>F001-4040</t>
  </si>
  <si>
    <t>F001-4041</t>
  </si>
  <si>
    <t>F001-4042</t>
  </si>
  <si>
    <t>F001-4044</t>
  </si>
  <si>
    <t xml:space="preserve">MEDEVAC PCTE GARCIA ROMERO LUIS ENRIQUE </t>
  </si>
  <si>
    <t>MEDEVAC PCTE NOREÑA CASTAÑON LUCIANA</t>
  </si>
  <si>
    <t>MEDEVAC PCTE AGAPITO MORI FRANCO ALEXANDRO</t>
  </si>
  <si>
    <t>MEDEVAC PCTE HOYOS AMPUSH ANJHALY VALENTINA</t>
  </si>
  <si>
    <t>MEDEVAC PCTE CARRILLO PACO DORKA SARAHI</t>
  </si>
  <si>
    <t>MEDEVAC PCTE GARCIA QUINTO MANUEL</t>
  </si>
  <si>
    <t>TRASLADO PCTE SANCHEZ HIDALGO MARCO ANTONIO</t>
  </si>
  <si>
    <t>PEÑA/BECERRA</t>
  </si>
  <si>
    <t>HOSP. APOYO II SULLANA</t>
  </si>
  <si>
    <t>CONTRATO N° 107-2025-HR "MNB" PUNO
HOSPITAL REGIONAL MANUEL NUÑEZ BUTRON PUNO</t>
  </si>
  <si>
    <t>CONTRATO N° 32-2025-HRL-ULO 
DERIVADO DE LA ADJUDICACIÓN SIMPLIFICADA N° 30-2024-HRL-OEC-TERCERA CONVOCATORIA</t>
  </si>
  <si>
    <t>CONTRATO N° 32-2025-HRL-ULO</t>
  </si>
  <si>
    <t>ESSALUID CHICLAYO</t>
  </si>
  <si>
    <t>MEDEVAC PCTE MORENO ROJAS MELANY NICOL</t>
  </si>
  <si>
    <t>CAMARENA A/BECERRA</t>
  </si>
  <si>
    <t>MORENO/CAMARENA C</t>
  </si>
  <si>
    <t>PEÑA/CAMARENA C</t>
  </si>
  <si>
    <t>CAMARENA A/CAMARENA C</t>
  </si>
  <si>
    <t>DEL DÍA SIGUIENTE</t>
  </si>
  <si>
    <t>F001-4109</t>
  </si>
  <si>
    <t>TRASLADO PCTE FASANANDO MENDO MARIA JOSE GUADALUPE</t>
  </si>
  <si>
    <t>TRASLADO PCTE FIDELINA TORRES BAZAN</t>
  </si>
  <si>
    <t>F001-4102</t>
  </si>
  <si>
    <t>TRASLADO PCTE PEREZ ROJAS LUZ KARINA</t>
  </si>
  <si>
    <t>01082025</t>
  </si>
  <si>
    <t>MEDEVAC PCTE MEZA UGARTE RAFAEL</t>
  </si>
  <si>
    <t>MEDEVAC PCTE DUEÑAS GUEVARA NOHELY AURORA</t>
  </si>
  <si>
    <t>CONTRATACIONES DIRECTAS</t>
  </si>
  <si>
    <t>MEDEVAC PCTE GUTIERREZ CASANOVA HILDA REGINA</t>
  </si>
  <si>
    <t>F001-4103</t>
  </si>
  <si>
    <t>F001-4104</t>
  </si>
  <si>
    <t>F001-4105</t>
  </si>
  <si>
    <t>F001-4107</t>
  </si>
  <si>
    <t>MEDEVAC PCTE HERNANDEZ JIMENEZ MILCA SOLEDAD</t>
  </si>
  <si>
    <t>02082025</t>
  </si>
  <si>
    <t>03082025</t>
  </si>
  <si>
    <t>04082025</t>
  </si>
  <si>
    <t>FC/NR</t>
  </si>
  <si>
    <t>05082025</t>
  </si>
  <si>
    <t>06082025</t>
  </si>
  <si>
    <t>07082025</t>
  </si>
  <si>
    <t>F001-4106</t>
  </si>
  <si>
    <t>MEDEVAC PCTE DELGADILLO SAENZ JACOB</t>
  </si>
  <si>
    <t>F001-4140</t>
  </si>
  <si>
    <t>MEDEVAC PCTE DMITRIEV ANTON</t>
  </si>
  <si>
    <t>MEDEVAC PCTE DI RICARDI ROCCO</t>
  </si>
  <si>
    <t>08082025</t>
  </si>
  <si>
    <t>PEÑAmARTINEZ</t>
  </si>
  <si>
    <t>MEDEVAC PCTE ULISSI DOMENICO</t>
  </si>
  <si>
    <t>F001-4143</t>
  </si>
  <si>
    <t>F001-4144</t>
  </si>
  <si>
    <t>F001-4145</t>
  </si>
  <si>
    <t>MEDEVAC PCTE JAYO CARHUAS LEON</t>
  </si>
  <si>
    <t>F001-4141</t>
  </si>
  <si>
    <t>MEDEVAC PCTE RN CUNO MAMANI</t>
  </si>
  <si>
    <t>F001-4117</t>
  </si>
  <si>
    <t>F001-4111</t>
  </si>
  <si>
    <t>MEDEVAC PCTE FUSTAMANTE MONTENEGRO HAYLINK XIMENA</t>
  </si>
  <si>
    <t>MEDEVAC PCTE GARCIA MARTINEZ BILIN</t>
  </si>
  <si>
    <t>MEDEVAC PCTE BRICEÑO UPIACHIHUA GLADYS DELICIA</t>
  </si>
  <si>
    <t>F001-4128</t>
  </si>
  <si>
    <t>F001-4122</t>
  </si>
  <si>
    <t>MEDEVAC PCTE DELGADO DELGADO JHANELY LIZBETH</t>
  </si>
  <si>
    <t>MEDEVAC PCTE SAUCEDO MARTINEZ YNOCENCIO</t>
  </si>
  <si>
    <t>F001-4126</t>
  </si>
  <si>
    <t>MEDEVAC PCTE SOTO RODRIGUEZ AILANY NASHELLY</t>
  </si>
  <si>
    <t>F001-4137</t>
  </si>
  <si>
    <t>F001-4060</t>
  </si>
  <si>
    <t>F001-4057</t>
  </si>
  <si>
    <t>F001-4056</t>
  </si>
  <si>
    <t>SERV. MEDICO PCTE ANTON HERRERA ELISEO</t>
  </si>
  <si>
    <t>F001-4129</t>
  </si>
  <si>
    <t>F001-4112</t>
  </si>
  <si>
    <t xml:space="preserve">TRASLADO PCTE CASTAGNE PINEDO AUGUSTO CESAR </t>
  </si>
  <si>
    <t>MEDEVAC PCTE ESPINOZA LUGO EITHAN</t>
  </si>
  <si>
    <t>TRASLADO PCTE CARDENAS RIOS JOSE LUIS</t>
  </si>
  <si>
    <t>MEDEVAC PCTE LOPEZ MERA VDA DE BRAGA ANA DE JESUS</t>
  </si>
  <si>
    <t>MEDEVAC PCTE RAMOS SALAS OLINDA</t>
  </si>
  <si>
    <t>MEDEVAC PCTE MORI CARRERA CARLOS AMERICA</t>
  </si>
  <si>
    <t>ESCOLTA PCTE RIVERA NONATO HUSSEN</t>
  </si>
  <si>
    <t>MEDEVAC PCTE SINACAY BARDALES LUIS MARIANO</t>
  </si>
  <si>
    <t>MEDEVAC PCTE BARRERA RUIZ DOLORES</t>
  </si>
  <si>
    <t>F001-4151</t>
  </si>
  <si>
    <t>F001-4148</t>
  </si>
  <si>
    <t>F001-4152</t>
  </si>
  <si>
    <t>F001-4153</t>
  </si>
  <si>
    <t>F001-4154</t>
  </si>
  <si>
    <t>F001-4158</t>
  </si>
  <si>
    <t>MEDEVAC PCTE MENOR CORPOS MAVIE JOSSEFIN</t>
  </si>
  <si>
    <t>F001-4165</t>
  </si>
  <si>
    <t>F001-4166</t>
  </si>
  <si>
    <t>F001-4162</t>
  </si>
  <si>
    <t>F001-4167</t>
  </si>
  <si>
    <t>F001-4164</t>
  </si>
  <si>
    <t>09082025</t>
  </si>
  <si>
    <t>10082025</t>
  </si>
  <si>
    <t>11082025</t>
  </si>
  <si>
    <t>MEDEVAC PCTE ALCALDE PINEDO MATEO ALONSO</t>
  </si>
  <si>
    <t>F001-4163</t>
  </si>
  <si>
    <t>F001-4159</t>
  </si>
  <si>
    <t>F001-4157</t>
  </si>
  <si>
    <t>MEDEVAC PCTE JEAN ABBELOOS DANIEL</t>
  </si>
  <si>
    <t>F001-4168</t>
  </si>
  <si>
    <t>MEDEVAC PCTE HIDALGO GARCIA HERDER GUILLERMO</t>
  </si>
  <si>
    <t>F001-4169</t>
  </si>
  <si>
    <t>MEDEVAC PCTE VASQUEZ CORONEL MARYORI BRIYIT</t>
  </si>
  <si>
    <t>TRASLADO PCTE ARGANDOÑA DEL AGUILA KASIDY</t>
  </si>
  <si>
    <t>12082025</t>
  </si>
  <si>
    <t>F001-4139</t>
  </si>
  <si>
    <t>MEDEVAC PCTE HERRERA BECERRA, EDY LLUVANE</t>
  </si>
  <si>
    <t>F001-4171</t>
  </si>
  <si>
    <t>SERV. MEDICO PCTE YAMUNAQUE MACALUPU HITAN STEVEN</t>
  </si>
  <si>
    <t>SERV. TRANSPORTE PCTE YAMUNAQUE MACALUPU HITAN STEVEN</t>
  </si>
  <si>
    <t>F001-4173</t>
  </si>
  <si>
    <t>F001-4174</t>
  </si>
  <si>
    <t>13082025</t>
  </si>
  <si>
    <t>VALLES/CAMAREENA</t>
  </si>
  <si>
    <t>MEDEVAC PCTE ANICAMA BARRIOS JOSE</t>
  </si>
  <si>
    <t>F001-4175</t>
  </si>
  <si>
    <t>F001-4176</t>
  </si>
  <si>
    <t>F001-4177</t>
  </si>
  <si>
    <t>SERV. MEDICOS PCTE PALACIOS GUTIERREZ RAMSSE DAREK</t>
  </si>
  <si>
    <t>TRANSPORTE PCTE PALACIOS GUTIERREZ RAMSSE DAREK</t>
  </si>
  <si>
    <t>F001-4130</t>
  </si>
  <si>
    <t>F001-4131</t>
  </si>
  <si>
    <t>14082025</t>
  </si>
  <si>
    <t>15082025</t>
  </si>
  <si>
    <t>12;15</t>
  </si>
  <si>
    <t>16082025</t>
  </si>
  <si>
    <t>17082025</t>
  </si>
  <si>
    <t>MEDEVAC PCTE LOYOLA ITURRIZAGA SAMMER</t>
  </si>
  <si>
    <t>F001-4185</t>
  </si>
  <si>
    <t>LIM-EQ</t>
  </si>
  <si>
    <t>MEDEVAC PCTE DUEÑAS QUISPE IGNACIO</t>
  </si>
  <si>
    <t>F001-4178</t>
  </si>
  <si>
    <t>F001-4179</t>
  </si>
  <si>
    <t>MEDEVAC PCTE NATIVIDAD SUAREZ FLOR MARITA</t>
  </si>
  <si>
    <t>MEDEVAC PCTE LOVERA SALAS LIZETH RENEE</t>
  </si>
  <si>
    <t>F001-4180</t>
  </si>
  <si>
    <t>MEDEVAC PCTE ALBUJAR TOLENTINO ILDEFONSO ARCE</t>
  </si>
  <si>
    <t>F001-4181</t>
  </si>
  <si>
    <t xml:space="preserve">MEDEVAC PCTE RAMIREZ ALEMAN JAVIER ANTENOR </t>
  </si>
  <si>
    <t>MEDEVAC PCTE COAGUILA GUTIERREZ RIDBER IVAN</t>
  </si>
  <si>
    <t>MEDEVAC PCTE IBARRA FERRY LINDA CIELITO</t>
  </si>
  <si>
    <t>MEDEVAC PCTE VACA BURGOS BRIANA ISABEL</t>
  </si>
  <si>
    <t>MEDEVAC PCTE QUENTA ESCOBAR MAYLIN EMILY</t>
  </si>
  <si>
    <t xml:space="preserve">MEDEVAC PCTE MARTINEZ NUÑEZ ASAEL YAJDIEL </t>
  </si>
  <si>
    <t>F001-4186</t>
  </si>
  <si>
    <t>19082025</t>
  </si>
  <si>
    <t>F001-4191</t>
  </si>
  <si>
    <t>MEDEVAC PCTE RAMOS RAMIREZ LIAM KALETH</t>
  </si>
  <si>
    <t>MEDEVAC PCTE CHAVEZ GARCIA DIEGO LIONEL</t>
  </si>
  <si>
    <t>MEDEVAC PCTE CASTREJON CUEVA GENESIS ARLETH</t>
  </si>
  <si>
    <t>MEDEVAC PCTE CONDORI CARHUAPOMA LEON</t>
  </si>
  <si>
    <t>F001-4194</t>
  </si>
  <si>
    <t>MEDEVAC PCTE MAMANI ZAPATA ARYANA MAYLI</t>
  </si>
  <si>
    <t>F001-4188</t>
  </si>
  <si>
    <t>ESCOLTA PCTE PAREDES ROJAS MANUEL ORLANDO</t>
  </si>
  <si>
    <t>F001-4195</t>
  </si>
  <si>
    <t>MEDEVAC PCTE VOGEL YEHUDA ZEV</t>
  </si>
  <si>
    <t>MEDEVAC PCTE ZOHAR ASAF</t>
  </si>
  <si>
    <t>F001-4182</t>
  </si>
  <si>
    <t>F001-4183</t>
  </si>
  <si>
    <t>MEDEVAC PCTE CHASHNAMOTE CHUJUTALLI KARIN JUNETH</t>
  </si>
  <si>
    <t>MEDEVAC PCTE CORAL DEL AGUILA ROSA VICTORIA</t>
  </si>
  <si>
    <t>MEDEVAC PCTE MEGO CUBAS KAHORY BRISHITT</t>
  </si>
  <si>
    <t>MEDEVAC PCTE MARTINEZ CAMANI DILAN MAEL</t>
  </si>
  <si>
    <t>MEDEVAC PCTE VINCES SANDOVAL MARCOS VICENTE</t>
  </si>
  <si>
    <t>SERV. TRANSPORTE PCTE ANTON HERRERA ELISEO</t>
  </si>
  <si>
    <t>SERV. TRANSPORTE PCTE CHAVEZ LOAYZA NAIBI EVOLET - CHAVEZ MECA REYSHELLKAMILL</t>
  </si>
  <si>
    <t>SERV. MEDICO PCTE CHAVEZ LOAYZA NAIBI EVOLET - CHAVEZ MECA REYSHELLKAMILL</t>
  </si>
  <si>
    <t>HORP. REG. CUSCO</t>
  </si>
  <si>
    <t>MEDEVAC PCTE CABRERA MARIN CORI</t>
  </si>
  <si>
    <t>MEDEVAC PCTE VALLES VDA DE ZAMBRANO TERESA</t>
  </si>
  <si>
    <t>MEDEVAC PCTE MORALES DEL AGUILA ASIEL BARUCK</t>
  </si>
  <si>
    <t>MEDEVAC PCTE AGUIRRE AYALA RENZO JOEL</t>
  </si>
  <si>
    <t>MEDEVAC PCTE VILLALON PINEDA FABRICIA FELIPE</t>
  </si>
  <si>
    <t>MEDEVAC PCTE HUANCA KCANA MARK</t>
  </si>
  <si>
    <t>F001-4147</t>
  </si>
  <si>
    <t>MEDEVAC PCTE GIRON ANCAJIMA SARAI LEONOR</t>
  </si>
  <si>
    <t>MEDEVAC PCTE OBLITAS MEDINA SERAPIO</t>
  </si>
  <si>
    <t>F001-4213</t>
  </si>
  <si>
    <t>F001-4214</t>
  </si>
  <si>
    <t>F001-4215</t>
  </si>
  <si>
    <t>F001-4219</t>
  </si>
  <si>
    <t>F001-4220</t>
  </si>
  <si>
    <t>F001-4228</t>
  </si>
  <si>
    <t>F001-4225</t>
  </si>
  <si>
    <t>F001-4222</t>
  </si>
  <si>
    <t>F001-4223</t>
  </si>
  <si>
    <t>F001-4224</t>
  </si>
  <si>
    <t>F001-4221</t>
  </si>
  <si>
    <t>MEDEVAC PCTE ANAYA DIAZ OSCAR AVEL</t>
  </si>
  <si>
    <t>F001-4230</t>
  </si>
  <si>
    <t>MEDEVAC PCTE SANCHEZ RAMIREZ SENON</t>
  </si>
  <si>
    <t>MEDEVAC PCTE CURAY VILLANUEVA JOSÉ GUILLERMO</t>
  </si>
  <si>
    <t>F001-4231</t>
  </si>
  <si>
    <t>F001-4232</t>
  </si>
  <si>
    <t>F001-4233</t>
  </si>
  <si>
    <t>F001-4234</t>
  </si>
  <si>
    <t>HOSP. REG CUSCO</t>
  </si>
  <si>
    <t>01092025</t>
  </si>
  <si>
    <t>02092025</t>
  </si>
  <si>
    <t>BENAVENTE/SM</t>
  </si>
  <si>
    <t>03092025</t>
  </si>
  <si>
    <t>F001-4192</t>
  </si>
  <si>
    <t>04092025</t>
  </si>
  <si>
    <t>F001-4216</t>
  </si>
  <si>
    <t>MEDEVAC PCTE MOLOCHO TIWI HANNAH ARIELA</t>
  </si>
  <si>
    <t>F001-4241</t>
  </si>
  <si>
    <t>05092025</t>
  </si>
  <si>
    <t>F001-4262</t>
  </si>
  <si>
    <t>MEDEVAC PCTE CUJE NAPO MICAEL</t>
  </si>
  <si>
    <t>F001-4258</t>
  </si>
  <si>
    <t>F001-4236</t>
  </si>
  <si>
    <t>06092025</t>
  </si>
  <si>
    <t>07092025</t>
  </si>
  <si>
    <t>GMI-LIM</t>
  </si>
  <si>
    <t>BENAVENTE/JA</t>
  </si>
  <si>
    <t>08092025</t>
  </si>
  <si>
    <t>09092025</t>
  </si>
  <si>
    <t>MEDEVAC PCTE CARDENAS RAMIREZ STALIN</t>
  </si>
  <si>
    <t>F001-4269</t>
  </si>
  <si>
    <t>F001-4270</t>
  </si>
  <si>
    <t>MEDEVAC PCTE GOMEZ PORRAZ ELEODORA</t>
  </si>
  <si>
    <t>F001-4272</t>
  </si>
  <si>
    <t>10092025</t>
  </si>
  <si>
    <t>BENAVENTE/MONZON</t>
  </si>
  <si>
    <t>MEDEVAC PCTE RAMOS OSCORIMA LIZ ROCIO</t>
  </si>
  <si>
    <t>F001-4273</t>
  </si>
  <si>
    <t>MEDEVAC PCTE HATERIUS GAIL G</t>
  </si>
  <si>
    <t>F001-4274</t>
  </si>
  <si>
    <t>11092025</t>
  </si>
  <si>
    <t>MEDEVAC PCTE ICOCHEA MARTEL GEORGINA ESPERANZA</t>
  </si>
  <si>
    <t>F001-4276</t>
  </si>
  <si>
    <t>TRASLADO PCTE AGUINAGA RIVADENEIRA EDWIN MAURO</t>
  </si>
  <si>
    <t>12092025</t>
  </si>
  <si>
    <t>GOLD MEDICAL LAB</t>
  </si>
  <si>
    <t>15092025</t>
  </si>
  <si>
    <t>14092025</t>
  </si>
  <si>
    <t>13092025</t>
  </si>
  <si>
    <t>MEDEVAC PCTE GATICA RODRIGUEZ WILMER</t>
  </si>
  <si>
    <t>MEDEVAC PCTE AGUILAR SIFUENTES VDA. DE PEREYRA DORA ALICIA</t>
  </si>
  <si>
    <t>MEDEVAC PCTE GUERRERO ALVAREZ DE GALECIO FELICITA</t>
  </si>
  <si>
    <t>F001-4293</t>
  </si>
  <si>
    <t>TRASLADO PCTE GARCIA TRIGOZO LINDER</t>
  </si>
  <si>
    <t>TRASLADO PCTE PAREDES HAEMMERLE FRANKZ JONHATAN</t>
  </si>
  <si>
    <t>TRASLADO PCTE GARCIA VALLEJOS RUTH ESTHER</t>
  </si>
  <si>
    <t>F001-4298</t>
  </si>
  <si>
    <t>F001-4296</t>
  </si>
  <si>
    <t>F001-4297</t>
  </si>
  <si>
    <t>F001-4295</t>
  </si>
  <si>
    <t>MEDEVAC PCTE LOPEZ MOZOMBITE, JOSE MERINO</t>
  </si>
  <si>
    <t>MEDEVAC PCTE BARRIENTE VASQUEZ NATALY XIOMARA</t>
  </si>
  <si>
    <t>MEDEVAC PCTE LAVINTO RAMIREZ MAYRETH</t>
  </si>
  <si>
    <t xml:space="preserve">MEDEVAC PCTE CONDORI PACTA EMILY VALENTINA </t>
  </si>
  <si>
    <t>MEDEVAC PCTE SUAÑA NINA LARA VICTORIA</t>
  </si>
  <si>
    <t>TRANSPORTE PCTE VEGA NORIEGA RN</t>
  </si>
  <si>
    <t>SERV. MEDICO PCTE VEGA NORIEGA RN</t>
  </si>
  <si>
    <t>MEDEVAC PCTE VILELA CALLA JOSE MARIA STHEFANO</t>
  </si>
  <si>
    <t>F001-4275</t>
  </si>
  <si>
    <t>MEDEVAC PCTE SANCHEZ CEOPA MAYKEN</t>
  </si>
  <si>
    <t>MEDEVAC PCTE BANDEIRA MARTINS TERESA</t>
  </si>
  <si>
    <t>MEDEVAC PCTE TEMBLADERA CHOZO KEVIN</t>
  </si>
  <si>
    <t>MEDEVAC PCTE CONDORI CCUNO ALBER</t>
  </si>
  <si>
    <t>MEDEVAC PCTE RUBIO FERNANDEZ ELMER</t>
  </si>
  <si>
    <t>F001-4253</t>
  </si>
  <si>
    <t>F001-4254</t>
  </si>
  <si>
    <t>F001-4256</t>
  </si>
  <si>
    <t>F001-4255</t>
  </si>
  <si>
    <t>F001-4257</t>
  </si>
  <si>
    <t>MEDEVAC PCTE CHINO MALDONADO WILSON KALEB</t>
  </si>
  <si>
    <t>MEDEVAC PCTE JULCA PUSMA MIGUEL ANGEL</t>
  </si>
  <si>
    <t>MEDEVAC PCTE ALVA LOYOLA JANELA</t>
  </si>
  <si>
    <t>MEDEVAC PCTE ALEGRIA YSIDRO JHOJANY</t>
  </si>
  <si>
    <t>MEDEVAC PCTE FRANCO AHUANARI DELICIA</t>
  </si>
  <si>
    <t>MEDEVAC PCTE OMONTE LAZO BRINA BRIZETH</t>
  </si>
  <si>
    <t>F001-4294</t>
  </si>
  <si>
    <t>16092025</t>
  </si>
  <si>
    <t>MEDEVAC PCTE ACOSTA YSHIBASHI EDUARDO MANUEL</t>
  </si>
  <si>
    <t>17092025</t>
  </si>
  <si>
    <t>BENAVENTE/ACUÑA</t>
  </si>
  <si>
    <t>TRASLADO PCTE PORRAS DIAZ ANALY KORAL</t>
  </si>
  <si>
    <t>F001-4309</t>
  </si>
  <si>
    <t>F001-4310</t>
  </si>
  <si>
    <t>F001-4311</t>
  </si>
  <si>
    <t>F001-4312</t>
  </si>
  <si>
    <t>F001-4313</t>
  </si>
  <si>
    <t>F001-4314</t>
  </si>
  <si>
    <t>MEDEVAC PCTE SANCHEZ CACHIQUE GOLDY</t>
  </si>
  <si>
    <t>F001-4316</t>
  </si>
  <si>
    <t>18092025</t>
  </si>
  <si>
    <t>F001-4302</t>
  </si>
  <si>
    <t>F001-4303</t>
  </si>
  <si>
    <t>F001-4304</t>
  </si>
  <si>
    <t>F001-4305</t>
  </si>
  <si>
    <t>MEDEVAC PCTE PEREZ ALVARO JULIO CESAR</t>
  </si>
  <si>
    <t>OXIGEN MEDNET E.I.R.L.</t>
  </si>
  <si>
    <t>F001-4322</t>
  </si>
  <si>
    <t>F001-4285</t>
  </si>
  <si>
    <t>F001-4278</t>
  </si>
  <si>
    <t>F001-4286</t>
  </si>
  <si>
    <t>F001-4280</t>
  </si>
  <si>
    <t>F001-4279</t>
  </si>
  <si>
    <t>F001-4287</t>
  </si>
  <si>
    <t>F001-4288</t>
  </si>
  <si>
    <t>F001-4289</t>
  </si>
  <si>
    <t>F001-4237</t>
  </si>
  <si>
    <t>F001-4238</t>
  </si>
  <si>
    <t>VALLES/MORENO</t>
  </si>
  <si>
    <t>BENVAENTE/ACUÑA</t>
  </si>
  <si>
    <t>LIM-IQT</t>
  </si>
  <si>
    <t>CORPORACION ADC SAC</t>
  </si>
  <si>
    <t>MEDEVAC PCTE CANAT JEAN-FRANCOIS</t>
  </si>
  <si>
    <t>MEDEVAC PCTE FREMONT ISABELLE FRANCETTE MICHELE</t>
  </si>
  <si>
    <t>MEDEVAC PCTE ENCINAS VELASCO ALEJANDRO</t>
  </si>
  <si>
    <t>SERV. MEDICO PCTE LAVALLE ARICA KEVIN CLEVER</t>
  </si>
  <si>
    <t>TRANSPORTE PCTE LAVALLE ARICA KEVIN CLEVER</t>
  </si>
  <si>
    <t>F001-4331</t>
  </si>
  <si>
    <t>F001-4332</t>
  </si>
  <si>
    <t>F001-4333</t>
  </si>
  <si>
    <t>F001-4334</t>
  </si>
  <si>
    <t>F001-4335</t>
  </si>
  <si>
    <t>MEDEVAC PCTE IHL MICHEL JEAN</t>
  </si>
  <si>
    <t>F001-4338</t>
  </si>
  <si>
    <t>ESSALUD PEM</t>
  </si>
  <si>
    <t>MEDEVAC PCTE MANSILLA ORIHUELA DIONISIA</t>
  </si>
  <si>
    <t>MEDEVAC PCTE MURAYARI AHUANARI TERESA</t>
  </si>
  <si>
    <t>MEDEVAC PCTE GONZALES NEYRA AITANA LUNA</t>
  </si>
  <si>
    <t>F001-4323</t>
  </si>
  <si>
    <t>F001-4324</t>
  </si>
  <si>
    <t>PEM-CUS</t>
  </si>
  <si>
    <t>MEDEVAC PCTE VASQUEZ OLIVARES CRISTIAN CHARLES</t>
  </si>
  <si>
    <t>F001-4119</t>
  </si>
  <si>
    <t>HOSP. REG MOQUEGUA</t>
  </si>
  <si>
    <t>TRASLADO PCTE DEL AGUILA DE FASCE RUTH</t>
  </si>
  <si>
    <t>F001-4325</t>
  </si>
  <si>
    <t>MEDEVAC PCTE LEYVA GRANDEZ IBETH PATRICIA</t>
  </si>
  <si>
    <t>F001-4326</t>
  </si>
  <si>
    <t>MEDEVAC PCTE BERNA MELCHOR EDGAR IVAN</t>
  </si>
  <si>
    <t>F001-4346</t>
  </si>
  <si>
    <t>MEDEVAC PCTE RUIZ CALLE OSCAR</t>
  </si>
  <si>
    <t>F001-4347</t>
  </si>
  <si>
    <t>F001-4321</t>
  </si>
  <si>
    <t>F001-4342</t>
  </si>
  <si>
    <t>F001-4343</t>
  </si>
  <si>
    <t>TRASLADO PCTE HUAMANI QUISPE AURORA VALENTINA</t>
  </si>
  <si>
    <t>SERV. MEDICOPCTE HUAMANI QUISPE AURORA VALENTINA</t>
  </si>
  <si>
    <t>MEDEVAC PCTE GUERRERO GONZALES DOMINICK ALBERTH</t>
  </si>
  <si>
    <t>MEDEVAC PCTE LIMAS ZUÑIGA DE GUTIERREZ ROSA GLADYS</t>
  </si>
  <si>
    <t>27092025</t>
  </si>
  <si>
    <t>ALLES/ELERA</t>
  </si>
  <si>
    <t>28092025</t>
  </si>
  <si>
    <t>29092025</t>
  </si>
  <si>
    <t>MEDEVAC PCTE HOEKSEMA CHANTAL PAULETTEFRANCOISE</t>
  </si>
  <si>
    <t>MEDEVAC PCTE ANDRZEJ MICHAL TUCHALSKI</t>
  </si>
  <si>
    <t>F001-4352</t>
  </si>
  <si>
    <t>F001-4353</t>
  </si>
  <si>
    <t>F001-4354</t>
  </si>
  <si>
    <t>F001-4355</t>
  </si>
  <si>
    <t>F001-4356</t>
  </si>
  <si>
    <t>30092025</t>
  </si>
  <si>
    <t>MEDEVAC PCTE DAVILA PISCO DETUILER ALEJANDRO</t>
  </si>
  <si>
    <t>MEDEVAC PCTE BOCANEGRA VASQUEZ JOSE</t>
  </si>
  <si>
    <t>F001-4350</t>
  </si>
  <si>
    <t xml:space="preserve">MEDEVAC PCTE RAMIREZ RUIZ FRANCISCO </t>
  </si>
  <si>
    <t>TRASLADO PCTE VIDAURRE FASANANDO JHON FERNANDO</t>
  </si>
  <si>
    <t>01102025</t>
  </si>
  <si>
    <t>02102025</t>
  </si>
  <si>
    <t>MEDEVAC PCTE BARTRA BARRERA SERGIO</t>
  </si>
  <si>
    <t>F001-4369</t>
  </si>
  <si>
    <t>F001-4370</t>
  </si>
  <si>
    <t>F001-4371</t>
  </si>
  <si>
    <t>F001-4367</t>
  </si>
  <si>
    <t>F001-4359</t>
  </si>
  <si>
    <t>MEDEVAC PCTE COQUINCHE PAYAHUA JACKSON JOSUE</t>
  </si>
  <si>
    <t>F001-4363</t>
  </si>
  <si>
    <t>MEDEVAC PCTE CAHUAZA ARAHUANAZA JAIRO OMAR</t>
  </si>
  <si>
    <t>F001-4362</t>
  </si>
  <si>
    <t>F001-4284</t>
  </si>
  <si>
    <t>MEDEVAC PCTE YUPANQUI RAMOS DIEGO FERNANDO</t>
  </si>
  <si>
    <t>MEDEVAC PCTE LEON TORRES YALITZA MIRELI</t>
  </si>
  <si>
    <t>F001-4357</t>
  </si>
  <si>
    <t>F001-4358</t>
  </si>
  <si>
    <t>MEDEVAC PCTE ALVAREZ CCARITA EMANUEL</t>
  </si>
  <si>
    <t>MEDEVAC PCTE ASHIMINE OSHIRO ROGELIO</t>
  </si>
  <si>
    <t>F001-4212</t>
  </si>
  <si>
    <t>F001-4211</t>
  </si>
  <si>
    <t>03102025</t>
  </si>
  <si>
    <t>MORENO/MONZON</t>
  </si>
  <si>
    <t>06102025</t>
  </si>
  <si>
    <t>04102025</t>
  </si>
  <si>
    <t>HOSP. GEN. JAEN</t>
  </si>
  <si>
    <t>SERV. TRANSPORTE PCTE MORE RISCO EDRICK GABRIEL</t>
  </si>
  <si>
    <t>SERV. MEDICO PCTE MORE RISCO EDRICK GABRIEL</t>
  </si>
  <si>
    <t>MEDEVAC PCTE COUTINHO DONATO DE ASSIS ANA CLAUDIA</t>
  </si>
  <si>
    <t>MEDEVAC PCTE ADCOCK JOAN YOUNG</t>
  </si>
  <si>
    <t>F001-4381</t>
  </si>
  <si>
    <t>F001-4382</t>
  </si>
  <si>
    <t>F0014383</t>
  </si>
  <si>
    <t>F0014384</t>
  </si>
  <si>
    <t>07102025</t>
  </si>
  <si>
    <t>MEDEVAC PCTE CARITIMARI SANDOVAL JORGE ENRIQUE</t>
  </si>
  <si>
    <t>MEDEVAC PCTE RIVERA MURAYARI CLEOFE</t>
  </si>
  <si>
    <t>F001-4393</t>
  </si>
  <si>
    <t>F001-4394</t>
  </si>
  <si>
    <t>08102025</t>
  </si>
  <si>
    <t>CAMARENA/MONZON</t>
  </si>
  <si>
    <t>09102025</t>
  </si>
  <si>
    <t>JOSE AN</t>
  </si>
  <si>
    <t>MEDEVAC PCTE BARTRA GARDINI ROLANDO</t>
  </si>
  <si>
    <t>MEDEVAC PCTE DEL AGUILA ROJAS LLERME</t>
  </si>
  <si>
    <t>MEDEVAC PCTE CASTRO RAMIREZ ADRIEL DWIGHT</t>
  </si>
  <si>
    <t>MEDEVAC PCTE LINDY - L OU ELSPETH SCOTTON</t>
  </si>
  <si>
    <r>
      <t xml:space="preserve">ESSALUD PIURA - </t>
    </r>
    <r>
      <rPr>
        <sz val="11"/>
        <color rgb="FFFF0000"/>
        <rFont val="Calibri"/>
        <family val="2"/>
        <scheme val="minor"/>
      </rPr>
      <t>NO TRAJO PACIENTE</t>
    </r>
  </si>
  <si>
    <t xml:space="preserve">MEDEVAC PCTE BARRANTES MACEDO LUZ </t>
  </si>
  <si>
    <t>F001-4400</t>
  </si>
  <si>
    <t>F001-4401</t>
  </si>
  <si>
    <t>F001-4402</t>
  </si>
  <si>
    <t>F001-4395</t>
  </si>
  <si>
    <t>MEDEVAC PCTE CHOCHOCA CACCIRE VANESA MILAGROS</t>
  </si>
  <si>
    <t>CAMARENA/ACUÑA</t>
  </si>
  <si>
    <t>MEDEVAC PCTE NEIRA JIMENEZ SMITH Y MERCADO MURIEL DIEGO ARMANDO</t>
  </si>
  <si>
    <t>F001-4398</t>
  </si>
  <si>
    <t>MEDEVAC PCTE SALDAÑA SABEDRA ROMINA</t>
  </si>
  <si>
    <t>F001-4403</t>
  </si>
  <si>
    <t>MEDEVAC PCTE ANTEZANA BENDEZU EDWIN</t>
  </si>
  <si>
    <t>F001-4409</t>
  </si>
  <si>
    <t>F001-4405</t>
  </si>
  <si>
    <t>MEDEVAC PCTE TRUJILLO ALVARADO YADIRA ALBERTA</t>
  </si>
  <si>
    <t>MEDEVAC PCTE MAYO ADVINCULA FORTUNATO MAXIMO</t>
  </si>
  <si>
    <t>MEDEVAC PCTE COZ CELIS RN</t>
  </si>
  <si>
    <t>MEDEVAC PCTE VEGAS GARCIA PILAR</t>
  </si>
  <si>
    <t>MEDEVAC PCTE VILCA MAMANI ERICK ROSSINY</t>
  </si>
  <si>
    <t>VALLES/MONZON</t>
  </si>
  <si>
    <t>MEDEVAC PCTE QUIÑONES BRICEÑO RN</t>
  </si>
  <si>
    <t>F001-4397</t>
  </si>
  <si>
    <t>TRASLADO PCTE SILVA SEGOVIA KAREN BEATRIZ</t>
  </si>
  <si>
    <t>F001-4410</t>
  </si>
  <si>
    <t>F001-4399</t>
  </si>
  <si>
    <t>MEDEVAC PCTE CASTILLO VELASQUEZ TANIA LUZ</t>
  </si>
  <si>
    <t>MEDEVAC PCTE PAZ HUAMANCHUMO ISABELLA</t>
  </si>
  <si>
    <t>F001-4392</t>
  </si>
  <si>
    <t>F001-4417</t>
  </si>
  <si>
    <t>F001-4419</t>
  </si>
  <si>
    <t>F001-4411</t>
  </si>
  <si>
    <t>MEDEVAC PCTE CHAVEZ PEREZ JHONNY</t>
  </si>
  <si>
    <t>F001-4424</t>
  </si>
  <si>
    <t>HIOSP. REG. LAMBAYEQUE</t>
  </si>
  <si>
    <t>MEDEVAC PCTE DIAZ RETO BASTIAN GABRIEL</t>
  </si>
  <si>
    <t>RESOLUCION MINISTERIAL DEL 29-08 583-2025</t>
  </si>
  <si>
    <t>MORENO/ACUÑA</t>
  </si>
  <si>
    <t>VALLES/ACUÑA</t>
  </si>
  <si>
    <t>MEDEVAC PCTE RAMIREZ BARRERA JIREH</t>
  </si>
  <si>
    <t>TRASLADO PCTES CHAVEZ CANCINO MANUEL GUSTAVO PACIENTE - GARCIA CABALLERO ANGIE MARIELA</t>
  </si>
  <si>
    <t>F001-4429</t>
  </si>
  <si>
    <t>MEDEVAC PCTE LA MADRID DAGA RN</t>
  </si>
  <si>
    <t>F001-4437</t>
  </si>
  <si>
    <t>MEDEVAC PCTE HELIO GUERRA CAINAMARI</t>
  </si>
  <si>
    <t>F001-4301</t>
  </si>
  <si>
    <t>MEDEVAC PCTE CAMPOS CALDERON ANA EDITH</t>
  </si>
  <si>
    <t>F001-4435</t>
  </si>
  <si>
    <t>MEDEVAC PCTE GOMEZ GUTIERREZ DE IZQUIERDO DORIS</t>
  </si>
  <si>
    <t>MEDEVAC PCTE DA SILVA VILLACORTA EDWIN</t>
  </si>
  <si>
    <t>F001-4446</t>
  </si>
  <si>
    <t>F001-4447</t>
  </si>
  <si>
    <t>GWA MEDICAL S.A.C.</t>
  </si>
  <si>
    <t>TIRADO/BECERRA</t>
  </si>
  <si>
    <t>HOSP. REG. AJAMARCA</t>
  </si>
  <si>
    <t>BENAVENTE/TIRADO</t>
  </si>
  <si>
    <t>TIRADO/BENAVENTE</t>
  </si>
  <si>
    <t>F001-4416</t>
  </si>
  <si>
    <t>F001-4415</t>
  </si>
  <si>
    <t>F001-4414</t>
  </si>
  <si>
    <t>F001-4413</t>
  </si>
  <si>
    <t>F001-4412</t>
  </si>
  <si>
    <t>F001-4390</t>
  </si>
  <si>
    <t>F001-4389</t>
  </si>
  <si>
    <t>F001-4388</t>
  </si>
  <si>
    <t>F001-4387</t>
  </si>
  <si>
    <t>F001-4386</t>
  </si>
  <si>
    <t>F001-4385</t>
  </si>
  <si>
    <t>MEDEVAC PCTE GARCIA MENACHO FLORENCIO JOSUE</t>
  </si>
  <si>
    <t>MEDEVAC PCTE FIGUEROA MORENO ANTONIO</t>
  </si>
  <si>
    <t>MEDEVAC PCTE RODRIGO CORONEL JOSE RONAL</t>
  </si>
  <si>
    <t>MEDEVAC PCTE MAYMA DE LA CRUZ JUAN ANTONIO</t>
  </si>
  <si>
    <t>MEDEVAC PCTE BARRA MOGROVEJO FERNANDO GAVINO</t>
  </si>
  <si>
    <t>MEDEVAC PCTE CASIANO CASTAÑEDA JHON ALEX</t>
  </si>
  <si>
    <t>F001-4452</t>
  </si>
  <si>
    <t>TRASLADO pcte RODRIGUEZ DE COLMENARES ANA MARIA</t>
  </si>
  <si>
    <t>F001-4421</t>
  </si>
  <si>
    <t>MEDEVAC PCTE CAJAHUANCA MARIN ANDREE MAXIMILIAN</t>
  </si>
  <si>
    <t>SERV. MEDICO PCTE FLORES GARCIA DAYRA NAYELI</t>
  </si>
  <si>
    <t>SERV. TRANSPORTE PCTE FLORES GARCIA DAYRA NAYELI</t>
  </si>
  <si>
    <t>F001-4441</t>
  </si>
  <si>
    <t>F001-4442</t>
  </si>
  <si>
    <t>F001-4436</t>
  </si>
  <si>
    <t>MEDEVAC PCTE HUAMAN SANDOVAL NELSON</t>
  </si>
  <si>
    <t>MEDEVAC PCTE PINTADO YAJAHUANCA RAMIRO</t>
  </si>
  <si>
    <t>F001-4418</t>
  </si>
  <si>
    <t>MEDEVAC PCTE FERNANDEZ ALBUJAR THIAGO GAEL</t>
  </si>
  <si>
    <t>F001-4453</t>
  </si>
  <si>
    <t>F001-4454</t>
  </si>
  <si>
    <t>F001-4456</t>
  </si>
  <si>
    <t>F001-4396</t>
  </si>
  <si>
    <t>MEDEVAC PCTE HARALD WIDMANN</t>
  </si>
  <si>
    <t>MEDEVAC PCTE AGNES ELEK</t>
  </si>
  <si>
    <t>MEDEVAC PCTE EMMA CARRERAS CULLELL</t>
  </si>
  <si>
    <t>F001-4468</t>
  </si>
  <si>
    <t>F001-4469</t>
  </si>
  <si>
    <t>F001-4472</t>
  </si>
  <si>
    <t>F001-4473</t>
  </si>
  <si>
    <t>SOL RECONOCIMIENTO</t>
  </si>
  <si>
    <t>MEDEVAC PCTE RUIZ MENDIETA PIERO ALESANDRO</t>
  </si>
  <si>
    <t>MEDEVAC PCTE MORETO CALDERON BIANCA JASMIN</t>
  </si>
  <si>
    <t>MEDEVAC PCTE AMBUCHA TARICUARIMA CRISTHIAN JHOAN</t>
  </si>
  <si>
    <t>MEDEVAC PCTE TELLO YAHUARCANI ELVIRA</t>
  </si>
  <si>
    <t>TRANSPORTE PCTE VARGAS DIOSES ANDREA MARIAN</t>
  </si>
  <si>
    <t>SERV. MEDICO PCTE VARGAS DIOSES ANDREA MARIAN</t>
  </si>
  <si>
    <t>F001-4475</t>
  </si>
  <si>
    <t>F001-4476</t>
  </si>
  <si>
    <t>TRASLADO PCTES DIANIH OJANASTA TUANAMA* PACIENTE 2: ROSA ELMIRA PIZANGO FLORES</t>
  </si>
  <si>
    <t>F001-4474</t>
  </si>
  <si>
    <t>MEDEVAC PCTE BERTOLOTTO PERALES HENRY</t>
  </si>
  <si>
    <t>F001-4477</t>
  </si>
  <si>
    <t>F001-4432</t>
  </si>
  <si>
    <t>F001-4433</t>
  </si>
  <si>
    <t>F001-4434</t>
  </si>
  <si>
    <t>TRASLADO PCTE TORRES PAREDES BONNIE ROSS</t>
  </si>
  <si>
    <t>F001-4481</t>
  </si>
  <si>
    <t>F001-4463</t>
  </si>
  <si>
    <t>MEDEVAC PCTE QUISPE NUÑEZ JUAN FRANCISCO</t>
  </si>
  <si>
    <t>MEDEVAC PCTE ORTEGA OBREGON ZENAIDA MARIA</t>
  </si>
  <si>
    <t>F001-4464</t>
  </si>
  <si>
    <t>MEDEVAC PCTE MAMANI YANQUI BEDRAN FREDY</t>
  </si>
  <si>
    <t>F001-4465</t>
  </si>
  <si>
    <t>MEDEVAC PCTE MOSCOL VDA DE SANCHEZ TERESA DEL JESUS</t>
  </si>
  <si>
    <t>F001-4466</t>
  </si>
  <si>
    <t>MEDEVAC PCTE UCHOFE DIEZ VICTOR MANUEL</t>
  </si>
  <si>
    <t>F001-4467</t>
  </si>
  <si>
    <t>MEDEVAC PCTE MARSANO ZEVALLOS JOSÉ</t>
  </si>
  <si>
    <t>MEDEVAC PCTE PAJUELO ESTACIO EMILIANO</t>
  </si>
  <si>
    <t>MEDEVAC PCTE RIOS MALASQUEZ GREGORIO</t>
  </si>
  <si>
    <t>F001-4470</t>
  </si>
  <si>
    <t>MEDEVAC PCTE MORA SALAZAR VANIA NICOLL</t>
  </si>
  <si>
    <t>MEDEVAC PCTE RAMIREZ PINCHI PERCY</t>
  </si>
  <si>
    <t>MEDEVAC PCTE FONTY PHILIPPE JACQUES</t>
  </si>
  <si>
    <t>F001-4488</t>
  </si>
  <si>
    <t>F001-4459</t>
  </si>
  <si>
    <t>F001-4458</t>
  </si>
  <si>
    <t>F001-4457</t>
  </si>
  <si>
    <t>MEDEVAC PCTE MAMANI MAMANI LUZ ZAELINNE</t>
  </si>
  <si>
    <t>01112025</t>
  </si>
  <si>
    <t>04112025</t>
  </si>
  <si>
    <t>F001-4478</t>
  </si>
  <si>
    <t>F001-4479</t>
  </si>
  <si>
    <t>05112025</t>
  </si>
  <si>
    <t>06112025</t>
  </si>
  <si>
    <t>MEDEVAC PCTE SALAZAR BERNEDO JOSE MANUEL</t>
  </si>
  <si>
    <t>F001-4506</t>
  </si>
  <si>
    <t>F001-4507</t>
  </si>
  <si>
    <t>F001-4306</t>
  </si>
  <si>
    <t>07112025</t>
  </si>
  <si>
    <t>TRASLADO PCTE FERNANDEZ RIOS VALERIA FRANSUA</t>
  </si>
  <si>
    <t>F001-4498</t>
  </si>
  <si>
    <t>MEDEVAC PCTE KEN IKER FLORES ROJAS</t>
  </si>
  <si>
    <t>F001-4502</t>
  </si>
  <si>
    <t>F001-4503</t>
  </si>
  <si>
    <t>F001-4492</t>
  </si>
  <si>
    <t>F001-4491</t>
  </si>
  <si>
    <t>MEDEVAC PCTE CATALAN TAPULLIMA WELLKIE</t>
  </si>
  <si>
    <t>MEDEVAC PCTE PIÑELLA ROSELL JORGE ANTONIO</t>
  </si>
  <si>
    <t>F001-4509</t>
  </si>
  <si>
    <t>F001-4510</t>
  </si>
  <si>
    <t>08112025</t>
  </si>
  <si>
    <t>09112025</t>
  </si>
  <si>
    <t>HOSP. SUB-REG ANDAHUAYLAS</t>
  </si>
  <si>
    <t>HOSP. REG. TINGO MARÍA</t>
  </si>
  <si>
    <t>MEDEVAC PCTE MILLER GARY JAMES</t>
  </si>
  <si>
    <t>F001-4515</t>
  </si>
  <si>
    <t>HOSP SUB-REG. ANDAHUAYLAS</t>
  </si>
  <si>
    <t>MEDEVAC PCTE DAVILA PINEDO VICTOR ORLANDO</t>
  </si>
  <si>
    <t>F001-4512</t>
  </si>
  <si>
    <t>TRASLADO PCTE MORI LOZANO ERNESTO</t>
  </si>
  <si>
    <t>MEDEVAC PCTE VERGARA RIOS ALONSO ALEJANDRO</t>
  </si>
  <si>
    <t>MEDEVAC PCTE ARAINDIA CAHUAZA PEDRO OBED</t>
  </si>
  <si>
    <t>MEDEVAC PCTE HUAMAN QUISPE JUSTO</t>
  </si>
  <si>
    <t>F001-4518</t>
  </si>
  <si>
    <t>14/52</t>
  </si>
  <si>
    <t>F001-4513</t>
  </si>
  <si>
    <t>FAJARDO/QUIÑOES</t>
  </si>
  <si>
    <t>HOSP. REG. GOYONECHE</t>
  </si>
  <si>
    <t>SR. MELO</t>
  </si>
  <si>
    <t>VILLACORTA/PEREZ</t>
  </si>
  <si>
    <t>MEDEVAC PCTE BOSMEDIANO DE RUIZ NIMIA ALIDA</t>
  </si>
  <si>
    <t>MEDEVAC PCTE MAMANI DIAZ EITHAN ADIEL</t>
  </si>
  <si>
    <t>F001-4522</t>
  </si>
  <si>
    <t>F001-4519</t>
  </si>
  <si>
    <t>F001-4520</t>
  </si>
  <si>
    <t>F001-4444</t>
  </si>
  <si>
    <t>F001-4449</t>
  </si>
  <si>
    <t>ESSALUD RAAM ITEM I  TRASLADO AEREO - ADENDA PERIODO</t>
  </si>
  <si>
    <t>ESSALUD RAAM ITEM II AMBULANCIA AEREA - ADENDA PERIODO</t>
  </si>
  <si>
    <t>CAMARENA/MONZÓN</t>
  </si>
  <si>
    <t>MEDEVAC PCTE CHAVEZ PAÑAHUA RN</t>
  </si>
  <si>
    <t>F001-4544</t>
  </si>
  <si>
    <t>F001-4461</t>
  </si>
  <si>
    <t>F001-4462</t>
  </si>
  <si>
    <t>MEDEVAC PCTE VIENA JULCA DINA</t>
  </si>
  <si>
    <t>MEDEVAC PCTE TUANAMA TUANAMA LUCIANA VALENKA</t>
  </si>
  <si>
    <t>MEDEVAC PCTE DEL AGUILA PANDURO RUBEN</t>
  </si>
  <si>
    <t>MEDEVAC PCTE GRANDEZ TAPULLIMA EMIR ALEJANDRO</t>
  </si>
  <si>
    <t>MEDEVAC PCTE QUISPE PACOMPIA ESTHEFANNY CAMILA</t>
  </si>
  <si>
    <t>F001-4489</t>
  </si>
  <si>
    <t>MEDEVAC PCTE ONORBE PACAYA SHAZIA JUANA ITZEL</t>
  </si>
  <si>
    <t>MEDEVAC PCTE REYNOZO GALLEGOS JOSE</t>
  </si>
  <si>
    <t>F001-4540</t>
  </si>
  <si>
    <t>F001-4541</t>
  </si>
  <si>
    <t>F001-4542</t>
  </si>
  <si>
    <t>MEDEVAC PCTE HUARACA SURI MARCELINA</t>
  </si>
  <si>
    <t>MEDEVAC PCTE ARA MACHACCA PRINS MAIKOL</t>
  </si>
  <si>
    <t>MEDEVAC PCTE PADILLA JUAREZ JORGE</t>
  </si>
  <si>
    <t>MEDEVAC PCTE VALLEJOS ADRIANZEN HUMBERTO</t>
  </si>
  <si>
    <t>F001-4527</t>
  </si>
  <si>
    <t>MEDEVAC PCTE ATAYAURI CHAVEZ ABEL</t>
  </si>
  <si>
    <t>F001-4528</t>
  </si>
  <si>
    <t>MEDEVAC PCTE LUQUE COCHACHIS JOSUE LEO</t>
  </si>
  <si>
    <t>F001-4529</t>
  </si>
  <si>
    <t>MEDEVAC PCTE GOMEZ GONGORA JAIME</t>
  </si>
  <si>
    <t>F001-4530</t>
  </si>
  <si>
    <t>MEDEVAC PCTE CAHUATA CARHUARUPAY ASCENSION</t>
  </si>
  <si>
    <t>F001-4531</t>
  </si>
  <si>
    <t>MEDEVAC PCTE MERINO VEGA KARLA DEL CARMEN</t>
  </si>
  <si>
    <t>F001-4532</t>
  </si>
  <si>
    <t>MEDEVAC PCTE HELGUERO ARAMBULO LUIS JAVIER</t>
  </si>
  <si>
    <t>MEDEVAC PCTE CUTIPA HUAMANRAYME LUZGARDA</t>
  </si>
  <si>
    <t>TRANSPORTE AEREO PCTE ALVAREZ NUÑEZ FREDY MIGUEL</t>
  </si>
  <si>
    <t>ASISTENCIA MEDICA PCTE ALVAREZ NUÑEZ FREDY MIGUEL</t>
  </si>
  <si>
    <t>F001-4535</t>
  </si>
  <si>
    <t>F001-4536</t>
  </si>
  <si>
    <t>F001-4537</t>
  </si>
  <si>
    <t>F001-4538</t>
  </si>
  <si>
    <t>F001-4539</t>
  </si>
  <si>
    <t>MEDEVAC PCTE MURRUGARRA PEÑA ERALITH AILEN</t>
  </si>
  <si>
    <t>MEDEVAC PCTE UCAÑAN CASTRO HECTOR JOSÉ</t>
  </si>
  <si>
    <t>F001-4551</t>
  </si>
  <si>
    <t>F001-4557</t>
  </si>
  <si>
    <t>F001-4558</t>
  </si>
  <si>
    <t>F001-4559</t>
  </si>
  <si>
    <t>FC/JL</t>
  </si>
  <si>
    <t>F001-4555</t>
  </si>
  <si>
    <t>TRASLADO PCTE SANCHEZ DELGADO JOSÉ MILTON</t>
  </si>
  <si>
    <t>F001-4548</t>
  </si>
  <si>
    <t>F001-4553</t>
  </si>
  <si>
    <t>F001-4554</t>
  </si>
  <si>
    <t>F001-4556</t>
  </si>
  <si>
    <t>MEDEVAC PCTE INFANTE LUNA ENITH</t>
  </si>
  <si>
    <t>MEDEVAC PCTE MENDOZA PATIÑO ROSA FABIANA</t>
  </si>
  <si>
    <t>F001-4568</t>
  </si>
  <si>
    <t>F001-4564</t>
  </si>
  <si>
    <t>MEDEVAC PCTE PEREZ VELA NELDY</t>
  </si>
  <si>
    <t>MEDEVAC PCTE JARA INGARUCA DAPHNE ADELINE</t>
  </si>
  <si>
    <t>MEDEVAC PCTE GUERRA PEÑA CLARA AURORA</t>
  </si>
  <si>
    <t>MEDEVAC PCTE PINEDO PINEDO HANNAH ANESKA</t>
  </si>
  <si>
    <t>PEÑA/MONZON</t>
  </si>
  <si>
    <t>01122025</t>
  </si>
  <si>
    <t>02122025</t>
  </si>
  <si>
    <t>F001-4242</t>
  </si>
  <si>
    <t>F001-4583</t>
  </si>
  <si>
    <t>TRASLADO PCTE CHUJUTALLI SANCHEZ HILDA ARIANA</t>
  </si>
  <si>
    <t>F001-4579</t>
  </si>
  <si>
    <t>MEDEVAC PCTE RUIZ VASQUEZ, YARLENI</t>
  </si>
  <si>
    <t>F001-4573</t>
  </si>
  <si>
    <t>TRASLADO PCTE CORNEJO LAO IVANNA</t>
  </si>
  <si>
    <t>F001-4547</t>
  </si>
  <si>
    <t>F001-4561</t>
  </si>
  <si>
    <t>F001-4562</t>
  </si>
  <si>
    <t>F001-4563</t>
  </si>
  <si>
    <t>F001-4572</t>
  </si>
  <si>
    <t>F001-4577</t>
  </si>
  <si>
    <t>BLUE ORIZON</t>
  </si>
  <si>
    <t>MEDEVAC PCTE ALFARO ARESTEGUI LIDA</t>
  </si>
  <si>
    <t>MEDEVAC PCTE BAZAN VELASQUEZ CESAR ENRIQUE</t>
  </si>
  <si>
    <t>MEDEVAC PCTE GUEVARA DE GARCIA BLANCA LIDIA</t>
  </si>
  <si>
    <t>F001-4588</t>
  </si>
  <si>
    <t>F001-4574</t>
  </si>
  <si>
    <t>MEDEVAC PCTE PUGA CARDENAS DENIS</t>
  </si>
  <si>
    <t>MEDEVAC PCTE DELGADO BURGA KEYLER ARNA</t>
  </si>
  <si>
    <t>MEDEVAC PCTE NINAHUAMAN YAURI ABIGAIL CAMILA</t>
  </si>
  <si>
    <t>04122025</t>
  </si>
  <si>
    <t>05122025</t>
  </si>
  <si>
    <t>BENAVENTE/AYACUCHO</t>
  </si>
  <si>
    <t>compensado con servicios arequipa y andahuaylas los 1073.24 de deuda de la factura 3953 tambien se compensa</t>
  </si>
  <si>
    <t>F001-4592</t>
  </si>
  <si>
    <t>06122025</t>
  </si>
  <si>
    <t>07122025</t>
  </si>
  <si>
    <t>09122025</t>
  </si>
  <si>
    <t>MEDEVAC PCTE RENGIFO RAMIREZ EMMA CAMILA</t>
  </si>
  <si>
    <t>MEDEVAC PCTE MEGO CASTERNOQUE AUSTIN AZAEL</t>
  </si>
  <si>
    <t>ESCOLTA PCTE HIYO GARCIA JORGE LUIS</t>
  </si>
  <si>
    <t>MEDEVAC PCTE ROMAINA RIOS RONEY</t>
  </si>
  <si>
    <t>F001-4602</t>
  </si>
  <si>
    <t>MEDEVAC PCTE LEÓN GUERRA MARTIN</t>
  </si>
  <si>
    <t>F001-4603</t>
  </si>
  <si>
    <t>F001-4605</t>
  </si>
  <si>
    <t>F001-4604</t>
  </si>
  <si>
    <t>11122025</t>
  </si>
  <si>
    <t>12122025</t>
  </si>
  <si>
    <t>LIM-PEM</t>
  </si>
  <si>
    <t>F001-4586</t>
  </si>
  <si>
    <t>F001-4569</t>
  </si>
  <si>
    <t>F001-4584</t>
  </si>
  <si>
    <t>GARCIA/LOZANO</t>
  </si>
  <si>
    <t>MEDEVAC PCTE LOPEZ CELIS JUAN</t>
  </si>
  <si>
    <t>MEDEVAC PCTE CAMPOJO LOPEZ JOSE DE LA CRUZ</t>
  </si>
  <si>
    <t>MEDEVAC PCTE LOPEZ ANGULO SUSANA</t>
  </si>
  <si>
    <t>MEDEVAC PCTE VENDIVES RISCO JUANA ELENA</t>
  </si>
  <si>
    <t>MEDEVAC PCTE CONCHA CARDENAS, GUILLERMO</t>
  </si>
  <si>
    <t>MEDEVAC PCTE RODAS TAFUR, LIZ CRISTINA</t>
  </si>
  <si>
    <t>MEDEVAC PCTE CORTEZ VILLEGAS LUIS DANNY</t>
  </si>
  <si>
    <t>MEDEVAC PCTE VILLAVICENCIO ECHAVIGURIN MANUEL</t>
  </si>
  <si>
    <t>CONTRATO N° 04-2025-HSRA</t>
  </si>
  <si>
    <t>13122025</t>
  </si>
  <si>
    <t>MEDEVAC PCTE DIAZ LUIS SANTIAGO</t>
  </si>
  <si>
    <t>MEDEVAC PCTE RENGIFO MACEDO LEONCIO</t>
  </si>
  <si>
    <t>F001-4589</t>
  </si>
  <si>
    <t>MEDEVAC PCTE CAMPOS SOLANO ALITZA KAELIS</t>
  </si>
  <si>
    <t>MEDEVAC PCTE JOYO CANCHO FAUSTO</t>
  </si>
  <si>
    <t>F001-4619</t>
  </si>
  <si>
    <t>F001-4620</t>
  </si>
  <si>
    <t>F001-4624</t>
  </si>
  <si>
    <t>F001-4623</t>
  </si>
  <si>
    <t>F001-4622</t>
  </si>
  <si>
    <t>MEDEVAC PCTE VASQUEZ MEJIA ANAHI FELISA</t>
  </si>
  <si>
    <t>F001-4628</t>
  </si>
  <si>
    <t>BENAVENTE-TIRADO</t>
  </si>
  <si>
    <t>F001-4627</t>
  </si>
  <si>
    <t>F001-4625</t>
  </si>
  <si>
    <t>PARTICULARES</t>
  </si>
  <si>
    <t>F001-4634</t>
  </si>
  <si>
    <t>F001-4636</t>
  </si>
  <si>
    <t>F001-4637</t>
  </si>
  <si>
    <t>F001-4638</t>
  </si>
  <si>
    <t>F001-4639</t>
  </si>
  <si>
    <t>F001-4640</t>
  </si>
  <si>
    <t>F001-4641</t>
  </si>
  <si>
    <t>TIRADO/SANCHEZ</t>
  </si>
  <si>
    <t>F001-4606</t>
  </si>
  <si>
    <t>F001-3599</t>
  </si>
  <si>
    <t>HOSP. REG HONORIO</t>
  </si>
  <si>
    <t>MEDEVAC PCTE LLERENA PINTO ALESIA OSMARY</t>
  </si>
  <si>
    <t>F001-4674</t>
  </si>
  <si>
    <t>MEDEVAC PCTE ROMERO CESPEDES ZAMIRA MARITZA</t>
  </si>
  <si>
    <t>F001-4566</t>
  </si>
  <si>
    <t>MEDEVAC PCTE COOKE ANTHONY</t>
  </si>
  <si>
    <t>F001-4681</t>
  </si>
  <si>
    <t>F001-4682</t>
  </si>
  <si>
    <t>F001-4679</t>
  </si>
  <si>
    <t>F001-4680</t>
  </si>
  <si>
    <t>F001-4677</t>
  </si>
  <si>
    <t>F001-4678</t>
  </si>
  <si>
    <t>ASIST MEDICA PCTE INFANTE LUNA ENITH</t>
  </si>
  <si>
    <t>TRANSP PCTE INFANTE LUNA ENITH</t>
  </si>
  <si>
    <t>TRANSP PCTE GARCIA CORDOVA DANTE KEYLOR</t>
  </si>
  <si>
    <t>ASISTE MEDICA PCTE GARCIA CORDOVA DANTE KEYLOR</t>
  </si>
  <si>
    <t>ASIST MEDICA PCTE PANDURO RIOS WILLER</t>
  </si>
  <si>
    <t>TRANSP  PCTE PANDURO RIOS WILLER</t>
  </si>
  <si>
    <t>F001-4661</t>
  </si>
  <si>
    <t>F001-4657</t>
  </si>
  <si>
    <t>F001-4642</t>
  </si>
  <si>
    <t>01012026</t>
  </si>
  <si>
    <t>04012026</t>
  </si>
  <si>
    <t>?????????</t>
  </si>
  <si>
    <t>02012026</t>
  </si>
  <si>
    <t>03012026</t>
  </si>
  <si>
    <t>05012026</t>
  </si>
  <si>
    <t>HOISP. REG HONORIO DELGADO</t>
  </si>
  <si>
    <t>MEDEVAC PCTE ORDOÑEZ ROBLEZ AMY ADHAYA</t>
  </si>
  <si>
    <t>F001-4664</t>
  </si>
  <si>
    <t>F001-4662</t>
  </si>
  <si>
    <t>F001-4663</t>
  </si>
  <si>
    <t>MEDEVAC PCTE SAUÑE BARBOZA DONATILDA</t>
  </si>
  <si>
    <t>F001-4672</t>
  </si>
  <si>
    <t>MEDEVAC PCTE MOGROVEJO ANDIA VICTOR ENRIQUE</t>
  </si>
  <si>
    <t>MEDEVAC PCTE HUILLCA MEDINA ENZO SANTIAGO</t>
  </si>
  <si>
    <t>F001-4665</t>
  </si>
  <si>
    <t>F001-4656</t>
  </si>
  <si>
    <t>MEDEVAC PCTE QUISPE FLORES MARILUZ KARINA</t>
  </si>
  <si>
    <t>F001-4670</t>
  </si>
  <si>
    <t>06012026</t>
  </si>
  <si>
    <t>CURTO/LEYVA</t>
  </si>
  <si>
    <t>MEDEVAC PCTE VIZCARRA ESCALANTE MATEO</t>
  </si>
  <si>
    <t>MEDEVAC PCTE LEON MIRAVAL BRADNIE ZARIEL</t>
  </si>
  <si>
    <t>F001-4669</t>
  </si>
  <si>
    <t>F001-4653</t>
  </si>
  <si>
    <t>F001-4654</t>
  </si>
  <si>
    <t>MEDEVAC PCTE GONZALES PINTO LUIS</t>
  </si>
  <si>
    <t>F001-4250</t>
  </si>
  <si>
    <t>TRASLADO PCTS HUILLCA PEREZ FRANKLIN -VENTE PORTALATINO GUILLERMO</t>
  </si>
  <si>
    <t>F001-4249</t>
  </si>
  <si>
    <t>MEDEVAC PCTE CHAVEZ ACOSTA ROBERT</t>
  </si>
  <si>
    <t>F001-4026</t>
  </si>
  <si>
    <t>MEDEVAC PCTE ELESCANO ALVARADO SARA</t>
  </si>
  <si>
    <t>F001-4024</t>
  </si>
  <si>
    <t>MEDEVAC PCTE JOAQUIN INUMA RN</t>
  </si>
  <si>
    <t>F001-4025</t>
  </si>
  <si>
    <t>TRASLADO PCTE NOA PINEDO ERICK NEY - OJANAMA PUYO MERCEDES</t>
  </si>
  <si>
    <t>MEDEVAC PCTE CHIRINOS AREVALO SOFIA VICTORIA</t>
  </si>
  <si>
    <t>MEDEVAC PCTE CORDERO DEL AGUILA EMMA</t>
  </si>
  <si>
    <t>F001-4687</t>
  </si>
  <si>
    <t>MEDEVAC PCTE SIFUENTES RAMOS HARRY LISTER KEN</t>
  </si>
  <si>
    <t>MEDEVAC PCTE CACERES FLORES FRANCIS</t>
  </si>
  <si>
    <t>MEDEVAC PCTE RUIDIAS VALLADOLID CECILIA MARLENI</t>
  </si>
  <si>
    <t>MEDEVAC PCTE TAFUR DE CUZQUEN DILCIA</t>
  </si>
  <si>
    <t xml:space="preserve">MEDEVAC PCTE RIOS REATEGUI ROSA LUZ </t>
  </si>
  <si>
    <t>ESCOLTA PCTE PACAYA YUIMACHI ARUNA LEIA</t>
  </si>
  <si>
    <t>F001-4688</t>
  </si>
  <si>
    <t>F001-4689</t>
  </si>
  <si>
    <t>F001-4690</t>
  </si>
  <si>
    <t>F001-4691</t>
  </si>
  <si>
    <t>MEDEVAC PCTE VERGARA AGUILAR ROSA</t>
  </si>
  <si>
    <t>F001-4671</t>
  </si>
  <si>
    <t>MEDEVAC PCTE GRIMALDO QUENAYA THAIS ITZEL</t>
  </si>
  <si>
    <t>MEDEVAC PCTE SAJAMI FLORES SALVADOR</t>
  </si>
  <si>
    <t xml:space="preserve">TRASLADO PCTE SANTANA TENAZOA AMPARO DE LOS MILAGROS </t>
  </si>
  <si>
    <t>F001-4684</t>
  </si>
  <si>
    <t>F001-4685</t>
  </si>
  <si>
    <t>TRASLADO PCTE BETSABE DE LOS ANGELES ESPINOZA RENGIFO</t>
  </si>
  <si>
    <t>MEDEVAC PCTE LEON MORI LUCIANA</t>
  </si>
  <si>
    <t>MEDEVAC PCTE CCAMA LOPEZ NADINE ABIGAIL</t>
  </si>
  <si>
    <t>MEDEVAC PCTE GARCIA FIGUEROA MICHAEL ALESSANDRO RN</t>
  </si>
  <si>
    <t>F001-4667</t>
  </si>
  <si>
    <t>MEDEVAC PCTE BAUTISTA HUAMAN VINCENT MANUEL</t>
  </si>
  <si>
    <t xml:space="preserve">CONTRATO N° 004-2025 -HSRA </t>
  </si>
  <si>
    <t>07012026</t>
  </si>
  <si>
    <t>MORENO/MORENO???????</t>
  </si>
  <si>
    <t>08012026</t>
  </si>
  <si>
    <t>HOSP. SUB REGIONAL ANDAHUAYLAS</t>
  </si>
  <si>
    <t>F001-4696</t>
  </si>
  <si>
    <t>F001-4697</t>
  </si>
  <si>
    <t>09012026</t>
  </si>
  <si>
    <t>F001-4686</t>
  </si>
  <si>
    <t>F001-4700</t>
  </si>
  <si>
    <t>F001-4660</t>
  </si>
  <si>
    <t>TIRADO/MONON</t>
  </si>
  <si>
    <t>10012026</t>
  </si>
  <si>
    <t>11012026</t>
  </si>
  <si>
    <t>MEDEVAC PCTE MANUYAMA PEREZ IRIS JULISA</t>
  </si>
  <si>
    <t>F001-4706</t>
  </si>
  <si>
    <t>MEDEVAC PCTE HERRERA CHINCHAY MIGUEL ANGEL</t>
  </si>
  <si>
    <t>MEDEVAC PCTE CHOQUECOTA ALANOCA CAMILA SUYIN</t>
  </si>
  <si>
    <t>MEDEVAC PCTE HUARACA RUIZ YEIK ERVIN</t>
  </si>
  <si>
    <t>MEDEVAC PCTE GUZMAN OJEDA LUZ CLARITA</t>
  </si>
  <si>
    <t>MEDEVAC PCTE GUEVARA FERNANDEZ JUAN AMADEO</t>
  </si>
  <si>
    <t>MEDEVAC PCTE CERDAN DE VERGARAY MARCELINA</t>
  </si>
  <si>
    <t>MEDEVAC PCTE URIARTE GUEVARA KELLY DEL ROCIO</t>
  </si>
  <si>
    <t>MEDEVAC PCTE CARDENAS RODRIGUEZ JOSE</t>
  </si>
  <si>
    <t>MEDEVAC PCTE RIVEROS MUÑOZ OCTAVIO</t>
  </si>
  <si>
    <t>TRASLADO PCTE SAAVEDRA ACOSTA LIZ JANETH</t>
  </si>
  <si>
    <t>F001-4698</t>
  </si>
  <si>
    <t>MEDEVAC PCTE QUISPE SULLCA, SERAPIO</t>
  </si>
  <si>
    <t>MEDEVAC PCTE PURUGUAY BUENO, OSCAR ALEJANDRO</t>
  </si>
  <si>
    <t>MEDEVAC PCTE FERREL FLORES, WILLIVAM</t>
  </si>
  <si>
    <t>MEDEVAC PCTE HUAMANI MAIZONDO, OSWALDO</t>
  </si>
  <si>
    <t>MEDEVAC PCTE HEREDIA VALLES JEAM KEVIN</t>
  </si>
  <si>
    <t>MEDEVAC PCTE ROJAS ALVAREZ, RENEE OLINDA</t>
  </si>
  <si>
    <t>15. ESSALUD GCL- ORGANOS</t>
  </si>
  <si>
    <t>13012026</t>
  </si>
  <si>
    <t>14012026</t>
  </si>
  <si>
    <t>MEDEVAC PCTE MARINES CARAZAS MARIA ROSA</t>
  </si>
  <si>
    <t>ESSALUD MOQUEGUA</t>
  </si>
  <si>
    <t>15012026</t>
  </si>
  <si>
    <t>81.ESSALUD MOQUEGUA</t>
  </si>
  <si>
    <t>MEDEVAC PCTE ROSALES REVOLLAR IAN URIEL</t>
  </si>
  <si>
    <t>16012026</t>
  </si>
  <si>
    <t>CURTO/REYNER</t>
  </si>
  <si>
    <t>17012026</t>
  </si>
  <si>
    <t>TIRADO/ELERA</t>
  </si>
  <si>
    <t>18012026</t>
  </si>
  <si>
    <t>???</t>
  </si>
  <si>
    <t>19012026</t>
  </si>
  <si>
    <t>TIRADO/ACUÑA</t>
  </si>
  <si>
    <t>HUÁNUCO - LIMA</t>
  </si>
  <si>
    <t>PUNO - LIMA</t>
  </si>
  <si>
    <t>UCAYALI - LIMA</t>
  </si>
  <si>
    <t>PIURA - LIMA</t>
  </si>
  <si>
    <t>CUSCO - LIMA</t>
  </si>
  <si>
    <t>LAMBAYEQUE - LIMA</t>
  </si>
  <si>
    <t>TUMBES - LIMA</t>
  </si>
  <si>
    <t>LORETO IQUITOS - LIMA</t>
  </si>
  <si>
    <t>MADRE DE DIOS - LIMA</t>
  </si>
  <si>
    <t>TACNA - LIMA</t>
  </si>
  <si>
    <t>AMAZONAS - LIMA</t>
  </si>
  <si>
    <t>AREQUIPA - LIMA</t>
  </si>
  <si>
    <t>AYACUCHO - LIMA</t>
  </si>
  <si>
    <t>LA LIBERTAD - LIMA</t>
  </si>
  <si>
    <t>ANCASH - LIMA</t>
  </si>
  <si>
    <t>JUNÍN - LIMA</t>
  </si>
  <si>
    <t>APURIMAC - LIMA</t>
  </si>
  <si>
    <t>HUANCAVELICA - LIMA</t>
  </si>
  <si>
    <t>SAN MARTÍN - LIMA</t>
  </si>
  <si>
    <t>CANT. CONTRATADA</t>
  </si>
  <si>
    <t>RUTAS</t>
  </si>
  <si>
    <t>ESTATUS CANTIDAD</t>
  </si>
  <si>
    <t xml:space="preserve">PENDIENTE </t>
  </si>
  <si>
    <t>F001-4710</t>
  </si>
  <si>
    <t>MEDEVAC PCTE DEL CASTILLO TELLO CELESTE ESTER</t>
  </si>
  <si>
    <t>20012026</t>
  </si>
  <si>
    <t>MEDEVAC PCTE ZAPATA CORNEJO IRENE</t>
  </si>
  <si>
    <t>MEDEVAC PCTE CALDAS MARREROS FRANCO</t>
  </si>
  <si>
    <t>MEDEVAC PCTE FLORE ROSALES LORENA MAGNA</t>
  </si>
  <si>
    <t>21012026</t>
  </si>
  <si>
    <t>CAJAMARCA - LIMA</t>
  </si>
  <si>
    <t>MEDEVAC PCTE PINCHE GONZALES LUZ DELIA</t>
  </si>
  <si>
    <t>F001-4712</t>
  </si>
  <si>
    <t>22012026</t>
  </si>
  <si>
    <t>F001-4597</t>
  </si>
  <si>
    <t>MEDEVAC PCTE HUASANGA SHUPINGAHUA CAETANA</t>
  </si>
  <si>
    <t>F001-4480</t>
  </si>
  <si>
    <t>F001-4609</t>
  </si>
  <si>
    <t>F001-4598</t>
  </si>
  <si>
    <t>23012026</t>
  </si>
  <si>
    <t>24012026</t>
  </si>
  <si>
    <t>INST MARQUINA</t>
  </si>
  <si>
    <t>MEDEVAC PCTE CARHUARUPAY URETA ESTEFANO GILMAR</t>
  </si>
  <si>
    <t>F001-4713</t>
  </si>
  <si>
    <t>26012026</t>
  </si>
  <si>
    <t>27012026</t>
  </si>
  <si>
    <t>F001-4708</t>
  </si>
  <si>
    <t>F001-4699</t>
  </si>
  <si>
    <t>F001-4702</t>
  </si>
  <si>
    <t>F001-4703</t>
  </si>
  <si>
    <t>F001-4709</t>
  </si>
  <si>
    <t>F001-4711</t>
  </si>
  <si>
    <t>F001-4719</t>
  </si>
  <si>
    <t>F001-4714</t>
  </si>
  <si>
    <t>28012026</t>
  </si>
  <si>
    <t>29012026</t>
  </si>
  <si>
    <t>MULTISERVICIOS SHARD E.I.R.L.</t>
  </si>
  <si>
    <t>F001-4722</t>
  </si>
  <si>
    <t>F001-4720</t>
  </si>
  <si>
    <t>F001-4721</t>
  </si>
  <si>
    <t>MEDEVAC PCTE PEREIRA DAHUA ALBA XIMENA</t>
  </si>
  <si>
    <t>MEDEVAC PCTE RUIZ FRIMELT FRANCISCO HUMBERTO</t>
  </si>
  <si>
    <t>F001-4723</t>
  </si>
  <si>
    <t>F001-4724</t>
  </si>
  <si>
    <t>al 29/01/25</t>
  </si>
  <si>
    <t>30012026</t>
  </si>
  <si>
    <t>B001-81</t>
  </si>
  <si>
    <t>31012026</t>
  </si>
  <si>
    <t>01022026</t>
  </si>
  <si>
    <t>02022026</t>
  </si>
  <si>
    <t>F001-4716</t>
  </si>
  <si>
    <t>03022026</t>
  </si>
  <si>
    <t>04022026</t>
  </si>
  <si>
    <t>PARTICULAR + ASOCIACION PERUANA DE LA IGLESIA DE JESUCRISTO DE LOS SANTOS DE LOS ULTIMOS DIAS</t>
  </si>
  <si>
    <t>05022026</t>
  </si>
  <si>
    <t>F001-4733</t>
  </si>
  <si>
    <t>MULTISERVICIOS JESUA EMPRESA INDIVIDUAL DE RESPONSABILIDAD LIMITADA</t>
  </si>
  <si>
    <t>F001-4734</t>
  </si>
  <si>
    <t>F001-4732</t>
  </si>
  <si>
    <t>F001-4737</t>
  </si>
  <si>
    <t>F001-4736</t>
  </si>
  <si>
    <t>CAJA MUNICIPAL DE AHORRO Y CREDITO DE TRUJILLO SA - CAJA TRUJILLO</t>
  </si>
  <si>
    <t>F001-4735</t>
  </si>
  <si>
    <t>F001-4727</t>
  </si>
  <si>
    <t>F001-4738</t>
  </si>
  <si>
    <t>F001-4725</t>
  </si>
  <si>
    <t>F001-4726</t>
  </si>
  <si>
    <t>F001-4728</t>
  </si>
  <si>
    <t>HOSPITAL DE APOYO BAGUA</t>
  </si>
  <si>
    <t>HOSPITAL BELEN LAMBAYEQUE</t>
  </si>
  <si>
    <t>06022026</t>
  </si>
  <si>
    <t>07022026</t>
  </si>
  <si>
    <t>08022026</t>
  </si>
  <si>
    <t>09022026</t>
  </si>
  <si>
    <t>12022026</t>
  </si>
  <si>
    <t>10022026</t>
  </si>
  <si>
    <t>HOSP. SANTA GEMA YURIMAGUAS</t>
  </si>
  <si>
    <t>HOSP. CHULUCANAS</t>
  </si>
  <si>
    <t>13022026</t>
  </si>
  <si>
    <t>14022026</t>
  </si>
  <si>
    <t>15022026</t>
  </si>
  <si>
    <t>16022026</t>
  </si>
  <si>
    <t>HOSP. REG  CAJAMARCA</t>
  </si>
  <si>
    <t>HOSP. REG. ANDAHUAYLAS</t>
  </si>
  <si>
    <t>F001-4758</t>
  </si>
  <si>
    <t>F001-4759</t>
  </si>
  <si>
    <t>F001-4754</t>
  </si>
  <si>
    <t>F001-4760</t>
  </si>
  <si>
    <t>F001-4748</t>
  </si>
  <si>
    <t>F001-4747</t>
  </si>
  <si>
    <t>F001-4750</t>
  </si>
  <si>
    <t>F001-4751</t>
  </si>
  <si>
    <t>F001-4756</t>
  </si>
  <si>
    <t>F001-4755</t>
  </si>
  <si>
    <t>F001-4752</t>
  </si>
  <si>
    <t>F001-4749</t>
  </si>
  <si>
    <t>MEDEVAC PCTE JIMENEZ CHIRINOS MARVIN GROBER</t>
  </si>
  <si>
    <t>F001-4761</t>
  </si>
  <si>
    <t>F001-4762</t>
  </si>
  <si>
    <t>MEDEVAC PCTE ROJAS HUAYTARA NILDA</t>
  </si>
  <si>
    <t>F001-4757</t>
  </si>
  <si>
    <t>MEDEVAC PCTE TORRES JIMENENEZ DE FERNANDEZ ANA</t>
  </si>
  <si>
    <t>MEDEVAC PCTE DIAZ GONZALES RONEL AGUSTIN</t>
  </si>
  <si>
    <t>MEDEVAC PCTE LOZANO GAVIDIA THAIZ REYNA</t>
  </si>
  <si>
    <t>MEDEVAC PCTE MUÑOZ CHEPE ANA CRISTHINA</t>
  </si>
  <si>
    <t>MEDEVAC PCTE WAJAI SHARUP ARUTAM</t>
  </si>
  <si>
    <t>MEDEVAC PCTE VASQUEZ BAUTISTA MATHIAS PAOLO</t>
  </si>
  <si>
    <t>MEDEVAC PCTE ALVA SANCHEZ MATIAS JEINER</t>
  </si>
  <si>
    <t>MEDEVAC PCTE CARUAJULCA ROJAS MARIO</t>
  </si>
  <si>
    <t>F001-4753</t>
  </si>
  <si>
    <t>MEDEVAC PCTE HUAMANTA VASQUEZ DAYRELIZ CATALEYA</t>
  </si>
  <si>
    <t>MEDEVAC PCTE BANCES MURAYARI ROSA MARIA</t>
  </si>
  <si>
    <t>MEDEVAC PCTE GUZMAN GUIZADO PRECILA</t>
  </si>
  <si>
    <t>MEDEVAC PCTE PAREDES HUARANCCA SANTUSSA</t>
  </si>
  <si>
    <t xml:space="preserve">MEDEVAC PCTE OROSCO VASQUEZ LIAM GAEL </t>
  </si>
  <si>
    <t>MEDEVAC PCTE PLANCK GREGORY ALAIN ANDRE</t>
  </si>
  <si>
    <t>F001-4764</t>
  </si>
  <si>
    <r>
      <rPr>
        <sz val="11"/>
        <color rgb="FFFF0000"/>
        <rFont val="Calibri"/>
        <family val="2"/>
        <scheme val="minor"/>
      </rPr>
      <t xml:space="preserve">NOTA: </t>
    </r>
    <r>
      <rPr>
        <sz val="11"/>
        <color theme="1"/>
        <rFont val="Calibri"/>
        <family val="2"/>
        <scheme val="minor"/>
      </rPr>
      <t>SEGÚN CORREO ENVIADO Y NO RESPONDIDO POR SALUDPOL Y; COMENTARIO DE ALEXANDER SOBRE EL NO COMPROMISO DE EJECUTAR LAS CANTIDADES INDICADAS SEGÚN BASES EN LOS TDR, SE CONTINUARÁ EJECUTANDO LAS RUTAS SEGÚN REQUERIMIENTO AUNQUE YA SE HAYAN EJECUTADO MAS SERVICIOS DE LOS INDICADOS EN CADA RUTA D ELOS TDR</t>
    </r>
  </si>
  <si>
    <t>INCA DEBE 18 DOLARES DE UNA FACTURA D EMANTENIMIENTO QUE FUE POR 118 Y SOLAMENTE PAGARON 100 DOLARES</t>
  </si>
  <si>
    <t xml:space="preserve">4,141.66 DOLARES AL 31-12-2025 SE LE DEBE A INCA </t>
  </si>
  <si>
    <t>????? NO PUSIERO EN EL GRUPO</t>
  </si>
  <si>
    <t>F001-4763</t>
  </si>
  <si>
    <t>F001-4769</t>
  </si>
  <si>
    <t>HOSP. SUBREGIONAL ANDAHUAYLAS</t>
  </si>
  <si>
    <t>F001-4777</t>
  </si>
  <si>
    <t>F001-4770</t>
  </si>
  <si>
    <t>GOLD STUDIO LAB</t>
  </si>
  <si>
    <t>MEDEVAC PCTE OLIVA NOLE TOMAS ROBERTO</t>
  </si>
  <si>
    <t>MEDEVAC PCTE RUBIO SANCHEZ MILTON RAFAEL</t>
  </si>
  <si>
    <t>MEDEVAC PCTE LLAMO BURGA FIDENCIO</t>
  </si>
  <si>
    <t>MEDEVAC PCTE GONZALES LOZANO DANIKA JOHAYRA</t>
  </si>
  <si>
    <t>MEDEVAC PCTE SALDAÑA VDA DE MARTINEZ ELENA BASTI</t>
  </si>
  <si>
    <t>MEDEVAC PCTE GIBAJA ESTEVES TADEO</t>
  </si>
  <si>
    <t>MEDEVAC PCTE RUIZ TELLO JOSE ROMEL</t>
  </si>
  <si>
    <t>MEDEVAC PCTE CORTIJO SANTILLAN VICTOR ANDRES</t>
  </si>
  <si>
    <t>MEDEVAC PCTE PENADILLO FRETEL MARIA ELENA</t>
  </si>
  <si>
    <t>MEDEVAC PCTE GUTIERREZ CORDOVA JUAN</t>
  </si>
  <si>
    <t>MEDEVAC PCTE TONG VINCES DE NOBLECILLA ERICA ELIANA</t>
  </si>
  <si>
    <t xml:space="preserve">MEDEVAC PCTE QUINTANA CALDERON VICTOR ENRIQUE </t>
  </si>
  <si>
    <t>MEDEVAC PCTE ZEGARRA MONTES MERVY YRENE</t>
  </si>
  <si>
    <t>MEDEVAC PCTE BEJARANO DOMINGO MANUEL</t>
  </si>
  <si>
    <t>DEBEMOS A INCA AL 23-02 - 2026 PORQUE PAGÓ DETRACCIONES DE FACTURAS ANULADAS</t>
  </si>
  <si>
    <t>F001-4197</t>
  </si>
  <si>
    <t>F001-4198</t>
  </si>
  <si>
    <t>F001-4329</t>
  </si>
  <si>
    <t>F001-4330</t>
  </si>
  <si>
    <t>DETRACCIONES PAGADAS DOLARES DE FACTURAS ANULADAS</t>
  </si>
  <si>
    <t>DÓLARES</t>
  </si>
  <si>
    <t>SOLES DETRACCIONES</t>
  </si>
  <si>
    <t>HOSP. REG. AYACUCHOAYACUCHO</t>
  </si>
  <si>
    <t>F001-4786</t>
  </si>
  <si>
    <t>MEDEVAC PCTE INGUIL VARGAS HELAR ITHZAEL</t>
  </si>
  <si>
    <t>F001-4790</t>
  </si>
  <si>
    <t>MEDEVAC PCTE ALENZUELA ORTIZ ALEXANDER</t>
  </si>
  <si>
    <t>F001-4795</t>
  </si>
  <si>
    <t>F001-4780</t>
  </si>
  <si>
    <t>F001-4781</t>
  </si>
  <si>
    <t>F001-4793</t>
  </si>
  <si>
    <t>F001-4782</t>
  </si>
  <si>
    <t>F001-4796</t>
  </si>
  <si>
    <t>TRASLADO PCTE AMASIFUEN DIAZ KATTY
SAAVEDRA SHARIHUA RENZO ISRRAEL</t>
  </si>
  <si>
    <t>F001-4778</t>
  </si>
  <si>
    <t>F001-4788     F001-4789</t>
  </si>
  <si>
    <t>F001-4791    F001-4792</t>
  </si>
  <si>
    <t>F001-4784</t>
  </si>
  <si>
    <t>F001-4785</t>
  </si>
  <si>
    <t>F001-4797</t>
  </si>
  <si>
    <t>F001-4799</t>
  </si>
  <si>
    <t>MEDEVAC PCTE ALVAREZ GARCIA CARLOS ALEJANDRO</t>
  </si>
  <si>
    <t>MEDEVAC PCTE FIGUEROA GUEVARA MARIA OLGA</t>
  </si>
  <si>
    <t>MEDEVAC PCTE RUIZ TORRES JUANA FERNANDA CELESTE</t>
  </si>
  <si>
    <t>TRANSPORTE AEREO PCTE CENEPO HUAYMACARI DANA ROSARIO</t>
  </si>
  <si>
    <t>TRANSPORTE AEREO PCTE NOA RAMIREZ SERGIO EDUARDO</t>
  </si>
  <si>
    <t>F001-4788</t>
  </si>
  <si>
    <t>F001-4789</t>
  </si>
  <si>
    <t>ASISTENCIA MEDICA EN VUELO CENEPO HUAYMACARI DANA ROSARIO</t>
  </si>
  <si>
    <t>ASISTENCIA MEDICA EN VUELO NOA RAMIREZ SERGIO EDUARDO</t>
  </si>
  <si>
    <t>F001-4791</t>
  </si>
  <si>
    <t>F001-4792</t>
  </si>
  <si>
    <t>MEDEVAC PCTE ELGUERA JARA ARMANDO JULIO</t>
  </si>
  <si>
    <t xml:space="preserve">MEDEVAC PCTE CANASA APAZAZULEIDY ANGELINE </t>
  </si>
  <si>
    <t>MEDEVAC PCTE GUTIERREZ HUILLCA EMILIA ANA</t>
  </si>
  <si>
    <t>MEDEVAC PCTE AREVALO ACUÑA ANTHONY</t>
  </si>
  <si>
    <t>MEDEVAC PCTE GARCIA ROJAS MICHELLE</t>
  </si>
  <si>
    <t>MEDEVAC PCTE GUARNIZ VALDIVIA KENDRICK DOVE</t>
  </si>
  <si>
    <t>HOSPITAL REGIONAL CUSCO</t>
  </si>
  <si>
    <t>CONTRATO N° 005-2026-HRC-CUSCO</t>
  </si>
  <si>
    <t>MEDEVAC PCTE FERNANDEZ VALDEZ LUCIANA ANAHI</t>
  </si>
  <si>
    <t>F001-4801</t>
  </si>
  <si>
    <t>F001-4800</t>
  </si>
  <si>
    <t>BENAVENTE/ALARCO</t>
  </si>
  <si>
    <t>01032026</t>
  </si>
  <si>
    <t>MEDEVAC PCTE ALARCÓN HUILLCA FRANK REINALDO</t>
  </si>
  <si>
    <t>F001-4805</t>
  </si>
  <si>
    <t>02032026</t>
  </si>
  <si>
    <t>F001-4803</t>
  </si>
  <si>
    <t>MEDEVAC PCTE CCORAHUA CASA CARLOS BRAYAN</t>
  </si>
  <si>
    <t>MEDEVAC PCTE FLORES CHIRA CARLOS</t>
  </si>
  <si>
    <t>MEDEVAC PCTE ENEQUE CORNEJO JAIME MANUEL</t>
  </si>
  <si>
    <t>MEDEVAC PCTE RUEDA VARGAS CRISTIAN STALIN</t>
  </si>
  <si>
    <t>MEDEVAC PCTE  FLORES ARENAS, LUCIANO</t>
  </si>
  <si>
    <t>B001-97</t>
  </si>
  <si>
    <t>B001-96</t>
  </si>
  <si>
    <t>F001-4802</t>
  </si>
  <si>
    <t>F001-4800 Y F001-4801</t>
  </si>
  <si>
    <t>03032026</t>
  </si>
  <si>
    <t>F001-4809</t>
  </si>
  <si>
    <t>04032026</t>
  </si>
  <si>
    <t>F001-4808</t>
  </si>
  <si>
    <t>F001-4810 - F001-4811</t>
  </si>
  <si>
    <t>F001-4810</t>
  </si>
  <si>
    <t>F001-4811</t>
  </si>
  <si>
    <t>05032026</t>
  </si>
  <si>
    <t>MEDEVAC PCTE ADVINCULA PREVISTERO PEDRO</t>
  </si>
  <si>
    <t>MEDEVAC PCTE LURQUIN TOLENTINO ANGELA ADRIANA</t>
  </si>
  <si>
    <t>MEDEVAC PCTE NUÑEZ REYES CARLOS ALBERTO</t>
  </si>
  <si>
    <t>MEDEVAC PCTE FERNANDEZ CALAMPA AMOR ESTHER IVANA</t>
  </si>
  <si>
    <t>F001-4827</t>
  </si>
  <si>
    <t>MEDEVAC PCTE TITO CUBA GABRIELA JULIETO</t>
  </si>
  <si>
    <t>MEDEVAC PCTE AQUINO DURAND MAURA</t>
  </si>
  <si>
    <t>F001-4804</t>
  </si>
  <si>
    <t>MEDEVAC PCTE ALFREDO JARSHIÑO CASTILLO TORRES</t>
  </si>
  <si>
    <t>F001-4806</t>
  </si>
  <si>
    <t>F001-4807</t>
  </si>
  <si>
    <t>MEDEVAC PCTE JUAN DANIEL GONZALES RIOS</t>
  </si>
  <si>
    <t>06032026</t>
  </si>
  <si>
    <t>AUNA</t>
  </si>
  <si>
    <t>07032026</t>
  </si>
  <si>
    <t>08032026</t>
  </si>
  <si>
    <t>09032026</t>
  </si>
  <si>
    <t>MEDEVAC PCTE SULCA BOJORQUEZ BEATRIZ</t>
  </si>
  <si>
    <t>EN LEGAL X TEMAS INTERNOS ESSALUD</t>
  </si>
  <si>
    <t>CARTA 340-2024 ENVIADA SR. CARLOS LLANOS X CORREO</t>
  </si>
  <si>
    <t>10032026</t>
  </si>
  <si>
    <t>11032026</t>
  </si>
  <si>
    <t xml:space="preserve"> MULTISERVICIOS SHARD E.I.R.L.</t>
  </si>
  <si>
    <t>MEDEVAC PCTE  PEREZ AVELLANEDA, SHEYLA JAMELI</t>
  </si>
  <si>
    <t>MDEVAC PCTE GOMEZ CALLACONDO, JOHN RONALD</t>
  </si>
  <si>
    <t>MEDEVAC PCTE ADRIANZEN FACUNDO, SANTOS ELEODORO</t>
  </si>
  <si>
    <t>MEDEVAC PCTE GAMARRA DE PEREZ, GOYA</t>
  </si>
  <si>
    <t>MEDEVAC PCTE VASQUEZ RUIZ, NOAH CALEB</t>
  </si>
  <si>
    <t>MEDEVAC PCTE  VARGAS VILLARRUEL, ANA MARIBEL</t>
  </si>
  <si>
    <t>MEDEVAC PCTE  MARAZA MAMANI, ADELA</t>
  </si>
  <si>
    <t>MEDEVAC PCTE  TRUIJILLO CHAVEZ MICAELA</t>
  </si>
  <si>
    <t>MEDEVAC PCTE  ANGULO MARMANILLO CHRISTOPHER JONATHAN</t>
  </si>
  <si>
    <t>F001-4834</t>
  </si>
  <si>
    <t>HIOSP. SULLANA</t>
  </si>
  <si>
    <t>12032026</t>
  </si>
  <si>
    <t>MEDEVAC PCTE  ESCOBAR VALENCIA FALU</t>
  </si>
  <si>
    <t>OGESS HUALLAGA</t>
  </si>
  <si>
    <t>13032026</t>
  </si>
  <si>
    <t>TCCH-LIM</t>
  </si>
  <si>
    <t>F001-4825</t>
  </si>
  <si>
    <t>F001-4812</t>
  </si>
  <si>
    <t>F001-4831</t>
  </si>
  <si>
    <t>F001-4830</t>
  </si>
  <si>
    <t>F001-4836</t>
  </si>
  <si>
    <t>F001-4837</t>
  </si>
  <si>
    <t>JOVANA DE INCA DICE QUE ESO ES LO QUE REALMENTE HAN PAGADO DE LA DETRACCIÓN</t>
  </si>
  <si>
    <t>14032026</t>
  </si>
  <si>
    <t>ALARCO/ELERA</t>
  </si>
  <si>
    <t>estos pagos se hicieron a cuenta d ela primera factura</t>
  </si>
  <si>
    <t>F001-4839</t>
  </si>
  <si>
    <t>MEDEVAC PCTE HERRERA HUACCHA MAX ALEXANDER  RN</t>
  </si>
  <si>
    <t>F001-4828</t>
  </si>
  <si>
    <t>F001-4829</t>
  </si>
  <si>
    <t>TACNA</t>
  </si>
  <si>
    <t>TUMBES</t>
  </si>
  <si>
    <t>F001-4856</t>
  </si>
  <si>
    <t>ALARCO/SANCHEZ</t>
  </si>
  <si>
    <t>RECONOCIMIENTO CARTA 24-2026 REFACTURACION - FACTURA F001-4844</t>
  </si>
  <si>
    <t>RECONOCIMIENTO CARTA 87-2026 REFACTURACION - FACTURA F001-4845</t>
  </si>
  <si>
    <t>MEDEVAC PCTE MEDINA DAVILA KEYLEB FABIAN</t>
  </si>
  <si>
    <t>F001-4858</t>
  </si>
  <si>
    <t>F001-4859</t>
  </si>
  <si>
    <t>MEDEVAC PCTE LEON HERRERA ANDREA VALESKA</t>
  </si>
  <si>
    <t>F001-4838</t>
  </si>
  <si>
    <t>MEDEVAC PCTE ZUÑIGA MENDOZA CAMILA YARITZA</t>
  </si>
  <si>
    <t>F001-4840</t>
  </si>
  <si>
    <t>F001-4841</t>
  </si>
  <si>
    <t>F001-4842</t>
  </si>
  <si>
    <t>MEDEVAC PCTE CANDELARIA CAUNA ALANOCA</t>
  </si>
  <si>
    <t>COMBUSTIBLE SEGUNDA QUINCENA DE MARZO</t>
  </si>
  <si>
    <t>18032026</t>
  </si>
  <si>
    <t>19032026</t>
  </si>
  <si>
    <t>ALARCO/CAMARENA</t>
  </si>
  <si>
    <t>VARIOS</t>
  </si>
  <si>
    <t>20032026</t>
  </si>
  <si>
    <t>F001-4863</t>
  </si>
  <si>
    <t>RECARGAS LIMA</t>
  </si>
  <si>
    <t>RECARGAS TACNA</t>
  </si>
  <si>
    <t>RECARGAS CHICLAYO</t>
  </si>
  <si>
    <t>RECARGAS IQUITOS</t>
  </si>
  <si>
    <t>TOTAL HORAS</t>
  </si>
  <si>
    <t>MEDEVAC PCTE HAYLEY ITZEL ESPINOZA RENGIFO</t>
  </si>
  <si>
    <t>F001-4862</t>
  </si>
  <si>
    <t>21032026</t>
  </si>
  <si>
    <t>23032026</t>
  </si>
  <si>
    <t>F001-4864</t>
  </si>
  <si>
    <t>MEDEVAC PCTE CARLOS MANAYALLE YEISON EDILBERTO</t>
  </si>
  <si>
    <t>24032026</t>
  </si>
  <si>
    <t>MEDEVAC PCTE BRIANNA NICOLL ARIRAMA PEREZ</t>
  </si>
  <si>
    <t>F001-4865</t>
  </si>
  <si>
    <t>MEDEVAC PCTE QUISPE CURO ROMUALDA</t>
  </si>
  <si>
    <t>F001-4866</t>
  </si>
  <si>
    <t>25032026</t>
  </si>
  <si>
    <t>LIM-TCQ</t>
  </si>
  <si>
    <t>26032026</t>
  </si>
  <si>
    <t>27032026</t>
  </si>
  <si>
    <t xml:space="preserve"> CONTRATO N° 037-2025-IN/SALUDPOL</t>
  </si>
  <si>
    <t>28032026</t>
  </si>
  <si>
    <t>29032026</t>
  </si>
  <si>
    <t>30032026</t>
  </si>
  <si>
    <t>31032026</t>
  </si>
  <si>
    <t>01042026</t>
  </si>
  <si>
    <t>TIRADO/MONZON</t>
  </si>
  <si>
    <t>MEDEVAC PCTE DEL POZO CARRASCO MARGARITA</t>
  </si>
  <si>
    <t>F001-4882</t>
  </si>
  <si>
    <t>F001-4867</t>
  </si>
  <si>
    <t>F001-4878</t>
  </si>
  <si>
    <t>F001-4879</t>
  </si>
  <si>
    <t>MEDEVAC PCTE PALOMINO  LIMACHE BASILIA</t>
  </si>
  <si>
    <t>MEDEVAC PCTE QUISPE SOPANTA NAYDA LILIANA</t>
  </si>
  <si>
    <t>MEDEVAC PCTE CURO FARFAN SUSANA</t>
  </si>
  <si>
    <t>MEDEVAC PCTE NARVAEZ CHAHUA LUIS ALBERTO</t>
  </si>
  <si>
    <t>MEDEVAC PCTE  POZO CERVANTES AQUILES</t>
  </si>
  <si>
    <t>MEDEVAC PCTE  ROJAS MIRANDA DEMETRIA</t>
  </si>
  <si>
    <t>MEDEVAC PCTE  HUAYTAR VASQUEZ EDER</t>
  </si>
  <si>
    <t>MEDEVAC PCTE  CORREA SANCHEZ AURORA</t>
  </si>
  <si>
    <t>MEDEVAC PCTE  VILA CAHUANA  OWALDO DAYSUQUER</t>
  </si>
  <si>
    <t>MEDEVAC PCTE  HUAMAN GARAY EMERSON JAIR</t>
  </si>
  <si>
    <t>F001-4874</t>
  </si>
  <si>
    <t>MEDEVAC PCTE ESTEBAN CABALA JESUS GUILLERMO</t>
  </si>
  <si>
    <t>F001-4880</t>
  </si>
  <si>
    <t>F001-4881</t>
  </si>
  <si>
    <t>MEDEVAC PCTE GARCIA ZETA DARIAN ANIBAL</t>
  </si>
  <si>
    <t>MEDEVAC PCTE CCAHUA CHAIÑA BENIGNA</t>
  </si>
  <si>
    <t>MEDEVAC PCTE PALACIOS CRUZ BARBARA BARDOT</t>
  </si>
  <si>
    <t>F001-4868</t>
  </si>
  <si>
    <t>MEDEVAC PCTE JAQUIMA VALDERRAMA JANS YAMIL</t>
  </si>
  <si>
    <t>06042026</t>
  </si>
  <si>
    <t>ALARCO/ACUÑA</t>
  </si>
  <si>
    <t>04042026</t>
  </si>
  <si>
    <t>05042026</t>
  </si>
  <si>
    <t>PARTICULAR CONSULTAR CON MARIN@</t>
  </si>
  <si>
    <t>F001-4875</t>
  </si>
  <si>
    <t>F001-4876</t>
  </si>
  <si>
    <t>F001-4872</t>
  </si>
  <si>
    <t>F001-4892</t>
  </si>
  <si>
    <t>F001-4893</t>
  </si>
  <si>
    <t>F001-4894</t>
  </si>
  <si>
    <t>F001-4886</t>
  </si>
  <si>
    <t>F001 4880 Y F001-4881</t>
  </si>
  <si>
    <t>F001-4888</t>
  </si>
  <si>
    <t>F001-4895</t>
  </si>
  <si>
    <t>F001-4884</t>
  </si>
  <si>
    <t>F001-4885</t>
  </si>
  <si>
    <t>TRANSPORTE AEREO PCTE CHOQUE MAMANI JHASSLY DAYKEL</t>
  </si>
  <si>
    <t>ASISTENCIA MEDICA PCTE CHOQUE MAMANI JHASSLY DAYKEL</t>
  </si>
  <si>
    <t>F001-4889</t>
  </si>
  <si>
    <t>F001-4890</t>
  </si>
  <si>
    <t>F001-4857</t>
  </si>
  <si>
    <t>F001-4896</t>
  </si>
  <si>
    <t>F001-4869</t>
  </si>
  <si>
    <t>F001-4884 y F001-4885</t>
  </si>
  <si>
    <t>F001-4870</t>
  </si>
  <si>
    <t>F001-4877</t>
  </si>
  <si>
    <t>MEDEVAC PCTE BARQUET JOSE DAVID</t>
  </si>
  <si>
    <t>08042026</t>
  </si>
  <si>
    <t>ALARCO/MONZON</t>
  </si>
  <si>
    <t>09042026</t>
  </si>
  <si>
    <t>F001-4900</t>
  </si>
  <si>
    <t>MEDEVAC PCTE MAYEAUX GERALD WAYNE</t>
  </si>
  <si>
    <t>10042026</t>
  </si>
  <si>
    <t>MULTISERVICIOS SHARD</t>
  </si>
  <si>
    <t>F001-4902</t>
  </si>
  <si>
    <t>MEDEVAC PCTE RENGIFO VILLAVICENCIO ANITA</t>
  </si>
  <si>
    <t>13042026</t>
  </si>
  <si>
    <t>MEDEVAC PCTE OCHOA VALLEJO BERIA</t>
  </si>
  <si>
    <t>F001-4905</t>
  </si>
  <si>
    <t>TRANSPORTE AEREO PCTE REATEGUI VASQUEZ MARIA</t>
  </si>
  <si>
    <t>ASISTENCIA MEDICA EN VUELO  PCTE REATEGUI VASQUEZ MARIA</t>
  </si>
  <si>
    <t>NSPORTE AEREO PCTE PUA ASPAJO JURICA</t>
  </si>
  <si>
    <t>ASISTENCIA MEDICA EN VUELO  PCTE PUA ASPAJO JURICA</t>
  </si>
  <si>
    <t>TRANSPORTE AEREO PCTE SINTI APAGUEÑO LILEY</t>
  </si>
  <si>
    <t>ASISTENCIA MEDICA EN VUELO  PCTE SINTI APAGUEÑO LILEY</t>
  </si>
  <si>
    <t>F001-4906</t>
  </si>
  <si>
    <t>F001-4909</t>
  </si>
  <si>
    <t>F001-4907</t>
  </si>
  <si>
    <t>F001-4908</t>
  </si>
  <si>
    <t>F001-4911</t>
  </si>
  <si>
    <t>F001-4912</t>
  </si>
  <si>
    <t>11042026</t>
  </si>
  <si>
    <t>F001-4920</t>
  </si>
  <si>
    <t>F001-4901</t>
  </si>
  <si>
    <t>F001-4921</t>
  </si>
  <si>
    <t>F001-4922</t>
  </si>
  <si>
    <t>MEDEVAC PCTE SHAPIAMA VASQUEZ ALFONSO</t>
  </si>
  <si>
    <t>F001-4923</t>
  </si>
  <si>
    <t>F0014897</t>
  </si>
  <si>
    <t>F001-4906 Y F001-4907</t>
  </si>
  <si>
    <t>F001-4908 Y F001-4909</t>
  </si>
  <si>
    <t>F001-4911 Y F001-4912</t>
  </si>
  <si>
    <t>14042026</t>
  </si>
  <si>
    <t>15042026</t>
  </si>
  <si>
    <t>16042026</t>
  </si>
  <si>
    <t>HOSP. EL CARMEN HYO</t>
  </si>
  <si>
    <t>HOSP. APOYO IQUITOS</t>
  </si>
  <si>
    <t>F001-4927</t>
  </si>
  <si>
    <t>F001-4924 Y F001-4925</t>
  </si>
  <si>
    <t>F001-4924</t>
  </si>
  <si>
    <t>F001-4925</t>
  </si>
  <si>
    <t>82.HOSP. APOYO IQUITOS</t>
  </si>
  <si>
    <t>PARTICULAR-FRANCES</t>
  </si>
  <si>
    <t>14/04/2026  Y LA DETRACCION NOS DEPOSITO EL 16-04-26</t>
  </si>
  <si>
    <t>MEDEVAC PCTE ARES DEGAAN HAYTA FALCON</t>
  </si>
  <si>
    <t>MEDEVAC PCTE ROIRO MAYORCA JHOSUE GEORGE ALBERTH</t>
  </si>
  <si>
    <t>MEDEVAC PCTE RIVEROS BELLIDO DE PAJARES JUANA</t>
  </si>
  <si>
    <t>F001-4928</t>
  </si>
  <si>
    <t>F001-4929</t>
  </si>
  <si>
    <t>F001-4897</t>
  </si>
  <si>
    <t>17042026</t>
  </si>
  <si>
    <t>F001-4926</t>
  </si>
  <si>
    <t>F001-4930</t>
  </si>
  <si>
    <t>18042026</t>
  </si>
  <si>
    <t>19042026</t>
  </si>
  <si>
    <t>HUDBAY MINERALS</t>
  </si>
  <si>
    <t>MEDEVAC PCTE ORE ENRIQUEZ LEON</t>
  </si>
  <si>
    <t>F001-4932</t>
  </si>
  <si>
    <t>F001-4933</t>
  </si>
  <si>
    <t>F001-4934</t>
  </si>
  <si>
    <t>F001-4935</t>
  </si>
  <si>
    <t>21042026</t>
  </si>
  <si>
    <t>F001-4931</t>
  </si>
  <si>
    <t>24042026</t>
  </si>
  <si>
    <t>SERV. TRANSPORET AEREO PCTE MANRIQUE ANCO LUIS EDUARDO</t>
  </si>
  <si>
    <t>SERV. ASISTENCIA MEDICA PCTE MANRIQUE ANCO LUIS EDUARDO</t>
  </si>
  <si>
    <t>F001-4941</t>
  </si>
  <si>
    <t>F001-4940</t>
  </si>
  <si>
    <t>MEDEVAC PCTE RODRIGUEZ VILLANUEVA ESNEIDER MIHAGUI</t>
  </si>
  <si>
    <t>F001-4939</t>
  </si>
  <si>
    <t>F001-4936</t>
  </si>
  <si>
    <t>F001-4937</t>
  </si>
  <si>
    <t>MEDEVAC PCTE ABEL OLIVEIRA SAJAMI</t>
  </si>
  <si>
    <t>MEDEVAC PCTE  ANGULO AGUILAR SAEL ZIANEL</t>
  </si>
  <si>
    <t>B001-101</t>
  </si>
  <si>
    <t>F001-4938</t>
  </si>
  <si>
    <t>B001-100</t>
  </si>
  <si>
    <t>25042026</t>
  </si>
  <si>
    <t>HONORIO DELGADO AREQUIPA</t>
  </si>
  <si>
    <t>CONTRATO N° 08-2026-HRHD</t>
  </si>
  <si>
    <t>HOPITAL REGIONAL HONORIO DELGADO</t>
  </si>
  <si>
    <t>MEDEVAC PCTE CAHUANA BACA LIAM UBALDEX</t>
  </si>
  <si>
    <t>HOSP. REGIONAL MANUEL NUÑEZ BUTRON</t>
  </si>
  <si>
    <t>28042026</t>
  </si>
  <si>
    <t>MEDEVAC PCTE CCORAHUA NINA RN</t>
  </si>
  <si>
    <t>F001-4953</t>
  </si>
  <si>
    <t>SERV. TRANSPORET AEREO PCTE ESTAÑA PANTI ADRIEL</t>
  </si>
  <si>
    <t>SERV. ASISTENCIA MEDICA PCTE ESTAÑA PANTI ADRIEL</t>
  </si>
  <si>
    <t>F001-4948</t>
  </si>
  <si>
    <t>F001-4949</t>
  </si>
  <si>
    <t>F001-4952</t>
  </si>
  <si>
    <t>MEDEVAC PCTE CASTRO ROCA FABRICIO MARCELO</t>
  </si>
  <si>
    <t>MEDEVAC PCTE CASTRO INGA ITHAN DARIEL</t>
  </si>
  <si>
    <t>MEDEVAC PCTE FIGUEROA MONTEVIDEO MARCUS SEBASTIAN</t>
  </si>
  <si>
    <t>MEDEVAC PCTE PADILLA DAIKAT MAEL ZONYU</t>
  </si>
  <si>
    <t>MEDEVAC PCTE TELLO SAGUMA SAMUEL DAVID</t>
  </si>
  <si>
    <t>MEDEVAC PCTES PACIENTES: ZIRENA GONZALES LUCERO* SEVILLANO AREVALO VALESKA XIOMARA</t>
  </si>
  <si>
    <t>F001-4946</t>
  </si>
  <si>
    <t>MEDEVAC PCTE  INUMA MACEDO SALMA SUSET</t>
  </si>
  <si>
    <t>29042026</t>
  </si>
  <si>
    <t>BENAVENTE/BACA</t>
  </si>
  <si>
    <t>30042026</t>
  </si>
  <si>
    <t>F001-4954</t>
  </si>
  <si>
    <t>F001-4945</t>
  </si>
  <si>
    <t>F001-4951</t>
  </si>
  <si>
    <t>F001-4943</t>
  </si>
  <si>
    <t>F001-4955</t>
  </si>
  <si>
    <t>F001-4958</t>
  </si>
  <si>
    <t>MEDEVAC PCTE FONSECA HUAMANI CIRILO GREGORIO</t>
  </si>
  <si>
    <t>MEDEVAC PCTE RENGIFO DE VELA NEREIDA</t>
  </si>
  <si>
    <t>F001-4959</t>
  </si>
  <si>
    <t>01052026</t>
  </si>
  <si>
    <t>02052026</t>
  </si>
  <si>
    <t>04052026</t>
  </si>
  <si>
    <t>MEDEVAC PCTE PILAPIL MARLA BARBA</t>
  </si>
  <si>
    <t>MEDEVAC PCTE HANGOUET ANOUK GAELLA</t>
  </si>
  <si>
    <t>F001-4942</t>
  </si>
  <si>
    <t>F001-4965</t>
  </si>
  <si>
    <t>F001-4966</t>
  </si>
  <si>
    <t>07052026</t>
  </si>
  <si>
    <t>06052026</t>
  </si>
  <si>
    <t>PEÑA/ACUÑA</t>
  </si>
  <si>
    <t>08052026</t>
  </si>
  <si>
    <t>F001-4964</t>
  </si>
  <si>
    <t>MEDEVAC PCTE ANAYA ESPINOZA NOEL</t>
  </si>
  <si>
    <t>F001-4976</t>
  </si>
  <si>
    <t>09052026</t>
  </si>
  <si>
    <t>11052026</t>
  </si>
  <si>
    <t>F001-4963</t>
  </si>
  <si>
    <t>F001-4962</t>
  </si>
  <si>
    <t>F001-4961</t>
  </si>
  <si>
    <t>MEDEVAC PCTE LA TORRE ROSILLO LENIN YONEL</t>
  </si>
  <si>
    <t>F001-4973</t>
  </si>
  <si>
    <t>F001-4971</t>
  </si>
  <si>
    <t>MEDEVAC PCTE ROJAS GOMEZ YOLANDA</t>
  </si>
  <si>
    <t xml:space="preserve">MEDEVAC PCTE MARTINEZ AMORETTI FELIX RENEE </t>
  </si>
  <si>
    <t xml:space="preserve">MEDEVAC PCTE VASQUEZ GAVIDIA JOSE IDELSO </t>
  </si>
  <si>
    <t>MEDEVAC PCTE RUIZ RUIZ REINERIO</t>
  </si>
  <si>
    <t>MEDEVAC PCTE RIVAS TRINIDAD KYLIAN SAMIR</t>
  </si>
  <si>
    <t>MEDEVAC PCTE QUINO RAMOS CLORIPCE</t>
  </si>
  <si>
    <t>MEDEVAC PCTE GARCIA MACEDO DELFIDO</t>
  </si>
  <si>
    <t>MEDEVAC PCTE ROJAS GUEVARA MARIO ALEJANDRO ZOAR</t>
  </si>
  <si>
    <t>MEDEVAC PCTE GUZMAN VARGAS LUCIANO</t>
  </si>
  <si>
    <t>MEDEVAC PCTE RODRIGUEZ CONDORI OMAR ABDUL</t>
  </si>
  <si>
    <t>MEDEVAC PCTE QUISPE RAMOS AUGUSTO</t>
  </si>
  <si>
    <t>MEDEVAC PCTE PACHO CARRILLO SEGUNDO JUAN</t>
  </si>
  <si>
    <t>MEDEVAC PCTE BACA IGLESIAS EVANS GAEL</t>
  </si>
  <si>
    <t>MEDEVAC PCTE CATALAN VALENCIA ROGER FRANCISCO</t>
  </si>
  <si>
    <t>F001-4967</t>
  </si>
  <si>
    <t>F001-4969</t>
  </si>
  <si>
    <t>F001-4968</t>
  </si>
  <si>
    <t>F001-4970</t>
  </si>
  <si>
    <t>MEDEVAC PCTE BUSTAMANTE RAMIREZ YACO EZEQUIEL</t>
  </si>
  <si>
    <t>B001-102</t>
  </si>
  <si>
    <t>MEDEVAC PCTE DAVILA RAMIREZ DASTAN ENIEL</t>
  </si>
  <si>
    <t>F001-4975</t>
  </si>
  <si>
    <t>F001-4967  Y F001-4969</t>
  </si>
  <si>
    <t>F001-4968  Y F001-4970</t>
  </si>
  <si>
    <t>MEDEVAC PCTE HILARIO INGARUCA CARMEN VICTORIA</t>
  </si>
  <si>
    <t>MEDEVAC PCTE CHI MAN TONG</t>
  </si>
  <si>
    <t>F001-4960</t>
  </si>
  <si>
    <t>12052026</t>
  </si>
  <si>
    <t>13052026</t>
  </si>
  <si>
    <t>14052026</t>
  </si>
  <si>
    <t>15052026</t>
  </si>
  <si>
    <t>F001-4982</t>
  </si>
  <si>
    <t>F001-4981</t>
  </si>
  <si>
    <t>F001-4984</t>
  </si>
  <si>
    <t>F001-4941- F001-4983</t>
  </si>
  <si>
    <t>F001-4983</t>
  </si>
  <si>
    <t>MEDEVAC PCTE JAUREGUI ESPINOZA JUAN</t>
  </si>
  <si>
    <t>MEDEVAC PCTE QUISPE DE LA CRUZ HILDA</t>
  </si>
  <si>
    <t>F001-4985</t>
  </si>
  <si>
    <t>16052026</t>
  </si>
  <si>
    <t>CAMARENA/BACA</t>
  </si>
  <si>
    <t>17052026</t>
  </si>
  <si>
    <t>B001-103</t>
  </si>
  <si>
    <t>TIRADO/BACA</t>
  </si>
  <si>
    <t>HOSP. REG. HONORIO DELGADO AREQUIPA</t>
  </si>
  <si>
    <t>F001-4989</t>
  </si>
  <si>
    <t>HOSP. REG. DOCENTE CAJAMARCA</t>
  </si>
  <si>
    <t>BENAVENTE/CESPEDES</t>
  </si>
  <si>
    <t>MEDEVAC PCTE POMA BARBARAN RONALD OCTAVIO</t>
  </si>
  <si>
    <t>MEDEVAC PCTE CABRERA DE DAZA ARMINDA</t>
  </si>
  <si>
    <t>MEDEVAC PCTE GONZALES VENTUR MERALIO</t>
  </si>
  <si>
    <t>MEDEVAC PCTE MENDOZA PEREZ WILMER</t>
  </si>
  <si>
    <t>MEDEVAC PCTE PEREA VASQUEZ RODITA</t>
  </si>
  <si>
    <t>MEDEVAC PCTE LAMA VILLAR EDUARDO</t>
  </si>
  <si>
    <t>MEDEVAC PCTE ESCOBAR ROMERO JUAN</t>
  </si>
  <si>
    <t>MEDEVAC PCTE TRIPUL RODRIGUEZ ABRAHAM FRANCISCO</t>
  </si>
  <si>
    <t>MEDEVAC PCTE DIOSES ELIZALDE YOLANDA</t>
  </si>
  <si>
    <t>MEDEVAC PCTE ROMERO QUISPE MARIA CONSAGRADA</t>
  </si>
  <si>
    <t>F001-4987</t>
  </si>
  <si>
    <t>F001-4993</t>
  </si>
  <si>
    <t>MEDEVAC PCTE REYES CRUZ EITHAN ARTURO</t>
  </si>
  <si>
    <t>LUWIKAPRI CONSULTING E.I.R.L.</t>
  </si>
  <si>
    <t>F001-4992</t>
  </si>
  <si>
    <t>MEDEVAC PCTE RISCO RAMOS ZAYDA NORELLY</t>
  </si>
  <si>
    <t>MEDEVAC PCTE TIPO CANSAYA IRENE</t>
  </si>
  <si>
    <t>MEDEVAC PCTE NOVA QUISPITUPA ALFREDO IVAN</t>
  </si>
  <si>
    <t>F001-4990</t>
  </si>
  <si>
    <t>F001-4991</t>
  </si>
  <si>
    <t>MEDEVAC PCTE MAMANI CATUNTA JOSÉ JESUS</t>
  </si>
  <si>
    <t>MEDEVAC PCTE ROJAS FLORES HANNA SOFIA</t>
  </si>
  <si>
    <t>MEDEVAC PCTE SANTA CRUZ LINO ARIEL</t>
  </si>
  <si>
    <t>MEDEVAC PCTE TARAZONA PIZANGO ANGEL</t>
  </si>
  <si>
    <t>MORENO/BACA</t>
  </si>
  <si>
    <t>AEROCARE</t>
  </si>
  <si>
    <t>F001-4994</t>
  </si>
  <si>
    <t>F001-4996</t>
  </si>
  <si>
    <t>F001-4993 Y F001-4996</t>
  </si>
  <si>
    <t>F001-4998</t>
  </si>
  <si>
    <t>F001-4999</t>
  </si>
  <si>
    <t>F001-4986</t>
  </si>
  <si>
    <t>ALARCO/BACA</t>
  </si>
  <si>
    <t>MEDEVAC PCTE COSSIO REYNA VICTORIA AYLANY</t>
  </si>
  <si>
    <t>MEDEVAC PCTE CAMACHO LIZARME JOSHUA SMITH</t>
  </si>
  <si>
    <t>MEDEVAC PCTE ROJAS CABRERA JULIA</t>
  </si>
  <si>
    <t>MEDEVAC PCTE ANGELOVEN LOTTE</t>
  </si>
  <si>
    <t>MEDEVAC PCTE MICHELS BARBARA MARIA</t>
  </si>
  <si>
    <t xml:space="preserve"> 6:42</t>
  </si>
  <si>
    <t>F001-5000</t>
  </si>
  <si>
    <t>B001-104</t>
  </si>
  <si>
    <t>F001-5002</t>
  </si>
  <si>
    <t>F001-5005</t>
  </si>
  <si>
    <t>F001-5006</t>
  </si>
  <si>
    <t>CUS-VR</t>
  </si>
  <si>
    <t>01062026</t>
  </si>
  <si>
    <t>UNISTAR AIRLINES</t>
  </si>
  <si>
    <t>MEDEVAC PCTE CUEVA SANTAMARIA RICHARD ENRIQUE</t>
  </si>
  <si>
    <t>MEDEVAC PCTE BARDALES RENGIFO MANUEL ANTONIO</t>
  </si>
  <si>
    <t>MEDEVAC PCTE SANTAMARIA OBANDO ESTEBAN</t>
  </si>
  <si>
    <t xml:space="preserve"> MEDEVAC PCTE PINEDO FLORES BELLA</t>
  </si>
  <si>
    <t>MEDEVAC PCTE PARIA MAMANI FELIX LINDOR</t>
  </si>
  <si>
    <t xml:space="preserve">MEDEVAC PCTE BARBARAN LA TORRE MARINA </t>
  </si>
  <si>
    <t>02062026</t>
  </si>
  <si>
    <t>ESSALUD AMAZONAS</t>
  </si>
  <si>
    <t>F001-5007</t>
  </si>
  <si>
    <t>03062026</t>
  </si>
  <si>
    <t>AUNA-PAGÓ PACIENTE</t>
  </si>
  <si>
    <t>04062026</t>
  </si>
  <si>
    <t>F001-4766</t>
  </si>
  <si>
    <t>05062026</t>
  </si>
  <si>
    <t>06062026</t>
  </si>
  <si>
    <t>HOSPITAL SUB-REGIONAL ANDAHUAYLAS</t>
  </si>
  <si>
    <t>08062026</t>
  </si>
  <si>
    <t>07062026</t>
  </si>
  <si>
    <t>F001-5010</t>
  </si>
  <si>
    <t>MEDEVAC PCTE COLAN MORA JULIO CESAR - JUNTA MEDICA NO TRSLADAB LE</t>
  </si>
  <si>
    <t>BENAVENTE/CACERES</t>
  </si>
  <si>
    <t>MEDEVAC PCTE MAYTA MEZA JANET BETZA</t>
  </si>
  <si>
    <t>HZ-LIM</t>
  </si>
  <si>
    <t>ALARCO/CESPEDES</t>
  </si>
  <si>
    <t>F001-5014</t>
  </si>
  <si>
    <t>MEDEVAC PCTE CACERES SALAZAR CIRILO</t>
  </si>
  <si>
    <t>F001-5015</t>
  </si>
  <si>
    <t>TRANSPORTE AEREO PCTE ORIA FILOMENA CLAUDIA FERNANDA</t>
  </si>
  <si>
    <t>ASISTENCIA MEDICA PCTE SORIA FILOMENO CLAUDIA FERNANDA</t>
  </si>
  <si>
    <t>TRANSPORTE AEREO PCTE TAMINCHI OJANAMA SANDRA LUZ</t>
  </si>
  <si>
    <t>ASISTENCIA MEDICA PCTE TAMINCHI OJANAMA SANDRA LUZ</t>
  </si>
  <si>
    <t>TRANSPORTE AEREO PCTE TORRES PISCONTE CAMILA MILAGROS</t>
  </si>
  <si>
    <t>ASISTENCIA MEDICA PCTE TORRES PISCONTE CAMILA MILAGROS</t>
  </si>
  <si>
    <t>TRANSPORTE AEREO PCTE SANCHEZ PINCHI IVIS FRANCIS</t>
  </si>
  <si>
    <t>ASISTENCIA MEDICA PCTE SANCHEZ PINCHI IVIS FRANCIS</t>
  </si>
  <si>
    <t>F001-5022</t>
  </si>
  <si>
    <t>F001-5023</t>
  </si>
  <si>
    <t>F001-5024</t>
  </si>
  <si>
    <t>F001-5025</t>
  </si>
  <si>
    <t>F001-5039</t>
  </si>
  <si>
    <t>F001-5038</t>
  </si>
  <si>
    <t>COSTO</t>
  </si>
  <si>
    <t>SOLAMENTE CON PRECIO TERPEL</t>
  </si>
  <si>
    <t>0B2092</t>
  </si>
  <si>
    <t>CON PRECIO TERPEL E ICARO - PETRO Y AREQUIPA ANTERIOR</t>
  </si>
  <si>
    <t>HORAS</t>
  </si>
  <si>
    <t>CONTRATO N° 14-2026-D-RAAY-ESSALUD</t>
  </si>
  <si>
    <t>F001-5042</t>
  </si>
  <si>
    <t>MEDEVAC PCTE HUAMAN SANCHEZ YOSEMITH MACARENA</t>
  </si>
  <si>
    <t>MEDEVAC PCTE VASQUEZ HUAMAN CLEMENTINA</t>
  </si>
  <si>
    <t>F001-5020</t>
  </si>
  <si>
    <t>F001-5028</t>
  </si>
  <si>
    <t>F001-5029</t>
  </si>
  <si>
    <t>F001-5026</t>
  </si>
  <si>
    <t>MEDEVAC PCTE MAMINA YUCRA BENITO</t>
  </si>
  <si>
    <t xml:space="preserve">MEDEVAC PCTE CONDORI MARCELA MAMANI </t>
  </si>
  <si>
    <t>F001-5024 Y F001-5025</t>
  </si>
  <si>
    <t>MEDEVAC PCTE ARIAS GONZALES BLANCA LILI</t>
  </si>
  <si>
    <t>MEDEVAC PCTE CORNELIO RIVERA EITHAN GAEL</t>
  </si>
  <si>
    <t xml:space="preserve">MEDEVAC PCTE MAMANI MAMANI BERTHA </t>
  </si>
  <si>
    <t>MEDEVAC PCTE GOMEZ CALLO ZULY KAZUMI</t>
  </si>
  <si>
    <t>MEDEVAC PCTE JORGE SINACAY ANDI</t>
  </si>
  <si>
    <t>F001-5037</t>
  </si>
  <si>
    <t>MEDEVAC PCTE CALSIN CALSIN STALIN YAC</t>
  </si>
  <si>
    <t>F001-5040</t>
  </si>
  <si>
    <t>MEDEVAC PCTE ATALAYA LLAXA JHERHAL AZIEL</t>
  </si>
  <si>
    <t>MEDEVAC PCTE MAMANI QUISPE JHON</t>
  </si>
  <si>
    <t>F001-5021</t>
  </si>
  <si>
    <t>TRASLADO PCTE RIBEYRO ACUÑA CLAUDYE ANITH</t>
  </si>
  <si>
    <t>MEDEVAC PCTE VEGAS PACHERRES IVAN</t>
  </si>
  <si>
    <t>MEDEVAC PCTE CHAVEZ ASTETE PATRICIA ENCARNACION</t>
  </si>
  <si>
    <t>MEDEVAC PCTE VILCA ARUQUIPA MARILU EUFEMIA</t>
  </si>
  <si>
    <t>MEDEVAC PCTE GONZALES GONZALES JAIME ANTONIO</t>
  </si>
  <si>
    <t>MEDEVAC PCTEB MORI ROJAS MANUEL ENRIQUE</t>
  </si>
  <si>
    <t>MEDEVAC PCTE CARRION AREVALO LUIS</t>
  </si>
  <si>
    <t>MEDEVAC PCTE MALLQUI DEPAZ ROMEO AMADOR</t>
  </si>
  <si>
    <t>MEDEVAC PCTE PINEDA SALAS FLOR LUCIANA</t>
  </si>
  <si>
    <t>F001-5008</t>
  </si>
  <si>
    <t>ALARCO/BECERRA</t>
  </si>
  <si>
    <t>MEDEVAC PCTE CARBONE DAGNINO ROSSANA</t>
  </si>
  <si>
    <t>MEDEVAC PCTE WONG YERK MUI CARNDY</t>
  </si>
  <si>
    <t>MEDEVAC PCTE BERGNAN AMANDA</t>
  </si>
  <si>
    <t>MEDEVAC PCTE BERGER SIMONE</t>
  </si>
  <si>
    <t>MEDEVAC PCTE PIGGOTT PATRICIA</t>
  </si>
  <si>
    <t>F001-5045</t>
  </si>
  <si>
    <t>F001-5046</t>
  </si>
  <si>
    <t>F001-5047</t>
  </si>
  <si>
    <t>F001-5038 Y F001-5039</t>
  </si>
  <si>
    <t>F001-5013</t>
  </si>
  <si>
    <t>F001-5011</t>
  </si>
  <si>
    <t>F001-5012</t>
  </si>
  <si>
    <t>F001-5009</t>
  </si>
  <si>
    <t>MEDEVAC PCTE STEPHENSEN HANNA MARIA</t>
  </si>
  <si>
    <t>MEDEVAC PCTE ALEXANDER NANCY</t>
  </si>
  <si>
    <t>F001-5051</t>
  </si>
  <si>
    <t>F001-5052</t>
  </si>
  <si>
    <t>F001-5053</t>
  </si>
  <si>
    <t>F001-5054</t>
  </si>
  <si>
    <t>F001-5055</t>
  </si>
  <si>
    <t>F001-5048</t>
  </si>
  <si>
    <t>F001-5049</t>
  </si>
  <si>
    <t>SERV. MEDICO INTEGRAL MEDEVAC PCTE INFANTE DOMINGUEZ PIERO AXEL</t>
  </si>
  <si>
    <t>F001-5048 Y F001-5049</t>
  </si>
  <si>
    <t>F001-5058</t>
  </si>
  <si>
    <t>SERVICIO MEDICO PCTE SULUCO LOZADA CRISTHY</t>
  </si>
  <si>
    <t>SERVICIO TRANSPORTE AÉREO PCTE SULUCO LOZADA CRISTHY</t>
  </si>
  <si>
    <t>F001-5043</t>
  </si>
  <si>
    <t>F001-5044</t>
  </si>
  <si>
    <t>F001-5056 Y F001-5057</t>
  </si>
  <si>
    <t>F001-5050</t>
  </si>
  <si>
    <t>F001-5065</t>
  </si>
  <si>
    <t>TCG-TPP</t>
  </si>
  <si>
    <t>TIRADO/CESPEDES</t>
  </si>
  <si>
    <t>PEÑA/BACA</t>
  </si>
  <si>
    <t>F001-4844</t>
  </si>
  <si>
    <t>01072026</t>
  </si>
  <si>
    <t>CAMARENA/CESPEDES</t>
  </si>
  <si>
    <t>B001-108</t>
  </si>
  <si>
    <t>MEDEVAC PCTE CARDENAS CARRANZA THIAGO MATIAS</t>
  </si>
  <si>
    <t>F001-5060</t>
  </si>
  <si>
    <t>F001-5061</t>
  </si>
  <si>
    <t>TRASLADO PCTE RIOS ARIAS LLENCINA</t>
  </si>
  <si>
    <t>02072026</t>
  </si>
  <si>
    <t>F001-5057</t>
  </si>
  <si>
    <t>03072026</t>
  </si>
  <si>
    <t>F001-5079</t>
  </si>
  <si>
    <t>F001-5069</t>
  </si>
  <si>
    <t>B001-109</t>
  </si>
  <si>
    <t>04072026</t>
  </si>
  <si>
    <t>05072026</t>
  </si>
  <si>
    <t>HOS. SUB-REGIONAL ANDAHUAKLAS</t>
  </si>
  <si>
    <t>PEÑA/CESPEDES</t>
  </si>
  <si>
    <t>F001-5076</t>
  </si>
  <si>
    <t>MEDEVAC PCTE  HUAITA QUISPE AGAPITO</t>
  </si>
  <si>
    <t>MEDEVAC PCTE ZEGARRA GARCIA JORGE RODRIGUEZ</t>
  </si>
  <si>
    <t>MEDEVAC PCTE TENAZOA ROBE GENOVEVA NELLY</t>
  </si>
  <si>
    <t>F001-5075</t>
  </si>
  <si>
    <t>F001-5080</t>
  </si>
  <si>
    <t>TRASLADO PCTE KATHIA GOYCOCHEA ESPINOZA</t>
  </si>
  <si>
    <t>MEDEVAC PCTE MARCAÑAUPA LLANCARI MARCIAL</t>
  </si>
  <si>
    <t>07072026</t>
  </si>
  <si>
    <t>MORENO/CACERES</t>
  </si>
  <si>
    <t>08072026</t>
  </si>
  <si>
    <t>MORENO/CESPEDES</t>
  </si>
  <si>
    <t>F001-5081</t>
  </si>
  <si>
    <t>TIRADO/CACERES</t>
  </si>
  <si>
    <t>09072026</t>
  </si>
  <si>
    <t>MEDEVAC PCTE CHAVEZ BRIONES SANTOS RENEE</t>
  </si>
  <si>
    <t>MEDEVAC PCTE CHAUCA LUZA NIVARDO HERMOGENES</t>
  </si>
  <si>
    <t>MEDEVAC PCTE TINCO VALDIVIA WILBER ANTHONY</t>
  </si>
  <si>
    <t>MEDEVAC PCTE GASPAR TITO CRISTOBAL</t>
  </si>
  <si>
    <t>MEDEVAC PCTE PINTO PALOMINO LIAM EMIL</t>
  </si>
  <si>
    <t>MEDEVAC PCTE CEDEÑO CARMONA OLIVER JOSÉ</t>
  </si>
  <si>
    <t>MEDEVAC PCTE ALCALA SACARI DYLAN</t>
  </si>
  <si>
    <t>MEDEVAC PCTE AMBIA GUTIERREZ THIAGO YADIEL ROBERT</t>
  </si>
  <si>
    <t>MEDEVAC PCTE VILLANUEVA SABINO EMILIO</t>
  </si>
  <si>
    <t>MEDEVAC PCTE VALVERDE RODRIGUEZ ERICK LEONCIO</t>
  </si>
  <si>
    <t>MEDEVAC PCTE RAMOS CADILLO CONSTANTINO DAMASO</t>
  </si>
  <si>
    <t>MEDEVAC PCTE RIOS BRINGAS CLARA ANGELICA</t>
  </si>
  <si>
    <t>MEDEVAC PCTE ALFARO RAMIREZ JESSICA ROCIO</t>
  </si>
  <si>
    <t>MEDEVAC PCTE ESCOBAR VALENCIA FALU</t>
  </si>
  <si>
    <t>F001-5086</t>
  </si>
  <si>
    <t>F001-5088</t>
  </si>
  <si>
    <t>MEDEVAC PCTE LOPEZ CAMPANA FELICIANO</t>
  </si>
  <si>
    <t>MEDEVAC PCTE FLORES ZAVALA EVA</t>
  </si>
  <si>
    <t>SERV. TRANSP AEREO CAMPOVERDE ABAD RN</t>
  </si>
  <si>
    <t>SERV. MEDICO CAMPOVERDE ABAD RN</t>
  </si>
  <si>
    <t>SERV. TRANSPORTE AEREO PCTE SANTANA YEPEZ ENRIQUE ALFONSO</t>
  </si>
  <si>
    <t>SERV. MEDICO PCTE SANTANA YEPEZ ENRIQUE ALFONSO</t>
  </si>
  <si>
    <t>11072026</t>
  </si>
  <si>
    <t>13072026</t>
  </si>
  <si>
    <t>14072026</t>
  </si>
  <si>
    <t>MEDEVAC PCTE BARBARAN LUJAN EDWIN CARLOS</t>
  </si>
  <si>
    <t>CONTRATO No 07-2026-HHUT-DRSS.T/GOB.REG.TACNA</t>
  </si>
  <si>
    <t>F001-5089</t>
  </si>
  <si>
    <t>CONTRATO N° 13-2025-HRHD</t>
  </si>
  <si>
    <t>MEDEVAC PCTE VILCAZAN MAMANI ALISSE VALERIA</t>
  </si>
  <si>
    <t>CONTRATO N° ……-2026 HOSP GENERAL DE JAEN</t>
  </si>
  <si>
    <t>CONTRATO N° …..-2026-HGJ</t>
  </si>
  <si>
    <t>CONTRATO N° 05-2026-HRC-CUSCO</t>
  </si>
  <si>
    <t>CONTRATO N° 50-2026-HR "MNB" PUNO</t>
  </si>
  <si>
    <t>CONTRATO N° 50-2026-HR "MNB" PUNO
HOSPITAL REGIONAL MANUEL NUÑEZ BUTRON PUNO</t>
  </si>
  <si>
    <t>15072026</t>
  </si>
  <si>
    <t>F001-5096</t>
  </si>
  <si>
    <t>F001-5097</t>
  </si>
  <si>
    <t>F001-5098</t>
  </si>
  <si>
    <t>F001-5099</t>
  </si>
  <si>
    <t>F001-5102</t>
  </si>
  <si>
    <t>F001-5103</t>
  </si>
  <si>
    <t>F001-5104</t>
  </si>
  <si>
    <t>F001-5106</t>
  </si>
  <si>
    <t>INSN SAN BORJA</t>
  </si>
  <si>
    <t>MEDEVAC PCTE VELASCO GODIEL RAFAELA ARELI</t>
  </si>
  <si>
    <t>HOSP. S REG ANDAHUAYLAS</t>
  </si>
  <si>
    <t>MEDEVAC PCTE QUISPE QUISPE DELIA</t>
  </si>
  <si>
    <t>MEDEVAC PCTE PARIONA HUARCAYA CRISTELL ELISA</t>
  </si>
  <si>
    <t>MEDEVAC PCTE CORONADO YUPANQUI EDWAR</t>
  </si>
  <si>
    <t>MEDEVAC PCTE RIVERA APUELA PABLO</t>
  </si>
  <si>
    <t>LIM-TPP</t>
  </si>
  <si>
    <t>F001-5117</t>
  </si>
  <si>
    <t>F001-5118</t>
  </si>
  <si>
    <t>MEDEVAC PCTE OROSCO MENDOZA HILMAR RODRIGO</t>
  </si>
  <si>
    <t>MEDEVAC PCTE ALMANZA MENDOZA ANGGIE EDITA</t>
  </si>
  <si>
    <t>17072026</t>
  </si>
  <si>
    <t>19072026</t>
  </si>
  <si>
    <t>21072026</t>
  </si>
  <si>
    <t>MEDEVAC PCTE REATEGUI RIOS NORITA AYME</t>
  </si>
  <si>
    <t>MEDEVAC PCTE ROBLES YANAC DE ECHE ROCIO DEL PILAR</t>
  </si>
  <si>
    <t>MEDEVAC PCTE ATAUCUSI MENDOZA DAVID LEONARDO</t>
  </si>
  <si>
    <t>MEDEVAC PCTE TINEO SILVA LUVINA</t>
  </si>
  <si>
    <t>RESCATE OB2092</t>
  </si>
  <si>
    <t>TRASLADO PCTE MENDOZA DAVILA JORDY JEREMY MARCOS</t>
  </si>
  <si>
    <t>F001-5120</t>
  </si>
  <si>
    <t>F001-5121</t>
  </si>
  <si>
    <t>ALARCO/CACERES</t>
  </si>
  <si>
    <t>23072026</t>
  </si>
  <si>
    <t>24072026</t>
  </si>
  <si>
    <t>MEDEVAC PCTE CHOCANO NUÑEZ DE BELLIDO MARIA ORIALIZ</t>
  </si>
  <si>
    <t>MEDEVAC PCTE DOLORES RUIZ EDUARDO ISIDRO</t>
  </si>
  <si>
    <t>MEDEVAC PCTE RAMOS CHOQUE OLGA DIONISIA</t>
  </si>
  <si>
    <t>MEDEVAC PCTE PANCCA CONDORI ELBA ESMERALDA</t>
  </si>
  <si>
    <t>F001-5122</t>
  </si>
  <si>
    <t>F001-5074</t>
  </si>
  <si>
    <t>MEDEVAC PCTE HUMAN ROMERO LIAN KALEF</t>
  </si>
  <si>
    <t>F001-5128</t>
  </si>
  <si>
    <t>F001-5127</t>
  </si>
  <si>
    <t>F001-5129</t>
  </si>
  <si>
    <t>F001-5101</t>
  </si>
  <si>
    <t>F001-5112</t>
  </si>
  <si>
    <t>F001-5107</t>
  </si>
  <si>
    <t>F001-4889 y F001-4890</t>
  </si>
  <si>
    <t>F001-5109-5110</t>
  </si>
  <si>
    <t>F001-5102-5103</t>
  </si>
  <si>
    <t>F001-5032</t>
  </si>
  <si>
    <t>F001-5064</t>
  </si>
  <si>
    <t>F001-5124</t>
  </si>
  <si>
    <t>F001-5119</t>
  </si>
  <si>
    <t>MEDEVAC PCTE AMACIFUEN DAVILA ZAIDA</t>
  </si>
  <si>
    <t>MEDEVAC PCTE HUAMAN GARAY EMERSON JAIR</t>
  </si>
  <si>
    <t>F001-5123</t>
  </si>
  <si>
    <t>01082026</t>
  </si>
  <si>
    <t>CAMARENE/PCESPEDES</t>
  </si>
  <si>
    <t>02082026</t>
  </si>
  <si>
    <t>03082026</t>
  </si>
  <si>
    <t>F001-5100</t>
  </si>
  <si>
    <t>F001-5108</t>
  </si>
  <si>
    <t>MEDEVAC PCTE BOMBARDIER MICHELLE MARIE</t>
  </si>
  <si>
    <t>MEDEVAC PCTE ORTENBLAD SOFIE GUBBA</t>
  </si>
  <si>
    <t>MEDEVAC PCTE PEREZ DIAZ MARIA</t>
  </si>
  <si>
    <t>MEDEVAC PCTE LIAGRE CHANTAL GHISLAINE</t>
  </si>
  <si>
    <t>MEDEVAC PCTE EVA NOVAKOVA</t>
  </si>
  <si>
    <t>MEDEVAC PCTE NOEL MAURICE JEAN TUAL</t>
  </si>
  <si>
    <t>MEDEVAC PCTE TARIQ AKHTAR RAHMAN</t>
  </si>
  <si>
    <t>04082026</t>
  </si>
  <si>
    <t xml:space="preserve">HOSP. GENERAL DE JAEN   </t>
  </si>
  <si>
    <t>F001-5140</t>
  </si>
  <si>
    <t>F001-5141</t>
  </si>
  <si>
    <t>MEDEVAC  PCTE LOPEZ SAAVEDRA JEAN PIERO</t>
  </si>
  <si>
    <t>POR VER</t>
  </si>
  <si>
    <t>JE-LIM</t>
  </si>
  <si>
    <t>05082026</t>
  </si>
  <si>
    <t>TC-LIM</t>
  </si>
  <si>
    <t>MEDEVAC PCTE MONTEZA BEAS JHONATAN</t>
  </si>
  <si>
    <t>MEDEVAC PCTE LLATAS CONSTANTINO LUIS</t>
  </si>
  <si>
    <t>MEDEVAC PCTE COTOHUANCA LARA, CONSTANTINO PABLO</t>
  </si>
  <si>
    <t>MEDEVAC PCTE ORDINOLA VALLADOLID RICARDO</t>
  </si>
  <si>
    <t xml:space="preserve">F001-5083  </t>
  </si>
  <si>
    <t>F001-5033</t>
  </si>
  <si>
    <t>F001-5131</t>
  </si>
  <si>
    <t>F001-5109</t>
  </si>
  <si>
    <t>F001-5110</t>
  </si>
  <si>
    <t>SERV. ASISTENCIA MEDICA PCTE LARICO VILCA ADRIANO ARMANDO</t>
  </si>
  <si>
    <t>SERV TRANSPORTE AMBUALANCIA AEREA PCTE LARICO VILCA ADRIANO ARMANDO</t>
  </si>
  <si>
    <t>MEDEVAC PCTE POYER BORIS SYLVAIN CAMILLE</t>
  </si>
  <si>
    <t>MEDEVAC PCTE LOPEZ HUAMAN ALESSANDRA*</t>
  </si>
  <si>
    <t>MEDEVAC PCTE MENDOZA VASQUEZ SAYURI</t>
  </si>
  <si>
    <t>F001-5132</t>
  </si>
  <si>
    <t>06082026</t>
  </si>
  <si>
    <t>AEROCRE</t>
  </si>
  <si>
    <t>07082026</t>
  </si>
  <si>
    <t>F001-5133</t>
  </si>
  <si>
    <t>F001-5157</t>
  </si>
  <si>
    <t>F001-5135</t>
  </si>
  <si>
    <t>08082026</t>
  </si>
  <si>
    <t>CAMARENA/CACERES</t>
  </si>
  <si>
    <t>09082026</t>
  </si>
  <si>
    <t>PEÑA/ACUCÑA</t>
  </si>
  <si>
    <t>10082026</t>
  </si>
  <si>
    <t>11082026</t>
  </si>
  <si>
    <t>F001-5158</t>
  </si>
  <si>
    <t xml:space="preserve">SERV. TRANSP AEREO JUAREZ GARCIA ANDY JHOAN </t>
  </si>
  <si>
    <t>SERV. MEDICO JUAREZ GARCIA ANDY JHOAN</t>
  </si>
  <si>
    <t>F001-5144</t>
  </si>
  <si>
    <t>F001-5145</t>
  </si>
  <si>
    <t>F001-5156</t>
  </si>
  <si>
    <t>MORENO/REYNER</t>
  </si>
  <si>
    <t>12082026</t>
  </si>
  <si>
    <t>13082026</t>
  </si>
  <si>
    <t>CONTRATO N° No 07-2026-HHUT-DRSS.T/GOB.REG.TACNA</t>
  </si>
  <si>
    <t>MEDEVAC PCTE LEONE CARMI ATLAN</t>
  </si>
  <si>
    <t>F001-5160</t>
  </si>
  <si>
    <t>F001-5161</t>
  </si>
  <si>
    <t>MEDEVAC PCTE ELIAS GELLER</t>
  </si>
  <si>
    <t>MEDEVAC PCTE CABELLO ARTEAGA MARIANA</t>
  </si>
  <si>
    <t>MEDEVAC PCTE ABANTO FERNANDEZ PAUL RENATO</t>
  </si>
  <si>
    <t>PEÑA/CACERES</t>
  </si>
  <si>
    <t>NZA-LIM</t>
  </si>
  <si>
    <t>15082026</t>
  </si>
  <si>
    <t>16082026</t>
  </si>
  <si>
    <t>17082026</t>
  </si>
  <si>
    <t>F001-5171</t>
  </si>
  <si>
    <t>18082026</t>
  </si>
  <si>
    <t>BENAVENTE/REYNER</t>
  </si>
  <si>
    <t>HOSPITAL REGIONAL DOCENTE DE MEDICINA TROPICAL-CHANCHAMAYO</t>
  </si>
  <si>
    <t>83.HOSP. MED TROPICAL-CHANCHAMA</t>
  </si>
  <si>
    <t>19082026</t>
  </si>
  <si>
    <t>MEDEVAC PCTE CAMPOS PACHECO WALTER ARTHURO</t>
  </si>
  <si>
    <t>MEDEVAC PCTE YUCRA RAMOS SONIA</t>
  </si>
  <si>
    <t>F001-5168</t>
  </si>
  <si>
    <t>MEDEVAC PCTE BARZOLA PALOMINO ISMAEL</t>
  </si>
  <si>
    <t>F001-5162</t>
  </si>
  <si>
    <t>F001-5167</t>
  </si>
  <si>
    <t>F001-5166</t>
  </si>
  <si>
    <t>F001-5163</t>
  </si>
  <si>
    <t>F001-5164</t>
  </si>
  <si>
    <t>ENVIADO POR MPV CON ORDEND E COMPRA</t>
  </si>
  <si>
    <t>MEDEVAC PCTE BANCES RAMIREZ YADIEL MATHIAS</t>
  </si>
  <si>
    <t>MEDEVAC PCTE LARA PORTILLO KENYER</t>
  </si>
  <si>
    <t>EN LOGISTICA AL 19/08</t>
  </si>
  <si>
    <t>MEDEVAC PCTE PEREIRA AIQUIPA KEESHA AITANA</t>
  </si>
  <si>
    <t>F001-5174</t>
  </si>
  <si>
    <t>F001-5173</t>
  </si>
  <si>
    <t>F001-5172</t>
  </si>
  <si>
    <t>F001-5155</t>
  </si>
  <si>
    <t>20082026</t>
  </si>
  <si>
    <t>21082026</t>
  </si>
  <si>
    <t>TRANSPORTES FLORES</t>
  </si>
  <si>
    <t>F001-5092</t>
  </si>
  <si>
    <t>F001-5144 Y F001-5145</t>
  </si>
  <si>
    <t>F001-5175</t>
  </si>
  <si>
    <t>F001-5181</t>
  </si>
  <si>
    <t>B001-106</t>
  </si>
  <si>
    <t>MEDEVAC PCTE ZAPATA DE TALLEDO PAULA</t>
  </si>
  <si>
    <t>MEDEVAC PCTE DIANDERAS DURAN EDMUNDO FEDERICO</t>
  </si>
  <si>
    <t>MEDEVAC PCTE MENDOZA SAJAMI YVET</t>
  </si>
  <si>
    <t>22082026</t>
  </si>
  <si>
    <t>23082026</t>
  </si>
  <si>
    <t>24082026</t>
  </si>
  <si>
    <t>F001-5179</t>
  </si>
  <si>
    <t>MEDEVAC PCTE HUAPI CHAVEZ RN</t>
  </si>
  <si>
    <t>F001-5178</t>
  </si>
  <si>
    <t>MEDEVAC PCTE VALLADOLID BRAVO IKER GAEL</t>
  </si>
  <si>
    <t>F001-5184</t>
  </si>
  <si>
    <t>F001-5143</t>
  </si>
  <si>
    <t>F001-5180</t>
  </si>
  <si>
    <t>F001-5183</t>
  </si>
  <si>
    <t>MEDEVAC PCTE LOMA ROSAS TAEH AXEL AZIEL</t>
  </si>
  <si>
    <t>F001-5182</t>
  </si>
  <si>
    <t>MEDEVAC PCTE RAFAELA ARACELY VILCHEZ APAZA</t>
  </si>
  <si>
    <t>F001-5169</t>
  </si>
  <si>
    <t>F001-5154</t>
  </si>
  <si>
    <t>F001-5176</t>
  </si>
  <si>
    <t>F001-5159</t>
  </si>
  <si>
    <t>MATERIALES ADITIVOS Y DERIVADOS PARA LA CONSTRUCCION S.R.L.</t>
  </si>
  <si>
    <t>F001-5185</t>
  </si>
  <si>
    <t>HOS. SUB-REGIONAL ANDAHUAYLAS</t>
  </si>
  <si>
    <t>F001-5186</t>
  </si>
  <si>
    <t>CABRERA VARGAS SEGUNDO CESAR</t>
  </si>
  <si>
    <t>B001-110</t>
  </si>
  <si>
    <t>27082026</t>
  </si>
  <si>
    <t>F001-5189</t>
  </si>
  <si>
    <t>MEDEVAC PCTE OCHANTE GOMEZ PAULINA</t>
  </si>
  <si>
    <t>28082026</t>
  </si>
  <si>
    <t>ESSALUD LORETO-DIRECTA</t>
  </si>
  <si>
    <t xml:space="preserve">TOTAL DEUDA CONTRATO </t>
  </si>
  <si>
    <t>CONTRATO N° ……. - GRALO-ESSALUD-2026</t>
  </si>
  <si>
    <t>MEDEVAC PCTE FLORES ZUÑIGA HUGO AGAPITO</t>
  </si>
  <si>
    <t>F001-5188</t>
  </si>
  <si>
    <t>29082026</t>
  </si>
  <si>
    <t>30082026</t>
  </si>
  <si>
    <t>31082026</t>
  </si>
  <si>
    <t>HOSP.BELEN TRUJILLO</t>
  </si>
  <si>
    <t>01092026</t>
  </si>
  <si>
    <t>F001-5192 y F001-5193</t>
  </si>
  <si>
    <t>F001-5191</t>
  </si>
  <si>
    <t>F001-5190</t>
  </si>
  <si>
    <t>MEDEVAC PCTE DEL CASTILLO VERASTEGUI RAMON TITO</t>
  </si>
  <si>
    <t>MEDEVAC PCTE WILLIAMS ROSSELL VICTOR FERNANDO</t>
  </si>
  <si>
    <t>MEDEVAC PCTE YDROGO FLORES KHALESSY JAZMEL</t>
  </si>
  <si>
    <t xml:space="preserve">MEDEVAC PCTE RAMIREZ RAMIREZ LILY </t>
  </si>
  <si>
    <t xml:space="preserve">MEDEVAC PCTE HUAMAN OSCCO ALARA ARIANA </t>
  </si>
  <si>
    <t>MEDEVAC PCTE MAQQUE MAMANI AMIR EDUARDO</t>
  </si>
  <si>
    <t>MEDEVAC PCTE OSCO QUISPE AITANA MURIEL</t>
  </si>
  <si>
    <t>MEDEVAC PCTE BRIMMEL JAMES LEE BERNARD</t>
  </si>
  <si>
    <t>MEDEVAC PCTE BURGA ESTELA EDUARDO</t>
  </si>
  <si>
    <t>MEDEVAC PCTE VARGAS DIAZ HERNANDO</t>
  </si>
  <si>
    <t>MEDEVAC PCTE RODRIGUEZ AREDO VALENTINA CATALEYA</t>
  </si>
  <si>
    <t>MEDEVAC PCTE HUAYTARA LACUTA JOSUE MEDARDO</t>
  </si>
  <si>
    <t>MEDEVAC PCTE MENDOZA HUAYLLA LIAM SMITH</t>
  </si>
  <si>
    <t>MEDEVAC PCTE QUISPE TITO JOHANY OLINDA</t>
  </si>
  <si>
    <t>MEDEVAC ARTEAGA TAFUR JUAN EITHAN SAMIR</t>
  </si>
  <si>
    <t>MEDEVAC PCTE FLORES HUANCA CESAR STEFANO</t>
  </si>
  <si>
    <t>MEDEVAC PCTE BARBOZA CAMPOS JOEL</t>
  </si>
  <si>
    <t>MEDEVAC PCTE GARCIA SILVA SAHIRA ABIGAIL</t>
  </si>
  <si>
    <t>MEDEVAC PCTE BOCANEGRA REAÑO MARCOS</t>
  </si>
  <si>
    <t>MEDEVAC PCTE CAHUI COILA MIGUEL GERARDO</t>
  </si>
  <si>
    <t>MEDEVAC PCTE VIDAL PACHERRES EDUARDO</t>
  </si>
  <si>
    <t>MEDEVAC PCTE ZAPANA ENCINAS EDWIN ANGEL</t>
  </si>
  <si>
    <t>02092026</t>
  </si>
  <si>
    <t>al 02/09/26</t>
  </si>
  <si>
    <t xml:space="preserve">CCONTRATO N° 056-GRALO-ESSALUD-2026
CONTRATACION DE SERVICIO PARA TRANSPORTE ASISTIDO DE PACIENTES POR VIA AEREA - AMBULANCIA AEREA
 - HOSPITAL III IQUITOS ESSALUD - RED ASISTENCIAL LORETO PERÍODO DOCE (12) MESES. </t>
  </si>
  <si>
    <t>03092026</t>
  </si>
  <si>
    <t>x|</t>
  </si>
  <si>
    <t>04092026</t>
  </si>
  <si>
    <t>05092026</t>
  </si>
  <si>
    <t>REDESS COLLAO</t>
  </si>
  <si>
    <t>F001-5194</t>
  </si>
  <si>
    <t>F001-5196</t>
  </si>
  <si>
    <t>03 set 26</t>
  </si>
  <si>
    <t>MEDEVAC PCTE FARFAN ALCOCER JORGE LUIS</t>
  </si>
  <si>
    <t>04 set 26</t>
  </si>
  <si>
    <t>MEDEVAC CHURA GINEZ DAYRON NEYMAR</t>
  </si>
  <si>
    <t>F001-5197</t>
  </si>
  <si>
    <t>F001-5199</t>
  </si>
  <si>
    <t>MEDEVAC PCTE PEREZ AVELLANEDA SHEYLA JAMELI</t>
  </si>
  <si>
    <t>HUANUCO - LIMA</t>
  </si>
  <si>
    <t>MEDEVAC PCTE ECHEVARRIA ARRATEA KETTY</t>
  </si>
  <si>
    <t>MEDEVAC PCTE AGUINADA DIAZ LUIS ARNOL</t>
  </si>
  <si>
    <t>F001-5200</t>
  </si>
  <si>
    <t>F001-5201</t>
  </si>
  <si>
    <t>08092026</t>
  </si>
  <si>
    <t>09092026</t>
  </si>
  <si>
    <t>MEDEVAC PCTE DIONISIO PATRICIO LUDWIN NOVEL</t>
  </si>
  <si>
    <t>MEDEVAC PCTE REYNAGA SILVERA XIMENA</t>
  </si>
  <si>
    <t>F001-5202</t>
  </si>
  <si>
    <t>F001-5203</t>
  </si>
  <si>
    <t>F001-5204</t>
  </si>
  <si>
    <t>PEÑA/REYNER</t>
  </si>
  <si>
    <t>MEDEVAC PCTE RCIRO CALLASACA QUISPE</t>
  </si>
  <si>
    <t>B001-111</t>
  </si>
  <si>
    <t>11092026</t>
  </si>
  <si>
    <t>12092026</t>
  </si>
  <si>
    <t>ALTO HUALLAGA</t>
  </si>
  <si>
    <t>13092026</t>
  </si>
  <si>
    <t>14092026</t>
  </si>
  <si>
    <t>F001-5212</t>
  </si>
  <si>
    <t>F001-5211</t>
  </si>
  <si>
    <t>F001-5210</t>
  </si>
  <si>
    <t>F001-5209</t>
  </si>
  <si>
    <t>F001-5208</t>
  </si>
  <si>
    <t>MEDEVAC PCTE ALVARADO ALVARADO HECTOR ADRIAN</t>
  </si>
  <si>
    <t>MEDEVAC PCTE ARCE SOSA FELICITAS</t>
  </si>
  <si>
    <t>MEDEVAC PCTE LLANO QUISPE FRANK HENRY</t>
  </si>
  <si>
    <t>MEDEVAC PCTE LEON MOLINA EDWIN ELMER</t>
  </si>
  <si>
    <t>MEDEVAC PCTE TRUJILLO EVARISTO ESTEPHANY</t>
  </si>
  <si>
    <t>INFANTE DOMINGUEZ PIERO AXEL</t>
  </si>
  <si>
    <t>SERV. TRANSPORTE PCTE LAPO FARFAN RN</t>
  </si>
  <si>
    <t>SERV. MEDICO INTEGRAL MEDEVAC PCTE LAPO FARFAN RN</t>
  </si>
  <si>
    <t>F001-5214</t>
  </si>
  <si>
    <t>F001-5215</t>
  </si>
  <si>
    <t>15092026</t>
  </si>
  <si>
    <t>16092026</t>
  </si>
  <si>
    <t>F001-5217</t>
  </si>
  <si>
    <t>BENAVENTE/MEZA</t>
  </si>
  <si>
    <t>F001-5222</t>
  </si>
  <si>
    <t>HOSP AMAZONICO DE YARINACOCHA</t>
  </si>
  <si>
    <t>B001-112</t>
  </si>
  <si>
    <t>17092026</t>
  </si>
  <si>
    <t>B001 - 113</t>
  </si>
  <si>
    <t>18092026</t>
  </si>
  <si>
    <t>HOSP REGIONAL VIRGEN DE FATIMA CHACHAPOYAS</t>
  </si>
  <si>
    <t>19092026</t>
  </si>
  <si>
    <t>F001-5223</t>
  </si>
  <si>
    <t>total</t>
  </si>
  <si>
    <t>20092026</t>
  </si>
  <si>
    <t xml:space="preserve">MEDEVAC PCTE CAMPOS RAMIREZ LILIANA </t>
  </si>
  <si>
    <t>21092026</t>
  </si>
  <si>
    <t>MORENO/MEZA</t>
  </si>
  <si>
    <t>22092026</t>
  </si>
  <si>
    <t>F001-5224</t>
  </si>
  <si>
    <t xml:space="preserve">MEDEVAC PCTE PAREDES ROQUE GUADALUPE </t>
  </si>
  <si>
    <t>F001-5225</t>
  </si>
  <si>
    <t>MEDEVAC PCTE GOMEZ MEZA CARLOS</t>
  </si>
  <si>
    <t>MEDEVAC PCTE AVILA DE BARDALES JUANA CLOTILDE</t>
  </si>
  <si>
    <t>MEDEVAC PCTE SANTOS RODRIGUEZ CRISTHIAN JACOB</t>
  </si>
  <si>
    <t>MEDEVAC OCTE OBREGON VILLCAS MIA AILANY NATALIE</t>
  </si>
  <si>
    <t>MEDEVAC PCTE DANTAS ARANA ERNESTO RONY</t>
  </si>
  <si>
    <t>MEDEVAC PCTE VELA DIAZ MIGUEL ALEJANDRO</t>
  </si>
  <si>
    <t>84. HOSP AMAZONICO YARINACOCHA</t>
  </si>
  <si>
    <t>F001-5213</t>
  </si>
  <si>
    <t>23092026</t>
  </si>
  <si>
    <t>MEDEVAC PCTE</t>
  </si>
  <si>
    <t>F001-5216</t>
  </si>
  <si>
    <t>MEDEVAC PCTE DIAZ PAREDES SHEYLA MARYLIN</t>
  </si>
  <si>
    <t>F001-5227</t>
  </si>
  <si>
    <t>F001-5228</t>
  </si>
  <si>
    <t>F001-5230</t>
  </si>
  <si>
    <t>F001-5231</t>
  </si>
  <si>
    <t>F001-5232</t>
  </si>
  <si>
    <t>ENVIADO X CORREO 24/09</t>
  </si>
  <si>
    <t>24092026</t>
  </si>
  <si>
    <t>25092026</t>
  </si>
  <si>
    <t>MEDEVAC PCTE LOAYZA VILLALBA CAYETANA VALENTINA</t>
  </si>
  <si>
    <t>F001-5206</t>
  </si>
  <si>
    <t xml:space="preserve">ESSALUD LORETO </t>
  </si>
  <si>
    <t>26092026</t>
  </si>
  <si>
    <t>28092026</t>
  </si>
  <si>
    <t>MEDEVAC PCTE FLORES PAREDES HIPOLITO</t>
  </si>
  <si>
    <t>MEDEVAC PCTE SILVERA ROMANI GIULIANO FRANCCESCO</t>
  </si>
  <si>
    <t>MEDEVAC PCTE PONCE MAMANCHURA DE ASTETE</t>
  </si>
  <si>
    <t>MEDEVAC PCTE VELA DASILVA MOISES ALBERTO</t>
  </si>
  <si>
    <t>MEDEVAC PCTE AROSEMENA BARTRA LICEYCA OFILIA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</si>
</sst>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3" formatCode="_-* #,##0.00_-;\-* #,##0.00_-;_-* &quot;-&quot;??_-;_-@_-"/>
    <numFmt numFmtId="164" formatCode="_ &quot;S/&quot;* #,##0.00_ ;_ &quot;S/&quot;* \-#,##0.00_ ;_ &quot;S/&quot;* &quot;-&quot;??_ ;_ @_ "/>
    <numFmt numFmtId="165" formatCode="_ * #,##0.00_ ;_ * \-#,##0.00_ ;_ * &quot;-&quot;??_ ;_ @_ "/>
    <numFmt numFmtId="166" formatCode="&quot;S/&quot;#,##0.00"/>
    <numFmt numFmtId="167" formatCode="[$$-540A]#,##0.00"/>
    <numFmt numFmtId="168" formatCode="[$$-409]#,##0.00"/>
    <numFmt numFmtId="169" formatCode="[$-F800]dddd\,\ mmmm\ dd\,\ yyyy"/>
    <numFmt numFmtId="170" formatCode="[$-1540A]m/d/yy;@"/>
    <numFmt numFmtId="171" formatCode="&quot;S/.&quot;\ #,##0.00"/>
    <numFmt numFmtId="172" formatCode="&quot;S/.&quot;#,##0.00"/>
    <numFmt numFmtId="173" formatCode="_ * #,##0_ ;_ * \-#,##0_ ;_ * &quot;-&quot;??_ ;_ @_ "/>
    <numFmt numFmtId="174" formatCode="[$-1540A]dd\-mmm\-yy;@"/>
    <numFmt numFmtId="175" formatCode="_-* #,##0.00\ _€_-;\-* #,##0.00\ _€_-;_-* &quot;-&quot;??\ _€_-;_-@_-"/>
    <numFmt numFmtId="176" formatCode="[$-1540A]m/d/yyyy;@"/>
    <numFmt numFmtId="177" formatCode="_ * #,##0.000_ ;_ * \-#,##0.000_ ;_ * &quot;-&quot;??_ ;_ @_ "/>
    <numFmt numFmtId="178" formatCode="[$-280A]d&quot; de &quot;mmmm&quot; de &quot;yyyy;@"/>
    <numFmt numFmtId="179" formatCode="dd\.mm\.yy;@"/>
    <numFmt numFmtId="180" formatCode="_-* #,##0.000_-;\-* #,##0.000_-;_-* &quot;-&quot;??_-;_-@_-"/>
    <numFmt numFmtId="181" formatCode="_-* #,##0_-;\-* #,##0_-;_-* &quot;-&quot;??_-;_-@_-"/>
    <numFmt numFmtId="182" formatCode="&quot;S/&quot;\ #,##0.00"/>
    <numFmt numFmtId="183" formatCode="0.000%"/>
    <numFmt numFmtId="184" formatCode="_ * #,##0.0000_ ;_ * \-#,##0.0000_ ;_ * &quot;-&quot;??_ ;_ @_ "/>
    <numFmt numFmtId="185" formatCode="_-* #,##0.0000_-;\-* #,##0.0000_-;_-* &quot;-&quot;??_-;_-@_-"/>
    <numFmt numFmtId="186" formatCode="0.0%"/>
    <numFmt numFmtId="187" formatCode="0.000"/>
  </numFmts>
  <fonts count="32" x14ac:knownFonts="1">
    <font>
      <sz val="11"/>
      <color theme="1"/>
      <name val="Calibri"/>
      <family val="2"/>
      <scheme val="minor"/>
    </font>
    <font>
      <sz val="11"/>
      <color rgb="FFFF0000"/>
      <name val="Calibri"/>
      <family val="2"/>
      <scheme val="minor"/>
    </font>
    <font>
      <b/>
      <sz val="11"/>
      <color theme="1"/>
      <name val="Calibri"/>
      <family val="2"/>
      <scheme val="minor"/>
    </font>
    <font>
      <b/>
      <sz val="9"/>
      <color indexed="81"/>
      <name val="Tahoma"/>
      <family val="2"/>
    </font>
    <font>
      <sz val="9"/>
      <color indexed="81"/>
      <name val="Tahoma"/>
      <family val="2"/>
    </font>
    <font>
      <sz val="11"/>
      <color rgb="FF002060"/>
      <name val="Calibri"/>
      <family val="2"/>
      <scheme val="minor"/>
    </font>
    <font>
      <sz val="11"/>
      <color theme="1"/>
      <name val="Calibri"/>
      <family val="2"/>
      <scheme val="minor"/>
    </font>
    <font>
      <sz val="11"/>
      <name val="Calibri"/>
      <family val="2"/>
      <scheme val="minor"/>
    </font>
    <font>
      <b/>
      <sz val="9"/>
      <color theme="1"/>
      <name val="Calibri"/>
      <family val="2"/>
      <scheme val="minor"/>
    </font>
    <font>
      <sz val="9"/>
      <color theme="1"/>
      <name val="Calibri"/>
      <family val="2"/>
      <scheme val="minor"/>
    </font>
    <font>
      <sz val="9"/>
      <name val="Calibri"/>
      <family val="2"/>
      <scheme val="minor"/>
    </font>
    <font>
      <sz val="9"/>
      <color rgb="FFFF0000"/>
      <name val="Calibri"/>
      <family val="2"/>
      <scheme val="minor"/>
    </font>
    <font>
      <b/>
      <sz val="11"/>
      <color rgb="FFFF0000"/>
      <name val="Calibri"/>
      <family val="2"/>
      <scheme val="minor"/>
    </font>
    <font>
      <b/>
      <sz val="11"/>
      <name val="Calibri"/>
      <family val="2"/>
      <scheme val="minor"/>
    </font>
    <font>
      <u/>
      <sz val="11"/>
      <color theme="10"/>
      <name val="Calibri"/>
      <family val="2"/>
      <scheme val="minor"/>
    </font>
    <font>
      <b/>
      <sz val="11"/>
      <color theme="0"/>
      <name val="Calibri"/>
      <family val="2"/>
      <scheme val="minor"/>
    </font>
    <font>
      <sz val="8"/>
      <name val="Calibri"/>
      <family val="2"/>
      <scheme val="minor"/>
    </font>
    <font>
      <sz val="16"/>
      <color theme="1"/>
      <name val="Calibri"/>
      <family val="2"/>
      <scheme val="minor"/>
    </font>
    <font>
      <sz val="11"/>
      <color theme="0"/>
      <name val="Calibri"/>
      <family val="2"/>
      <scheme val="minor"/>
    </font>
    <font>
      <b/>
      <sz val="20"/>
      <color theme="1"/>
      <name val="Calibri"/>
      <family val="2"/>
      <scheme val="minor"/>
    </font>
    <font>
      <sz val="11"/>
      <color theme="1" tint="0.499984740745262"/>
      <name val="Calibri"/>
      <family val="2"/>
      <scheme val="minor"/>
    </font>
    <font>
      <b/>
      <sz val="12"/>
      <color theme="1"/>
      <name val="Calibri"/>
      <family val="2"/>
      <scheme val="minor"/>
    </font>
    <font>
      <u/>
      <sz val="11"/>
      <color rgb="FFFF0000"/>
      <name val="Calibri"/>
      <family val="2"/>
      <scheme val="minor"/>
    </font>
    <font>
      <sz val="11"/>
      <color theme="2" tint="-0.499984740745262"/>
      <name val="Calibri"/>
      <family val="2"/>
      <scheme val="minor"/>
    </font>
    <font>
      <sz val="11"/>
      <color rgb="FF0000FF"/>
      <name val="Calibri"/>
      <family val="2"/>
    </font>
    <font>
      <b/>
      <sz val="12"/>
      <color rgb="FF0000FF"/>
      <name val="Calibri"/>
      <family val="2"/>
    </font>
    <font>
      <sz val="11"/>
      <color rgb="FF3366FF"/>
      <name val="Calibri"/>
      <family val="2"/>
    </font>
    <font>
      <sz val="11"/>
      <color rgb="FF000000"/>
      <name val="Calibri"/>
      <family val="2"/>
    </font>
    <font>
      <b/>
      <sz val="14"/>
      <color rgb="FF0000FF"/>
      <name val="Calibri"/>
      <family val="2"/>
    </font>
    <font>
      <b/>
      <sz val="11"/>
      <color rgb="FF0000FF"/>
      <name val="Calibri"/>
      <family val="2"/>
    </font>
    <font>
      <i/>
      <sz val="11"/>
      <color theme="1"/>
      <name val="Calibri"/>
      <family val="2"/>
      <scheme val="minor"/>
    </font>
    <font>
      <b/>
      <u/>
      <sz val="11"/>
      <color rgb="FFFF0000"/>
      <name val="Calibri"/>
      <family val="2"/>
      <scheme val="minor"/>
    </font>
  </fonts>
  <fills count="67">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0"/>
        <bgColor indexed="64"/>
      </patternFill>
    </fill>
    <fill>
      <patternFill patternType="solid">
        <fgColor theme="9" tint="0.59999389629810485"/>
        <bgColor indexed="64"/>
      </patternFill>
    </fill>
    <fill>
      <patternFill patternType="solid">
        <fgColor rgb="FF00B0F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rgb="FF92D05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66CC"/>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rgb="FFFF0000"/>
        <bgColor indexed="64"/>
      </patternFill>
    </fill>
    <fill>
      <patternFill patternType="solid">
        <fgColor theme="4" tint="-0.249977111117893"/>
        <bgColor indexed="64"/>
      </patternFill>
    </fill>
    <fill>
      <patternFill patternType="solid">
        <fgColor rgb="FFDEC8EE"/>
        <bgColor indexed="64"/>
      </patternFill>
    </fill>
    <fill>
      <patternFill patternType="solid">
        <fgColor rgb="FFFFCCFF"/>
        <bgColor indexed="64"/>
      </patternFill>
    </fill>
    <fill>
      <patternFill patternType="solid">
        <fgColor theme="4" tint="0.39997558519241921"/>
        <bgColor indexed="64"/>
      </patternFill>
    </fill>
    <fill>
      <patternFill patternType="solid">
        <fgColor rgb="FF55F030"/>
        <bgColor indexed="64"/>
      </patternFill>
    </fill>
    <fill>
      <patternFill patternType="solid">
        <fgColor rgb="FFCC00FF"/>
        <bgColor indexed="64"/>
      </patternFill>
    </fill>
    <fill>
      <patternFill patternType="solid">
        <fgColor theme="7" tint="-0.249977111117893"/>
        <bgColor indexed="64"/>
      </patternFill>
    </fill>
    <fill>
      <patternFill patternType="solid">
        <fgColor theme="0" tint="-0.249977111117893"/>
        <bgColor indexed="64"/>
      </patternFill>
    </fill>
    <fill>
      <patternFill patternType="solid">
        <fgColor rgb="FF30E406"/>
        <bgColor indexed="64"/>
      </patternFill>
    </fill>
    <fill>
      <patternFill patternType="solid">
        <fgColor theme="7"/>
        <bgColor indexed="64"/>
      </patternFill>
    </fill>
    <fill>
      <patternFill patternType="solid">
        <fgColor rgb="FF0070C0"/>
        <bgColor indexed="64"/>
      </patternFill>
    </fill>
    <fill>
      <patternFill patternType="solid">
        <fgColor theme="5" tint="0.59999389629810485"/>
        <bgColor indexed="64"/>
      </patternFill>
    </fill>
    <fill>
      <patternFill patternType="solid">
        <fgColor rgb="FF00B050"/>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9" tint="0.79998168889431442"/>
        <bgColor indexed="64"/>
      </patternFill>
    </fill>
    <fill>
      <patternFill patternType="solid">
        <fgColor theme="3" tint="0.39997558519241921"/>
        <bgColor indexed="64"/>
      </patternFill>
    </fill>
    <fill>
      <patternFill patternType="solid">
        <fgColor theme="6" tint="-0.249977111117893"/>
        <bgColor indexed="64"/>
      </patternFill>
    </fill>
    <fill>
      <patternFill patternType="solid">
        <fgColor rgb="FFFF7C80"/>
        <bgColor indexed="64"/>
      </patternFill>
    </fill>
    <fill>
      <patternFill patternType="solid">
        <fgColor rgb="FFFFCC66"/>
        <bgColor indexed="64"/>
      </patternFill>
    </fill>
    <fill>
      <patternFill patternType="solid">
        <fgColor rgb="FF66FFFF"/>
        <bgColor indexed="64"/>
      </patternFill>
    </fill>
    <fill>
      <patternFill patternType="solid">
        <fgColor rgb="FFCCFF33"/>
        <bgColor indexed="64"/>
      </patternFill>
    </fill>
    <fill>
      <patternFill patternType="solid">
        <fgColor rgb="FF99FF99"/>
        <bgColor indexed="64"/>
      </patternFill>
    </fill>
    <fill>
      <patternFill patternType="solid">
        <fgColor rgb="FF0066FF"/>
        <bgColor indexed="64"/>
      </patternFill>
    </fill>
    <fill>
      <patternFill patternType="solid">
        <fgColor theme="2" tint="-0.499984740745262"/>
        <bgColor indexed="64"/>
      </patternFill>
    </fill>
    <fill>
      <patternFill patternType="solid">
        <fgColor rgb="FFFF6699"/>
        <bgColor indexed="64"/>
      </patternFill>
    </fill>
    <fill>
      <patternFill patternType="solid">
        <fgColor rgb="FF9933FF"/>
        <bgColor indexed="64"/>
      </patternFill>
    </fill>
    <fill>
      <patternFill patternType="solid">
        <fgColor rgb="FF00CC00"/>
        <bgColor indexed="64"/>
      </patternFill>
    </fill>
    <fill>
      <patternFill patternType="solid">
        <fgColor rgb="FFCC9900"/>
        <bgColor indexed="64"/>
      </patternFill>
    </fill>
    <fill>
      <patternFill patternType="solid">
        <fgColor theme="9" tint="-0.249977111117893"/>
        <bgColor indexed="64"/>
      </patternFill>
    </fill>
    <fill>
      <patternFill patternType="solid">
        <fgColor rgb="FF00CC99"/>
        <bgColor indexed="64"/>
      </patternFill>
    </fill>
    <fill>
      <patternFill patternType="solid">
        <fgColor rgb="FFFFFFCC"/>
        <bgColor indexed="64"/>
      </patternFill>
    </fill>
    <fill>
      <patternFill patternType="solid">
        <fgColor rgb="FFFF5050"/>
        <bgColor indexed="64"/>
      </patternFill>
    </fill>
    <fill>
      <patternFill patternType="solid">
        <fgColor rgb="FF33CCFF"/>
        <bgColor indexed="64"/>
      </patternFill>
    </fill>
    <fill>
      <patternFill patternType="solid">
        <fgColor rgb="FF66FF99"/>
        <bgColor indexed="64"/>
      </patternFill>
    </fill>
    <fill>
      <patternFill patternType="solid">
        <fgColor rgb="FFCCFF66"/>
        <bgColor indexed="64"/>
      </patternFill>
    </fill>
    <fill>
      <patternFill patternType="solid">
        <fgColor rgb="FFFADAF6"/>
        <bgColor indexed="64"/>
      </patternFill>
    </fill>
    <fill>
      <patternFill patternType="solid">
        <fgColor rgb="FF00FF00"/>
        <bgColor indexed="64"/>
      </patternFill>
    </fill>
    <fill>
      <patternFill patternType="solid">
        <fgColor rgb="FF2CF436"/>
        <bgColor indexed="64"/>
      </patternFill>
    </fill>
    <fill>
      <patternFill patternType="solid">
        <fgColor rgb="FFFF33CC"/>
        <bgColor indexed="64"/>
      </patternFill>
    </fill>
    <fill>
      <patternFill patternType="solid">
        <fgColor theme="3" tint="0.59999389629810485"/>
        <bgColor indexed="64"/>
      </patternFill>
    </fill>
    <fill>
      <patternFill patternType="solid">
        <fgColor rgb="FFF6DEF3"/>
        <bgColor indexed="64"/>
      </patternFill>
    </fill>
    <fill>
      <patternFill patternType="solid">
        <fgColor rgb="FFD470EC"/>
        <bgColor indexed="64"/>
      </patternFill>
    </fill>
    <fill>
      <patternFill patternType="solid">
        <fgColor rgb="FFF4DAFA"/>
        <bgColor indexed="64"/>
      </patternFill>
    </fill>
    <fill>
      <patternFill patternType="solid">
        <fgColor rgb="FF66FF33"/>
        <bgColor indexed="64"/>
      </patternFill>
    </fill>
    <fill>
      <patternFill patternType="solid">
        <fgColor rgb="FF99FFCC"/>
        <bgColor indexed="64"/>
      </patternFill>
    </fill>
    <fill>
      <patternFill patternType="solid">
        <fgColor theme="6" tint="0.59999389629810485"/>
        <bgColor indexed="64"/>
      </patternFill>
    </fill>
    <fill>
      <patternFill patternType="solid">
        <fgColor rgb="FFFFCCCC"/>
        <bgColor indexed="64"/>
      </patternFill>
    </fill>
  </fills>
  <borders count="5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diagonal/>
    </border>
    <border>
      <left/>
      <right/>
      <top style="medium">
        <color indexed="64"/>
      </top>
      <bottom/>
      <diagonal/>
    </border>
    <border>
      <left style="thin">
        <color indexed="64"/>
      </left>
      <right/>
      <top/>
      <bottom/>
      <diagonal/>
    </border>
    <border>
      <left style="medium">
        <color indexed="64"/>
      </left>
      <right/>
      <top/>
      <bottom/>
      <diagonal/>
    </border>
    <border>
      <left/>
      <right style="thin">
        <color indexed="64"/>
      </right>
      <top/>
      <bottom/>
      <diagonal/>
    </border>
    <border>
      <left/>
      <right style="medium">
        <color indexed="64"/>
      </right>
      <top style="medium">
        <color indexed="64"/>
      </top>
      <bottom/>
      <diagonal/>
    </border>
    <border>
      <left style="medium">
        <color indexed="64"/>
      </left>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8">
    <xf numFmtId="0" fontId="0" fillId="0" borderId="0"/>
    <xf numFmtId="165" fontId="6" fillId="0" borderId="0" applyFon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14" fillId="0" borderId="0" applyNumberFormat="0" applyFill="0" applyBorder="0" applyAlignment="0" applyProtection="0"/>
    <xf numFmtId="43" fontId="6" fillId="0" borderId="0" applyFont="0" applyFill="0" applyBorder="0" applyAlignment="0" applyProtection="0"/>
    <xf numFmtId="165" fontId="6" fillId="0" borderId="0" applyFont="0" applyFill="0" applyBorder="0" applyAlignment="0" applyProtection="0"/>
    <xf numFmtId="164" fontId="6" fillId="0" borderId="0" applyFont="0" applyFill="0" applyBorder="0" applyAlignment="0" applyProtection="0"/>
  </cellStyleXfs>
  <cellXfs count="1625">
    <xf numFmtId="0" fontId="0" fillId="0" borderId="0" xfId="0"/>
    <xf numFmtId="0" fontId="2" fillId="0" borderId="0" xfId="0" applyFont="1"/>
    <xf numFmtId="16" fontId="0" fillId="0" borderId="0" xfId="0" applyNumberFormat="1"/>
    <xf numFmtId="166" fontId="0" fillId="0" borderId="0" xfId="0" applyNumberFormat="1"/>
    <xf numFmtId="167" fontId="0" fillId="0" borderId="0" xfId="0" applyNumberFormat="1"/>
    <xf numFmtId="0" fontId="0" fillId="2" borderId="0" xfId="0" applyFill="1"/>
    <xf numFmtId="14" fontId="0" fillId="0" borderId="0" xfId="0" applyNumberFormat="1"/>
    <xf numFmtId="2" fontId="0" fillId="0" borderId="0" xfId="0" applyNumberFormat="1"/>
    <xf numFmtId="168" fontId="0" fillId="0" borderId="0" xfId="0" applyNumberFormat="1"/>
    <xf numFmtId="166" fontId="0" fillId="2" borderId="0" xfId="0" applyNumberFormat="1" applyFill="1"/>
    <xf numFmtId="0" fontId="0" fillId="0" borderId="0" xfId="0" applyAlignment="1">
      <alignment vertical="center"/>
    </xf>
    <xf numFmtId="16" fontId="0" fillId="0" borderId="0" xfId="0" applyNumberFormat="1" applyAlignment="1">
      <alignment horizontal="right" vertical="center"/>
    </xf>
    <xf numFmtId="166" fontId="1" fillId="0" borderId="0" xfId="0" applyNumberFormat="1" applyFont="1"/>
    <xf numFmtId="0" fontId="1" fillId="0" borderId="0" xfId="0" applyFont="1"/>
    <xf numFmtId="20" fontId="0" fillId="0" borderId="0" xfId="0" applyNumberFormat="1"/>
    <xf numFmtId="0" fontId="5" fillId="0" borderId="0" xfId="0" applyFont="1"/>
    <xf numFmtId="0" fontId="1" fillId="2" borderId="0" xfId="0" applyFont="1" applyFill="1"/>
    <xf numFmtId="165" fontId="0" fillId="0" borderId="0" xfId="0" applyNumberFormat="1"/>
    <xf numFmtId="16" fontId="7" fillId="0" borderId="0" xfId="0" applyNumberFormat="1" applyFont="1"/>
    <xf numFmtId="0" fontId="0" fillId="4" borderId="0" xfId="0" applyFill="1"/>
    <xf numFmtId="0" fontId="7" fillId="2" borderId="0" xfId="0" applyFont="1" applyFill="1"/>
    <xf numFmtId="0" fontId="7" fillId="0" borderId="0" xfId="0" applyFont="1"/>
    <xf numFmtId="166" fontId="7" fillId="0" borderId="0" xfId="0" applyNumberFormat="1" applyFont="1"/>
    <xf numFmtId="166" fontId="1" fillId="2" borderId="0" xfId="0" applyNumberFormat="1" applyFont="1" applyFill="1"/>
    <xf numFmtId="4" fontId="1" fillId="2" borderId="0" xfId="0" applyNumberFormat="1" applyFont="1" applyFill="1"/>
    <xf numFmtId="0" fontId="2" fillId="0" borderId="0" xfId="0" applyFont="1" applyAlignment="1">
      <alignment horizontal="center"/>
    </xf>
    <xf numFmtId="169" fontId="0" fillId="0" borderId="0" xfId="0" applyNumberFormat="1"/>
    <xf numFmtId="166" fontId="2" fillId="2" borderId="0" xfId="0" applyNumberFormat="1" applyFont="1" applyFill="1"/>
    <xf numFmtId="0" fontId="0" fillId="0" borderId="0" xfId="0" applyAlignment="1">
      <alignment horizontal="center"/>
    </xf>
    <xf numFmtId="4" fontId="0" fillId="0" borderId="0" xfId="0" applyNumberFormat="1"/>
    <xf numFmtId="0" fontId="0" fillId="0" borderId="0" xfId="0" applyAlignment="1">
      <alignment horizontal="left"/>
    </xf>
    <xf numFmtId="0" fontId="0" fillId="0" borderId="0" xfId="0" applyAlignment="1">
      <alignment horizontal="center" vertical="center"/>
    </xf>
    <xf numFmtId="165" fontId="0" fillId="0" borderId="0" xfId="1" applyFont="1"/>
    <xf numFmtId="0" fontId="0" fillId="3" borderId="0" xfId="0" applyFill="1"/>
    <xf numFmtId="170" fontId="0" fillId="0" borderId="0" xfId="0" applyNumberFormat="1" applyAlignment="1">
      <alignment horizontal="center"/>
    </xf>
    <xf numFmtId="0" fontId="8" fillId="0" borderId="5" xfId="0" applyFont="1" applyBorder="1" applyAlignment="1">
      <alignment horizontal="center" vertical="center"/>
    </xf>
    <xf numFmtId="16" fontId="8" fillId="0" borderId="5" xfId="0" applyNumberFormat="1" applyFont="1" applyBorder="1" applyAlignment="1">
      <alignment horizontal="center" vertical="center"/>
    </xf>
    <xf numFmtId="171" fontId="8" fillId="4" borderId="5" xfId="0" applyNumberFormat="1" applyFont="1" applyFill="1" applyBorder="1" applyAlignment="1">
      <alignment horizontal="center" vertical="center"/>
    </xf>
    <xf numFmtId="0" fontId="8" fillId="4" borderId="5" xfId="0" applyFont="1" applyFill="1" applyBorder="1" applyAlignment="1">
      <alignment horizontal="center" vertical="center"/>
    </xf>
    <xf numFmtId="2" fontId="8" fillId="4" borderId="5" xfId="0" applyNumberFormat="1" applyFont="1" applyFill="1" applyBorder="1" applyAlignment="1">
      <alignment horizontal="center" vertical="center"/>
    </xf>
    <xf numFmtId="170" fontId="8" fillId="4" borderId="5" xfId="0" applyNumberFormat="1" applyFont="1" applyFill="1" applyBorder="1" applyAlignment="1">
      <alignment horizontal="center" vertical="center"/>
    </xf>
    <xf numFmtId="0" fontId="9" fillId="0" borderId="5" xfId="0" applyFont="1" applyBorder="1" applyAlignment="1">
      <alignment horizontal="center"/>
    </xf>
    <xf numFmtId="0" fontId="10" fillId="0" borderId="5" xfId="0" applyFont="1" applyBorder="1" applyAlignment="1">
      <alignment horizontal="center"/>
    </xf>
    <xf numFmtId="2" fontId="10" fillId="0" borderId="5" xfId="0" applyNumberFormat="1" applyFont="1" applyBorder="1" applyAlignment="1">
      <alignment horizontal="center"/>
    </xf>
    <xf numFmtId="170" fontId="10" fillId="0" borderId="5" xfId="0" applyNumberFormat="1" applyFont="1" applyBorder="1" applyAlignment="1">
      <alignment horizontal="center"/>
    </xf>
    <xf numFmtId="14" fontId="10" fillId="0" borderId="5" xfId="0" applyNumberFormat="1" applyFont="1" applyBorder="1" applyAlignment="1">
      <alignment horizontal="center" vertical="center"/>
    </xf>
    <xf numFmtId="0" fontId="10" fillId="0" borderId="5" xfId="0" applyFont="1" applyBorder="1" applyAlignment="1">
      <alignment horizontal="center" vertical="center"/>
    </xf>
    <xf numFmtId="0" fontId="10" fillId="0" borderId="5" xfId="0" applyFont="1" applyBorder="1" applyAlignment="1">
      <alignment horizontal="center" wrapText="1"/>
    </xf>
    <xf numFmtId="14" fontId="9" fillId="0" borderId="5" xfId="0" applyNumberFormat="1" applyFont="1" applyBorder="1" applyAlignment="1">
      <alignment horizontal="center" vertical="center"/>
    </xf>
    <xf numFmtId="0" fontId="9" fillId="0" borderId="5" xfId="0" applyFont="1" applyBorder="1" applyAlignment="1">
      <alignment horizontal="center" vertical="center"/>
    </xf>
    <xf numFmtId="2" fontId="9" fillId="0" borderId="5" xfId="0" applyNumberFormat="1" applyFont="1" applyBorder="1" applyAlignment="1">
      <alignment horizontal="center"/>
    </xf>
    <xf numFmtId="170" fontId="9" fillId="0" borderId="5" xfId="0" applyNumberFormat="1" applyFont="1" applyBorder="1" applyAlignment="1">
      <alignment horizontal="center"/>
    </xf>
    <xf numFmtId="0" fontId="9" fillId="0" borderId="5" xfId="0" applyFont="1" applyBorder="1" applyAlignment="1">
      <alignment horizontal="center" wrapText="1"/>
    </xf>
    <xf numFmtId="14" fontId="0" fillId="0" borderId="0" xfId="0" applyNumberFormat="1" applyAlignment="1">
      <alignment horizontal="center"/>
    </xf>
    <xf numFmtId="14" fontId="8" fillId="4" borderId="5" xfId="0" applyNumberFormat="1" applyFont="1" applyFill="1" applyBorder="1" applyAlignment="1">
      <alignment horizontal="center" vertical="center"/>
    </xf>
    <xf numFmtId="14" fontId="10" fillId="0" borderId="5" xfId="0" applyNumberFormat="1" applyFont="1" applyBorder="1" applyAlignment="1">
      <alignment horizontal="center"/>
    </xf>
    <xf numFmtId="14" fontId="2" fillId="0" borderId="0" xfId="0" applyNumberFormat="1" applyFont="1" applyAlignment="1">
      <alignment horizontal="center"/>
    </xf>
    <xf numFmtId="165" fontId="8" fillId="4" borderId="5" xfId="1" applyFont="1" applyFill="1" applyBorder="1" applyAlignment="1">
      <alignment horizontal="center" vertical="center"/>
    </xf>
    <xf numFmtId="165" fontId="10" fillId="0" borderId="5" xfId="1" applyFont="1" applyFill="1" applyBorder="1" applyAlignment="1">
      <alignment horizontal="center"/>
    </xf>
    <xf numFmtId="165" fontId="9" fillId="0" borderId="5" xfId="1" applyFont="1" applyFill="1" applyBorder="1" applyAlignment="1">
      <alignment horizontal="center"/>
    </xf>
    <xf numFmtId="165" fontId="2" fillId="0" borderId="0" xfId="1" applyFont="1" applyAlignment="1">
      <alignment horizontal="center"/>
    </xf>
    <xf numFmtId="165" fontId="0" fillId="0" borderId="0" xfId="1" applyFont="1" applyAlignment="1">
      <alignment horizontal="center"/>
    </xf>
    <xf numFmtId="172" fontId="9" fillId="0" borderId="6" xfId="0" applyNumberFormat="1" applyFont="1" applyBorder="1" applyAlignment="1">
      <alignment horizontal="center"/>
    </xf>
    <xf numFmtId="165" fontId="0" fillId="5" borderId="10" xfId="1" applyFont="1" applyFill="1" applyBorder="1" applyAlignment="1">
      <alignment horizontal="center"/>
    </xf>
    <xf numFmtId="14" fontId="11" fillId="0" borderId="5" xfId="0" applyNumberFormat="1" applyFont="1" applyBorder="1" applyAlignment="1">
      <alignment horizontal="center" vertical="center"/>
    </xf>
    <xf numFmtId="0" fontId="11" fillId="0" borderId="5" xfId="0" applyFont="1" applyBorder="1" applyAlignment="1">
      <alignment horizontal="center" vertical="center"/>
    </xf>
    <xf numFmtId="165" fontId="11" fillId="0" borderId="5" xfId="1" applyFont="1" applyFill="1" applyBorder="1" applyAlignment="1">
      <alignment horizontal="center"/>
    </xf>
    <xf numFmtId="172" fontId="11" fillId="0" borderId="6" xfId="0" applyNumberFormat="1" applyFont="1" applyBorder="1" applyAlignment="1">
      <alignment horizontal="center"/>
    </xf>
    <xf numFmtId="2" fontId="11" fillId="0" borderId="5" xfId="0" applyNumberFormat="1" applyFont="1" applyBorder="1" applyAlignment="1">
      <alignment horizontal="center"/>
    </xf>
    <xf numFmtId="170" fontId="11" fillId="0" borderId="5" xfId="0" applyNumberFormat="1" applyFont="1" applyBorder="1" applyAlignment="1">
      <alignment horizontal="center"/>
    </xf>
    <xf numFmtId="0" fontId="11" fillId="0" borderId="5" xfId="0" applyFont="1" applyBorder="1" applyAlignment="1">
      <alignment horizontal="center"/>
    </xf>
    <xf numFmtId="0" fontId="11" fillId="0" borderId="5" xfId="0" applyFont="1" applyBorder="1" applyAlignment="1">
      <alignment horizontal="center" wrapText="1"/>
    </xf>
    <xf numFmtId="16" fontId="1" fillId="0" borderId="0" xfId="0" applyNumberFormat="1" applyFont="1"/>
    <xf numFmtId="0" fontId="0" fillId="0" borderId="0" xfId="0" applyAlignment="1">
      <alignment wrapText="1"/>
    </xf>
    <xf numFmtId="173" fontId="0" fillId="0" borderId="0" xfId="1" applyNumberFormat="1" applyFont="1"/>
    <xf numFmtId="0" fontId="5" fillId="3" borderId="0" xfId="0" applyFont="1" applyFill="1"/>
    <xf numFmtId="0" fontId="5" fillId="6" borderId="0" xfId="0" applyFont="1" applyFill="1"/>
    <xf numFmtId="14" fontId="9" fillId="2" borderId="5" xfId="0" applyNumberFormat="1" applyFont="1" applyFill="1" applyBorder="1" applyAlignment="1">
      <alignment horizontal="center"/>
    </xf>
    <xf numFmtId="0" fontId="9" fillId="2" borderId="5" xfId="0" applyFont="1" applyFill="1" applyBorder="1" applyAlignment="1">
      <alignment horizontal="center"/>
    </xf>
    <xf numFmtId="165" fontId="9" fillId="2" borderId="6" xfId="1" applyFont="1" applyFill="1" applyBorder="1" applyAlignment="1">
      <alignment horizontal="center"/>
    </xf>
    <xf numFmtId="172" fontId="9" fillId="2" borderId="6" xfId="0" applyNumberFormat="1" applyFont="1" applyFill="1" applyBorder="1" applyAlignment="1">
      <alignment horizontal="center"/>
    </xf>
    <xf numFmtId="170" fontId="9" fillId="2" borderId="5" xfId="0" applyNumberFormat="1" applyFont="1" applyFill="1" applyBorder="1" applyAlignment="1">
      <alignment horizontal="center"/>
    </xf>
    <xf numFmtId="14" fontId="10" fillId="2" borderId="5" xfId="0" applyNumberFormat="1" applyFont="1" applyFill="1" applyBorder="1" applyAlignment="1">
      <alignment horizontal="center"/>
    </xf>
    <xf numFmtId="0" fontId="10" fillId="2" borderId="5" xfId="0" applyFont="1" applyFill="1" applyBorder="1" applyAlignment="1">
      <alignment horizontal="center"/>
    </xf>
    <xf numFmtId="165" fontId="10" fillId="2" borderId="5" xfId="1" applyFont="1" applyFill="1" applyBorder="1" applyAlignment="1">
      <alignment horizontal="center"/>
    </xf>
    <xf numFmtId="170" fontId="10" fillId="2" borderId="5" xfId="0" applyNumberFormat="1" applyFont="1" applyFill="1" applyBorder="1" applyAlignment="1">
      <alignment horizontal="center"/>
    </xf>
    <xf numFmtId="165" fontId="2" fillId="0" borderId="0" xfId="1" applyFont="1" applyFill="1"/>
    <xf numFmtId="165" fontId="2" fillId="0" borderId="0" xfId="1" applyFont="1"/>
    <xf numFmtId="165" fontId="0" fillId="0" borderId="0" xfId="1" applyFont="1" applyFill="1"/>
    <xf numFmtId="165" fontId="0" fillId="2" borderId="0" xfId="1" applyFont="1" applyFill="1"/>
    <xf numFmtId="14" fontId="0" fillId="2" borderId="0" xfId="0" applyNumberFormat="1" applyFill="1"/>
    <xf numFmtId="10" fontId="0" fillId="0" borderId="0" xfId="3" applyNumberFormat="1" applyFont="1"/>
    <xf numFmtId="169" fontId="1" fillId="0" borderId="0" xfId="0" applyNumberFormat="1" applyFont="1"/>
    <xf numFmtId="14" fontId="1" fillId="0" borderId="0" xfId="0" applyNumberFormat="1" applyFont="1"/>
    <xf numFmtId="14" fontId="2" fillId="0" borderId="0" xfId="0" applyNumberFormat="1" applyFont="1"/>
    <xf numFmtId="0" fontId="0" fillId="0" borderId="0" xfId="0" quotePrefix="1"/>
    <xf numFmtId="165" fontId="1" fillId="0" borderId="0" xfId="1" applyFont="1"/>
    <xf numFmtId="165" fontId="0" fillId="0" borderId="0" xfId="1" applyFont="1" applyAlignment="1">
      <alignment vertical="center"/>
    </xf>
    <xf numFmtId="165" fontId="2" fillId="0" borderId="0" xfId="1" applyFont="1" applyBorder="1" applyAlignment="1"/>
    <xf numFmtId="173" fontId="2" fillId="0" borderId="0" xfId="1" applyNumberFormat="1" applyFont="1" applyBorder="1" applyAlignment="1"/>
    <xf numFmtId="173" fontId="0" fillId="0" borderId="0" xfId="1" applyNumberFormat="1" applyFont="1" applyFill="1"/>
    <xf numFmtId="173" fontId="1" fillId="0" borderId="0" xfId="1" applyNumberFormat="1" applyFont="1"/>
    <xf numFmtId="0" fontId="0" fillId="0" borderId="5" xfId="0" applyBorder="1"/>
    <xf numFmtId="0" fontId="0" fillId="0" borderId="12" xfId="0" applyBorder="1"/>
    <xf numFmtId="9" fontId="0" fillId="0" borderId="5" xfId="3" applyFont="1" applyBorder="1" applyAlignment="1">
      <alignment horizontal="center"/>
    </xf>
    <xf numFmtId="167" fontId="0" fillId="0" borderId="0" xfId="0" applyNumberFormat="1" applyAlignment="1">
      <alignment horizontal="center"/>
    </xf>
    <xf numFmtId="168" fontId="0" fillId="0" borderId="0" xfId="0" applyNumberFormat="1" applyAlignment="1">
      <alignment horizontal="center"/>
    </xf>
    <xf numFmtId="168" fontId="1" fillId="0" borderId="0" xfId="0" applyNumberFormat="1" applyFont="1" applyAlignment="1">
      <alignment horizontal="center"/>
    </xf>
    <xf numFmtId="9" fontId="0" fillId="0" borderId="11" xfId="3" applyFont="1" applyBorder="1" applyAlignment="1">
      <alignment horizontal="center"/>
    </xf>
    <xf numFmtId="14" fontId="0" fillId="0" borderId="11" xfId="0" applyNumberFormat="1" applyBorder="1"/>
    <xf numFmtId="14" fontId="0" fillId="0" borderId="5" xfId="0" applyNumberFormat="1" applyBorder="1"/>
    <xf numFmtId="165" fontId="0" fillId="0" borderId="12" xfId="1" applyFont="1" applyBorder="1"/>
    <xf numFmtId="0" fontId="0" fillId="0" borderId="13" xfId="0" applyBorder="1" applyAlignment="1">
      <alignment horizontal="center"/>
    </xf>
    <xf numFmtId="0" fontId="0" fillId="0" borderId="14" xfId="0" applyBorder="1" applyAlignment="1">
      <alignment horizontal="center"/>
    </xf>
    <xf numFmtId="14" fontId="0" fillId="0" borderId="15" xfId="0" applyNumberFormat="1" applyBorder="1" applyAlignment="1">
      <alignment horizontal="center"/>
    </xf>
    <xf numFmtId="0" fontId="2" fillId="0" borderId="0" xfId="0" applyFont="1" applyAlignment="1">
      <alignment horizontal="left"/>
    </xf>
    <xf numFmtId="0" fontId="2" fillId="0" borderId="0" xfId="0" quotePrefix="1" applyFont="1" applyAlignment="1">
      <alignment horizontal="left"/>
    </xf>
    <xf numFmtId="20" fontId="0" fillId="0" borderId="0" xfId="1" applyNumberFormat="1" applyFont="1"/>
    <xf numFmtId="16" fontId="0" fillId="2" borderId="0" xfId="0" applyNumberFormat="1" applyFill="1"/>
    <xf numFmtId="167" fontId="0" fillId="2" borderId="0" xfId="0" applyNumberFormat="1" applyFill="1"/>
    <xf numFmtId="0" fontId="0" fillId="8" borderId="0" xfId="0" applyFill="1"/>
    <xf numFmtId="174" fontId="2" fillId="0" borderId="0" xfId="0" applyNumberFormat="1" applyFont="1"/>
    <xf numFmtId="174" fontId="0" fillId="0" borderId="0" xfId="0" applyNumberFormat="1"/>
    <xf numFmtId="174" fontId="7" fillId="0" borderId="0" xfId="0" applyNumberFormat="1" applyFont="1"/>
    <xf numFmtId="174" fontId="1" fillId="0" borderId="0" xfId="0" applyNumberFormat="1" applyFont="1"/>
    <xf numFmtId="173" fontId="2" fillId="0" borderId="0" xfId="1" applyNumberFormat="1" applyFont="1"/>
    <xf numFmtId="174" fontId="0" fillId="0" borderId="0" xfId="1" applyNumberFormat="1" applyFont="1"/>
    <xf numFmtId="0" fontId="0" fillId="2" borderId="0" xfId="0" applyFill="1" applyAlignment="1">
      <alignment horizontal="center"/>
    </xf>
    <xf numFmtId="173" fontId="2" fillId="0" borderId="0" xfId="1" applyNumberFormat="1" applyFont="1" applyAlignment="1">
      <alignment horizontal="center"/>
    </xf>
    <xf numFmtId="173" fontId="0" fillId="0" borderId="0" xfId="1" applyNumberFormat="1" applyFont="1" applyAlignment="1">
      <alignment horizontal="center"/>
    </xf>
    <xf numFmtId="173" fontId="2" fillId="0" borderId="0" xfId="1" applyNumberFormat="1" applyFont="1" applyBorder="1" applyAlignment="1">
      <alignment horizontal="center"/>
    </xf>
    <xf numFmtId="173" fontId="0" fillId="0" borderId="0" xfId="1" applyNumberFormat="1" applyFont="1" applyFill="1" applyAlignment="1">
      <alignment horizontal="center"/>
    </xf>
    <xf numFmtId="14" fontId="0" fillId="0" borderId="6" xfId="0" applyNumberFormat="1" applyBorder="1"/>
    <xf numFmtId="165" fontId="2" fillId="0" borderId="10" xfId="1" applyFont="1" applyBorder="1"/>
    <xf numFmtId="173" fontId="2" fillId="0" borderId="10" xfId="1" applyNumberFormat="1" applyFont="1" applyBorder="1" applyAlignment="1">
      <alignment horizontal="center"/>
    </xf>
    <xf numFmtId="16" fontId="0" fillId="0" borderId="0" xfId="0" applyNumberFormat="1" applyAlignment="1">
      <alignment horizontal="center"/>
    </xf>
    <xf numFmtId="2" fontId="0" fillId="0" borderId="0" xfId="0" applyNumberFormat="1" applyAlignment="1">
      <alignment horizontal="center"/>
    </xf>
    <xf numFmtId="18" fontId="0" fillId="0" borderId="0" xfId="0" applyNumberFormat="1"/>
    <xf numFmtId="165" fontId="0" fillId="2" borderId="0" xfId="0" applyNumberFormat="1" applyFill="1"/>
    <xf numFmtId="0" fontId="2" fillId="4" borderId="0" xfId="0" applyFont="1" applyFill="1" applyAlignment="1">
      <alignment horizontal="left"/>
    </xf>
    <xf numFmtId="165" fontId="0" fillId="4" borderId="0" xfId="1" applyFont="1" applyFill="1"/>
    <xf numFmtId="20" fontId="0" fillId="4" borderId="0" xfId="0" applyNumberFormat="1" applyFill="1"/>
    <xf numFmtId="0" fontId="0" fillId="0" borderId="12" xfId="0" applyBorder="1" applyAlignment="1">
      <alignment horizontal="center"/>
    </xf>
    <xf numFmtId="2" fontId="1" fillId="0" borderId="0" xfId="0" applyNumberFormat="1" applyFont="1"/>
    <xf numFmtId="0" fontId="0" fillId="0" borderId="18" xfId="0" applyBorder="1" applyAlignment="1">
      <alignment horizontal="center"/>
    </xf>
    <xf numFmtId="0" fontId="0" fillId="0" borderId="6" xfId="0" applyBorder="1"/>
    <xf numFmtId="9" fontId="2" fillId="0" borderId="0" xfId="3" applyFont="1" applyBorder="1" applyAlignment="1">
      <alignment horizontal="center"/>
    </xf>
    <xf numFmtId="165" fontId="9" fillId="2" borderId="5" xfId="1" applyFont="1" applyFill="1" applyBorder="1" applyAlignment="1">
      <alignment horizontal="center"/>
    </xf>
    <xf numFmtId="165" fontId="11" fillId="2" borderId="5" xfId="1" applyFont="1" applyFill="1" applyBorder="1" applyAlignment="1">
      <alignment horizontal="center"/>
    </xf>
    <xf numFmtId="43" fontId="0" fillId="0" borderId="0" xfId="0" applyNumberFormat="1"/>
    <xf numFmtId="165" fontId="0" fillId="8" borderId="0" xfId="1" applyFont="1" applyFill="1"/>
    <xf numFmtId="165" fontId="2" fillId="11" borderId="10" xfId="1" applyFont="1" applyFill="1" applyBorder="1"/>
    <xf numFmtId="9" fontId="0" fillId="0" borderId="0" xfId="3" applyFont="1"/>
    <xf numFmtId="173" fontId="1" fillId="0" borderId="0" xfId="1" applyNumberFormat="1" applyFont="1" applyAlignment="1">
      <alignment horizontal="center"/>
    </xf>
    <xf numFmtId="0" fontId="13" fillId="0" borderId="0" xfId="0" applyFont="1" applyAlignment="1">
      <alignment horizontal="left"/>
    </xf>
    <xf numFmtId="165" fontId="7" fillId="0" borderId="0" xfId="1" applyFont="1"/>
    <xf numFmtId="165" fontId="7" fillId="4" borderId="0" xfId="1" applyFont="1" applyFill="1"/>
    <xf numFmtId="20" fontId="7" fillId="0" borderId="0" xfId="0" applyNumberFormat="1" applyFont="1"/>
    <xf numFmtId="175" fontId="0" fillId="0" borderId="0" xfId="0" applyNumberFormat="1"/>
    <xf numFmtId="165" fontId="6" fillId="0" borderId="0" xfId="1" applyFont="1"/>
    <xf numFmtId="165" fontId="6" fillId="0" borderId="0" xfId="1" applyFont="1" applyFill="1"/>
    <xf numFmtId="165" fontId="6" fillId="2" borderId="0" xfId="1" applyFont="1" applyFill="1"/>
    <xf numFmtId="165" fontId="6" fillId="10" borderId="0" xfId="1" applyFont="1" applyFill="1"/>
    <xf numFmtId="0" fontId="7" fillId="4" borderId="0" xfId="0" applyFont="1" applyFill="1"/>
    <xf numFmtId="0" fontId="13" fillId="4" borderId="0" xfId="0" quotePrefix="1" applyFont="1" applyFill="1" applyAlignment="1">
      <alignment horizontal="left"/>
    </xf>
    <xf numFmtId="174" fontId="7" fillId="4" borderId="0" xfId="0" applyNumberFormat="1" applyFont="1" applyFill="1"/>
    <xf numFmtId="0" fontId="7" fillId="4" borderId="0" xfId="0" quotePrefix="1" applyFont="1" applyFill="1" applyAlignment="1">
      <alignment horizontal="left"/>
    </xf>
    <xf numFmtId="20" fontId="7" fillId="4" borderId="0" xfId="0" applyNumberFormat="1" applyFont="1" applyFill="1"/>
    <xf numFmtId="0" fontId="13" fillId="0" borderId="0" xfId="0" quotePrefix="1" applyFont="1" applyAlignment="1">
      <alignment horizontal="left"/>
    </xf>
    <xf numFmtId="0" fontId="7" fillId="0" borderId="0" xfId="0" applyFont="1" applyAlignment="1">
      <alignment horizontal="left"/>
    </xf>
    <xf numFmtId="16" fontId="7" fillId="4" borderId="0" xfId="0" applyNumberFormat="1" applyFont="1" applyFill="1"/>
    <xf numFmtId="9" fontId="0" fillId="3" borderId="5" xfId="3" applyFont="1" applyFill="1" applyBorder="1" applyAlignment="1">
      <alignment horizontal="center"/>
    </xf>
    <xf numFmtId="165" fontId="0" fillId="2" borderId="10" xfId="1" applyFont="1" applyFill="1" applyBorder="1"/>
    <xf numFmtId="0" fontId="14" fillId="0" borderId="0" xfId="4" applyAlignment="1">
      <alignment horizontal="center"/>
    </xf>
    <xf numFmtId="0" fontId="0" fillId="7" borderId="0" xfId="0" applyFill="1" applyAlignment="1">
      <alignment horizontal="center"/>
    </xf>
    <xf numFmtId="173" fontId="6" fillId="0" borderId="0" xfId="1" applyNumberFormat="1" applyFont="1"/>
    <xf numFmtId="165" fontId="0" fillId="0" borderId="0" xfId="1" applyFont="1" applyAlignment="1"/>
    <xf numFmtId="0" fontId="7" fillId="0" borderId="0" xfId="0" applyFont="1" applyAlignment="1">
      <alignment horizontal="center"/>
    </xf>
    <xf numFmtId="173" fontId="6" fillId="0" borderId="0" xfId="1" applyNumberFormat="1" applyFont="1" applyFill="1"/>
    <xf numFmtId="0" fontId="7" fillId="10" borderId="0" xfId="0" applyFont="1" applyFill="1"/>
    <xf numFmtId="165" fontId="1" fillId="0" borderId="0" xfId="1" applyFont="1" applyFill="1"/>
    <xf numFmtId="165" fontId="7" fillId="0" borderId="0" xfId="1" applyFont="1" applyFill="1"/>
    <xf numFmtId="20" fontId="7" fillId="2" borderId="0" xfId="0" applyNumberFormat="1" applyFont="1" applyFill="1"/>
    <xf numFmtId="166" fontId="0" fillId="0" borderId="0" xfId="0" applyNumberFormat="1" applyAlignment="1">
      <alignment vertical="center"/>
    </xf>
    <xf numFmtId="0" fontId="7" fillId="0" borderId="0" xfId="0" quotePrefix="1" applyFont="1" applyAlignment="1">
      <alignment horizontal="left"/>
    </xf>
    <xf numFmtId="0" fontId="7" fillId="4" borderId="5" xfId="0" applyFont="1" applyFill="1" applyBorder="1"/>
    <xf numFmtId="0" fontId="7" fillId="4" borderId="5" xfId="0" applyFont="1" applyFill="1" applyBorder="1" applyAlignment="1">
      <alignment vertical="center" wrapText="1"/>
    </xf>
    <xf numFmtId="0" fontId="7" fillId="0" borderId="0" xfId="0" applyFont="1" applyAlignment="1">
      <alignment horizontal="left" vertical="center"/>
    </xf>
    <xf numFmtId="0" fontId="7" fillId="0" borderId="0" xfId="0" applyFont="1" applyAlignment="1">
      <alignment vertical="center"/>
    </xf>
    <xf numFmtId="174" fontId="0" fillId="0" borderId="0" xfId="0" applyNumberFormat="1" applyAlignment="1">
      <alignment vertical="center"/>
    </xf>
    <xf numFmtId="165" fontId="6" fillId="0" borderId="0" xfId="1" applyFont="1" applyAlignment="1">
      <alignment vertical="center"/>
    </xf>
    <xf numFmtId="0" fontId="7" fillId="4" borderId="0" xfId="0" applyFont="1" applyFill="1" applyAlignment="1">
      <alignment vertical="center"/>
    </xf>
    <xf numFmtId="20" fontId="0" fillId="0" borderId="0" xfId="0" applyNumberFormat="1" applyAlignment="1">
      <alignment vertical="center"/>
    </xf>
    <xf numFmtId="20" fontId="7" fillId="0" borderId="0" xfId="0" quotePrefix="1" applyNumberFormat="1" applyFont="1" applyAlignment="1">
      <alignment horizontal="right"/>
    </xf>
    <xf numFmtId="174" fontId="0" fillId="10" borderId="0" xfId="0" applyNumberFormat="1" applyFill="1"/>
    <xf numFmtId="165" fontId="0" fillId="10" borderId="0" xfId="1" applyFont="1" applyFill="1"/>
    <xf numFmtId="0" fontId="0" fillId="10" borderId="0" xfId="0" applyFill="1"/>
    <xf numFmtId="20" fontId="7" fillId="10" borderId="0" xfId="0" applyNumberFormat="1" applyFont="1" applyFill="1"/>
    <xf numFmtId="174" fontId="7" fillId="10" borderId="0" xfId="0" applyNumberFormat="1" applyFont="1" applyFill="1"/>
    <xf numFmtId="0" fontId="1" fillId="0" borderId="0" xfId="0" applyFont="1" applyAlignment="1">
      <alignment horizontal="left"/>
    </xf>
    <xf numFmtId="0" fontId="7" fillId="0" borderId="0" xfId="0" quotePrefix="1" applyFont="1"/>
    <xf numFmtId="20" fontId="7" fillId="0" borderId="0" xfId="0" quotePrefix="1" applyNumberFormat="1" applyFont="1"/>
    <xf numFmtId="165" fontId="6" fillId="0" borderId="0" xfId="1" applyFont="1" applyFill="1" applyAlignment="1"/>
    <xf numFmtId="0" fontId="12" fillId="0" borderId="0" xfId="0" quotePrefix="1" applyFont="1" applyAlignment="1">
      <alignment horizontal="left"/>
    </xf>
    <xf numFmtId="20" fontId="1" fillId="0" borderId="0" xfId="0" applyNumberFormat="1" applyFont="1"/>
    <xf numFmtId="165" fontId="6" fillId="0" borderId="0" xfId="1" applyFont="1" applyAlignment="1"/>
    <xf numFmtId="166" fontId="0" fillId="2" borderId="10" xfId="0" applyNumberFormat="1" applyFill="1" applyBorder="1"/>
    <xf numFmtId="175" fontId="0" fillId="2" borderId="10" xfId="0" applyNumberFormat="1" applyFill="1" applyBorder="1"/>
    <xf numFmtId="0" fontId="2" fillId="0" borderId="0" xfId="0" applyFont="1" applyAlignment="1">
      <alignment horizontal="right"/>
    </xf>
    <xf numFmtId="0" fontId="7" fillId="4" borderId="0" xfId="0" applyFont="1" applyFill="1" applyAlignment="1">
      <alignment horizontal="center"/>
    </xf>
    <xf numFmtId="0" fontId="7" fillId="2" borderId="0" xfId="0" applyFont="1" applyFill="1" applyAlignment="1">
      <alignment horizontal="left"/>
    </xf>
    <xf numFmtId="176" fontId="11" fillId="0" borderId="5" xfId="0" applyNumberFormat="1" applyFont="1" applyBorder="1" applyAlignment="1">
      <alignment horizontal="center"/>
    </xf>
    <xf numFmtId="177" fontId="0" fillId="0" borderId="0" xfId="1" applyNumberFormat="1" applyFont="1" applyFill="1"/>
    <xf numFmtId="0" fontId="7" fillId="12" borderId="0" xfId="0" quotePrefix="1" applyFont="1" applyFill="1" applyAlignment="1">
      <alignment horizontal="left"/>
    </xf>
    <xf numFmtId="0" fontId="7" fillId="12" borderId="0" xfId="0" applyFont="1" applyFill="1" applyAlignment="1">
      <alignment horizontal="left"/>
    </xf>
    <xf numFmtId="0" fontId="7" fillId="12" borderId="0" xfId="0" applyFont="1" applyFill="1"/>
    <xf numFmtId="174" fontId="0" fillId="12" borderId="0" xfId="0" applyNumberFormat="1" applyFill="1"/>
    <xf numFmtId="165" fontId="0" fillId="12" borderId="0" xfId="1" applyFont="1" applyFill="1"/>
    <xf numFmtId="0" fontId="7" fillId="12" borderId="5" xfId="0" applyFont="1" applyFill="1" applyBorder="1"/>
    <xf numFmtId="165" fontId="6" fillId="12" borderId="0" xfId="1" applyFont="1" applyFill="1"/>
    <xf numFmtId="0" fontId="0" fillId="12" borderId="0" xfId="0" applyFill="1"/>
    <xf numFmtId="20" fontId="0" fillId="12" borderId="0" xfId="0" applyNumberFormat="1" applyFill="1"/>
    <xf numFmtId="0" fontId="7" fillId="13" borderId="0" xfId="0" quotePrefix="1" applyFont="1" applyFill="1" applyAlignment="1">
      <alignment horizontal="left"/>
    </xf>
    <xf numFmtId="0" fontId="7" fillId="13" borderId="0" xfId="0" applyFont="1" applyFill="1" applyAlignment="1">
      <alignment horizontal="left"/>
    </xf>
    <xf numFmtId="0" fontId="7" fillId="13" borderId="0" xfId="0" applyFont="1" applyFill="1"/>
    <xf numFmtId="174" fontId="0" fillId="13" borderId="0" xfId="0" applyNumberFormat="1" applyFill="1"/>
    <xf numFmtId="165" fontId="0" fillId="13" borderId="0" xfId="1" applyFont="1" applyFill="1"/>
    <xf numFmtId="0" fontId="7" fillId="13" borderId="5" xfId="0" applyFont="1" applyFill="1" applyBorder="1"/>
    <xf numFmtId="165" fontId="6" fillId="13" borderId="0" xfId="1" applyFont="1" applyFill="1"/>
    <xf numFmtId="0" fontId="0" fillId="13" borderId="0" xfId="0" applyFill="1"/>
    <xf numFmtId="20" fontId="0" fillId="13" borderId="0" xfId="0" applyNumberFormat="1" applyFill="1"/>
    <xf numFmtId="0" fontId="5" fillId="9" borderId="0" xfId="0" applyFont="1" applyFill="1"/>
    <xf numFmtId="174" fontId="7" fillId="0" borderId="0" xfId="0" applyNumberFormat="1" applyFont="1" applyAlignment="1">
      <alignment vertical="center"/>
    </xf>
    <xf numFmtId="174" fontId="0" fillId="0" borderId="0" xfId="0" applyNumberFormat="1" applyAlignment="1">
      <alignment horizontal="center"/>
    </xf>
    <xf numFmtId="0" fontId="0" fillId="14" borderId="0" xfId="0" applyFill="1"/>
    <xf numFmtId="165" fontId="0" fillId="0" borderId="0" xfId="0" applyNumberFormat="1" applyAlignment="1">
      <alignment horizontal="center"/>
    </xf>
    <xf numFmtId="165" fontId="0" fillId="0" borderId="0" xfId="1" applyFont="1" applyFill="1" applyAlignment="1">
      <alignment horizontal="left"/>
    </xf>
    <xf numFmtId="165" fontId="6" fillId="0" borderId="0" xfId="1" applyFont="1" applyFill="1" applyAlignment="1">
      <alignment horizontal="left"/>
    </xf>
    <xf numFmtId="0" fontId="2" fillId="2" borderId="0" xfId="0" applyFont="1" applyFill="1" applyAlignment="1">
      <alignment horizontal="center"/>
    </xf>
    <xf numFmtId="174" fontId="7" fillId="0" borderId="0" xfId="0" applyNumberFormat="1" applyFont="1" applyAlignment="1">
      <alignment horizontal="center" vertical="center"/>
    </xf>
    <xf numFmtId="165" fontId="6" fillId="0" borderId="0" xfId="1" applyFont="1" applyFill="1" applyBorder="1"/>
    <xf numFmtId="0" fontId="1" fillId="0" borderId="0" xfId="0" applyFont="1" applyAlignment="1">
      <alignment horizontal="center"/>
    </xf>
    <xf numFmtId="165" fontId="2" fillId="2" borderId="10" xfId="1" applyFont="1" applyFill="1" applyBorder="1"/>
    <xf numFmtId="165" fontId="0" fillId="2" borderId="10" xfId="0" applyNumberFormat="1" applyFill="1" applyBorder="1"/>
    <xf numFmtId="14" fontId="2" fillId="0" borderId="0" xfId="0" applyNumberFormat="1" applyFont="1" applyAlignment="1">
      <alignment horizontal="left"/>
    </xf>
    <xf numFmtId="14" fontId="0" fillId="0" borderId="0" xfId="0" quotePrefix="1" applyNumberFormat="1"/>
    <xf numFmtId="1" fontId="0" fillId="0" borderId="0" xfId="0" quotePrefix="1" applyNumberFormat="1" applyAlignment="1">
      <alignment horizontal="left"/>
    </xf>
    <xf numFmtId="178" fontId="0" fillId="0" borderId="0" xfId="0" applyNumberFormat="1"/>
    <xf numFmtId="175" fontId="0" fillId="0" borderId="0" xfId="0" applyNumberFormat="1" applyAlignment="1">
      <alignment horizontal="center"/>
    </xf>
    <xf numFmtId="0" fontId="7" fillId="0" borderId="0" xfId="0" applyFont="1" applyAlignment="1">
      <alignment wrapText="1"/>
    </xf>
    <xf numFmtId="165" fontId="6" fillId="0" borderId="0" xfId="1" applyFont="1" applyFill="1" applyAlignment="1">
      <alignment horizontal="center" vertical="center"/>
    </xf>
    <xf numFmtId="165" fontId="6" fillId="0" borderId="0" xfId="1" applyFont="1" applyFill="1" applyAlignment="1">
      <alignment horizontal="center"/>
    </xf>
    <xf numFmtId="1" fontId="7" fillId="0" borderId="0" xfId="0" quotePrefix="1" applyNumberFormat="1" applyFont="1" applyAlignment="1">
      <alignment horizontal="left"/>
    </xf>
    <xf numFmtId="174" fontId="11" fillId="0" borderId="5" xfId="0" applyNumberFormat="1" applyFont="1" applyBorder="1" applyAlignment="1">
      <alignment horizontal="center"/>
    </xf>
    <xf numFmtId="165" fontId="1" fillId="2" borderId="0" xfId="1" applyFont="1" applyFill="1"/>
    <xf numFmtId="174" fontId="0" fillId="0" borderId="0" xfId="0" quotePrefix="1" applyNumberFormat="1"/>
    <xf numFmtId="0" fontId="0" fillId="0" borderId="0" xfId="0" quotePrefix="1" applyAlignment="1">
      <alignment horizontal="left"/>
    </xf>
    <xf numFmtId="174" fontId="0" fillId="2" borderId="0" xfId="0" applyNumberFormat="1" applyFill="1"/>
    <xf numFmtId="20" fontId="0" fillId="2" borderId="0" xfId="0" applyNumberFormat="1" applyFill="1"/>
    <xf numFmtId="1" fontId="0" fillId="10" borderId="0" xfId="0" quotePrefix="1" applyNumberFormat="1" applyFill="1" applyAlignment="1">
      <alignment horizontal="left"/>
    </xf>
    <xf numFmtId="20" fontId="0" fillId="10" borderId="0" xfId="0" applyNumberFormat="1" applyFill="1"/>
    <xf numFmtId="0" fontId="0" fillId="2" borderId="0" xfId="0" quotePrefix="1" applyFill="1" applyAlignment="1">
      <alignment horizontal="left"/>
    </xf>
    <xf numFmtId="0" fontId="0" fillId="10" borderId="0" xfId="0" quotePrefix="1" applyFill="1" applyAlignment="1">
      <alignment horizontal="left"/>
    </xf>
    <xf numFmtId="0" fontId="0" fillId="15" borderId="0" xfId="0" quotePrefix="1" applyFill="1" applyAlignment="1">
      <alignment horizontal="left"/>
    </xf>
    <xf numFmtId="0" fontId="0" fillId="15" borderId="0" xfId="0" applyFill="1"/>
    <xf numFmtId="174" fontId="0" fillId="15" borderId="0" xfId="0" applyNumberFormat="1" applyFill="1"/>
    <xf numFmtId="165" fontId="0" fillId="15" borderId="0" xfId="1" applyFont="1" applyFill="1"/>
    <xf numFmtId="20" fontId="0" fillId="15" borderId="0" xfId="0" applyNumberFormat="1" applyFill="1"/>
    <xf numFmtId="174" fontId="0" fillId="15" borderId="0" xfId="0" quotePrefix="1" applyNumberFormat="1" applyFill="1"/>
    <xf numFmtId="174" fontId="0" fillId="10" borderId="0" xfId="0" quotePrefix="1" applyNumberFormat="1" applyFill="1"/>
    <xf numFmtId="0" fontId="0" fillId="10" borderId="0" xfId="0" quotePrefix="1" applyFill="1"/>
    <xf numFmtId="0" fontId="0" fillId="15" borderId="0" xfId="0" quotePrefix="1" applyFill="1"/>
    <xf numFmtId="179" fontId="9" fillId="2" borderId="6" xfId="0" applyNumberFormat="1" applyFont="1" applyFill="1" applyBorder="1" applyAlignment="1">
      <alignment horizontal="center"/>
    </xf>
    <xf numFmtId="179" fontId="10" fillId="2" borderId="5" xfId="0" applyNumberFormat="1" applyFont="1" applyFill="1" applyBorder="1" applyAlignment="1">
      <alignment horizontal="center"/>
    </xf>
    <xf numFmtId="16" fontId="0" fillId="16" borderId="0" xfId="0" applyNumberFormat="1" applyFill="1"/>
    <xf numFmtId="0" fontId="0" fillId="0" borderId="0" xfId="0" applyAlignment="1">
      <alignment horizontal="right"/>
    </xf>
    <xf numFmtId="20" fontId="0" fillId="0" borderId="0" xfId="0" applyNumberFormat="1" applyAlignment="1">
      <alignment horizontal="center"/>
    </xf>
    <xf numFmtId="0" fontId="0" fillId="3" borderId="0" xfId="0" quotePrefix="1" applyFill="1"/>
    <xf numFmtId="174" fontId="0" fillId="3" borderId="0" xfId="0" applyNumberFormat="1" applyFill="1"/>
    <xf numFmtId="165" fontId="0" fillId="3" borderId="0" xfId="1" applyFont="1" applyFill="1"/>
    <xf numFmtId="20" fontId="0" fillId="3" borderId="0" xfId="0" applyNumberFormat="1" applyFill="1"/>
    <xf numFmtId="0" fontId="0" fillId="3" borderId="0" xfId="0" quotePrefix="1" applyFill="1" applyAlignment="1">
      <alignment horizontal="left"/>
    </xf>
    <xf numFmtId="1" fontId="1" fillId="3" borderId="0" xfId="0" quotePrefix="1" applyNumberFormat="1" applyFont="1" applyFill="1" applyAlignment="1">
      <alignment horizontal="left"/>
    </xf>
    <xf numFmtId="0" fontId="1" fillId="3" borderId="0" xfId="0" applyFont="1" applyFill="1"/>
    <xf numFmtId="174" fontId="1" fillId="3" borderId="0" xfId="0" applyNumberFormat="1" applyFont="1" applyFill="1"/>
    <xf numFmtId="165" fontId="1" fillId="3" borderId="0" xfId="1" applyFont="1" applyFill="1"/>
    <xf numFmtId="20" fontId="1" fillId="3" borderId="0" xfId="0" applyNumberFormat="1" applyFont="1" applyFill="1"/>
    <xf numFmtId="1" fontId="0" fillId="3" borderId="0" xfId="0" quotePrefix="1" applyNumberFormat="1" applyFill="1" applyAlignment="1">
      <alignment horizontal="left"/>
    </xf>
    <xf numFmtId="174" fontId="0" fillId="3" borderId="0" xfId="0" quotePrefix="1" applyNumberFormat="1" applyFill="1"/>
    <xf numFmtId="0" fontId="1" fillId="3" borderId="0" xfId="0" quotePrefix="1" applyFont="1" applyFill="1" applyAlignment="1">
      <alignment horizontal="left"/>
    </xf>
    <xf numFmtId="0" fontId="7" fillId="3" borderId="0" xfId="0" quotePrefix="1" applyFont="1" applyFill="1" applyAlignment="1">
      <alignment horizontal="left"/>
    </xf>
    <xf numFmtId="0" fontId="7" fillId="3" borderId="0" xfId="0" applyFont="1" applyFill="1"/>
    <xf numFmtId="174" fontId="7" fillId="3" borderId="0" xfId="0" applyNumberFormat="1" applyFont="1" applyFill="1"/>
    <xf numFmtId="165" fontId="7" fillId="3" borderId="0" xfId="1" applyFont="1" applyFill="1"/>
    <xf numFmtId="20" fontId="7" fillId="3" borderId="0" xfId="0" applyNumberFormat="1" applyFont="1" applyFill="1"/>
    <xf numFmtId="1" fontId="0" fillId="0" borderId="0" xfId="0" quotePrefix="1" applyNumberFormat="1" applyAlignment="1">
      <alignment horizontal="center"/>
    </xf>
    <xf numFmtId="165" fontId="0" fillId="2" borderId="0" xfId="1" applyFont="1" applyFill="1" applyAlignment="1">
      <alignment horizontal="center"/>
    </xf>
    <xf numFmtId="0" fontId="1" fillId="10" borderId="0" xfId="0" applyFont="1" applyFill="1"/>
    <xf numFmtId="174" fontId="1" fillId="10" borderId="0" xfId="0" applyNumberFormat="1" applyFont="1" applyFill="1"/>
    <xf numFmtId="165" fontId="1" fillId="10" borderId="0" xfId="1" applyFont="1" applyFill="1"/>
    <xf numFmtId="20" fontId="1" fillId="10" borderId="0" xfId="0" applyNumberFormat="1" applyFont="1" applyFill="1"/>
    <xf numFmtId="165" fontId="0" fillId="0" borderId="0" xfId="1" applyFont="1" applyFill="1" applyAlignment="1">
      <alignment vertical="center"/>
    </xf>
    <xf numFmtId="0" fontId="1" fillId="10" borderId="0" xfId="0" quotePrefix="1" applyFont="1" applyFill="1"/>
    <xf numFmtId="0" fontId="0" fillId="10" borderId="0" xfId="0" applyFill="1" applyAlignment="1">
      <alignment horizontal="left"/>
    </xf>
    <xf numFmtId="14" fontId="0" fillId="0" borderId="0" xfId="1" applyNumberFormat="1" applyFont="1" applyFill="1"/>
    <xf numFmtId="165" fontId="17" fillId="0" borderId="0" xfId="1" applyFont="1"/>
    <xf numFmtId="0" fontId="0" fillId="3" borderId="0" xfId="0" applyFill="1" applyAlignment="1">
      <alignment horizontal="center"/>
    </xf>
    <xf numFmtId="0" fontId="0" fillId="10" borderId="0" xfId="0" applyFill="1" applyAlignment="1">
      <alignment horizontal="center"/>
    </xf>
    <xf numFmtId="0" fontId="1" fillId="3" borderId="0" xfId="0" applyFont="1" applyFill="1" applyAlignment="1">
      <alignment horizontal="center"/>
    </xf>
    <xf numFmtId="0" fontId="0" fillId="15" borderId="0" xfId="0" applyFill="1" applyAlignment="1">
      <alignment horizontal="center"/>
    </xf>
    <xf numFmtId="0" fontId="7" fillId="3" borderId="0" xfId="0" applyFont="1" applyFill="1" applyAlignment="1">
      <alignment horizontal="center"/>
    </xf>
    <xf numFmtId="0" fontId="1" fillId="10" borderId="0" xfId="0" applyFont="1" applyFill="1" applyAlignment="1">
      <alignment horizontal="center"/>
    </xf>
    <xf numFmtId="165" fontId="0" fillId="3" borderId="0" xfId="1" applyFont="1" applyFill="1" applyAlignment="1">
      <alignment horizontal="center"/>
    </xf>
    <xf numFmtId="165" fontId="0" fillId="0" borderId="0" xfId="1" applyFont="1" applyFill="1" applyAlignment="1">
      <alignment horizontal="center"/>
    </xf>
    <xf numFmtId="165" fontId="7" fillId="0" borderId="0" xfId="1" applyFont="1" applyFill="1" applyAlignment="1">
      <alignment horizontal="center"/>
    </xf>
    <xf numFmtId="165" fontId="0" fillId="10" borderId="0" xfId="1" applyFont="1" applyFill="1" applyAlignment="1">
      <alignment horizontal="center"/>
    </xf>
    <xf numFmtId="165" fontId="0" fillId="2" borderId="10" xfId="1" applyFont="1" applyFill="1" applyBorder="1" applyAlignment="1">
      <alignment horizontal="center"/>
    </xf>
    <xf numFmtId="165" fontId="1" fillId="3" borderId="0" xfId="1" applyFont="1" applyFill="1" applyAlignment="1">
      <alignment horizontal="center"/>
    </xf>
    <xf numFmtId="165" fontId="0" fillId="15" borderId="0" xfId="1" applyFont="1" applyFill="1" applyAlignment="1">
      <alignment horizontal="center"/>
    </xf>
    <xf numFmtId="165" fontId="7" fillId="3" borderId="0" xfId="1" applyFont="1" applyFill="1" applyAlignment="1">
      <alignment horizontal="center"/>
    </xf>
    <xf numFmtId="165" fontId="1" fillId="10" borderId="0" xfId="1" applyFont="1" applyFill="1" applyAlignment="1">
      <alignment horizontal="center"/>
    </xf>
    <xf numFmtId="0" fontId="1" fillId="0" borderId="0" xfId="0" quotePrefix="1" applyFont="1" applyAlignment="1">
      <alignment horizontal="left"/>
    </xf>
    <xf numFmtId="165" fontId="1" fillId="0" borderId="0" xfId="1" applyFont="1" applyFill="1" applyAlignment="1">
      <alignment horizontal="center"/>
    </xf>
    <xf numFmtId="0" fontId="0" fillId="17" borderId="0" xfId="0" quotePrefix="1" applyFill="1"/>
    <xf numFmtId="0" fontId="0" fillId="17" borderId="0" xfId="0" applyFill="1"/>
    <xf numFmtId="174" fontId="0" fillId="17" borderId="0" xfId="0" applyNumberFormat="1" applyFill="1"/>
    <xf numFmtId="0" fontId="0" fillId="17" borderId="0" xfId="0" applyFill="1" applyAlignment="1">
      <alignment horizontal="center"/>
    </xf>
    <xf numFmtId="165" fontId="0" fillId="17" borderId="0" xfId="1" applyFont="1" applyFill="1" applyAlignment="1">
      <alignment horizontal="center"/>
    </xf>
    <xf numFmtId="165" fontId="0" fillId="17" borderId="0" xfId="1" applyFont="1" applyFill="1"/>
    <xf numFmtId="20" fontId="0" fillId="17" borderId="0" xfId="0" applyNumberFormat="1" applyFill="1"/>
    <xf numFmtId="0" fontId="0" fillId="17" borderId="0" xfId="0" quotePrefix="1" applyFill="1" applyAlignment="1">
      <alignment horizontal="left"/>
    </xf>
    <xf numFmtId="174" fontId="0" fillId="17" borderId="0" xfId="0" quotePrefix="1" applyNumberFormat="1" applyFill="1"/>
    <xf numFmtId="0" fontId="0" fillId="8" borderId="0" xfId="0" quotePrefix="1" applyFill="1"/>
    <xf numFmtId="174" fontId="0" fillId="8" borderId="0" xfId="0" applyNumberFormat="1" applyFill="1"/>
    <xf numFmtId="0" fontId="0" fillId="8" borderId="0" xfId="0" applyFill="1" applyAlignment="1">
      <alignment horizontal="center"/>
    </xf>
    <xf numFmtId="165" fontId="0" fillId="8" borderId="0" xfId="1" applyFont="1" applyFill="1" applyAlignment="1">
      <alignment horizontal="center"/>
    </xf>
    <xf numFmtId="20" fontId="0" fillId="8" borderId="0" xfId="0" applyNumberFormat="1" applyFill="1"/>
    <xf numFmtId="0" fontId="0" fillId="8" borderId="0" xfId="0" quotePrefix="1" applyFill="1" applyAlignment="1">
      <alignment horizontal="left"/>
    </xf>
    <xf numFmtId="0" fontId="0" fillId="0" borderId="0" xfId="0" quotePrefix="1" applyAlignment="1">
      <alignment horizontal="left" vertical="center"/>
    </xf>
    <xf numFmtId="0" fontId="0" fillId="0" borderId="0" xfId="0" applyAlignment="1">
      <alignment vertical="center" wrapText="1"/>
    </xf>
    <xf numFmtId="180" fontId="0" fillId="0" borderId="0" xfId="0" applyNumberFormat="1"/>
    <xf numFmtId="173" fontId="0" fillId="4" borderId="0" xfId="1" applyNumberFormat="1" applyFont="1" applyFill="1"/>
    <xf numFmtId="0" fontId="15" fillId="18" borderId="0" xfId="0" applyFont="1" applyFill="1"/>
    <xf numFmtId="173" fontId="15" fillId="18" borderId="0" xfId="1" applyNumberFormat="1" applyFont="1" applyFill="1"/>
    <xf numFmtId="0" fontId="15" fillId="18" borderId="0" xfId="0" applyFont="1" applyFill="1" applyAlignment="1">
      <alignment horizontal="center"/>
    </xf>
    <xf numFmtId="165" fontId="15" fillId="18" borderId="0" xfId="1" applyFont="1" applyFill="1"/>
    <xf numFmtId="165" fontId="15" fillId="18" borderId="10" xfId="1" applyFont="1" applyFill="1" applyBorder="1"/>
    <xf numFmtId="0" fontId="15" fillId="18" borderId="10" xfId="0" applyFont="1" applyFill="1" applyBorder="1"/>
    <xf numFmtId="0" fontId="15" fillId="18" borderId="10" xfId="0" applyFont="1" applyFill="1" applyBorder="1" applyAlignment="1">
      <alignment horizontal="center"/>
    </xf>
    <xf numFmtId="0" fontId="18" fillId="0" borderId="0" xfId="0" applyFont="1"/>
    <xf numFmtId="0" fontId="15" fillId="0" borderId="0" xfId="0" applyFont="1" applyAlignment="1">
      <alignment horizontal="center"/>
    </xf>
    <xf numFmtId="0" fontId="18" fillId="0" borderId="0" xfId="0" applyFont="1" applyAlignment="1">
      <alignment horizontal="center"/>
    </xf>
    <xf numFmtId="0" fontId="15" fillId="0" borderId="0" xfId="0" applyFont="1"/>
    <xf numFmtId="181" fontId="0" fillId="0" borderId="0" xfId="0" applyNumberFormat="1" applyAlignment="1">
      <alignment horizontal="center"/>
    </xf>
    <xf numFmtId="0" fontId="1" fillId="2" borderId="0" xfId="0" quotePrefix="1" applyFont="1" applyFill="1" applyAlignment="1">
      <alignment horizontal="left"/>
    </xf>
    <xf numFmtId="0" fontId="1" fillId="2" borderId="0" xfId="0" applyFont="1" applyFill="1" applyAlignment="1">
      <alignment horizontal="center"/>
    </xf>
    <xf numFmtId="165" fontId="1" fillId="2" borderId="0" xfId="1" applyFont="1" applyFill="1" applyAlignment="1">
      <alignment horizontal="center"/>
    </xf>
    <xf numFmtId="0" fontId="0" fillId="0" borderId="0" xfId="0" applyAlignment="1">
      <alignment horizontal="left" wrapText="1"/>
    </xf>
    <xf numFmtId="182" fontId="0" fillId="0" borderId="0" xfId="0" applyNumberFormat="1"/>
    <xf numFmtId="174" fontId="0" fillId="0" borderId="0" xfId="0" applyNumberFormat="1" applyAlignment="1">
      <alignment horizontal="left"/>
    </xf>
    <xf numFmtId="20" fontId="0" fillId="0" borderId="0" xfId="0" applyNumberFormat="1" applyAlignment="1">
      <alignment horizontal="left"/>
    </xf>
    <xf numFmtId="9" fontId="0" fillId="0" borderId="5" xfId="3" applyFont="1" applyFill="1" applyBorder="1" applyAlignment="1">
      <alignment horizontal="center"/>
    </xf>
    <xf numFmtId="0" fontId="0" fillId="0" borderId="5" xfId="0" applyBorder="1" applyAlignment="1">
      <alignment horizontal="left"/>
    </xf>
    <xf numFmtId="0" fontId="0" fillId="4" borderId="0" xfId="0" quotePrefix="1" applyFill="1" applyAlignment="1">
      <alignment horizontal="left"/>
    </xf>
    <xf numFmtId="174" fontId="0" fillId="4" borderId="0" xfId="0" applyNumberFormat="1" applyFill="1"/>
    <xf numFmtId="0" fontId="0" fillId="4" borderId="0" xfId="0" applyFill="1" applyAlignment="1">
      <alignment horizontal="left"/>
    </xf>
    <xf numFmtId="165" fontId="0" fillId="4" borderId="0" xfId="1" applyFont="1" applyFill="1" applyAlignment="1">
      <alignment horizontal="left"/>
    </xf>
    <xf numFmtId="20" fontId="1" fillId="2" borderId="0" xfId="0" applyNumberFormat="1" applyFont="1" applyFill="1"/>
    <xf numFmtId="165" fontId="0" fillId="0" borderId="0" xfId="1" applyFont="1" applyAlignment="1">
      <alignment horizontal="left"/>
    </xf>
    <xf numFmtId="20" fontId="1" fillId="10" borderId="0" xfId="0" applyNumberFormat="1" applyFont="1" applyFill="1" applyAlignment="1">
      <alignment horizontal="center"/>
    </xf>
    <xf numFmtId="174" fontId="1" fillId="2" borderId="0" xfId="0" applyNumberFormat="1" applyFont="1" applyFill="1"/>
    <xf numFmtId="0" fontId="0" fillId="0" borderId="12" xfId="0" applyBorder="1" applyAlignment="1">
      <alignment horizontal="left"/>
    </xf>
    <xf numFmtId="166" fontId="0" fillId="0" borderId="0" xfId="0" applyNumberFormat="1" applyAlignment="1">
      <alignment horizontal="center"/>
    </xf>
    <xf numFmtId="0" fontId="0" fillId="2" borderId="0" xfId="0" applyFill="1" applyAlignment="1">
      <alignment horizontal="left"/>
    </xf>
    <xf numFmtId="174" fontId="0" fillId="0" borderId="0" xfId="0" applyNumberFormat="1" applyAlignment="1">
      <alignment horizontal="right"/>
    </xf>
    <xf numFmtId="165" fontId="0" fillId="2" borderId="0" xfId="1" applyFont="1" applyFill="1" applyAlignment="1">
      <alignment horizontal="left"/>
    </xf>
    <xf numFmtId="0" fontId="0" fillId="0" borderId="6" xfId="0" applyBorder="1" applyAlignment="1">
      <alignment horizontal="left"/>
    </xf>
    <xf numFmtId="183" fontId="0" fillId="0" borderId="0" xfId="3" applyNumberFormat="1" applyFont="1"/>
    <xf numFmtId="0" fontId="0" fillId="6" borderId="0" xfId="0" quotePrefix="1" applyFill="1" applyAlignment="1">
      <alignment horizontal="left"/>
    </xf>
    <xf numFmtId="0" fontId="0" fillId="6" borderId="0" xfId="0" applyFill="1"/>
    <xf numFmtId="174" fontId="0" fillId="6" borderId="0" xfId="0" applyNumberFormat="1" applyFill="1"/>
    <xf numFmtId="0" fontId="0" fillId="6" borderId="0" xfId="0" applyFill="1" applyAlignment="1">
      <alignment horizontal="center"/>
    </xf>
    <xf numFmtId="165" fontId="0" fillId="6" borderId="0" xfId="1" applyFont="1" applyFill="1" applyAlignment="1">
      <alignment horizontal="center"/>
    </xf>
    <xf numFmtId="165" fontId="0" fillId="6" borderId="0" xfId="1" applyFont="1" applyFill="1"/>
    <xf numFmtId="20" fontId="0" fillId="6" borderId="0" xfId="0" applyNumberFormat="1" applyFill="1"/>
    <xf numFmtId="0" fontId="0" fillId="16" borderId="0" xfId="0" quotePrefix="1" applyFill="1" applyAlignment="1">
      <alignment horizontal="left"/>
    </xf>
    <xf numFmtId="0" fontId="0" fillId="16" borderId="0" xfId="0" applyFill="1"/>
    <xf numFmtId="174" fontId="0" fillId="16" borderId="0" xfId="0" applyNumberFormat="1" applyFill="1"/>
    <xf numFmtId="0" fontId="0" fillId="16" borderId="0" xfId="0" applyFill="1" applyAlignment="1">
      <alignment horizontal="center"/>
    </xf>
    <xf numFmtId="165" fontId="0" fillId="16" borderId="0" xfId="1" applyFont="1" applyFill="1" applyAlignment="1">
      <alignment horizontal="center"/>
    </xf>
    <xf numFmtId="165" fontId="0" fillId="16" borderId="0" xfId="1" applyFont="1" applyFill="1"/>
    <xf numFmtId="20" fontId="0" fillId="16" borderId="0" xfId="0" applyNumberFormat="1" applyFill="1"/>
    <xf numFmtId="0" fontId="0" fillId="7" borderId="0" xfId="0" quotePrefix="1" applyFill="1"/>
    <xf numFmtId="0" fontId="0" fillId="7" borderId="0" xfId="0" applyFill="1"/>
    <xf numFmtId="174" fontId="0" fillId="7" borderId="0" xfId="0" applyNumberFormat="1" applyFill="1"/>
    <xf numFmtId="165" fontId="0" fillId="7" borderId="0" xfId="1" applyFont="1" applyFill="1" applyAlignment="1">
      <alignment horizontal="center"/>
    </xf>
    <xf numFmtId="165" fontId="0" fillId="7" borderId="0" xfId="1" applyFont="1" applyFill="1"/>
    <xf numFmtId="20" fontId="0" fillId="7" borderId="0" xfId="0" applyNumberFormat="1" applyFill="1"/>
    <xf numFmtId="0" fontId="0" fillId="7" borderId="0" xfId="0" quotePrefix="1" applyFill="1" applyAlignment="1">
      <alignment horizontal="left"/>
    </xf>
    <xf numFmtId="0" fontId="0" fillId="19" borderId="0" xfId="0" applyFill="1"/>
    <xf numFmtId="0" fontId="7" fillId="20" borderId="0" xfId="0" quotePrefix="1" applyFont="1" applyFill="1" applyAlignment="1">
      <alignment horizontal="left"/>
    </xf>
    <xf numFmtId="0" fontId="7" fillId="20" borderId="0" xfId="0" applyFont="1" applyFill="1"/>
    <xf numFmtId="174" fontId="7" fillId="20" borderId="0" xfId="0" applyNumberFormat="1" applyFont="1" applyFill="1"/>
    <xf numFmtId="0" fontId="7" fillId="20" borderId="0" xfId="0" applyFont="1" applyFill="1" applyAlignment="1">
      <alignment horizontal="center"/>
    </xf>
    <xf numFmtId="165" fontId="7" fillId="20" borderId="0" xfId="1" applyFont="1" applyFill="1" applyAlignment="1">
      <alignment horizontal="center"/>
    </xf>
    <xf numFmtId="165" fontId="7" fillId="20" borderId="0" xfId="1" applyFont="1" applyFill="1"/>
    <xf numFmtId="20" fontId="7" fillId="20" borderId="0" xfId="0" applyNumberFormat="1" applyFont="1" applyFill="1"/>
    <xf numFmtId="0" fontId="0" fillId="20" borderId="0" xfId="0" quotePrefix="1" applyFill="1"/>
    <xf numFmtId="0" fontId="0" fillId="20" borderId="0" xfId="0" applyFill="1"/>
    <xf numFmtId="174" fontId="0" fillId="20" borderId="0" xfId="0" applyNumberFormat="1" applyFill="1"/>
    <xf numFmtId="0" fontId="0" fillId="20" borderId="0" xfId="0" applyFill="1" applyAlignment="1">
      <alignment horizontal="center"/>
    </xf>
    <xf numFmtId="165" fontId="0" fillId="20" borderId="0" xfId="1" applyFont="1" applyFill="1" applyAlignment="1">
      <alignment horizontal="center"/>
    </xf>
    <xf numFmtId="165" fontId="0" fillId="20" borderId="0" xfId="1" applyFont="1" applyFill="1"/>
    <xf numFmtId="20" fontId="0" fillId="20" borderId="0" xfId="0" applyNumberFormat="1" applyFill="1"/>
    <xf numFmtId="165" fontId="0" fillId="0" borderId="0" xfId="1" applyFont="1" applyFill="1" applyAlignment="1"/>
    <xf numFmtId="165" fontId="2" fillId="2" borderId="10" xfId="0" applyNumberFormat="1" applyFont="1" applyFill="1" applyBorder="1"/>
    <xf numFmtId="165" fontId="0" fillId="2" borderId="0" xfId="1" applyFont="1" applyFill="1" applyAlignment="1"/>
    <xf numFmtId="0" fontId="0" fillId="21" borderId="0" xfId="0" quotePrefix="1" applyFill="1" applyAlignment="1">
      <alignment horizontal="left"/>
    </xf>
    <xf numFmtId="0" fontId="0" fillId="21" borderId="0" xfId="0" applyFill="1"/>
    <xf numFmtId="174" fontId="0" fillId="21" borderId="0" xfId="0" applyNumberFormat="1" applyFill="1"/>
    <xf numFmtId="0" fontId="0" fillId="21" borderId="0" xfId="0" applyFill="1" applyAlignment="1">
      <alignment horizontal="center"/>
    </xf>
    <xf numFmtId="165" fontId="0" fillId="21" borderId="0" xfId="1" applyFont="1" applyFill="1" applyAlignment="1">
      <alignment horizontal="center"/>
    </xf>
    <xf numFmtId="165" fontId="0" fillId="21" borderId="0" xfId="1" applyFont="1" applyFill="1"/>
    <xf numFmtId="20" fontId="0" fillId="21" borderId="0" xfId="0" applyNumberFormat="1" applyFill="1"/>
    <xf numFmtId="43" fontId="0" fillId="3" borderId="0" xfId="0" applyNumberFormat="1" applyFill="1"/>
    <xf numFmtId="165" fontId="6" fillId="2" borderId="0" xfId="1" applyFont="1" applyFill="1" applyAlignment="1">
      <alignment horizontal="center"/>
    </xf>
    <xf numFmtId="165" fontId="6" fillId="2" borderId="0" xfId="1" applyFont="1" applyFill="1" applyAlignment="1">
      <alignment horizontal="left"/>
    </xf>
    <xf numFmtId="174" fontId="0" fillId="8" borderId="0" xfId="0" applyNumberFormat="1" applyFill="1" applyAlignment="1">
      <alignment horizontal="center"/>
    </xf>
    <xf numFmtId="0" fontId="0" fillId="8" borderId="0" xfId="0" applyFill="1" applyAlignment="1">
      <alignment horizontal="left"/>
    </xf>
    <xf numFmtId="0" fontId="1" fillId="8" borderId="0" xfId="0" applyFont="1" applyFill="1"/>
    <xf numFmtId="16" fontId="0" fillId="0" borderId="0" xfId="0" quotePrefix="1" applyNumberFormat="1" applyAlignment="1">
      <alignment horizontal="left"/>
    </xf>
    <xf numFmtId="0" fontId="0" fillId="22" borderId="0" xfId="0" applyFill="1"/>
    <xf numFmtId="0" fontId="0" fillId="3" borderId="0" xfId="0" applyFill="1" applyAlignment="1">
      <alignment horizontal="left"/>
    </xf>
    <xf numFmtId="16" fontId="0" fillId="10" borderId="0" xfId="0" quotePrefix="1" applyNumberFormat="1" applyFill="1" applyAlignment="1">
      <alignment horizontal="left"/>
    </xf>
    <xf numFmtId="9" fontId="0" fillId="5" borderId="11" xfId="3" applyFont="1" applyFill="1" applyBorder="1" applyAlignment="1">
      <alignment horizontal="center"/>
    </xf>
    <xf numFmtId="0" fontId="0" fillId="5" borderId="12" xfId="0" applyFill="1" applyBorder="1" applyAlignment="1">
      <alignment horizontal="left"/>
    </xf>
    <xf numFmtId="0" fontId="2" fillId="0" borderId="13" xfId="0" applyFont="1" applyBorder="1"/>
    <xf numFmtId="0" fontId="2" fillId="0" borderId="14" xfId="0" applyFont="1" applyBorder="1"/>
    <xf numFmtId="0" fontId="2" fillId="0" borderId="18" xfId="0" applyFont="1" applyBorder="1"/>
    <xf numFmtId="14" fontId="2" fillId="0" borderId="15" xfId="0" applyNumberFormat="1" applyFont="1" applyBorder="1"/>
    <xf numFmtId="174" fontId="1" fillId="0" borderId="0" xfId="0" applyNumberFormat="1" applyFont="1" applyAlignment="1">
      <alignment horizontal="right"/>
    </xf>
    <xf numFmtId="0" fontId="1" fillId="2" borderId="0" xfId="0" quotePrefix="1" applyFont="1" applyFill="1"/>
    <xf numFmtId="16" fontId="1" fillId="2" borderId="0" xfId="0" applyNumberFormat="1" applyFont="1" applyFill="1"/>
    <xf numFmtId="174" fontId="1" fillId="2" borderId="0" xfId="0" applyNumberFormat="1" applyFont="1" applyFill="1" applyAlignment="1">
      <alignment horizontal="right"/>
    </xf>
    <xf numFmtId="173" fontId="2" fillId="0" borderId="0" xfId="1" applyNumberFormat="1" applyFont="1" applyFill="1" applyAlignment="1">
      <alignment horizontal="center"/>
    </xf>
    <xf numFmtId="165" fontId="2" fillId="0" borderId="0" xfId="1" applyFont="1" applyFill="1" applyAlignment="1">
      <alignment horizontal="center"/>
    </xf>
    <xf numFmtId="173" fontId="0" fillId="0" borderId="0" xfId="1" applyNumberFormat="1" applyFont="1" applyFill="1" applyAlignment="1">
      <alignment vertical="center"/>
    </xf>
    <xf numFmtId="165" fontId="2" fillId="0" borderId="0" xfId="1" applyFont="1" applyFill="1" applyBorder="1"/>
    <xf numFmtId="0" fontId="0" fillId="2" borderId="10" xfId="0" applyFill="1" applyBorder="1"/>
    <xf numFmtId="0" fontId="13" fillId="0" borderId="0" xfId="0" applyFont="1" applyAlignment="1">
      <alignment horizontal="center"/>
    </xf>
    <xf numFmtId="0" fontId="2" fillId="0" borderId="18" xfId="0" applyFont="1" applyBorder="1" applyAlignment="1">
      <alignment horizontal="center"/>
    </xf>
    <xf numFmtId="0" fontId="13" fillId="0" borderId="10" xfId="0" applyFont="1" applyBorder="1" applyAlignment="1">
      <alignment horizontal="center"/>
    </xf>
    <xf numFmtId="0" fontId="0" fillId="0" borderId="0" xfId="0" applyAlignment="1">
      <alignment vertical="top"/>
    </xf>
    <xf numFmtId="165" fontId="0" fillId="0" borderId="0" xfId="1" applyFont="1" applyFill="1" applyAlignment="1">
      <alignment vertical="top"/>
    </xf>
    <xf numFmtId="20" fontId="0" fillId="0" borderId="0" xfId="0" applyNumberFormat="1" applyAlignment="1">
      <alignment vertical="top"/>
    </xf>
    <xf numFmtId="0" fontId="20" fillId="21" borderId="0" xfId="0" quotePrefix="1" applyFont="1" applyFill="1" applyAlignment="1">
      <alignment horizontal="left"/>
    </xf>
    <xf numFmtId="0" fontId="20" fillId="21" borderId="0" xfId="0" applyFont="1" applyFill="1"/>
    <xf numFmtId="174" fontId="20" fillId="21" borderId="0" xfId="0" applyNumberFormat="1" applyFont="1" applyFill="1"/>
    <xf numFmtId="0" fontId="20" fillId="21" borderId="0" xfId="0" applyFont="1" applyFill="1" applyAlignment="1">
      <alignment horizontal="center"/>
    </xf>
    <xf numFmtId="165" fontId="20" fillId="21" borderId="0" xfId="1" applyFont="1" applyFill="1" applyAlignment="1">
      <alignment horizontal="center"/>
    </xf>
    <xf numFmtId="165" fontId="20" fillId="21" borderId="0" xfId="1" applyFont="1" applyFill="1"/>
    <xf numFmtId="20" fontId="20" fillId="21" borderId="0" xfId="0" applyNumberFormat="1" applyFont="1" applyFill="1"/>
    <xf numFmtId="16" fontId="0" fillId="0" borderId="0" xfId="0" applyNumberFormat="1" applyAlignment="1">
      <alignment horizontal="left"/>
    </xf>
    <xf numFmtId="165" fontId="0" fillId="8" borderId="0" xfId="1" applyFont="1" applyFill="1" applyAlignment="1"/>
    <xf numFmtId="0" fontId="7" fillId="4" borderId="0" xfId="0" applyFont="1" applyFill="1" applyAlignment="1">
      <alignment horizontal="left"/>
    </xf>
    <xf numFmtId="165" fontId="7" fillId="0" borderId="0" xfId="1" applyFont="1" applyFill="1" applyAlignment="1">
      <alignment horizontal="left"/>
    </xf>
    <xf numFmtId="174" fontId="7" fillId="0" borderId="0" xfId="0" applyNumberFormat="1" applyFont="1" applyAlignment="1">
      <alignment horizontal="left"/>
    </xf>
    <xf numFmtId="0" fontId="7" fillId="10" borderId="0" xfId="0" quotePrefix="1" applyFont="1" applyFill="1" applyAlignment="1">
      <alignment horizontal="left"/>
    </xf>
    <xf numFmtId="0" fontId="7" fillId="10" borderId="0" xfId="0" applyFont="1" applyFill="1" applyAlignment="1">
      <alignment horizontal="center"/>
    </xf>
    <xf numFmtId="165" fontId="7" fillId="10" borderId="0" xfId="1" applyFont="1" applyFill="1" applyAlignment="1">
      <alignment horizontal="center"/>
    </xf>
    <xf numFmtId="165" fontId="7" fillId="10" borderId="0" xfId="1" applyFont="1" applyFill="1"/>
    <xf numFmtId="165" fontId="2" fillId="0" borderId="0" xfId="0" applyNumberFormat="1" applyFont="1"/>
    <xf numFmtId="0" fontId="0" fillId="4" borderId="0" xfId="0" applyFill="1" applyAlignment="1">
      <alignment horizontal="center"/>
    </xf>
    <xf numFmtId="0" fontId="0" fillId="0" borderId="0" xfId="0" quotePrefix="1" applyAlignment="1">
      <alignment horizontal="left" vertical="top"/>
    </xf>
    <xf numFmtId="165" fontId="15" fillId="0" borderId="0" xfId="1" applyFont="1" applyFill="1"/>
    <xf numFmtId="166" fontId="2" fillId="0" borderId="0" xfId="0" applyNumberFormat="1" applyFont="1"/>
    <xf numFmtId="165" fontId="1" fillId="0" borderId="0" xfId="1" applyFont="1" applyFill="1" applyAlignment="1">
      <alignment vertical="center"/>
    </xf>
    <xf numFmtId="16" fontId="1" fillId="2" borderId="0" xfId="0" quotePrefix="1" applyNumberFormat="1" applyFont="1" applyFill="1" applyAlignment="1">
      <alignment horizontal="left"/>
    </xf>
    <xf numFmtId="165" fontId="0" fillId="0" borderId="0" xfId="1" applyFont="1" applyFill="1" applyBorder="1"/>
    <xf numFmtId="0" fontId="0" fillId="0" borderId="0" xfId="1" applyNumberFormat="1" applyFont="1" applyAlignment="1">
      <alignment horizontal="center"/>
    </xf>
    <xf numFmtId="0" fontId="1" fillId="2" borderId="0" xfId="0" applyFont="1" applyFill="1" applyAlignment="1">
      <alignment horizontal="left"/>
    </xf>
    <xf numFmtId="165" fontId="1" fillId="0" borderId="0" xfId="1" applyFont="1" applyFill="1" applyAlignment="1">
      <alignment horizontal="left"/>
    </xf>
    <xf numFmtId="20" fontId="1" fillId="0" borderId="0" xfId="0" applyNumberFormat="1" applyFont="1" applyAlignment="1">
      <alignment horizontal="left"/>
    </xf>
    <xf numFmtId="0" fontId="0" fillId="0" borderId="0" xfId="0" quotePrefix="1" applyAlignment="1">
      <alignment horizontal="center"/>
    </xf>
    <xf numFmtId="0" fontId="21" fillId="0" borderId="0" xfId="0" applyFont="1" applyAlignment="1">
      <alignment horizontal="center"/>
    </xf>
    <xf numFmtId="174" fontId="21" fillId="0" borderId="0" xfId="0" applyNumberFormat="1" applyFont="1" applyAlignment="1">
      <alignment horizontal="center"/>
    </xf>
    <xf numFmtId="165" fontId="21" fillId="0" borderId="0" xfId="1" applyFont="1" applyFill="1" applyAlignment="1">
      <alignment horizontal="center"/>
    </xf>
    <xf numFmtId="0" fontId="21" fillId="0" borderId="0" xfId="0" applyFont="1" applyAlignment="1">
      <alignment horizontal="left"/>
    </xf>
    <xf numFmtId="20" fontId="7" fillId="0" borderId="0" xfId="0" applyNumberFormat="1" applyFont="1" applyAlignment="1">
      <alignment horizontal="left"/>
    </xf>
    <xf numFmtId="16" fontId="7" fillId="0" borderId="0" xfId="0" quotePrefix="1" applyNumberFormat="1" applyFont="1" applyAlignment="1">
      <alignment horizontal="left"/>
    </xf>
    <xf numFmtId="174" fontId="0" fillId="2" borderId="0" xfId="0" applyNumberFormat="1" applyFill="1" applyAlignment="1">
      <alignment horizontal="left"/>
    </xf>
    <xf numFmtId="16" fontId="0" fillId="3" borderId="0" xfId="0" quotePrefix="1" applyNumberFormat="1" applyFill="1" applyAlignment="1">
      <alignment horizontal="left"/>
    </xf>
    <xf numFmtId="0" fontId="0" fillId="22" borderId="0" xfId="0" applyFill="1" applyAlignment="1">
      <alignment horizontal="center"/>
    </xf>
    <xf numFmtId="16" fontId="7" fillId="10" borderId="0" xfId="0" quotePrefix="1" applyNumberFormat="1" applyFont="1" applyFill="1" applyAlignment="1">
      <alignment horizontal="left"/>
    </xf>
    <xf numFmtId="174" fontId="0" fillId="2" borderId="0" xfId="0" applyNumberFormat="1" applyFill="1" applyAlignment="1">
      <alignment horizontal="center"/>
    </xf>
    <xf numFmtId="0" fontId="0" fillId="2" borderId="0" xfId="0" quotePrefix="1" applyFill="1" applyAlignment="1">
      <alignment horizontal="center"/>
    </xf>
    <xf numFmtId="20" fontId="0" fillId="2" borderId="0" xfId="0" applyNumberFormat="1" applyFill="1" applyAlignment="1">
      <alignment horizontal="left"/>
    </xf>
    <xf numFmtId="0" fontId="0" fillId="23" borderId="0" xfId="0" quotePrefix="1" applyFill="1" applyAlignment="1">
      <alignment horizontal="center"/>
    </xf>
    <xf numFmtId="0" fontId="0" fillId="23" borderId="0" xfId="0" applyFill="1" applyAlignment="1">
      <alignment horizontal="center"/>
    </xf>
    <xf numFmtId="174" fontId="0" fillId="23" borderId="0" xfId="0" applyNumberFormat="1" applyFill="1" applyAlignment="1">
      <alignment horizontal="center"/>
    </xf>
    <xf numFmtId="165" fontId="6" fillId="23" borderId="0" xfId="1" applyFont="1" applyFill="1" applyAlignment="1">
      <alignment horizontal="center"/>
    </xf>
    <xf numFmtId="20" fontId="0" fillId="23" borderId="0" xfId="0" applyNumberFormat="1" applyFill="1" applyAlignment="1">
      <alignment horizontal="center"/>
    </xf>
    <xf numFmtId="20" fontId="0" fillId="23" borderId="0" xfId="0" applyNumberFormat="1" applyFill="1" applyAlignment="1">
      <alignment horizontal="left"/>
    </xf>
    <xf numFmtId="20" fontId="7" fillId="23" borderId="0" xfId="0" applyNumberFormat="1" applyFont="1" applyFill="1" applyAlignment="1">
      <alignment horizontal="left"/>
    </xf>
    <xf numFmtId="0" fontId="0" fillId="23" borderId="0" xfId="0" applyFill="1"/>
    <xf numFmtId="165" fontId="0" fillId="23" borderId="0" xfId="1" applyFont="1" applyFill="1" applyAlignment="1">
      <alignment horizontal="center"/>
    </xf>
    <xf numFmtId="165" fontId="0" fillId="23" borderId="0" xfId="1" applyFont="1" applyFill="1"/>
    <xf numFmtId="20" fontId="0" fillId="23" borderId="0" xfId="0" applyNumberFormat="1" applyFill="1"/>
    <xf numFmtId="0" fontId="0" fillId="0" borderId="0" xfId="1" applyNumberFormat="1" applyFont="1"/>
    <xf numFmtId="0" fontId="7" fillId="0" borderId="0" xfId="0" quotePrefix="1" applyFont="1" applyAlignment="1">
      <alignment horizontal="center"/>
    </xf>
    <xf numFmtId="174" fontId="7" fillId="0" borderId="0" xfId="0" applyNumberFormat="1" applyFont="1" applyAlignment="1">
      <alignment horizontal="center"/>
    </xf>
    <xf numFmtId="184" fontId="0" fillId="0" borderId="0" xfId="1" applyNumberFormat="1" applyFont="1" applyAlignment="1">
      <alignment horizontal="center"/>
    </xf>
    <xf numFmtId="20" fontId="0" fillId="18" borderId="0" xfId="0" applyNumberFormat="1" applyFill="1" applyAlignment="1">
      <alignment horizontal="right"/>
    </xf>
    <xf numFmtId="165" fontId="15" fillId="18" borderId="0" xfId="1" applyFont="1" applyFill="1" applyAlignment="1">
      <alignment horizontal="center"/>
    </xf>
    <xf numFmtId="16" fontId="0" fillId="0" borderId="0" xfId="0" quotePrefix="1" applyNumberFormat="1" applyAlignment="1">
      <alignment horizontal="right"/>
    </xf>
    <xf numFmtId="0" fontId="14" fillId="0" borderId="0" xfId="4" applyAlignment="1">
      <alignment horizontal="center" wrapText="1"/>
    </xf>
    <xf numFmtId="0" fontId="22" fillId="0" borderId="0" xfId="4" applyFont="1" applyAlignment="1">
      <alignment horizontal="center"/>
    </xf>
    <xf numFmtId="0" fontId="14" fillId="0" borderId="0" xfId="4"/>
    <xf numFmtId="43" fontId="1" fillId="0" borderId="0" xfId="0" applyNumberFormat="1" applyFont="1" applyAlignment="1">
      <alignment horizontal="center"/>
    </xf>
    <xf numFmtId="165" fontId="7" fillId="0" borderId="0" xfId="1" applyFont="1" applyFill="1" applyAlignment="1"/>
    <xf numFmtId="173" fontId="0" fillId="0" borderId="0" xfId="1" applyNumberFormat="1" applyFont="1" applyAlignment="1">
      <alignment vertical="center"/>
    </xf>
    <xf numFmtId="17" fontId="0" fillId="3" borderId="0" xfId="0" applyNumberFormat="1" applyFill="1"/>
    <xf numFmtId="16" fontId="7" fillId="3" borderId="0" xfId="0" quotePrefix="1" applyNumberFormat="1" applyFont="1" applyFill="1" applyAlignment="1">
      <alignment horizontal="left"/>
    </xf>
    <xf numFmtId="0" fontId="0" fillId="22" borderId="0" xfId="0" quotePrefix="1" applyFill="1" applyAlignment="1">
      <alignment horizontal="left"/>
    </xf>
    <xf numFmtId="174" fontId="0" fillId="22" borderId="0" xfId="0" applyNumberFormat="1" applyFill="1"/>
    <xf numFmtId="165" fontId="0" fillId="22" borderId="0" xfId="1" applyFont="1" applyFill="1" applyAlignment="1">
      <alignment horizontal="center"/>
    </xf>
    <xf numFmtId="165" fontId="0" fillId="22" borderId="0" xfId="1" applyFont="1" applyFill="1"/>
    <xf numFmtId="20" fontId="0" fillId="22" borderId="0" xfId="0" applyNumberFormat="1" applyFill="1"/>
    <xf numFmtId="174" fontId="7" fillId="0" borderId="0" xfId="0" applyNumberFormat="1" applyFont="1" applyAlignment="1">
      <alignment horizontal="right"/>
    </xf>
    <xf numFmtId="0" fontId="0" fillId="12" borderId="0" xfId="0" applyFill="1" applyAlignment="1">
      <alignment horizontal="center"/>
    </xf>
    <xf numFmtId="0" fontId="0" fillId="24" borderId="0" xfId="0" applyFill="1" applyAlignment="1">
      <alignment horizontal="center"/>
    </xf>
    <xf numFmtId="0" fontId="0" fillId="12" borderId="0" xfId="0" applyFill="1" applyAlignment="1">
      <alignment horizontal="left"/>
    </xf>
    <xf numFmtId="174" fontId="0" fillId="19" borderId="0" xfId="0" applyNumberFormat="1" applyFill="1"/>
    <xf numFmtId="165" fontId="2" fillId="7" borderId="10" xfId="1" applyFont="1" applyFill="1" applyBorder="1" applyAlignment="1">
      <alignment horizontal="center"/>
    </xf>
    <xf numFmtId="0" fontId="7" fillId="23" borderId="0" xfId="0" applyFont="1" applyFill="1" applyAlignment="1">
      <alignment horizontal="center"/>
    </xf>
    <xf numFmtId="0" fontId="7" fillId="23" borderId="0" xfId="0" quotePrefix="1" applyFont="1" applyFill="1" applyAlignment="1">
      <alignment horizontal="center"/>
    </xf>
    <xf numFmtId="0" fontId="7" fillId="23" borderId="0" xfId="0" applyFont="1" applyFill="1" applyAlignment="1">
      <alignment horizontal="left"/>
    </xf>
    <xf numFmtId="174" fontId="7" fillId="23" borderId="0" xfId="0" applyNumberFormat="1" applyFont="1" applyFill="1" applyAlignment="1">
      <alignment horizontal="center"/>
    </xf>
    <xf numFmtId="0" fontId="7" fillId="23" borderId="0" xfId="0" applyFont="1" applyFill="1"/>
    <xf numFmtId="165" fontId="7" fillId="23" borderId="0" xfId="1" applyFont="1" applyFill="1" applyAlignment="1">
      <alignment horizontal="center"/>
    </xf>
    <xf numFmtId="165" fontId="7" fillId="23" borderId="0" xfId="1" applyFont="1" applyFill="1"/>
    <xf numFmtId="20" fontId="7" fillId="23" borderId="0" xfId="0" applyNumberFormat="1" applyFont="1" applyFill="1"/>
    <xf numFmtId="0" fontId="0" fillId="0" borderId="0" xfId="0" quotePrefix="1" applyAlignment="1">
      <alignment horizontal="right"/>
    </xf>
    <xf numFmtId="0" fontId="7" fillId="0" borderId="0" xfId="0" quotePrefix="1" applyFont="1" applyAlignment="1">
      <alignment horizontal="right"/>
    </xf>
    <xf numFmtId="0" fontId="7" fillId="3" borderId="0" xfId="0" quotePrefix="1" applyFont="1" applyFill="1" applyAlignment="1">
      <alignment horizontal="center"/>
    </xf>
    <xf numFmtId="174" fontId="7" fillId="3" borderId="0" xfId="0" applyNumberFormat="1" applyFont="1" applyFill="1" applyAlignment="1">
      <alignment horizontal="center"/>
    </xf>
    <xf numFmtId="20" fontId="7" fillId="3" borderId="0" xfId="0" applyNumberFormat="1" applyFont="1" applyFill="1" applyAlignment="1">
      <alignment horizontal="left"/>
    </xf>
    <xf numFmtId="0" fontId="0" fillId="3" borderId="0" xfId="0" quotePrefix="1" applyFill="1" applyAlignment="1">
      <alignment horizontal="center"/>
    </xf>
    <xf numFmtId="174" fontId="0" fillId="3" borderId="0" xfId="0" applyNumberFormat="1" applyFill="1" applyAlignment="1">
      <alignment horizontal="center"/>
    </xf>
    <xf numFmtId="165" fontId="6" fillId="3" borderId="0" xfId="1" applyFont="1" applyFill="1" applyAlignment="1">
      <alignment horizontal="center"/>
    </xf>
    <xf numFmtId="20" fontId="0" fillId="3" borderId="0" xfId="0" applyNumberFormat="1" applyFill="1" applyAlignment="1">
      <alignment horizontal="left"/>
    </xf>
    <xf numFmtId="0" fontId="0" fillId="19" borderId="0" xfId="0" quotePrefix="1" applyFill="1" applyAlignment="1">
      <alignment horizontal="left"/>
    </xf>
    <xf numFmtId="0" fontId="0" fillId="19" borderId="0" xfId="0" applyFill="1" applyAlignment="1">
      <alignment horizontal="center"/>
    </xf>
    <xf numFmtId="165" fontId="0" fillId="19" borderId="0" xfId="1" applyFont="1" applyFill="1" applyAlignment="1">
      <alignment horizontal="center"/>
    </xf>
    <xf numFmtId="20" fontId="0" fillId="19" borderId="0" xfId="0" applyNumberFormat="1" applyFill="1"/>
    <xf numFmtId="16" fontId="0" fillId="22" borderId="0" xfId="0" quotePrefix="1" applyNumberFormat="1" applyFill="1" applyAlignment="1">
      <alignment horizontal="left"/>
    </xf>
    <xf numFmtId="0" fontId="7" fillId="23" borderId="0" xfId="0" quotePrefix="1" applyFont="1" applyFill="1" applyAlignment="1">
      <alignment horizontal="left"/>
    </xf>
    <xf numFmtId="165" fontId="7" fillId="23" borderId="0" xfId="1" applyFont="1" applyFill="1" applyAlignment="1">
      <alignment horizontal="left"/>
    </xf>
    <xf numFmtId="165" fontId="2" fillId="0" borderId="0" xfId="1" applyFont="1" applyFill="1" applyBorder="1" applyAlignment="1">
      <alignment horizontal="center"/>
    </xf>
    <xf numFmtId="16" fontId="0" fillId="7" borderId="0" xfId="0" quotePrefix="1" applyNumberFormat="1" applyFill="1" applyAlignment="1">
      <alignment horizontal="left"/>
    </xf>
    <xf numFmtId="166" fontId="2" fillId="2" borderId="10" xfId="0" applyNumberFormat="1" applyFont="1" applyFill="1" applyBorder="1"/>
    <xf numFmtId="165" fontId="7" fillId="0" borderId="0" xfId="1" applyFont="1" applyAlignment="1">
      <alignment horizontal="left"/>
    </xf>
    <xf numFmtId="0" fontId="0" fillId="20" borderId="0" xfId="0" quotePrefix="1" applyFill="1" applyAlignment="1">
      <alignment horizontal="left"/>
    </xf>
    <xf numFmtId="174" fontId="0" fillId="0" borderId="5" xfId="0" applyNumberFormat="1" applyBorder="1" applyAlignment="1">
      <alignment horizontal="left"/>
    </xf>
    <xf numFmtId="0" fontId="21" fillId="0" borderId="0" xfId="0" applyFont="1"/>
    <xf numFmtId="0" fontId="1" fillId="2" borderId="5" xfId="0" applyFont="1" applyFill="1" applyBorder="1" applyAlignment="1">
      <alignment horizontal="left"/>
    </xf>
    <xf numFmtId="165" fontId="1" fillId="2" borderId="0" xfId="1" applyFont="1" applyFill="1" applyAlignment="1">
      <alignment horizontal="left"/>
    </xf>
    <xf numFmtId="20" fontId="0" fillId="0" borderId="0" xfId="0" quotePrefix="1" applyNumberFormat="1"/>
    <xf numFmtId="0" fontId="7" fillId="22" borderId="0" xfId="0" quotePrefix="1" applyFont="1" applyFill="1" applyAlignment="1">
      <alignment horizontal="center"/>
    </xf>
    <xf numFmtId="174" fontId="0" fillId="22" borderId="0" xfId="0" applyNumberFormat="1" applyFill="1" applyAlignment="1">
      <alignment horizontal="center"/>
    </xf>
    <xf numFmtId="20" fontId="0" fillId="22" borderId="0" xfId="0" applyNumberFormat="1" applyFill="1" applyAlignment="1">
      <alignment horizontal="left"/>
    </xf>
    <xf numFmtId="0" fontId="7" fillId="8" borderId="0" xfId="0" quotePrefix="1" applyFont="1" applyFill="1" applyAlignment="1">
      <alignment horizontal="center"/>
    </xf>
    <xf numFmtId="165" fontId="6" fillId="22" borderId="0" xfId="1" applyFont="1" applyFill="1" applyAlignment="1">
      <alignment horizontal="center"/>
    </xf>
    <xf numFmtId="0" fontId="1" fillId="23" borderId="0" xfId="0" applyFont="1" applyFill="1" applyAlignment="1">
      <alignment horizontal="center"/>
    </xf>
    <xf numFmtId="174" fontId="7" fillId="8" borderId="0" xfId="0" applyNumberFormat="1" applyFont="1" applyFill="1" applyAlignment="1">
      <alignment horizontal="center"/>
    </xf>
    <xf numFmtId="0" fontId="7" fillId="8" borderId="0" xfId="0" applyFont="1" applyFill="1"/>
    <xf numFmtId="165" fontId="7" fillId="8" borderId="0" xfId="1" applyFont="1" applyFill="1" applyAlignment="1">
      <alignment horizontal="center"/>
    </xf>
    <xf numFmtId="165" fontId="7" fillId="8" borderId="0" xfId="1" applyFont="1" applyFill="1"/>
    <xf numFmtId="20" fontId="7" fillId="8" borderId="0" xfId="0" applyNumberFormat="1" applyFont="1" applyFill="1"/>
    <xf numFmtId="20" fontId="7" fillId="8" borderId="0" xfId="0" applyNumberFormat="1" applyFont="1" applyFill="1" applyAlignment="1">
      <alignment horizontal="left"/>
    </xf>
    <xf numFmtId="20" fontId="0" fillId="0" borderId="0" xfId="0" applyNumberFormat="1" applyAlignment="1">
      <alignment horizontal="right"/>
    </xf>
    <xf numFmtId="0" fontId="0" fillId="7" borderId="0" xfId="0" quotePrefix="1" applyFill="1" applyAlignment="1">
      <alignment horizontal="center"/>
    </xf>
    <xf numFmtId="174" fontId="0" fillId="7" borderId="0" xfId="0" applyNumberFormat="1" applyFill="1" applyAlignment="1">
      <alignment horizontal="center"/>
    </xf>
    <xf numFmtId="165" fontId="6" fillId="7" borderId="0" xfId="1" applyFont="1" applyFill="1" applyAlignment="1">
      <alignment horizontal="center"/>
    </xf>
    <xf numFmtId="20" fontId="0" fillId="7" borderId="0" xfId="0" applyNumberFormat="1" applyFill="1" applyAlignment="1">
      <alignment horizontal="left"/>
    </xf>
    <xf numFmtId="20" fontId="0" fillId="3" borderId="0" xfId="0" quotePrefix="1" applyNumberFormat="1" applyFill="1"/>
    <xf numFmtId="0" fontId="1" fillId="0" borderId="0" xfId="0" quotePrefix="1" applyFont="1" applyAlignment="1">
      <alignment horizontal="center"/>
    </xf>
    <xf numFmtId="174" fontId="1" fillId="0" borderId="0" xfId="0" applyNumberFormat="1" applyFont="1" applyAlignment="1">
      <alignment horizontal="center"/>
    </xf>
    <xf numFmtId="0" fontId="2" fillId="0" borderId="14" xfId="0" applyFont="1" applyBorder="1" applyAlignment="1">
      <alignment horizontal="left"/>
    </xf>
    <xf numFmtId="165" fontId="6" fillId="10" borderId="0" xfId="1" applyFont="1" applyFill="1" applyAlignment="1">
      <alignment horizontal="center"/>
    </xf>
    <xf numFmtId="165" fontId="6" fillId="0" borderId="0" xfId="1" applyFont="1" applyAlignment="1">
      <alignment horizontal="left"/>
    </xf>
    <xf numFmtId="165" fontId="6" fillId="23" borderId="0" xfId="1" applyFont="1" applyFill="1" applyAlignment="1">
      <alignment horizontal="left"/>
    </xf>
    <xf numFmtId="165" fontId="6" fillId="23" borderId="0" xfId="1" applyFont="1" applyFill="1"/>
    <xf numFmtId="165" fontId="2" fillId="2" borderId="10" xfId="1" applyFont="1" applyFill="1" applyBorder="1" applyAlignment="1">
      <alignment horizontal="center"/>
    </xf>
    <xf numFmtId="165" fontId="6" fillId="3" borderId="0" xfId="1" applyFont="1" applyFill="1" applyAlignment="1">
      <alignment horizontal="left"/>
    </xf>
    <xf numFmtId="0" fontId="0" fillId="8" borderId="0" xfId="0" quotePrefix="1" applyFill="1" applyAlignment="1">
      <alignment horizontal="center"/>
    </xf>
    <xf numFmtId="165" fontId="6" fillId="8" borderId="0" xfId="1" applyFont="1" applyFill="1" applyAlignment="1">
      <alignment horizontal="center"/>
    </xf>
    <xf numFmtId="20" fontId="0" fillId="8" borderId="0" xfId="0" applyNumberFormat="1" applyFill="1" applyAlignment="1">
      <alignment horizontal="left"/>
    </xf>
    <xf numFmtId="0" fontId="1" fillId="3" borderId="0" xfId="0" quotePrefix="1" applyFont="1" applyFill="1" applyAlignment="1">
      <alignment horizontal="center"/>
    </xf>
    <xf numFmtId="174" fontId="1" fillId="3" borderId="0" xfId="0" applyNumberFormat="1" applyFont="1" applyFill="1" applyAlignment="1">
      <alignment horizontal="center"/>
    </xf>
    <xf numFmtId="20" fontId="1" fillId="3" borderId="0" xfId="0" applyNumberFormat="1" applyFont="1" applyFill="1" applyAlignment="1">
      <alignment horizontal="left"/>
    </xf>
    <xf numFmtId="0" fontId="7" fillId="21" borderId="0" xfId="0" quotePrefix="1" applyFont="1" applyFill="1" applyAlignment="1">
      <alignment horizontal="center"/>
    </xf>
    <xf numFmtId="174" fontId="0" fillId="21" borderId="0" xfId="0" applyNumberFormat="1" applyFill="1" applyAlignment="1">
      <alignment horizontal="center"/>
    </xf>
    <xf numFmtId="165" fontId="6" fillId="21" borderId="0" xfId="1" applyFont="1" applyFill="1" applyAlignment="1">
      <alignment horizontal="center"/>
    </xf>
    <xf numFmtId="20" fontId="0" fillId="21" borderId="0" xfId="0" applyNumberFormat="1" applyFill="1" applyAlignment="1">
      <alignment horizontal="left"/>
    </xf>
    <xf numFmtId="0" fontId="7" fillId="19" borderId="0" xfId="0" quotePrefix="1" applyFont="1" applyFill="1" applyAlignment="1">
      <alignment horizontal="center"/>
    </xf>
    <xf numFmtId="174" fontId="0" fillId="19" borderId="0" xfId="0" applyNumberFormat="1" applyFill="1" applyAlignment="1">
      <alignment horizontal="center"/>
    </xf>
    <xf numFmtId="165" fontId="6" fillId="19" borderId="0" xfId="1" applyFont="1" applyFill="1" applyAlignment="1">
      <alignment horizontal="center"/>
    </xf>
    <xf numFmtId="165" fontId="0" fillId="19" borderId="0" xfId="1" applyFont="1" applyFill="1"/>
    <xf numFmtId="20" fontId="0" fillId="19" borderId="0" xfId="0" applyNumberFormat="1" applyFill="1" applyAlignment="1">
      <alignment horizontal="left"/>
    </xf>
    <xf numFmtId="0" fontId="7" fillId="26" borderId="0" xfId="0" quotePrefix="1" applyFont="1" applyFill="1" applyAlignment="1">
      <alignment horizontal="center"/>
    </xf>
    <xf numFmtId="0" fontId="7" fillId="26" borderId="0" xfId="0" applyFont="1" applyFill="1"/>
    <xf numFmtId="0" fontId="0" fillId="26" borderId="0" xfId="0" applyFill="1" applyAlignment="1">
      <alignment horizontal="center"/>
    </xf>
    <xf numFmtId="174" fontId="7" fillId="26" borderId="0" xfId="0" applyNumberFormat="1" applyFont="1" applyFill="1" applyAlignment="1">
      <alignment horizontal="center"/>
    </xf>
    <xf numFmtId="165" fontId="7" fillId="26" borderId="0" xfId="1" applyFont="1" applyFill="1" applyAlignment="1">
      <alignment horizontal="center"/>
    </xf>
    <xf numFmtId="20" fontId="7" fillId="26" borderId="0" xfId="0" applyNumberFormat="1" applyFont="1" applyFill="1"/>
    <xf numFmtId="20" fontId="7" fillId="26" borderId="0" xfId="0" applyNumberFormat="1" applyFont="1" applyFill="1" applyAlignment="1">
      <alignment horizontal="left"/>
    </xf>
    <xf numFmtId="0" fontId="0" fillId="26" borderId="0" xfId="0" quotePrefix="1" applyFill="1" applyAlignment="1">
      <alignment horizontal="center"/>
    </xf>
    <xf numFmtId="0" fontId="0" fillId="26" borderId="0" xfId="0" applyFill="1"/>
    <xf numFmtId="174" fontId="0" fillId="26" borderId="0" xfId="0" applyNumberFormat="1" applyFill="1" applyAlignment="1">
      <alignment horizontal="center"/>
    </xf>
    <xf numFmtId="165" fontId="0" fillId="26" borderId="0" xfId="1" applyFont="1" applyFill="1" applyAlignment="1">
      <alignment horizontal="center"/>
    </xf>
    <xf numFmtId="165" fontId="0" fillId="26" borderId="0" xfId="1" applyFont="1" applyFill="1"/>
    <xf numFmtId="20" fontId="0" fillId="26" borderId="0" xfId="0" applyNumberFormat="1" applyFill="1"/>
    <xf numFmtId="20" fontId="0" fillId="26" borderId="0" xfId="0" applyNumberFormat="1" applyFill="1" applyAlignment="1">
      <alignment horizontal="left"/>
    </xf>
    <xf numFmtId="0" fontId="0" fillId="21" borderId="0" xfId="0" quotePrefix="1" applyFill="1" applyAlignment="1">
      <alignment horizontal="center"/>
    </xf>
    <xf numFmtId="16" fontId="0" fillId="19" borderId="0" xfId="0" quotePrefix="1" applyNumberFormat="1" applyFill="1" applyAlignment="1">
      <alignment horizontal="left"/>
    </xf>
    <xf numFmtId="0" fontId="0" fillId="19" borderId="0" xfId="0" quotePrefix="1" applyFill="1" applyAlignment="1">
      <alignment horizontal="center"/>
    </xf>
    <xf numFmtId="20" fontId="0" fillId="26" borderId="0" xfId="0" applyNumberFormat="1" applyFill="1" applyAlignment="1">
      <alignment horizontal="center"/>
    </xf>
    <xf numFmtId="0" fontId="7" fillId="21" borderId="0" xfId="0" quotePrefix="1" applyFont="1" applyFill="1" applyAlignment="1">
      <alignment horizontal="left"/>
    </xf>
    <xf numFmtId="0" fontId="7" fillId="21" borderId="0" xfId="0" applyFont="1" applyFill="1"/>
    <xf numFmtId="174" fontId="7" fillId="21" borderId="0" xfId="0" applyNumberFormat="1" applyFont="1" applyFill="1"/>
    <xf numFmtId="0" fontId="7" fillId="21" borderId="0" xfId="0" applyFont="1" applyFill="1" applyAlignment="1">
      <alignment horizontal="center"/>
    </xf>
    <xf numFmtId="165" fontId="7" fillId="21" borderId="0" xfId="1" applyFont="1" applyFill="1" applyAlignment="1">
      <alignment horizontal="center"/>
    </xf>
    <xf numFmtId="165" fontId="7" fillId="21" borderId="0" xfId="1" applyFont="1" applyFill="1"/>
    <xf numFmtId="165" fontId="7" fillId="21" borderId="0" xfId="1" applyFont="1" applyFill="1" applyAlignment="1"/>
    <xf numFmtId="20" fontId="7" fillId="21" borderId="0" xfId="0" applyNumberFormat="1" applyFont="1" applyFill="1"/>
    <xf numFmtId="0" fontId="0" fillId="23" borderId="0" xfId="0" applyFill="1" applyAlignment="1">
      <alignment horizontal="left"/>
    </xf>
    <xf numFmtId="165" fontId="1" fillId="0" borderId="0" xfId="1" applyFont="1" applyAlignment="1">
      <alignment horizontal="left"/>
    </xf>
    <xf numFmtId="165" fontId="7" fillId="4" borderId="0" xfId="1" applyFont="1" applyFill="1" applyAlignment="1">
      <alignment horizontal="left"/>
    </xf>
    <xf numFmtId="175" fontId="0" fillId="0" borderId="0" xfId="0" applyNumberFormat="1" applyAlignment="1">
      <alignment horizontal="left"/>
    </xf>
    <xf numFmtId="0" fontId="2" fillId="0" borderId="6" xfId="0" applyFont="1" applyBorder="1" applyAlignment="1">
      <alignment horizontal="center"/>
    </xf>
    <xf numFmtId="43" fontId="1" fillId="0" borderId="0" xfId="0" applyNumberFormat="1" applyFont="1"/>
    <xf numFmtId="0" fontId="0" fillId="2" borderId="0" xfId="0" quotePrefix="1" applyFill="1"/>
    <xf numFmtId="0" fontId="0" fillId="23" borderId="0" xfId="0" quotePrefix="1" applyFill="1"/>
    <xf numFmtId="0" fontId="0" fillId="27" borderId="0" xfId="0" quotePrefix="1" applyFill="1" applyAlignment="1">
      <alignment horizontal="center"/>
    </xf>
    <xf numFmtId="0" fontId="0" fillId="27" borderId="0" xfId="0" applyFill="1"/>
    <xf numFmtId="0" fontId="0" fillId="27" borderId="0" xfId="0" applyFill="1" applyAlignment="1">
      <alignment horizontal="center"/>
    </xf>
    <xf numFmtId="174" fontId="0" fillId="27" borderId="0" xfId="0" applyNumberFormat="1" applyFill="1" applyAlignment="1">
      <alignment horizontal="center"/>
    </xf>
    <xf numFmtId="165" fontId="0" fillId="27" borderId="0" xfId="1" applyFont="1" applyFill="1" applyAlignment="1">
      <alignment horizontal="center"/>
    </xf>
    <xf numFmtId="20" fontId="0" fillId="27" borderId="0" xfId="0" applyNumberFormat="1" applyFill="1"/>
    <xf numFmtId="20" fontId="0" fillId="27" borderId="0" xfId="0" applyNumberFormat="1" applyFill="1" applyAlignment="1">
      <alignment horizontal="left"/>
    </xf>
    <xf numFmtId="0" fontId="0" fillId="28" borderId="0" xfId="0" applyFill="1"/>
    <xf numFmtId="0" fontId="0" fillId="28" borderId="0" xfId="0" applyFill="1" applyAlignment="1">
      <alignment horizontal="center"/>
    </xf>
    <xf numFmtId="0" fontId="0" fillId="28" borderId="0" xfId="0" applyFill="1" applyAlignment="1">
      <alignment horizontal="left"/>
    </xf>
    <xf numFmtId="20" fontId="0" fillId="28" borderId="0" xfId="0" applyNumberFormat="1" applyFill="1"/>
    <xf numFmtId="20" fontId="0" fillId="28" borderId="0" xfId="0" applyNumberFormat="1" applyFill="1" applyAlignment="1">
      <alignment horizontal="left"/>
    </xf>
    <xf numFmtId="0" fontId="1" fillId="0" borderId="0" xfId="0" quotePrefix="1" applyFont="1"/>
    <xf numFmtId="0" fontId="0" fillId="23" borderId="0" xfId="0" quotePrefix="1" applyFill="1" applyAlignment="1">
      <alignment horizontal="right"/>
    </xf>
    <xf numFmtId="10" fontId="0" fillId="23" borderId="0" xfId="3" applyNumberFormat="1" applyFont="1" applyFill="1"/>
    <xf numFmtId="0" fontId="0" fillId="29" borderId="0" xfId="0" quotePrefix="1" applyFill="1" applyAlignment="1">
      <alignment horizontal="center"/>
    </xf>
    <xf numFmtId="0" fontId="0" fillId="29" borderId="0" xfId="0" applyFill="1"/>
    <xf numFmtId="0" fontId="0" fillId="29" borderId="0" xfId="0" applyFill="1" applyAlignment="1">
      <alignment horizontal="center"/>
    </xf>
    <xf numFmtId="174" fontId="0" fillId="29" borderId="0" xfId="0" applyNumberFormat="1" applyFill="1" applyAlignment="1">
      <alignment horizontal="center"/>
    </xf>
    <xf numFmtId="165" fontId="0" fillId="29" borderId="0" xfId="1" applyFont="1" applyFill="1" applyAlignment="1">
      <alignment horizontal="center"/>
    </xf>
    <xf numFmtId="165" fontId="0" fillId="29" borderId="0" xfId="1" applyFont="1" applyFill="1"/>
    <xf numFmtId="20" fontId="0" fillId="29" borderId="0" xfId="0" applyNumberFormat="1" applyFill="1"/>
    <xf numFmtId="20" fontId="0" fillId="29" borderId="0" xfId="0" applyNumberFormat="1" applyFill="1" applyAlignment="1">
      <alignment horizontal="left"/>
    </xf>
    <xf numFmtId="165" fontId="0" fillId="20" borderId="0" xfId="0" applyNumberFormat="1" applyFill="1"/>
    <xf numFmtId="165" fontId="0" fillId="15" borderId="0" xfId="0" applyNumberFormat="1" applyFill="1"/>
    <xf numFmtId="165" fontId="13" fillId="0" borderId="23" xfId="1" applyFont="1" applyFill="1" applyBorder="1"/>
    <xf numFmtId="175" fontId="0" fillId="2" borderId="0" xfId="0" applyNumberFormat="1" applyFill="1"/>
    <xf numFmtId="0" fontId="1" fillId="23" borderId="0" xfId="0" applyFont="1" applyFill="1"/>
    <xf numFmtId="165" fontId="0" fillId="5" borderId="0" xfId="1" applyFont="1" applyFill="1" applyAlignment="1">
      <alignment horizontal="center"/>
    </xf>
    <xf numFmtId="0" fontId="0" fillId="5" borderId="0" xfId="0" applyFill="1" applyAlignment="1">
      <alignment horizontal="left"/>
    </xf>
    <xf numFmtId="43" fontId="0" fillId="2" borderId="0" xfId="0" applyNumberFormat="1" applyFill="1"/>
    <xf numFmtId="168" fontId="0" fillId="2" borderId="0" xfId="0" applyNumberFormat="1" applyFill="1"/>
    <xf numFmtId="165" fontId="0" fillId="0" borderId="12" xfId="1" applyFont="1" applyBorder="1" applyAlignment="1">
      <alignment horizontal="center"/>
    </xf>
    <xf numFmtId="14" fontId="0" fillId="0" borderId="5" xfId="0" applyNumberFormat="1" applyBorder="1" applyAlignment="1">
      <alignment horizontal="center"/>
    </xf>
    <xf numFmtId="14" fontId="0" fillId="0" borderId="6" xfId="0" applyNumberFormat="1" applyBorder="1" applyAlignment="1">
      <alignment horizontal="center"/>
    </xf>
    <xf numFmtId="165" fontId="15" fillId="18" borderId="10" xfId="1" applyFont="1" applyFill="1" applyBorder="1" applyAlignment="1">
      <alignment horizontal="center"/>
    </xf>
    <xf numFmtId="14" fontId="0" fillId="0" borderId="11" xfId="0" applyNumberFormat="1" applyBorder="1" applyAlignment="1">
      <alignment horizontal="center"/>
    </xf>
    <xf numFmtId="0" fontId="1" fillId="2" borderId="0" xfId="0" quotePrefix="1" applyFont="1" applyFill="1" applyAlignment="1">
      <alignment horizontal="center"/>
    </xf>
    <xf numFmtId="174" fontId="1" fillId="2" borderId="0" xfId="0" applyNumberFormat="1" applyFont="1" applyFill="1" applyAlignment="1">
      <alignment horizontal="center"/>
    </xf>
    <xf numFmtId="20" fontId="1" fillId="2" borderId="0" xfId="0" applyNumberFormat="1" applyFont="1" applyFill="1" applyAlignment="1">
      <alignment horizontal="left"/>
    </xf>
    <xf numFmtId="178" fontId="1" fillId="0" borderId="0" xfId="0" applyNumberFormat="1" applyFont="1"/>
    <xf numFmtId="0" fontId="0" fillId="13" borderId="0" xfId="0" applyFill="1" applyAlignment="1">
      <alignment horizontal="left"/>
    </xf>
    <xf numFmtId="165" fontId="0" fillId="0" borderId="0" xfId="1" quotePrefix="1" applyFont="1" applyFill="1" applyAlignment="1">
      <alignment horizontal="center"/>
    </xf>
    <xf numFmtId="0" fontId="0" fillId="30" borderId="0" xfId="0" applyFill="1" applyAlignment="1">
      <alignment horizontal="left"/>
    </xf>
    <xf numFmtId="165" fontId="0" fillId="0" borderId="0" xfId="0" applyNumberFormat="1" applyAlignment="1">
      <alignment horizontal="left"/>
    </xf>
    <xf numFmtId="182" fontId="0" fillId="0" borderId="0" xfId="0" applyNumberFormat="1" applyAlignment="1">
      <alignment horizontal="center"/>
    </xf>
    <xf numFmtId="0" fontId="0" fillId="4" borderId="0" xfId="0" quotePrefix="1" applyFill="1" applyAlignment="1">
      <alignment horizontal="center"/>
    </xf>
    <xf numFmtId="174" fontId="0" fillId="4" borderId="0" xfId="0" applyNumberFormat="1" applyFill="1" applyAlignment="1">
      <alignment horizontal="center"/>
    </xf>
    <xf numFmtId="166" fontId="0" fillId="4" borderId="0" xfId="0" applyNumberFormat="1" applyFill="1"/>
    <xf numFmtId="20" fontId="0" fillId="4" borderId="0" xfId="0" applyNumberFormat="1" applyFill="1" applyAlignment="1">
      <alignment horizontal="left"/>
    </xf>
    <xf numFmtId="0" fontId="0" fillId="21" borderId="0" xfId="0" applyFill="1" applyAlignment="1">
      <alignment horizontal="left"/>
    </xf>
    <xf numFmtId="165" fontId="15" fillId="31" borderId="0" xfId="1" applyFont="1" applyFill="1" applyAlignment="1">
      <alignment horizontal="center"/>
    </xf>
    <xf numFmtId="0" fontId="15" fillId="31" borderId="0" xfId="0" applyFont="1" applyFill="1" applyAlignment="1">
      <alignment horizontal="center"/>
    </xf>
    <xf numFmtId="0" fontId="23" fillId="0" borderId="0" xfId="0" quotePrefix="1" applyFont="1" applyAlignment="1">
      <alignment horizontal="center"/>
    </xf>
    <xf numFmtId="0" fontId="23" fillId="0" borderId="0" xfId="0" applyFont="1"/>
    <xf numFmtId="20" fontId="23" fillId="0" borderId="0" xfId="0" applyNumberFormat="1" applyFont="1"/>
    <xf numFmtId="20" fontId="23" fillId="0" borderId="0" xfId="0" applyNumberFormat="1" applyFont="1" applyAlignment="1">
      <alignment horizontal="left"/>
    </xf>
    <xf numFmtId="165" fontId="2" fillId="23" borderId="0" xfId="0" applyNumberFormat="1" applyFont="1" applyFill="1"/>
    <xf numFmtId="166" fontId="0" fillId="6" borderId="0" xfId="0" applyNumberFormat="1" applyFill="1"/>
    <xf numFmtId="0" fontId="0" fillId="0" borderId="24" xfId="0" applyBorder="1"/>
    <xf numFmtId="0" fontId="0" fillId="0" borderId="19" xfId="0" applyBorder="1"/>
    <xf numFmtId="0" fontId="0" fillId="0" borderId="23" xfId="0" applyBorder="1"/>
    <xf numFmtId="0" fontId="0" fillId="0" borderId="25" xfId="0" applyBorder="1"/>
    <xf numFmtId="165" fontId="1" fillId="12" borderId="0" xfId="1" applyFont="1" applyFill="1"/>
    <xf numFmtId="0" fontId="0" fillId="0" borderId="21" xfId="0" applyBorder="1"/>
    <xf numFmtId="165" fontId="0" fillId="0" borderId="29" xfId="1" applyFont="1" applyFill="1" applyBorder="1"/>
    <xf numFmtId="9" fontId="0" fillId="0" borderId="30" xfId="3" applyFont="1" applyFill="1" applyBorder="1" applyAlignment="1">
      <alignment horizontal="center"/>
    </xf>
    <xf numFmtId="14" fontId="0" fillId="0" borderId="31" xfId="0" applyNumberFormat="1" applyBorder="1"/>
    <xf numFmtId="14" fontId="0" fillId="0" borderId="32" xfId="0" applyNumberFormat="1" applyBorder="1"/>
    <xf numFmtId="9" fontId="13" fillId="2" borderId="27" xfId="3" applyFont="1" applyFill="1" applyBorder="1" applyAlignment="1">
      <alignment horizontal="center"/>
    </xf>
    <xf numFmtId="165" fontId="13" fillId="2" borderId="10" xfId="1" applyFont="1" applyFill="1" applyBorder="1"/>
    <xf numFmtId="0" fontId="2" fillId="3" borderId="21" xfId="0" applyFont="1" applyFill="1" applyBorder="1"/>
    <xf numFmtId="165" fontId="0" fillId="3" borderId="10" xfId="1" applyFont="1" applyFill="1" applyBorder="1"/>
    <xf numFmtId="165" fontId="12" fillId="2" borderId="27" xfId="1" applyFont="1" applyFill="1" applyBorder="1" applyAlignment="1"/>
    <xf numFmtId="0" fontId="1" fillId="3" borderId="0" xfId="0" quotePrefix="1" applyFont="1" applyFill="1"/>
    <xf numFmtId="165" fontId="0" fillId="0" borderId="0" xfId="1" applyFont="1" applyBorder="1" applyAlignment="1"/>
    <xf numFmtId="0" fontId="2" fillId="2" borderId="27" xfId="1" applyNumberFormat="1" applyFont="1" applyFill="1" applyBorder="1" applyAlignment="1">
      <alignment horizontal="center"/>
    </xf>
    <xf numFmtId="174" fontId="0" fillId="0" borderId="5" xfId="0" applyNumberFormat="1" applyBorder="1"/>
    <xf numFmtId="0" fontId="15" fillId="18" borderId="5" xfId="0" applyFont="1" applyFill="1" applyBorder="1" applyAlignment="1">
      <alignment horizontal="center"/>
    </xf>
    <xf numFmtId="173" fontId="2" fillId="0" borderId="5" xfId="1" applyNumberFormat="1" applyFont="1" applyBorder="1" applyAlignment="1">
      <alignment horizontal="center"/>
    </xf>
    <xf numFmtId="0" fontId="2" fillId="0" borderId="5" xfId="0" applyFont="1" applyBorder="1" applyAlignment="1">
      <alignment horizontal="center"/>
    </xf>
    <xf numFmtId="0" fontId="7" fillId="0" borderId="5" xfId="0" applyFont="1" applyBorder="1" applyAlignment="1">
      <alignment horizontal="left"/>
    </xf>
    <xf numFmtId="0" fontId="0" fillId="0" borderId="5" xfId="0" applyBorder="1" applyAlignment="1">
      <alignment horizontal="center"/>
    </xf>
    <xf numFmtId="169" fontId="0" fillId="0" borderId="5" xfId="0" applyNumberFormat="1" applyBorder="1"/>
    <xf numFmtId="0" fontId="15" fillId="18" borderId="5" xfId="0" applyFont="1" applyFill="1" applyBorder="1"/>
    <xf numFmtId="165" fontId="0" fillId="6" borderId="0" xfId="1" applyFont="1" applyFill="1" applyAlignment="1">
      <alignment horizontal="left"/>
    </xf>
    <xf numFmtId="4" fontId="2" fillId="2" borderId="10" xfId="0" applyNumberFormat="1" applyFont="1" applyFill="1" applyBorder="1"/>
    <xf numFmtId="4" fontId="2" fillId="3" borderId="10" xfId="0" applyNumberFormat="1" applyFont="1" applyFill="1" applyBorder="1"/>
    <xf numFmtId="0" fontId="2" fillId="2" borderId="0" xfId="0" applyFont="1" applyFill="1"/>
    <xf numFmtId="165" fontId="2" fillId="23" borderId="0" xfId="1" applyFont="1" applyFill="1"/>
    <xf numFmtId="165" fontId="0" fillId="23" borderId="36" xfId="1" applyFont="1" applyFill="1" applyBorder="1"/>
    <xf numFmtId="165" fontId="0" fillId="23" borderId="37" xfId="1" applyFont="1" applyFill="1" applyBorder="1"/>
    <xf numFmtId="165" fontId="0" fillId="3" borderId="37" xfId="1" applyFont="1" applyFill="1" applyBorder="1"/>
    <xf numFmtId="165" fontId="0" fillId="2" borderId="37" xfId="1" applyFont="1" applyFill="1" applyBorder="1"/>
    <xf numFmtId="165" fontId="0" fillId="23" borderId="38" xfId="1" applyFont="1" applyFill="1" applyBorder="1"/>
    <xf numFmtId="165" fontId="0" fillId="23" borderId="36" xfId="1" applyFont="1" applyFill="1" applyBorder="1" applyAlignment="1">
      <alignment horizontal="center"/>
    </xf>
    <xf numFmtId="165" fontId="0" fillId="2" borderId="38" xfId="1" applyFont="1" applyFill="1" applyBorder="1" applyAlignment="1">
      <alignment horizontal="center"/>
    </xf>
    <xf numFmtId="165" fontId="1" fillId="23" borderId="37" xfId="1" applyFont="1" applyFill="1" applyBorder="1"/>
    <xf numFmtId="165" fontId="0" fillId="23" borderId="10" xfId="1" applyFont="1" applyFill="1" applyBorder="1" applyAlignment="1">
      <alignment horizontal="center"/>
    </xf>
    <xf numFmtId="165" fontId="0" fillId="23" borderId="37" xfId="1" applyFont="1" applyFill="1" applyBorder="1" applyAlignment="1">
      <alignment horizontal="center"/>
    </xf>
    <xf numFmtId="165" fontId="0" fillId="23" borderId="38" xfId="1" applyFont="1" applyFill="1" applyBorder="1" applyAlignment="1">
      <alignment horizontal="center"/>
    </xf>
    <xf numFmtId="166" fontId="0" fillId="21" borderId="0" xfId="0" applyNumberFormat="1" applyFill="1"/>
    <xf numFmtId="43" fontId="0" fillId="0" borderId="0" xfId="0" applyNumberFormat="1" applyAlignment="1">
      <alignment horizontal="center"/>
    </xf>
    <xf numFmtId="0" fontId="1" fillId="23" borderId="0" xfId="0" quotePrefix="1" applyFont="1" applyFill="1" applyAlignment="1">
      <alignment horizontal="center"/>
    </xf>
    <xf numFmtId="175" fontId="7" fillId="0" borderId="0" xfId="0" applyNumberFormat="1" applyFont="1" applyAlignment="1">
      <alignment horizontal="left"/>
    </xf>
    <xf numFmtId="165" fontId="0" fillId="3" borderId="37" xfId="1" applyFont="1" applyFill="1" applyBorder="1" applyAlignment="1">
      <alignment horizontal="center"/>
    </xf>
    <xf numFmtId="165" fontId="0" fillId="3" borderId="38" xfId="1" applyFont="1" applyFill="1" applyBorder="1"/>
    <xf numFmtId="165" fontId="0" fillId="3" borderId="36" xfId="1" applyFont="1" applyFill="1" applyBorder="1" applyAlignment="1">
      <alignment horizontal="center"/>
    </xf>
    <xf numFmtId="20" fontId="0" fillId="3" borderId="0" xfId="0" applyNumberFormat="1" applyFill="1" applyAlignment="1">
      <alignment horizontal="center"/>
    </xf>
    <xf numFmtId="0" fontId="0" fillId="16" borderId="0" xfId="0" quotePrefix="1" applyFill="1"/>
    <xf numFmtId="174" fontId="0" fillId="16" borderId="0" xfId="0" applyNumberFormat="1" applyFill="1" applyAlignment="1">
      <alignment horizontal="center"/>
    </xf>
    <xf numFmtId="20" fontId="0" fillId="16" borderId="0" xfId="0" applyNumberFormat="1" applyFill="1" applyAlignment="1">
      <alignment horizontal="left"/>
    </xf>
    <xf numFmtId="0" fontId="0" fillId="14" borderId="0" xfId="0" quotePrefix="1" applyFill="1"/>
    <xf numFmtId="0" fontId="0" fillId="14" borderId="0" xfId="0" applyFill="1" applyAlignment="1">
      <alignment horizontal="center"/>
    </xf>
    <xf numFmtId="174" fontId="0" fillId="14" borderId="0" xfId="0" applyNumberFormat="1" applyFill="1" applyAlignment="1">
      <alignment horizontal="center"/>
    </xf>
    <xf numFmtId="165" fontId="0" fillId="14" borderId="0" xfId="1" applyFont="1" applyFill="1" applyAlignment="1">
      <alignment horizontal="center"/>
    </xf>
    <xf numFmtId="165" fontId="1" fillId="14" borderId="0" xfId="1" applyFont="1" applyFill="1"/>
    <xf numFmtId="20" fontId="0" fillId="14" borderId="0" xfId="0" applyNumberFormat="1" applyFill="1" applyAlignment="1">
      <alignment horizontal="left"/>
    </xf>
    <xf numFmtId="0" fontId="0" fillId="20" borderId="0" xfId="0" quotePrefix="1" applyFill="1" applyAlignment="1">
      <alignment horizontal="center"/>
    </xf>
    <xf numFmtId="174" fontId="0" fillId="20" borderId="0" xfId="0" applyNumberFormat="1" applyFill="1" applyAlignment="1">
      <alignment horizontal="center"/>
    </xf>
    <xf numFmtId="20" fontId="0" fillId="20" borderId="0" xfId="0" applyNumberFormat="1" applyFill="1" applyAlignment="1">
      <alignment horizontal="left"/>
    </xf>
    <xf numFmtId="0" fontId="0" fillId="6" borderId="0" xfId="0" quotePrefix="1" applyFill="1" applyAlignment="1">
      <alignment horizontal="center"/>
    </xf>
    <xf numFmtId="174" fontId="0" fillId="6" borderId="0" xfId="0" applyNumberFormat="1" applyFill="1" applyAlignment="1">
      <alignment horizontal="center"/>
    </xf>
    <xf numFmtId="20" fontId="0" fillId="6" borderId="0" xfId="0" applyNumberFormat="1" applyFill="1" applyAlignment="1">
      <alignment horizontal="left"/>
    </xf>
    <xf numFmtId="0" fontId="7" fillId="20" borderId="0" xfId="0" quotePrefix="1" applyFont="1" applyFill="1" applyAlignment="1">
      <alignment horizontal="center"/>
    </xf>
    <xf numFmtId="165" fontId="6" fillId="20" borderId="0" xfId="1" applyFont="1" applyFill="1" applyAlignment="1">
      <alignment horizontal="center"/>
    </xf>
    <xf numFmtId="165" fontId="0" fillId="3" borderId="38" xfId="1" applyFont="1" applyFill="1" applyBorder="1" applyAlignment="1">
      <alignment horizontal="center"/>
    </xf>
    <xf numFmtId="0" fontId="0" fillId="7" borderId="0" xfId="0" applyFill="1" applyAlignment="1">
      <alignment horizontal="left"/>
    </xf>
    <xf numFmtId="0" fontId="1" fillId="0" borderId="5" xfId="0" applyFont="1" applyBorder="1"/>
    <xf numFmtId="0" fontId="1" fillId="0" borderId="5" xfId="0" applyFont="1" applyBorder="1" applyAlignment="1">
      <alignment horizontal="center"/>
    </xf>
    <xf numFmtId="0" fontId="0" fillId="9" borderId="0" xfId="0" applyFill="1" applyAlignment="1">
      <alignment horizontal="left"/>
    </xf>
    <xf numFmtId="165" fontId="0" fillId="9" borderId="0" xfId="1" applyFont="1" applyFill="1" applyAlignment="1">
      <alignment horizontal="left"/>
    </xf>
    <xf numFmtId="166" fontId="0" fillId="9" borderId="0" xfId="0" applyNumberFormat="1" applyFill="1"/>
    <xf numFmtId="165" fontId="6" fillId="9" borderId="0" xfId="1" applyFont="1" applyFill="1" applyAlignment="1">
      <alignment horizontal="left"/>
    </xf>
    <xf numFmtId="0" fontId="0" fillId="6" borderId="0" xfId="0" applyFill="1" applyAlignment="1">
      <alignment horizontal="left"/>
    </xf>
    <xf numFmtId="0" fontId="1" fillId="9" borderId="0" xfId="0" applyFont="1" applyFill="1" applyAlignment="1">
      <alignment horizontal="left"/>
    </xf>
    <xf numFmtId="174" fontId="0" fillId="7" borderId="0" xfId="0" applyNumberFormat="1" applyFill="1" applyAlignment="1">
      <alignment horizontal="left"/>
    </xf>
    <xf numFmtId="174" fontId="2" fillId="0" borderId="0" xfId="0" applyNumberFormat="1" applyFont="1" applyAlignment="1">
      <alignment horizontal="center"/>
    </xf>
    <xf numFmtId="169" fontId="15" fillId="18" borderId="5" xfId="1" applyNumberFormat="1" applyFont="1" applyFill="1" applyBorder="1" applyAlignment="1"/>
    <xf numFmtId="165" fontId="12" fillId="8" borderId="10" xfId="1" applyFont="1" applyFill="1" applyBorder="1" applyAlignment="1">
      <alignment horizontal="left"/>
    </xf>
    <xf numFmtId="182" fontId="2" fillId="8" borderId="10" xfId="1" applyNumberFormat="1" applyFont="1" applyFill="1" applyBorder="1"/>
    <xf numFmtId="174" fontId="1" fillId="23" borderId="0" xfId="0" applyNumberFormat="1" applyFont="1" applyFill="1" applyAlignment="1">
      <alignment horizontal="center"/>
    </xf>
    <xf numFmtId="165" fontId="1" fillId="23" borderId="0" xfId="1" applyFont="1" applyFill="1" applyAlignment="1">
      <alignment horizontal="center"/>
    </xf>
    <xf numFmtId="165" fontId="1" fillId="23" borderId="0" xfId="1" applyFont="1" applyFill="1"/>
    <xf numFmtId="20" fontId="1" fillId="23" borderId="0" xfId="0" applyNumberFormat="1" applyFont="1" applyFill="1" applyAlignment="1">
      <alignment horizontal="left"/>
    </xf>
    <xf numFmtId="165" fontId="1" fillId="21" borderId="0" xfId="1" applyFont="1" applyFill="1" applyAlignment="1"/>
    <xf numFmtId="165" fontId="2" fillId="0" borderId="5" xfId="1" applyFont="1" applyBorder="1" applyAlignment="1">
      <alignment horizontal="center"/>
    </xf>
    <xf numFmtId="0" fontId="2" fillId="0" borderId="5" xfId="0" applyFont="1" applyBorder="1"/>
    <xf numFmtId="165" fontId="0" fillId="0" borderId="5" xfId="1" applyFont="1" applyBorder="1" applyAlignment="1">
      <alignment horizontal="center"/>
    </xf>
    <xf numFmtId="165" fontId="0" fillId="0" borderId="5" xfId="1" applyFont="1" applyBorder="1"/>
    <xf numFmtId="165" fontId="15" fillId="31" borderId="5" xfId="1" applyFont="1" applyFill="1" applyBorder="1" applyAlignment="1">
      <alignment horizontal="center"/>
    </xf>
    <xf numFmtId="0" fontId="15" fillId="31" borderId="5" xfId="0" applyFont="1" applyFill="1" applyBorder="1" applyAlignment="1">
      <alignment horizontal="center"/>
    </xf>
    <xf numFmtId="0" fontId="0" fillId="20" borderId="0" xfId="0" applyFill="1" applyAlignment="1">
      <alignment horizontal="left"/>
    </xf>
    <xf numFmtId="166" fontId="0" fillId="0" borderId="0" xfId="0" applyNumberFormat="1" applyAlignment="1">
      <alignment horizontal="left"/>
    </xf>
    <xf numFmtId="165" fontId="0" fillId="0" borderId="0" xfId="1" applyFont="1" applyFill="1" applyBorder="1" applyAlignment="1">
      <alignment horizontal="center"/>
    </xf>
    <xf numFmtId="182" fontId="2" fillId="2" borderId="0" xfId="0" applyNumberFormat="1" applyFont="1" applyFill="1"/>
    <xf numFmtId="165" fontId="0" fillId="32" borderId="0" xfId="1" applyFont="1" applyFill="1" applyAlignment="1">
      <alignment horizontal="center"/>
    </xf>
    <xf numFmtId="0" fontId="2" fillId="0" borderId="0" xfId="0" quotePrefix="1" applyFont="1" applyAlignment="1">
      <alignment horizontal="center"/>
    </xf>
    <xf numFmtId="14" fontId="7" fillId="0" borderId="0" xfId="0" applyNumberFormat="1" applyFont="1" applyAlignment="1">
      <alignment horizontal="center"/>
    </xf>
    <xf numFmtId="174" fontId="0" fillId="0" borderId="5" xfId="0" applyNumberFormat="1" applyBorder="1" applyAlignment="1">
      <alignment horizontal="center"/>
    </xf>
    <xf numFmtId="165" fontId="0" fillId="0" borderId="5" xfId="1" applyFont="1" applyFill="1" applyBorder="1" applyAlignment="1">
      <alignment horizontal="left"/>
    </xf>
    <xf numFmtId="165" fontId="0" fillId="0" borderId="5" xfId="1" applyFont="1" applyFill="1" applyBorder="1" applyAlignment="1">
      <alignment horizontal="center"/>
    </xf>
    <xf numFmtId="174" fontId="2" fillId="0" borderId="5" xfId="0" applyNumberFormat="1" applyFont="1" applyBorder="1" applyAlignment="1">
      <alignment horizontal="center"/>
    </xf>
    <xf numFmtId="165" fontId="2" fillId="0" borderId="5" xfId="1" applyFont="1" applyFill="1" applyBorder="1" applyAlignment="1">
      <alignment horizontal="center"/>
    </xf>
    <xf numFmtId="20" fontId="12" fillId="0" borderId="0" xfId="0" applyNumberFormat="1" applyFont="1" applyAlignment="1">
      <alignment horizontal="center"/>
    </xf>
    <xf numFmtId="20" fontId="2" fillId="0" borderId="0" xfId="0" applyNumberFormat="1" applyFont="1" applyAlignment="1">
      <alignment horizontal="center"/>
    </xf>
    <xf numFmtId="165" fontId="0" fillId="0" borderId="5" xfId="1" applyFont="1" applyFill="1" applyBorder="1"/>
    <xf numFmtId="174" fontId="0" fillId="0" borderId="11" xfId="0" applyNumberFormat="1" applyBorder="1" applyAlignment="1">
      <alignment horizontal="center"/>
    </xf>
    <xf numFmtId="0" fontId="0" fillId="0" borderId="11" xfId="0" applyBorder="1" applyAlignment="1">
      <alignment horizontal="center"/>
    </xf>
    <xf numFmtId="0" fontId="0" fillId="0" borderId="11" xfId="0" applyBorder="1"/>
    <xf numFmtId="165" fontId="0" fillId="0" borderId="11" xfId="1" applyFont="1" applyFill="1" applyBorder="1"/>
    <xf numFmtId="165" fontId="0" fillId="0" borderId="6" xfId="1" applyFont="1" applyFill="1" applyBorder="1" applyAlignment="1">
      <alignment horizontal="left"/>
    </xf>
    <xf numFmtId="165" fontId="12" fillId="8" borderId="10" xfId="1" applyFont="1" applyFill="1" applyBorder="1"/>
    <xf numFmtId="165" fontId="0" fillId="0" borderId="6" xfId="1" applyFont="1" applyFill="1" applyBorder="1"/>
    <xf numFmtId="165" fontId="12" fillId="8" borderId="10" xfId="0" applyNumberFormat="1" applyFont="1" applyFill="1" applyBorder="1"/>
    <xf numFmtId="0" fontId="0" fillId="24" borderId="5" xfId="0" applyFill="1" applyBorder="1" applyAlignment="1">
      <alignment horizontal="center"/>
    </xf>
    <xf numFmtId="174" fontId="0" fillId="23" borderId="5" xfId="0" applyNumberFormat="1" applyFill="1" applyBorder="1" applyAlignment="1">
      <alignment horizontal="center"/>
    </xf>
    <xf numFmtId="0" fontId="0" fillId="23" borderId="5" xfId="0" applyFill="1" applyBorder="1" applyAlignment="1">
      <alignment horizontal="center"/>
    </xf>
    <xf numFmtId="0" fontId="0" fillId="23" borderId="5" xfId="0" applyFill="1" applyBorder="1"/>
    <xf numFmtId="166" fontId="0" fillId="23" borderId="0" xfId="0" applyNumberFormat="1" applyFill="1"/>
    <xf numFmtId="165" fontId="2" fillId="2" borderId="36" xfId="1" applyFont="1" applyFill="1" applyBorder="1" applyAlignment="1">
      <alignment horizontal="center"/>
    </xf>
    <xf numFmtId="0" fontId="0" fillId="24" borderId="0" xfId="0" applyFill="1"/>
    <xf numFmtId="174" fontId="0" fillId="24" borderId="0" xfId="0" applyNumberFormat="1" applyFill="1" applyAlignment="1">
      <alignment horizontal="center"/>
    </xf>
    <xf numFmtId="20" fontId="0" fillId="24" borderId="0" xfId="0" applyNumberFormat="1" applyFill="1" applyAlignment="1">
      <alignment horizontal="left"/>
    </xf>
    <xf numFmtId="174" fontId="0" fillId="0" borderId="0" xfId="1" applyNumberFormat="1" applyFont="1" applyFill="1" applyAlignment="1">
      <alignment horizontal="center"/>
    </xf>
    <xf numFmtId="174" fontId="0" fillId="0" borderId="0" xfId="1" applyNumberFormat="1" applyFont="1" applyAlignment="1">
      <alignment horizontal="center"/>
    </xf>
    <xf numFmtId="174" fontId="0" fillId="15" borderId="0" xfId="0" applyNumberFormat="1" applyFill="1" applyAlignment="1">
      <alignment horizontal="center"/>
    </xf>
    <xf numFmtId="174" fontId="0" fillId="13" borderId="0" xfId="0" applyNumberFormat="1" applyFill="1" applyAlignment="1">
      <alignment horizontal="center"/>
    </xf>
    <xf numFmtId="174" fontId="0" fillId="0" borderId="12" xfId="0" applyNumberFormat="1" applyBorder="1" applyAlignment="1">
      <alignment horizontal="center"/>
    </xf>
    <xf numFmtId="174" fontId="2" fillId="0" borderId="18" xfId="0" applyNumberFormat="1" applyFont="1" applyBorder="1" applyAlignment="1">
      <alignment horizontal="center"/>
    </xf>
    <xf numFmtId="174" fontId="0" fillId="0" borderId="6" xfId="0" applyNumberFormat="1" applyBorder="1" applyAlignment="1">
      <alignment horizontal="center"/>
    </xf>
    <xf numFmtId="174" fontId="13" fillId="0" borderId="0" xfId="3" applyNumberFormat="1" applyFont="1" applyFill="1" applyBorder="1" applyAlignment="1">
      <alignment horizontal="center"/>
    </xf>
    <xf numFmtId="43" fontId="0" fillId="0" borderId="0" xfId="0" applyNumberFormat="1" applyAlignment="1">
      <alignment horizontal="left"/>
    </xf>
    <xf numFmtId="165" fontId="2" fillId="0" borderId="10" xfId="1" applyFont="1" applyFill="1" applyBorder="1"/>
    <xf numFmtId="174" fontId="0" fillId="33" borderId="0" xfId="0" applyNumberFormat="1" applyFill="1" applyAlignment="1">
      <alignment horizontal="center"/>
    </xf>
    <xf numFmtId="174" fontId="0" fillId="12" borderId="0" xfId="0" applyNumberFormat="1" applyFill="1" applyAlignment="1">
      <alignment horizontal="center"/>
    </xf>
    <xf numFmtId="166" fontId="0" fillId="15" borderId="0" xfId="0" applyNumberFormat="1" applyFill="1"/>
    <xf numFmtId="166" fontId="0" fillId="19" borderId="0" xfId="0" applyNumberFormat="1" applyFill="1"/>
    <xf numFmtId="166" fontId="0" fillId="33" borderId="0" xfId="0" applyNumberFormat="1" applyFill="1"/>
    <xf numFmtId="166" fontId="0" fillId="12" borderId="0" xfId="0" applyNumberFormat="1" applyFill="1"/>
    <xf numFmtId="166" fontId="0" fillId="3" borderId="0" xfId="0" applyNumberFormat="1" applyFill="1"/>
    <xf numFmtId="166" fontId="0" fillId="13" borderId="0" xfId="0" applyNumberFormat="1" applyFill="1"/>
    <xf numFmtId="174" fontId="0" fillId="25" borderId="0" xfId="0" applyNumberFormat="1" applyFill="1" applyAlignment="1">
      <alignment horizontal="center"/>
    </xf>
    <xf numFmtId="166" fontId="0" fillId="25" borderId="0" xfId="0" applyNumberFormat="1" applyFill="1"/>
    <xf numFmtId="174" fontId="7" fillId="21" borderId="0" xfId="0" applyNumberFormat="1" applyFont="1" applyFill="1" applyAlignment="1">
      <alignment horizontal="center"/>
    </xf>
    <xf numFmtId="166" fontId="0" fillId="24" borderId="0" xfId="0" applyNumberFormat="1" applyFill="1"/>
    <xf numFmtId="174" fontId="0" fillId="34" borderId="0" xfId="0" applyNumberFormat="1" applyFill="1" applyAlignment="1">
      <alignment horizontal="center"/>
    </xf>
    <xf numFmtId="165" fontId="6" fillId="34" borderId="0" xfId="1" applyFont="1" applyFill="1" applyAlignment="1">
      <alignment horizontal="left"/>
    </xf>
    <xf numFmtId="165" fontId="0" fillId="34" borderId="0" xfId="1" applyFont="1" applyFill="1" applyAlignment="1">
      <alignment horizontal="left"/>
    </xf>
    <xf numFmtId="166" fontId="0" fillId="35" borderId="0" xfId="0" applyNumberFormat="1" applyFill="1"/>
    <xf numFmtId="174" fontId="0" fillId="35" borderId="0" xfId="0" applyNumberFormat="1" applyFill="1" applyAlignment="1">
      <alignment horizontal="center"/>
    </xf>
    <xf numFmtId="166" fontId="0" fillId="36" borderId="0" xfId="0" applyNumberFormat="1" applyFill="1"/>
    <xf numFmtId="174" fontId="7" fillId="36" borderId="0" xfId="0" applyNumberFormat="1" applyFont="1" applyFill="1" applyAlignment="1">
      <alignment horizontal="center"/>
    </xf>
    <xf numFmtId="166" fontId="0" fillId="8" borderId="0" xfId="0" applyNumberFormat="1" applyFill="1"/>
    <xf numFmtId="174" fontId="1" fillId="32" borderId="0" xfId="0" applyNumberFormat="1" applyFont="1" applyFill="1" applyAlignment="1">
      <alignment horizontal="center"/>
    </xf>
    <xf numFmtId="174" fontId="0" fillId="32" borderId="0" xfId="0" applyNumberFormat="1" applyFill="1" applyAlignment="1">
      <alignment horizontal="center"/>
    </xf>
    <xf numFmtId="166" fontId="0" fillId="32" borderId="0" xfId="0" applyNumberFormat="1" applyFill="1"/>
    <xf numFmtId="166" fontId="0" fillId="37" borderId="0" xfId="0" applyNumberFormat="1" applyFill="1"/>
    <xf numFmtId="174" fontId="0" fillId="37" borderId="0" xfId="0" applyNumberFormat="1" applyFill="1" applyAlignment="1">
      <alignment horizontal="center"/>
    </xf>
    <xf numFmtId="174" fontId="0" fillId="0" borderId="0" xfId="0" applyNumberFormat="1" applyAlignment="1">
      <alignment horizontal="left" vertical="top"/>
    </xf>
    <xf numFmtId="0" fontId="0" fillId="0" borderId="0" xfId="0" applyAlignment="1">
      <alignment horizontal="center" vertical="top"/>
    </xf>
    <xf numFmtId="166" fontId="0" fillId="38" borderId="0" xfId="0" applyNumberFormat="1" applyFill="1"/>
    <xf numFmtId="174" fontId="0" fillId="38" borderId="0" xfId="0" applyNumberFormat="1" applyFill="1" applyAlignment="1">
      <alignment horizontal="center"/>
    </xf>
    <xf numFmtId="166" fontId="0" fillId="39" borderId="0" xfId="0" applyNumberFormat="1" applyFill="1"/>
    <xf numFmtId="174" fontId="0" fillId="39" borderId="0" xfId="0" applyNumberFormat="1" applyFill="1" applyAlignment="1">
      <alignment horizontal="center"/>
    </xf>
    <xf numFmtId="165" fontId="0" fillId="40" borderId="0" xfId="1" applyFont="1" applyFill="1" applyAlignment="1">
      <alignment horizontal="center"/>
    </xf>
    <xf numFmtId="165" fontId="0" fillId="40" borderId="0" xfId="1" applyFont="1" applyFill="1" applyAlignment="1">
      <alignment horizontal="left"/>
    </xf>
    <xf numFmtId="174" fontId="0" fillId="40" borderId="0" xfId="0" applyNumberFormat="1" applyFill="1" applyAlignment="1">
      <alignment horizontal="center"/>
    </xf>
    <xf numFmtId="166" fontId="0" fillId="41" borderId="0" xfId="0" applyNumberFormat="1" applyFill="1"/>
    <xf numFmtId="174" fontId="0" fillId="41" borderId="0" xfId="0" applyNumberFormat="1" applyFill="1" applyAlignment="1">
      <alignment horizontal="center"/>
    </xf>
    <xf numFmtId="174" fontId="0" fillId="42" borderId="0" xfId="0" applyNumberFormat="1" applyFill="1" applyAlignment="1">
      <alignment horizontal="center"/>
    </xf>
    <xf numFmtId="166" fontId="0" fillId="42" borderId="0" xfId="0" applyNumberFormat="1" applyFill="1"/>
    <xf numFmtId="166" fontId="0" fillId="43" borderId="0" xfId="0" applyNumberFormat="1" applyFill="1"/>
    <xf numFmtId="174" fontId="0" fillId="43" borderId="0" xfId="0" applyNumberFormat="1" applyFill="1" applyAlignment="1">
      <alignment horizontal="center"/>
    </xf>
    <xf numFmtId="166" fontId="0" fillId="44" borderId="0" xfId="0" applyNumberFormat="1" applyFill="1"/>
    <xf numFmtId="174" fontId="0" fillId="44" borderId="0" xfId="0" applyNumberFormat="1" applyFill="1" applyAlignment="1">
      <alignment horizontal="center"/>
    </xf>
    <xf numFmtId="174" fontId="0" fillId="44" borderId="0" xfId="1" applyNumberFormat="1" applyFont="1" applyFill="1" applyAlignment="1">
      <alignment horizontal="center"/>
    </xf>
    <xf numFmtId="166" fontId="0" fillId="45" borderId="0" xfId="0" applyNumberFormat="1" applyFill="1"/>
    <xf numFmtId="174" fontId="0" fillId="45" borderId="0" xfId="0" applyNumberFormat="1" applyFill="1" applyAlignment="1">
      <alignment horizontal="center"/>
    </xf>
    <xf numFmtId="174" fontId="0" fillId="45" borderId="0" xfId="1" applyNumberFormat="1" applyFont="1" applyFill="1" applyAlignment="1">
      <alignment horizontal="center"/>
    </xf>
    <xf numFmtId="166" fontId="0" fillId="46" borderId="0" xfId="0" applyNumberFormat="1" applyFill="1"/>
    <xf numFmtId="174" fontId="0" fillId="46" borderId="0" xfId="1" applyNumberFormat="1" applyFont="1" applyFill="1" applyAlignment="1">
      <alignment horizontal="center"/>
    </xf>
    <xf numFmtId="174" fontId="0" fillId="46" borderId="0" xfId="0" applyNumberFormat="1" applyFill="1" applyAlignment="1">
      <alignment horizontal="center"/>
    </xf>
    <xf numFmtId="174" fontId="0" fillId="47" borderId="0" xfId="0" applyNumberFormat="1" applyFill="1" applyAlignment="1">
      <alignment horizontal="center"/>
    </xf>
    <xf numFmtId="166" fontId="0" fillId="47" borderId="0" xfId="0" applyNumberFormat="1" applyFill="1"/>
    <xf numFmtId="174" fontId="0" fillId="48" borderId="0" xfId="0" applyNumberFormat="1" applyFill="1" applyAlignment="1">
      <alignment horizontal="center"/>
    </xf>
    <xf numFmtId="174" fontId="0" fillId="48" borderId="0" xfId="1" applyNumberFormat="1" applyFont="1" applyFill="1" applyAlignment="1">
      <alignment horizontal="center"/>
    </xf>
    <xf numFmtId="166" fontId="0" fillId="48" borderId="0" xfId="0" applyNumberFormat="1" applyFill="1"/>
    <xf numFmtId="174" fontId="0" fillId="49" borderId="0" xfId="0" applyNumberFormat="1" applyFill="1" applyAlignment="1">
      <alignment horizontal="center"/>
    </xf>
    <xf numFmtId="174" fontId="0" fillId="49" borderId="0" xfId="1" applyNumberFormat="1" applyFont="1" applyFill="1" applyAlignment="1">
      <alignment horizontal="center"/>
    </xf>
    <xf numFmtId="166" fontId="0" fillId="49" borderId="0" xfId="0" applyNumberFormat="1" applyFill="1"/>
    <xf numFmtId="166" fontId="0" fillId="50" borderId="0" xfId="0" applyNumberFormat="1" applyFill="1"/>
    <xf numFmtId="174" fontId="0" fillId="50" borderId="0" xfId="0" applyNumberFormat="1" applyFill="1" applyAlignment="1">
      <alignment horizontal="center"/>
    </xf>
    <xf numFmtId="166" fontId="0" fillId="51" borderId="0" xfId="0" applyNumberFormat="1" applyFill="1"/>
    <xf numFmtId="174" fontId="0" fillId="51" borderId="0" xfId="0" applyNumberFormat="1" applyFill="1" applyAlignment="1">
      <alignment horizontal="center"/>
    </xf>
    <xf numFmtId="166" fontId="0" fillId="52" borderId="0" xfId="0" applyNumberFormat="1" applyFill="1"/>
    <xf numFmtId="174" fontId="0" fillId="52" borderId="0" xfId="0" applyNumberFormat="1" applyFill="1" applyAlignment="1">
      <alignment horizontal="center"/>
    </xf>
    <xf numFmtId="166" fontId="0" fillId="53" borderId="0" xfId="0" applyNumberFormat="1" applyFill="1"/>
    <xf numFmtId="174" fontId="0" fillId="53" borderId="0" xfId="0" applyNumberFormat="1" applyFill="1" applyAlignment="1">
      <alignment horizontal="center"/>
    </xf>
    <xf numFmtId="166" fontId="0" fillId="54" borderId="0" xfId="0" applyNumberFormat="1" applyFill="1"/>
    <xf numFmtId="174" fontId="0" fillId="54" borderId="0" xfId="0" applyNumberFormat="1" applyFill="1" applyAlignment="1">
      <alignment horizontal="center"/>
    </xf>
    <xf numFmtId="168" fontId="2" fillId="2" borderId="0" xfId="0" applyNumberFormat="1" applyFont="1" applyFill="1"/>
    <xf numFmtId="165" fontId="2" fillId="2" borderId="0" xfId="1" applyFont="1" applyFill="1"/>
    <xf numFmtId="0" fontId="0" fillId="52" borderId="5" xfId="0" applyFill="1" applyBorder="1" applyAlignment="1">
      <alignment horizontal="center"/>
    </xf>
    <xf numFmtId="165" fontId="0" fillId="52" borderId="5" xfId="1" applyFont="1" applyFill="1" applyBorder="1"/>
    <xf numFmtId="165" fontId="0" fillId="52" borderId="6" xfId="1" applyFont="1" applyFill="1" applyBorder="1"/>
    <xf numFmtId="174" fontId="0" fillId="54" borderId="0" xfId="1" applyNumberFormat="1" applyFont="1" applyFill="1" applyAlignment="1">
      <alignment horizontal="center"/>
    </xf>
    <xf numFmtId="165" fontId="7" fillId="0" borderId="0" xfId="1" applyFont="1" applyFill="1" applyBorder="1" applyAlignment="1">
      <alignment horizontal="center"/>
    </xf>
    <xf numFmtId="0" fontId="0" fillId="51" borderId="0" xfId="0" applyFill="1"/>
    <xf numFmtId="174" fontId="0" fillId="51" borderId="11" xfId="0" applyNumberFormat="1" applyFill="1" applyBorder="1" applyAlignment="1">
      <alignment horizontal="left"/>
    </xf>
    <xf numFmtId="165" fontId="0" fillId="0" borderId="11" xfId="1" applyFont="1" applyBorder="1" applyAlignment="1">
      <alignment horizontal="center"/>
    </xf>
    <xf numFmtId="165" fontId="6" fillId="0" borderId="0" xfId="1" applyFont="1" applyFill="1" applyBorder="1" applyAlignment="1">
      <alignment horizontal="center"/>
    </xf>
    <xf numFmtId="174" fontId="0" fillId="6" borderId="11" xfId="0" applyNumberFormat="1" applyFill="1" applyBorder="1" applyAlignment="1">
      <alignment horizontal="center"/>
    </xf>
    <xf numFmtId="174" fontId="0" fillId="2" borderId="11" xfId="0" applyNumberFormat="1" applyFill="1" applyBorder="1" applyAlignment="1">
      <alignment horizontal="center"/>
    </xf>
    <xf numFmtId="0" fontId="0" fillId="55" borderId="0" xfId="0" quotePrefix="1" applyFill="1" applyAlignment="1">
      <alignment horizontal="center"/>
    </xf>
    <xf numFmtId="0" fontId="0" fillId="55" borderId="0" xfId="0" applyFill="1"/>
    <xf numFmtId="174" fontId="0" fillId="55" borderId="0" xfId="0" applyNumberFormat="1" applyFill="1" applyAlignment="1">
      <alignment horizontal="center"/>
    </xf>
    <xf numFmtId="0" fontId="0" fillId="55" borderId="0" xfId="0" applyFill="1" applyAlignment="1">
      <alignment horizontal="center"/>
    </xf>
    <xf numFmtId="165" fontId="0" fillId="55" borderId="0" xfId="1" applyFont="1" applyFill="1" applyAlignment="1">
      <alignment horizontal="center"/>
    </xf>
    <xf numFmtId="165" fontId="0" fillId="55" borderId="0" xfId="1" applyFont="1" applyFill="1"/>
    <xf numFmtId="20" fontId="0" fillId="55" borderId="0" xfId="0" applyNumberFormat="1" applyFill="1" applyAlignment="1">
      <alignment horizontal="left"/>
    </xf>
    <xf numFmtId="0" fontId="0" fillId="56" borderId="0" xfId="0" quotePrefix="1" applyFill="1" applyAlignment="1">
      <alignment horizontal="center"/>
    </xf>
    <xf numFmtId="0" fontId="0" fillId="56" borderId="0" xfId="0" applyFill="1"/>
    <xf numFmtId="174" fontId="0" fillId="56" borderId="0" xfId="0" applyNumberFormat="1" applyFill="1" applyAlignment="1">
      <alignment horizontal="center"/>
    </xf>
    <xf numFmtId="0" fontId="0" fillId="56" borderId="0" xfId="0" applyFill="1" applyAlignment="1">
      <alignment horizontal="center"/>
    </xf>
    <xf numFmtId="165" fontId="0" fillId="56" borderId="0" xfId="1" applyFont="1" applyFill="1" applyAlignment="1">
      <alignment horizontal="center"/>
    </xf>
    <xf numFmtId="165" fontId="0" fillId="56" borderId="0" xfId="1" applyFont="1" applyFill="1"/>
    <xf numFmtId="20" fontId="0" fillId="56" borderId="0" xfId="0" applyNumberFormat="1" applyFill="1" applyAlignment="1">
      <alignment horizontal="left"/>
    </xf>
    <xf numFmtId="165" fontId="0" fillId="56" borderId="0" xfId="1" applyFont="1" applyFill="1" applyBorder="1" applyAlignment="1">
      <alignment horizontal="center"/>
    </xf>
    <xf numFmtId="165" fontId="0" fillId="3" borderId="0" xfId="1" applyFont="1" applyFill="1" applyBorder="1" applyAlignment="1">
      <alignment horizontal="center"/>
    </xf>
    <xf numFmtId="165" fontId="0" fillId="23" borderId="0" xfId="1" applyFont="1" applyFill="1" applyBorder="1" applyAlignment="1">
      <alignment horizontal="center"/>
    </xf>
    <xf numFmtId="165" fontId="0" fillId="2" borderId="0" xfId="1" applyFont="1" applyFill="1" applyBorder="1" applyAlignment="1">
      <alignment horizontal="center"/>
    </xf>
    <xf numFmtId="0" fontId="0" fillId="57" borderId="0" xfId="0" quotePrefix="1" applyFill="1" applyAlignment="1">
      <alignment horizontal="center"/>
    </xf>
    <xf numFmtId="0" fontId="0" fillId="57" borderId="0" xfId="0" applyFill="1"/>
    <xf numFmtId="0" fontId="0" fillId="57" borderId="0" xfId="0" applyFill="1" applyAlignment="1">
      <alignment horizontal="center"/>
    </xf>
    <xf numFmtId="174" fontId="0" fillId="57" borderId="0" xfId="0" applyNumberFormat="1" applyFill="1" applyAlignment="1">
      <alignment horizontal="center"/>
    </xf>
    <xf numFmtId="165" fontId="0" fillId="57" borderId="0" xfId="1" applyFont="1" applyFill="1" applyAlignment="1">
      <alignment horizontal="center"/>
    </xf>
    <xf numFmtId="165" fontId="0" fillId="57" borderId="0" xfId="1" applyFont="1" applyFill="1"/>
    <xf numFmtId="0" fontId="0" fillId="57" borderId="0" xfId="0" applyFill="1" applyAlignment="1">
      <alignment horizontal="left"/>
    </xf>
    <xf numFmtId="20" fontId="0" fillId="57" borderId="0" xfId="0" applyNumberFormat="1" applyFill="1" applyAlignment="1">
      <alignment horizontal="left"/>
    </xf>
    <xf numFmtId="0" fontId="0" fillId="56" borderId="0" xfId="0" applyFill="1" applyAlignment="1">
      <alignment horizontal="left"/>
    </xf>
    <xf numFmtId="165" fontId="7" fillId="3" borderId="0" xfId="1" applyFont="1" applyFill="1" applyBorder="1" applyAlignment="1">
      <alignment horizontal="center"/>
    </xf>
    <xf numFmtId="0" fontId="7" fillId="56" borderId="0" xfId="0" quotePrefix="1" applyFont="1" applyFill="1" applyAlignment="1">
      <alignment horizontal="center"/>
    </xf>
    <xf numFmtId="0" fontId="7" fillId="56" borderId="0" xfId="0" applyFont="1" applyFill="1"/>
    <xf numFmtId="0" fontId="7" fillId="56" borderId="0" xfId="0" applyFont="1" applyFill="1" applyAlignment="1">
      <alignment horizontal="center"/>
    </xf>
    <xf numFmtId="174" fontId="7" fillId="56" borderId="0" xfId="0" applyNumberFormat="1" applyFont="1" applyFill="1" applyAlignment="1">
      <alignment horizontal="center"/>
    </xf>
    <xf numFmtId="165" fontId="7" fillId="56" borderId="0" xfId="1" applyFont="1" applyFill="1" applyBorder="1" applyAlignment="1">
      <alignment horizontal="center"/>
    </xf>
    <xf numFmtId="20" fontId="7" fillId="56" borderId="0" xfId="0" applyNumberFormat="1" applyFont="1" applyFill="1" applyAlignment="1">
      <alignment horizontal="left"/>
    </xf>
    <xf numFmtId="165" fontId="2" fillId="23" borderId="10" xfId="1" applyFont="1" applyFill="1" applyBorder="1" applyAlignment="1">
      <alignment horizontal="center"/>
    </xf>
    <xf numFmtId="165" fontId="2" fillId="46" borderId="1" xfId="1" applyFont="1" applyFill="1" applyBorder="1" applyAlignment="1">
      <alignment horizontal="center"/>
    </xf>
    <xf numFmtId="0" fontId="0" fillId="4" borderId="0" xfId="0" applyFill="1" applyAlignment="1">
      <alignment wrapText="1"/>
    </xf>
    <xf numFmtId="0" fontId="2" fillId="0" borderId="0" xfId="0" applyFont="1" applyAlignment="1">
      <alignment horizontal="center" vertical="center" wrapText="1"/>
    </xf>
    <xf numFmtId="0" fontId="2" fillId="0" borderId="0" xfId="0" applyFont="1" applyAlignment="1">
      <alignment horizontal="center" vertical="center"/>
    </xf>
    <xf numFmtId="165" fontId="0" fillId="44" borderId="0" xfId="1" applyFont="1" applyFill="1" applyAlignment="1">
      <alignment horizontal="center"/>
    </xf>
    <xf numFmtId="165" fontId="0" fillId="44" borderId="6" xfId="1" applyFont="1" applyFill="1" applyBorder="1" applyAlignment="1">
      <alignment horizontal="left"/>
    </xf>
    <xf numFmtId="165" fontId="0" fillId="44" borderId="5" xfId="1" applyFont="1" applyFill="1" applyBorder="1" applyAlignment="1">
      <alignment horizontal="center"/>
    </xf>
    <xf numFmtId="165" fontId="2" fillId="56" borderId="10" xfId="1" applyFont="1" applyFill="1" applyBorder="1" applyAlignment="1">
      <alignment horizontal="center"/>
    </xf>
    <xf numFmtId="0" fontId="0" fillId="54" borderId="0" xfId="0" quotePrefix="1" applyFill="1" applyAlignment="1">
      <alignment horizontal="center"/>
    </xf>
    <xf numFmtId="165" fontId="2" fillId="2" borderId="10" xfId="1" applyFont="1" applyFill="1" applyBorder="1" applyAlignment="1"/>
    <xf numFmtId="165" fontId="0" fillId="51" borderId="0" xfId="1" applyFont="1" applyFill="1"/>
    <xf numFmtId="0" fontId="0" fillId="51" borderId="0" xfId="0" applyFill="1" applyAlignment="1">
      <alignment horizontal="left"/>
    </xf>
    <xf numFmtId="174" fontId="0" fillId="51" borderId="0" xfId="1" applyNumberFormat="1" applyFont="1" applyFill="1" applyAlignment="1">
      <alignment horizontal="center"/>
    </xf>
    <xf numFmtId="0" fontId="0" fillId="54" borderId="0" xfId="0" applyFill="1"/>
    <xf numFmtId="165" fontId="0" fillId="54" borderId="0" xfId="1" applyFont="1" applyFill="1"/>
    <xf numFmtId="0" fontId="0" fillId="54" borderId="0" xfId="0" applyFill="1" applyAlignment="1">
      <alignment horizontal="left"/>
    </xf>
    <xf numFmtId="165" fontId="0" fillId="54" borderId="0" xfId="1" applyFont="1" applyFill="1" applyAlignment="1">
      <alignment horizontal="center"/>
    </xf>
    <xf numFmtId="165" fontId="0" fillId="54" borderId="0" xfId="1" applyFont="1" applyFill="1" applyAlignment="1">
      <alignment horizontal="left"/>
    </xf>
    <xf numFmtId="165" fontId="0" fillId="0" borderId="0" xfId="1" applyFont="1" applyFill="1" applyBorder="1" applyAlignment="1">
      <alignment horizontal="left"/>
    </xf>
    <xf numFmtId="0" fontId="0" fillId="7" borderId="5" xfId="0" applyFill="1" applyBorder="1" applyAlignment="1">
      <alignment horizontal="center"/>
    </xf>
    <xf numFmtId="165" fontId="0" fillId="7" borderId="5" xfId="1" applyFont="1" applyFill="1" applyBorder="1"/>
    <xf numFmtId="0" fontId="2" fillId="3" borderId="5" xfId="0" applyFont="1" applyFill="1" applyBorder="1" applyAlignment="1">
      <alignment horizontal="center"/>
    </xf>
    <xf numFmtId="165" fontId="2" fillId="3" borderId="5" xfId="1" applyFont="1" applyFill="1" applyBorder="1"/>
    <xf numFmtId="165" fontId="2" fillId="0" borderId="42" xfId="1" applyFont="1" applyBorder="1" applyAlignment="1">
      <alignment horizontal="center"/>
    </xf>
    <xf numFmtId="0" fontId="2" fillId="0" borderId="44" xfId="0" applyFont="1" applyBorder="1" applyAlignment="1">
      <alignment horizontal="center"/>
    </xf>
    <xf numFmtId="165" fontId="0" fillId="0" borderId="30" xfId="1" applyFont="1" applyBorder="1" applyAlignment="1">
      <alignment horizontal="center"/>
    </xf>
    <xf numFmtId="0" fontId="0" fillId="0" borderId="31" xfId="0" applyBorder="1" applyAlignment="1">
      <alignment horizontal="center"/>
    </xf>
    <xf numFmtId="165" fontId="12" fillId="3" borderId="45" xfId="1" applyFont="1" applyFill="1" applyBorder="1" applyAlignment="1">
      <alignment horizontal="center"/>
    </xf>
    <xf numFmtId="165" fontId="2" fillId="0" borderId="30" xfId="1" applyFont="1" applyBorder="1" applyAlignment="1">
      <alignment horizontal="center"/>
    </xf>
    <xf numFmtId="165" fontId="1" fillId="2" borderId="0" xfId="1" applyFont="1" applyFill="1" applyBorder="1" applyAlignment="1">
      <alignment horizontal="center"/>
    </xf>
    <xf numFmtId="165" fontId="2" fillId="4" borderId="0" xfId="1" applyFont="1" applyFill="1" applyBorder="1" applyAlignment="1">
      <alignment horizontal="center"/>
    </xf>
    <xf numFmtId="165" fontId="0" fillId="4" borderId="0" xfId="1" applyFont="1" applyFill="1" applyBorder="1" applyAlignment="1">
      <alignment horizontal="center"/>
    </xf>
    <xf numFmtId="0" fontId="1" fillId="22" borderId="0" xfId="0" quotePrefix="1" applyFont="1" applyFill="1" applyAlignment="1">
      <alignment horizontal="center"/>
    </xf>
    <xf numFmtId="0" fontId="1" fillId="22" borderId="0" xfId="0" applyFont="1" applyFill="1"/>
    <xf numFmtId="174" fontId="1" fillId="22" borderId="0" xfId="0" applyNumberFormat="1" applyFont="1" applyFill="1" applyAlignment="1">
      <alignment horizontal="center"/>
    </xf>
    <xf numFmtId="0" fontId="1" fillId="22" borderId="0" xfId="0" applyFont="1" applyFill="1" applyAlignment="1">
      <alignment horizontal="center"/>
    </xf>
    <xf numFmtId="0" fontId="1" fillId="22" borderId="0" xfId="0" applyFont="1" applyFill="1" applyAlignment="1">
      <alignment vertical="center"/>
    </xf>
    <xf numFmtId="165" fontId="1" fillId="22" borderId="0" xfId="1" applyFont="1" applyFill="1" applyBorder="1" applyAlignment="1">
      <alignment horizontal="center"/>
    </xf>
    <xf numFmtId="166" fontId="1" fillId="22" borderId="0" xfId="0" applyNumberFormat="1" applyFont="1" applyFill="1"/>
    <xf numFmtId="20" fontId="1" fillId="22" borderId="0" xfId="0" applyNumberFormat="1" applyFont="1" applyFill="1" applyAlignment="1">
      <alignment horizontal="left"/>
    </xf>
    <xf numFmtId="0" fontId="0" fillId="44" borderId="0" xfId="0" applyFill="1"/>
    <xf numFmtId="0" fontId="0" fillId="44" borderId="0" xfId="0" applyFill="1" applyAlignment="1">
      <alignment horizontal="left"/>
    </xf>
    <xf numFmtId="165" fontId="7" fillId="2" borderId="0" xfId="1" applyFont="1" applyFill="1" applyBorder="1" applyAlignment="1">
      <alignment horizontal="center"/>
    </xf>
    <xf numFmtId="4" fontId="0" fillId="0" borderId="0" xfId="0" applyNumberFormat="1" applyAlignment="1">
      <alignment horizontal="center"/>
    </xf>
    <xf numFmtId="43" fontId="0" fillId="0" borderId="0" xfId="0" applyNumberFormat="1" applyAlignment="1">
      <alignment vertical="center"/>
    </xf>
    <xf numFmtId="0" fontId="1" fillId="56" borderId="0" xfId="0" applyFont="1" applyFill="1"/>
    <xf numFmtId="20" fontId="1" fillId="56" borderId="0" xfId="0" applyNumberFormat="1" applyFont="1" applyFill="1" applyAlignment="1">
      <alignment horizontal="left"/>
    </xf>
    <xf numFmtId="0" fontId="1" fillId="56" borderId="0" xfId="0" applyFont="1" applyFill="1" applyAlignment="1">
      <alignment horizontal="left"/>
    </xf>
    <xf numFmtId="165" fontId="0" fillId="8" borderId="0" xfId="1" applyFont="1" applyFill="1" applyBorder="1" applyAlignment="1">
      <alignment horizontal="center"/>
    </xf>
    <xf numFmtId="0" fontId="0" fillId="58" borderId="0" xfId="0" quotePrefix="1" applyFill="1" applyAlignment="1">
      <alignment horizontal="center"/>
    </xf>
    <xf numFmtId="0" fontId="0" fillId="58" borderId="0" xfId="0" applyFill="1"/>
    <xf numFmtId="0" fontId="0" fillId="58" borderId="0" xfId="0" applyFill="1" applyAlignment="1">
      <alignment horizontal="center"/>
    </xf>
    <xf numFmtId="174" fontId="0" fillId="58" borderId="0" xfId="0" applyNumberFormat="1" applyFill="1" applyAlignment="1">
      <alignment horizontal="center"/>
    </xf>
    <xf numFmtId="165" fontId="2" fillId="58" borderId="0" xfId="1" applyFont="1" applyFill="1" applyBorder="1" applyAlignment="1">
      <alignment horizontal="center"/>
    </xf>
    <xf numFmtId="165" fontId="6" fillId="58" borderId="0" xfId="1" applyFont="1" applyFill="1" applyBorder="1" applyAlignment="1">
      <alignment horizontal="center"/>
    </xf>
    <xf numFmtId="0" fontId="0" fillId="58" borderId="0" xfId="0" applyFill="1" applyAlignment="1">
      <alignment horizontal="left"/>
    </xf>
    <xf numFmtId="20" fontId="0" fillId="58" borderId="0" xfId="0" applyNumberFormat="1" applyFill="1" applyAlignment="1">
      <alignment horizontal="left"/>
    </xf>
    <xf numFmtId="165" fontId="6" fillId="3" borderId="0" xfId="1" applyFont="1" applyFill="1"/>
    <xf numFmtId="0" fontId="0" fillId="0" borderId="0" xfId="0" applyAlignment="1">
      <alignment horizontal="right" wrapText="1"/>
    </xf>
    <xf numFmtId="173" fontId="0" fillId="2" borderId="0" xfId="1" applyNumberFormat="1" applyFont="1" applyFill="1"/>
    <xf numFmtId="173" fontId="0" fillId="2" borderId="0" xfId="1" applyNumberFormat="1" applyFont="1" applyFill="1" applyAlignment="1">
      <alignment vertical="center"/>
    </xf>
    <xf numFmtId="14" fontId="0" fillId="0" borderId="0" xfId="0" applyNumberFormat="1" applyAlignment="1">
      <alignment horizontal="left"/>
    </xf>
    <xf numFmtId="0" fontId="15" fillId="18" borderId="0" xfId="0" applyFont="1" applyFill="1" applyAlignment="1">
      <alignment horizontal="left"/>
    </xf>
    <xf numFmtId="166" fontId="0" fillId="10" borderId="0" xfId="0" applyNumberFormat="1" applyFill="1"/>
    <xf numFmtId="174" fontId="0" fillId="10" borderId="0" xfId="0" applyNumberFormat="1" applyFill="1" applyAlignment="1">
      <alignment horizontal="center"/>
    </xf>
    <xf numFmtId="0" fontId="0" fillId="0" borderId="6" xfId="0" applyBorder="1" applyAlignment="1">
      <alignment horizontal="center"/>
    </xf>
    <xf numFmtId="0" fontId="2" fillId="0" borderId="1" xfId="0" applyFont="1" applyBorder="1"/>
    <xf numFmtId="165" fontId="6" fillId="0" borderId="5" xfId="1" applyFont="1" applyFill="1" applyBorder="1" applyAlignment="1">
      <alignment horizontal="center"/>
    </xf>
    <xf numFmtId="165" fontId="6" fillId="0" borderId="5" xfId="1" applyFont="1" applyFill="1" applyBorder="1" applyAlignment="1">
      <alignment horizontal="left"/>
    </xf>
    <xf numFmtId="165" fontId="7" fillId="0" borderId="5" xfId="1" applyFont="1" applyFill="1" applyBorder="1" applyAlignment="1">
      <alignment horizontal="center"/>
    </xf>
    <xf numFmtId="165" fontId="7" fillId="0" borderId="5" xfId="1" applyFont="1" applyFill="1" applyBorder="1" applyAlignment="1">
      <alignment horizontal="left"/>
    </xf>
    <xf numFmtId="165" fontId="23" fillId="0" borderId="5" xfId="1" applyFont="1" applyFill="1" applyBorder="1"/>
    <xf numFmtId="166" fontId="0" fillId="0" borderId="5" xfId="0" applyNumberFormat="1" applyBorder="1"/>
    <xf numFmtId="174" fontId="0" fillId="0" borderId="5" xfId="0" applyNumberFormat="1" applyBorder="1" applyAlignment="1">
      <alignment horizontal="right"/>
    </xf>
    <xf numFmtId="0" fontId="0" fillId="0" borderId="5" xfId="0" applyBorder="1" applyAlignment="1">
      <alignment horizontal="left" wrapText="1"/>
    </xf>
    <xf numFmtId="174" fontId="7" fillId="0" borderId="5" xfId="0" applyNumberFormat="1" applyFont="1" applyBorder="1" applyAlignment="1">
      <alignment horizontal="right"/>
    </xf>
    <xf numFmtId="0" fontId="7" fillId="0" borderId="5" xfId="0" applyFont="1" applyBorder="1" applyAlignment="1">
      <alignment horizontal="center"/>
    </xf>
    <xf numFmtId="0" fontId="7" fillId="0" borderId="5" xfId="0" applyFont="1" applyBorder="1"/>
    <xf numFmtId="174" fontId="23" fillId="0" borderId="5" xfId="0" applyNumberFormat="1" applyFont="1" applyBorder="1" applyAlignment="1">
      <alignment horizontal="center"/>
    </xf>
    <xf numFmtId="0" fontId="23" fillId="0" borderId="5" xfId="0" applyFont="1" applyBorder="1"/>
    <xf numFmtId="0" fontId="23" fillId="0" borderId="5" xfId="0" applyFont="1" applyBorder="1" applyAlignment="1">
      <alignment horizontal="center"/>
    </xf>
    <xf numFmtId="0" fontId="23" fillId="0" borderId="5" xfId="0" applyFont="1" applyBorder="1" applyAlignment="1">
      <alignment horizontal="left"/>
    </xf>
    <xf numFmtId="14" fontId="2" fillId="0" borderId="11" xfId="0" applyNumberFormat="1" applyFont="1" applyBorder="1" applyAlignment="1">
      <alignment horizontal="center"/>
    </xf>
    <xf numFmtId="0" fontId="2" fillId="0" borderId="11" xfId="0" applyFont="1" applyBorder="1" applyAlignment="1">
      <alignment horizontal="center"/>
    </xf>
    <xf numFmtId="165" fontId="2" fillId="0" borderId="11" xfId="1" applyFont="1" applyFill="1" applyBorder="1"/>
    <xf numFmtId="14" fontId="1" fillId="0" borderId="0" xfId="0" applyNumberFormat="1" applyFont="1" applyAlignment="1">
      <alignment horizontal="center"/>
    </xf>
    <xf numFmtId="16" fontId="0" fillId="2" borderId="0" xfId="0" applyNumberFormat="1" applyFill="1" applyAlignment="1">
      <alignment horizontal="center"/>
    </xf>
    <xf numFmtId="14" fontId="0" fillId="2" borderId="0" xfId="0" applyNumberFormat="1" applyFill="1" applyAlignment="1">
      <alignment horizontal="center"/>
    </xf>
    <xf numFmtId="14" fontId="2" fillId="0" borderId="5" xfId="0" applyNumberFormat="1" applyFont="1" applyBorder="1"/>
    <xf numFmtId="165" fontId="15" fillId="0" borderId="5" xfId="1" applyFont="1" applyFill="1" applyBorder="1" applyAlignment="1">
      <alignment horizontal="center"/>
    </xf>
    <xf numFmtId="43" fontId="12" fillId="0" borderId="5" xfId="0" applyNumberFormat="1" applyFont="1" applyBorder="1" applyAlignment="1">
      <alignment horizontal="center"/>
    </xf>
    <xf numFmtId="0" fontId="15" fillId="0" borderId="5" xfId="0" applyFont="1" applyBorder="1" applyAlignment="1">
      <alignment horizontal="center"/>
    </xf>
    <xf numFmtId="165" fontId="2" fillId="2" borderId="11" xfId="0" applyNumberFormat="1" applyFont="1" applyFill="1" applyBorder="1"/>
    <xf numFmtId="165" fontId="0" fillId="0" borderId="11" xfId="1" applyFont="1" applyBorder="1"/>
    <xf numFmtId="0" fontId="0" fillId="0" borderId="48" xfId="0" applyBorder="1"/>
    <xf numFmtId="165" fontId="0" fillId="6" borderId="0" xfId="1" applyFont="1" applyFill="1" applyBorder="1" applyAlignment="1">
      <alignment horizontal="center"/>
    </xf>
    <xf numFmtId="165" fontId="0" fillId="3" borderId="5" xfId="1" applyFont="1" applyFill="1" applyBorder="1" applyAlignment="1">
      <alignment horizontal="center"/>
    </xf>
    <xf numFmtId="166" fontId="0" fillId="3" borderId="5" xfId="0" applyNumberFormat="1" applyFill="1" applyBorder="1"/>
    <xf numFmtId="0" fontId="0" fillId="3" borderId="5" xfId="0" applyFill="1" applyBorder="1"/>
    <xf numFmtId="174" fontId="0" fillId="3" borderId="5" xfId="0" applyNumberFormat="1" applyFill="1" applyBorder="1" applyAlignment="1">
      <alignment horizontal="center"/>
    </xf>
    <xf numFmtId="0" fontId="0" fillId="3" borderId="5" xfId="0" applyFill="1" applyBorder="1" applyAlignment="1">
      <alignment horizontal="center"/>
    </xf>
    <xf numFmtId="0" fontId="0" fillId="3" borderId="5" xfId="0" applyFill="1" applyBorder="1" applyAlignment="1">
      <alignment horizontal="left"/>
    </xf>
    <xf numFmtId="174" fontId="0" fillId="58" borderId="5" xfId="0" applyNumberFormat="1" applyFill="1" applyBorder="1" applyAlignment="1">
      <alignment horizontal="center"/>
    </xf>
    <xf numFmtId="0" fontId="0" fillId="58" borderId="5" xfId="0" applyFill="1" applyBorder="1" applyAlignment="1">
      <alignment horizontal="center"/>
    </xf>
    <xf numFmtId="0" fontId="0" fillId="58" borderId="5" xfId="0" applyFill="1" applyBorder="1"/>
    <xf numFmtId="165" fontId="0" fillId="58" borderId="5" xfId="1" applyFont="1" applyFill="1" applyBorder="1" applyAlignment="1">
      <alignment horizontal="center"/>
    </xf>
    <xf numFmtId="166" fontId="0" fillId="58" borderId="5" xfId="0" applyNumberFormat="1" applyFill="1" applyBorder="1"/>
    <xf numFmtId="174" fontId="0" fillId="12" borderId="5" xfId="0" applyNumberFormat="1" applyFill="1" applyBorder="1" applyAlignment="1">
      <alignment horizontal="center"/>
    </xf>
    <xf numFmtId="0" fontId="0" fillId="12" borderId="5" xfId="0" applyFill="1" applyBorder="1" applyAlignment="1">
      <alignment horizontal="center"/>
    </xf>
    <xf numFmtId="0" fontId="0" fillId="12" borderId="5" xfId="0" applyFill="1" applyBorder="1"/>
    <xf numFmtId="165" fontId="0" fillId="12" borderId="5" xfId="1" applyFont="1" applyFill="1" applyBorder="1" applyAlignment="1">
      <alignment horizontal="center"/>
    </xf>
    <xf numFmtId="166" fontId="0" fillId="12" borderId="5" xfId="0" applyNumberFormat="1" applyFill="1" applyBorder="1"/>
    <xf numFmtId="165" fontId="2" fillId="2" borderId="0" xfId="0" applyNumberFormat="1" applyFont="1" applyFill="1"/>
    <xf numFmtId="182" fontId="2" fillId="2" borderId="10" xfId="0" applyNumberFormat="1" applyFont="1" applyFill="1" applyBorder="1"/>
    <xf numFmtId="0" fontId="0" fillId="0" borderId="0" xfId="0" applyProtection="1">
      <protection locked="0"/>
    </xf>
    <xf numFmtId="15" fontId="0" fillId="0" borderId="0" xfId="0" applyNumberFormat="1" applyAlignment="1">
      <alignment horizontal="center"/>
    </xf>
    <xf numFmtId="165" fontId="15" fillId="0" borderId="9" xfId="1" applyFont="1" applyFill="1" applyBorder="1" applyAlignment="1">
      <alignment horizontal="center"/>
    </xf>
    <xf numFmtId="0" fontId="2" fillId="0" borderId="11" xfId="0" applyFont="1" applyBorder="1"/>
    <xf numFmtId="0" fontId="0" fillId="58" borderId="5" xfId="0" applyFill="1" applyBorder="1" applyAlignment="1">
      <alignment horizontal="left"/>
    </xf>
    <xf numFmtId="20" fontId="0" fillId="56" borderId="0" xfId="0" applyNumberFormat="1" applyFill="1"/>
    <xf numFmtId="0" fontId="0" fillId="2" borderId="0" xfId="0" applyFill="1" applyProtection="1">
      <protection locked="0"/>
    </xf>
    <xf numFmtId="15" fontId="0" fillId="56" borderId="0" xfId="0" applyNumberFormat="1" applyFill="1" applyAlignment="1">
      <alignment horizontal="center"/>
    </xf>
    <xf numFmtId="0" fontId="0" fillId="56" borderId="0" xfId="0" applyFill="1" applyProtection="1">
      <protection locked="0"/>
    </xf>
    <xf numFmtId="165" fontId="0" fillId="56" borderId="0" xfId="1" applyFont="1" applyFill="1" applyAlignment="1"/>
    <xf numFmtId="165" fontId="1" fillId="3" borderId="0" xfId="1" applyFont="1" applyFill="1" applyBorder="1" applyAlignment="1">
      <alignment horizontal="center"/>
    </xf>
    <xf numFmtId="15" fontId="1" fillId="0" borderId="0" xfId="0" applyNumberFormat="1" applyFont="1" applyAlignment="1">
      <alignment horizontal="center"/>
    </xf>
    <xf numFmtId="165" fontId="0" fillId="21" borderId="0" xfId="1" applyFont="1" applyFill="1" applyBorder="1" applyAlignment="1">
      <alignment horizontal="center"/>
    </xf>
    <xf numFmtId="0" fontId="15" fillId="0" borderId="0" xfId="0" applyFont="1" applyAlignment="1">
      <alignment horizontal="left"/>
    </xf>
    <xf numFmtId="165" fontId="6" fillId="21" borderId="0" xfId="1" applyFont="1" applyFill="1"/>
    <xf numFmtId="165" fontId="0" fillId="21" borderId="0" xfId="1" applyFont="1" applyFill="1" applyBorder="1" applyAlignment="1">
      <alignment horizontal="left"/>
    </xf>
    <xf numFmtId="174" fontId="1" fillId="4" borderId="5" xfId="0" applyNumberFormat="1" applyFont="1" applyFill="1" applyBorder="1" applyAlignment="1">
      <alignment horizontal="center"/>
    </xf>
    <xf numFmtId="0" fontId="0" fillId="4" borderId="0" xfId="0" applyFill="1" applyProtection="1">
      <protection locked="0"/>
    </xf>
    <xf numFmtId="174" fontId="1" fillId="4" borderId="0" xfId="0" applyNumberFormat="1" applyFont="1" applyFill="1" applyAlignment="1">
      <alignment horizontal="center"/>
    </xf>
    <xf numFmtId="174" fontId="0" fillId="54" borderId="5" xfId="0" applyNumberFormat="1" applyFill="1" applyBorder="1" applyAlignment="1">
      <alignment horizontal="center"/>
    </xf>
    <xf numFmtId="0" fontId="0" fillId="0" borderId="0" xfId="0" applyAlignment="1" applyProtection="1">
      <alignment horizontal="center"/>
      <protection locked="0"/>
    </xf>
    <xf numFmtId="165" fontId="12" fillId="2" borderId="10" xfId="1" applyFont="1" applyFill="1" applyBorder="1"/>
    <xf numFmtId="174" fontId="1" fillId="0" borderId="5" xfId="0" applyNumberFormat="1" applyFont="1" applyBorder="1" applyAlignment="1">
      <alignment horizontal="center"/>
    </xf>
    <xf numFmtId="0" fontId="1" fillId="0" borderId="5" xfId="0" applyFont="1" applyBorder="1" applyAlignment="1">
      <alignment horizontal="left"/>
    </xf>
    <xf numFmtId="165" fontId="1" fillId="0" borderId="5" xfId="1" applyFont="1" applyFill="1" applyBorder="1" applyAlignment="1">
      <alignment horizontal="center"/>
    </xf>
    <xf numFmtId="174" fontId="1" fillId="0" borderId="11" xfId="0" applyNumberFormat="1" applyFont="1" applyBorder="1" applyAlignment="1">
      <alignment horizontal="center"/>
    </xf>
    <xf numFmtId="0" fontId="0" fillId="42" borderId="0" xfId="0" quotePrefix="1" applyFill="1" applyAlignment="1">
      <alignment horizontal="center"/>
    </xf>
    <xf numFmtId="0" fontId="0" fillId="42" borderId="0" xfId="0" applyFill="1"/>
    <xf numFmtId="0" fontId="0" fillId="42" borderId="0" xfId="0" applyFill="1" applyAlignment="1">
      <alignment horizontal="center"/>
    </xf>
    <xf numFmtId="165" fontId="0" fillId="42" borderId="0" xfId="1" applyFont="1" applyFill="1" applyBorder="1" applyAlignment="1">
      <alignment horizontal="center"/>
    </xf>
    <xf numFmtId="20" fontId="0" fillId="42" borderId="0" xfId="0" applyNumberFormat="1" applyFill="1" applyAlignment="1">
      <alignment horizontal="left"/>
    </xf>
    <xf numFmtId="0" fontId="0" fillId="42" borderId="0" xfId="0" applyFill="1" applyAlignment="1">
      <alignment horizontal="left"/>
    </xf>
    <xf numFmtId="174" fontId="7" fillId="0" borderId="5" xfId="0" applyNumberFormat="1" applyFont="1" applyBorder="1" applyAlignment="1">
      <alignment horizontal="center"/>
    </xf>
    <xf numFmtId="173" fontId="2" fillId="0" borderId="0" xfId="1" applyNumberFormat="1" applyFont="1" applyFill="1" applyBorder="1"/>
    <xf numFmtId="165" fontId="0" fillId="4" borderId="0" xfId="1" applyFont="1" applyFill="1" applyAlignment="1">
      <alignment horizontal="center"/>
    </xf>
    <xf numFmtId="174" fontId="0" fillId="0" borderId="11" xfId="0" applyNumberFormat="1" applyBorder="1" applyAlignment="1">
      <alignment horizontal="left"/>
    </xf>
    <xf numFmtId="165" fontId="0" fillId="58" borderId="0" xfId="1" applyFont="1" applyFill="1" applyBorder="1" applyAlignment="1">
      <alignment horizontal="center"/>
    </xf>
    <xf numFmtId="166" fontId="0" fillId="58" borderId="0" xfId="0" applyNumberFormat="1" applyFill="1"/>
    <xf numFmtId="14" fontId="2" fillId="0" borderId="0" xfId="0" applyNumberFormat="1" applyFont="1" applyAlignment="1">
      <alignment horizontal="left" vertical="center"/>
    </xf>
    <xf numFmtId="174" fontId="0" fillId="4" borderId="0" xfId="0" applyNumberFormat="1" applyFill="1" applyAlignment="1">
      <alignment horizontal="left"/>
    </xf>
    <xf numFmtId="165" fontId="12" fillId="0" borderId="0" xfId="1" applyFont="1" applyFill="1" applyBorder="1" applyAlignment="1">
      <alignment horizontal="center"/>
    </xf>
    <xf numFmtId="0" fontId="0" fillId="0" borderId="0" xfId="0" applyAlignment="1" applyProtection="1">
      <alignment wrapText="1"/>
      <protection locked="0"/>
    </xf>
    <xf numFmtId="0" fontId="0" fillId="3" borderId="0" xfId="0" applyFill="1" applyProtection="1">
      <protection locked="0"/>
    </xf>
    <xf numFmtId="0" fontId="0" fillId="56" borderId="0" xfId="0" applyFill="1" applyAlignment="1" applyProtection="1">
      <alignment horizontal="center"/>
      <protection locked="0"/>
    </xf>
    <xf numFmtId="165" fontId="1" fillId="56" borderId="0" xfId="1" applyFont="1" applyFill="1"/>
    <xf numFmtId="165" fontId="6" fillId="56" borderId="0" xfId="1" applyFont="1" applyFill="1" applyAlignment="1">
      <alignment horizontal="center"/>
    </xf>
    <xf numFmtId="165" fontId="1" fillId="56" borderId="0" xfId="1" applyFont="1" applyFill="1" applyBorder="1" applyAlignment="1">
      <alignment horizontal="center"/>
    </xf>
    <xf numFmtId="0" fontId="0" fillId="59" borderId="0" xfId="0" quotePrefix="1" applyFill="1" applyAlignment="1">
      <alignment horizontal="center"/>
    </xf>
    <xf numFmtId="0" fontId="0" fillId="59" borderId="0" xfId="0" applyFill="1"/>
    <xf numFmtId="0" fontId="0" fillId="59" borderId="0" xfId="0" applyFill="1" applyAlignment="1">
      <alignment horizontal="center"/>
    </xf>
    <xf numFmtId="174" fontId="0" fillId="59" borderId="0" xfId="0" applyNumberFormat="1" applyFill="1" applyAlignment="1">
      <alignment horizontal="center"/>
    </xf>
    <xf numFmtId="165" fontId="0" fillId="59" borderId="0" xfId="1" applyFont="1" applyFill="1"/>
    <xf numFmtId="165" fontId="0" fillId="59" borderId="0" xfId="1" applyFont="1" applyFill="1" applyAlignment="1">
      <alignment horizontal="center"/>
    </xf>
    <xf numFmtId="165" fontId="0" fillId="59" borderId="0" xfId="1" applyFont="1" applyFill="1" applyBorder="1" applyAlignment="1">
      <alignment horizontal="center"/>
    </xf>
    <xf numFmtId="20" fontId="0" fillId="59" borderId="0" xfId="0" applyNumberFormat="1" applyFill="1" applyAlignment="1">
      <alignment horizontal="left"/>
    </xf>
    <xf numFmtId="15" fontId="0" fillId="3" borderId="0" xfId="0" applyNumberFormat="1" applyFill="1" applyAlignment="1">
      <alignment horizontal="center"/>
    </xf>
    <xf numFmtId="165" fontId="0" fillId="19" borderId="0" xfId="1" applyFont="1" applyFill="1" applyBorder="1" applyAlignment="1">
      <alignment horizontal="center"/>
    </xf>
    <xf numFmtId="165" fontId="0" fillId="7" borderId="0" xfId="1" applyFont="1" applyFill="1" applyBorder="1" applyAlignment="1">
      <alignment horizontal="center"/>
    </xf>
    <xf numFmtId="0" fontId="0" fillId="19" borderId="0" xfId="0" applyFill="1" applyAlignment="1">
      <alignment horizontal="left"/>
    </xf>
    <xf numFmtId="0" fontId="7" fillId="42" borderId="0" xfId="0" applyFont="1" applyFill="1"/>
    <xf numFmtId="0" fontId="7" fillId="7" borderId="0" xfId="0" applyFont="1" applyFill="1"/>
    <xf numFmtId="0" fontId="7" fillId="7" borderId="0" xfId="0" applyFont="1" applyFill="1" applyAlignment="1">
      <alignment horizontal="center"/>
    </xf>
    <xf numFmtId="174" fontId="7" fillId="7" borderId="0" xfId="0" applyNumberFormat="1" applyFont="1" applyFill="1" applyAlignment="1">
      <alignment horizontal="center"/>
    </xf>
    <xf numFmtId="165" fontId="7" fillId="7" borderId="0" xfId="1" applyFont="1" applyFill="1" applyBorder="1" applyAlignment="1">
      <alignment horizontal="center"/>
    </xf>
    <xf numFmtId="176" fontId="0" fillId="0" borderId="0" xfId="1" applyNumberFormat="1" applyFont="1" applyFill="1"/>
    <xf numFmtId="165" fontId="15" fillId="0" borderId="0" xfId="1" applyFont="1" applyFill="1" applyBorder="1" applyAlignment="1">
      <alignment horizontal="center"/>
    </xf>
    <xf numFmtId="4" fontId="0" fillId="0" borderId="0" xfId="0" applyNumberFormat="1" applyAlignment="1">
      <alignment horizontal="left"/>
    </xf>
    <xf numFmtId="0" fontId="1" fillId="0" borderId="0" xfId="0" applyFont="1" applyAlignment="1">
      <alignment horizontal="center" wrapText="1"/>
    </xf>
    <xf numFmtId="165" fontId="0" fillId="2" borderId="11" xfId="1" applyFont="1" applyFill="1" applyBorder="1" applyAlignment="1">
      <alignment horizontal="center"/>
    </xf>
    <xf numFmtId="0" fontId="0" fillId="7" borderId="0" xfId="0" applyFill="1" applyProtection="1">
      <protection locked="0"/>
    </xf>
    <xf numFmtId="0" fontId="1" fillId="0" borderId="0" xfId="1" applyNumberFormat="1" applyFont="1"/>
    <xf numFmtId="0" fontId="0" fillId="58" borderId="0" xfId="0" applyFill="1" applyProtection="1">
      <protection locked="0"/>
    </xf>
    <xf numFmtId="165" fontId="0" fillId="42" borderId="0" xfId="1" applyFont="1" applyFill="1"/>
    <xf numFmtId="0" fontId="1" fillId="56" borderId="0" xfId="0" applyFont="1" applyFill="1" applyProtection="1">
      <protection locked="0"/>
    </xf>
    <xf numFmtId="176" fontId="0" fillId="2" borderId="0" xfId="1" applyNumberFormat="1" applyFont="1" applyFill="1"/>
    <xf numFmtId="176" fontId="0" fillId="56" borderId="0" xfId="1" applyNumberFormat="1" applyFont="1" applyFill="1"/>
    <xf numFmtId="165" fontId="0" fillId="58" borderId="0" xfId="1" applyFont="1" applyFill="1" applyAlignment="1">
      <alignment horizontal="center"/>
    </xf>
    <xf numFmtId="165" fontId="2" fillId="56" borderId="10" xfId="1" applyFont="1" applyFill="1" applyBorder="1"/>
    <xf numFmtId="0" fontId="1" fillId="0" borderId="0" xfId="0" applyFont="1" applyProtection="1">
      <protection locked="0"/>
    </xf>
    <xf numFmtId="176" fontId="0" fillId="3" borderId="0" xfId="1" applyNumberFormat="1" applyFont="1" applyFill="1"/>
    <xf numFmtId="0" fontId="0" fillId="21" borderId="0" xfId="0" applyFill="1" applyProtection="1">
      <protection locked="0"/>
    </xf>
    <xf numFmtId="0" fontId="0" fillId="60" borderId="0" xfId="0" applyFill="1"/>
    <xf numFmtId="0" fontId="0" fillId="61" borderId="0" xfId="0" quotePrefix="1" applyFill="1" applyAlignment="1">
      <alignment horizontal="center"/>
    </xf>
    <xf numFmtId="0" fontId="0" fillId="61" borderId="0" xfId="0" applyFill="1"/>
    <xf numFmtId="0" fontId="0" fillId="61" borderId="0" xfId="0" applyFill="1" applyAlignment="1">
      <alignment horizontal="center"/>
    </xf>
    <xf numFmtId="174" fontId="0" fillId="61" borderId="0" xfId="0" applyNumberFormat="1" applyFill="1" applyAlignment="1">
      <alignment horizontal="center"/>
    </xf>
    <xf numFmtId="165" fontId="0" fillId="61" borderId="0" xfId="1" applyFont="1" applyFill="1" applyBorder="1" applyAlignment="1">
      <alignment horizontal="center"/>
    </xf>
    <xf numFmtId="20" fontId="0" fillId="61" borderId="0" xfId="0" applyNumberFormat="1" applyFill="1" applyAlignment="1">
      <alignment horizontal="left"/>
    </xf>
    <xf numFmtId="173" fontId="15" fillId="18" borderId="5" xfId="1" applyNumberFormat="1" applyFont="1" applyFill="1" applyBorder="1" applyAlignment="1">
      <alignment horizontal="center"/>
    </xf>
    <xf numFmtId="0" fontId="0" fillId="0" borderId="0" xfId="0" applyAlignment="1" applyProtection="1">
      <alignment horizontal="left"/>
      <protection locked="0"/>
    </xf>
    <xf numFmtId="165" fontId="12" fillId="0" borderId="0" xfId="1" applyFont="1" applyAlignment="1">
      <alignment horizontal="center"/>
    </xf>
    <xf numFmtId="174" fontId="0" fillId="3" borderId="0" xfId="0" applyNumberFormat="1" applyFill="1" applyAlignment="1">
      <alignment horizontal="left"/>
    </xf>
    <xf numFmtId="174" fontId="0" fillId="61" borderId="0" xfId="0" applyNumberFormat="1" applyFill="1" applyAlignment="1">
      <alignment horizontal="left"/>
    </xf>
    <xf numFmtId="0" fontId="0" fillId="61" borderId="0" xfId="0" applyFill="1" applyAlignment="1">
      <alignment horizontal="left"/>
    </xf>
    <xf numFmtId="165" fontId="0" fillId="61" borderId="0" xfId="1" applyFont="1" applyFill="1"/>
    <xf numFmtId="0" fontId="0" fillId="61" borderId="0" xfId="0" applyFill="1" applyProtection="1">
      <protection locked="0"/>
    </xf>
    <xf numFmtId="165" fontId="0" fillId="61" borderId="0" xfId="1" applyFont="1" applyFill="1" applyAlignment="1">
      <alignment horizontal="center"/>
    </xf>
    <xf numFmtId="176" fontId="1" fillId="0" borderId="0" xfId="1" applyNumberFormat="1" applyFont="1" applyFill="1"/>
    <xf numFmtId="165" fontId="1" fillId="0" borderId="0" xfId="1" applyFont="1" applyFill="1" applyBorder="1" applyAlignment="1">
      <alignment horizontal="center"/>
    </xf>
    <xf numFmtId="165" fontId="0" fillId="12" borderId="0" xfId="1" applyFont="1" applyFill="1" applyAlignment="1">
      <alignment horizontal="left"/>
    </xf>
    <xf numFmtId="165" fontId="0" fillId="13" borderId="0" xfId="1" applyFont="1" applyFill="1" applyAlignment="1">
      <alignment horizontal="left"/>
    </xf>
    <xf numFmtId="165" fontId="0" fillId="0" borderId="0" xfId="1" applyFont="1" applyAlignment="1">
      <alignment horizontal="left" vertical="center"/>
    </xf>
    <xf numFmtId="165" fontId="15" fillId="18" borderId="0" xfId="1" applyFont="1" applyFill="1" applyAlignment="1">
      <alignment horizontal="left"/>
    </xf>
    <xf numFmtId="165" fontId="0" fillId="0" borderId="22" xfId="1" applyFont="1" applyBorder="1" applyAlignment="1">
      <alignment horizontal="left" wrapText="1"/>
    </xf>
    <xf numFmtId="165" fontId="0" fillId="42" borderId="0" xfId="1" applyFont="1" applyFill="1" applyBorder="1" applyAlignment="1">
      <alignment horizontal="left"/>
    </xf>
    <xf numFmtId="174" fontId="0" fillId="2" borderId="11" xfId="0" applyNumberFormat="1" applyFill="1" applyBorder="1" applyAlignment="1">
      <alignment horizontal="left"/>
    </xf>
    <xf numFmtId="9" fontId="0" fillId="0" borderId="30" xfId="3" applyFont="1" applyFill="1" applyBorder="1" applyAlignment="1">
      <alignment horizontal="left"/>
    </xf>
    <xf numFmtId="174" fontId="1" fillId="0" borderId="11" xfId="0" applyNumberFormat="1" applyFont="1" applyBorder="1" applyAlignment="1">
      <alignment horizontal="left"/>
    </xf>
    <xf numFmtId="0" fontId="7" fillId="0" borderId="0" xfId="0" applyFont="1" applyProtection="1">
      <protection locked="0"/>
    </xf>
    <xf numFmtId="0" fontId="0" fillId="62" borderId="0" xfId="0" quotePrefix="1" applyFill="1" applyAlignment="1">
      <alignment horizontal="center"/>
    </xf>
    <xf numFmtId="0" fontId="0" fillId="62" borderId="0" xfId="0" applyFill="1"/>
    <xf numFmtId="0" fontId="0" fillId="62" borderId="0" xfId="0" applyFill="1" applyAlignment="1">
      <alignment horizontal="center"/>
    </xf>
    <xf numFmtId="174" fontId="0" fillId="62" borderId="0" xfId="0" applyNumberFormat="1" applyFill="1" applyAlignment="1">
      <alignment horizontal="left"/>
    </xf>
    <xf numFmtId="0" fontId="0" fillId="62" borderId="0" xfId="0" applyFill="1" applyProtection="1">
      <protection locked="0"/>
    </xf>
    <xf numFmtId="165" fontId="0" fillId="62" borderId="0" xfId="1" applyFont="1" applyFill="1" applyAlignment="1">
      <alignment horizontal="center"/>
    </xf>
    <xf numFmtId="165" fontId="0" fillId="62" borderId="0" xfId="1" applyFont="1" applyFill="1"/>
    <xf numFmtId="20" fontId="0" fillId="62" borderId="0" xfId="0" applyNumberFormat="1" applyFill="1" applyAlignment="1">
      <alignment horizontal="left"/>
    </xf>
    <xf numFmtId="165" fontId="0" fillId="62" borderId="0" xfId="1" applyFont="1" applyFill="1" applyBorder="1" applyAlignment="1">
      <alignment horizontal="center"/>
    </xf>
    <xf numFmtId="3" fontId="7" fillId="0" borderId="0" xfId="0" applyNumberFormat="1" applyFont="1" applyAlignment="1">
      <alignment horizontal="left"/>
    </xf>
    <xf numFmtId="165" fontId="0" fillId="0" borderId="36" xfId="1" applyFont="1" applyFill="1" applyBorder="1"/>
    <xf numFmtId="165" fontId="0" fillId="0" borderId="38" xfId="1" applyFont="1" applyFill="1" applyBorder="1" applyAlignment="1">
      <alignment horizontal="center"/>
    </xf>
    <xf numFmtId="176" fontId="0" fillId="58" borderId="0" xfId="1" applyNumberFormat="1" applyFont="1" applyFill="1"/>
    <xf numFmtId="165" fontId="0" fillId="58" borderId="0" xfId="1" applyFont="1" applyFill="1"/>
    <xf numFmtId="174" fontId="0" fillId="6" borderId="0" xfId="0" applyNumberFormat="1" applyFill="1" applyAlignment="1">
      <alignment horizontal="left"/>
    </xf>
    <xf numFmtId="0" fontId="0" fillId="6" borderId="0" xfId="0" applyFill="1" applyProtection="1">
      <protection locked="0"/>
    </xf>
    <xf numFmtId="174" fontId="0" fillId="23" borderId="0" xfId="0" applyNumberFormat="1" applyFill="1"/>
    <xf numFmtId="0" fontId="0" fillId="63" borderId="0" xfId="0" applyFill="1"/>
    <xf numFmtId="0" fontId="0" fillId="63" borderId="0" xfId="0" quotePrefix="1" applyFill="1" applyAlignment="1">
      <alignment horizontal="center"/>
    </xf>
    <xf numFmtId="0" fontId="0" fillId="63" borderId="0" xfId="0" applyFill="1" applyAlignment="1">
      <alignment horizontal="center"/>
    </xf>
    <xf numFmtId="174" fontId="0" fillId="63" borderId="0" xfId="0" applyNumberFormat="1" applyFill="1" applyAlignment="1">
      <alignment horizontal="center"/>
    </xf>
    <xf numFmtId="0" fontId="0" fillId="63" borderId="0" xfId="0" applyFill="1" applyProtection="1">
      <protection locked="0"/>
    </xf>
    <xf numFmtId="176" fontId="0" fillId="63" borderId="0" xfId="1" applyNumberFormat="1" applyFont="1" applyFill="1"/>
    <xf numFmtId="165" fontId="0" fillId="63" borderId="0" xfId="1" applyFont="1" applyFill="1"/>
    <xf numFmtId="165" fontId="0" fillId="63" borderId="0" xfId="1" applyFont="1" applyFill="1" applyBorder="1" applyAlignment="1">
      <alignment horizontal="center"/>
    </xf>
    <xf numFmtId="20" fontId="0" fillId="63" borderId="0" xfId="0" applyNumberFormat="1" applyFill="1" applyAlignment="1">
      <alignment horizontal="left"/>
    </xf>
    <xf numFmtId="0" fontId="1" fillId="63" borderId="0" xfId="0" quotePrefix="1" applyFont="1" applyFill="1" applyAlignment="1">
      <alignment horizontal="center"/>
    </xf>
    <xf numFmtId="0" fontId="1" fillId="63" borderId="0" xfId="0" applyFont="1" applyFill="1"/>
    <xf numFmtId="0" fontId="1" fillId="63" borderId="0" xfId="0" applyFont="1" applyFill="1" applyAlignment="1">
      <alignment horizontal="center"/>
    </xf>
    <xf numFmtId="174" fontId="1" fillId="63" borderId="0" xfId="0" applyNumberFormat="1" applyFont="1" applyFill="1" applyAlignment="1">
      <alignment horizontal="center"/>
    </xf>
    <xf numFmtId="0" fontId="1" fillId="63" borderId="0" xfId="0" applyFont="1" applyFill="1" applyProtection="1">
      <protection locked="0"/>
    </xf>
    <xf numFmtId="176" fontId="1" fillId="63" borderId="0" xfId="1" applyNumberFormat="1" applyFont="1" applyFill="1"/>
    <xf numFmtId="165" fontId="1" fillId="63" borderId="0" xfId="1" applyFont="1" applyFill="1"/>
    <xf numFmtId="165" fontId="1" fillId="63" borderId="0" xfId="1" applyFont="1" applyFill="1" applyBorder="1" applyAlignment="1">
      <alignment horizontal="center"/>
    </xf>
    <xf numFmtId="20" fontId="1" fillId="63" borderId="0" xfId="0" applyNumberFormat="1" applyFont="1" applyFill="1" applyAlignment="1">
      <alignment horizontal="left"/>
    </xf>
    <xf numFmtId="0" fontId="0" fillId="8" borderId="0" xfId="0" applyFill="1" applyProtection="1">
      <protection locked="0"/>
    </xf>
    <xf numFmtId="0" fontId="0" fillId="61" borderId="0" xfId="0" quotePrefix="1" applyFill="1"/>
    <xf numFmtId="165" fontId="6" fillId="56" borderId="0" xfId="1" applyFont="1" applyFill="1" applyBorder="1"/>
    <xf numFmtId="165" fontId="2" fillId="56" borderId="0" xfId="1" applyFont="1" applyFill="1" applyBorder="1"/>
    <xf numFmtId="0" fontId="1" fillId="2" borderId="0" xfId="0" applyFont="1" applyFill="1" applyProtection="1">
      <protection locked="0"/>
    </xf>
    <xf numFmtId="0" fontId="0" fillId="0" borderId="5" xfId="0" applyBorder="1" applyAlignment="1">
      <alignment horizontal="right"/>
    </xf>
    <xf numFmtId="173" fontId="0" fillId="0" borderId="5" xfId="1" applyNumberFormat="1" applyFont="1" applyBorder="1" applyAlignment="1">
      <alignment horizontal="right" vertical="center"/>
    </xf>
    <xf numFmtId="165" fontId="15" fillId="18" borderId="5" xfId="1" applyFont="1" applyFill="1" applyBorder="1"/>
    <xf numFmtId="165" fontId="2" fillId="0" borderId="5" xfId="1" applyFont="1" applyBorder="1"/>
    <xf numFmtId="173" fontId="18" fillId="18" borderId="5" xfId="1" applyNumberFormat="1" applyFont="1" applyFill="1" applyBorder="1" applyAlignment="1">
      <alignment vertical="center"/>
    </xf>
    <xf numFmtId="165" fontId="15" fillId="18" borderId="5" xfId="1" applyFont="1" applyFill="1" applyBorder="1" applyAlignment="1">
      <alignment horizontal="center"/>
    </xf>
    <xf numFmtId="173" fontId="1" fillId="2" borderId="0" xfId="1" applyNumberFormat="1" applyFont="1" applyFill="1"/>
    <xf numFmtId="173" fontId="1" fillId="2" borderId="0" xfId="1" applyNumberFormat="1" applyFont="1" applyFill="1" applyAlignment="1">
      <alignment vertical="center"/>
    </xf>
    <xf numFmtId="0" fontId="0" fillId="0" borderId="1" xfId="0" applyBorder="1"/>
    <xf numFmtId="0" fontId="0" fillId="0" borderId="2" xfId="0" applyBorder="1"/>
    <xf numFmtId="0" fontId="0" fillId="0" borderId="3" xfId="0" applyBorder="1"/>
    <xf numFmtId="16" fontId="0" fillId="61" borderId="0" xfId="0" applyNumberFormat="1" applyFill="1"/>
    <xf numFmtId="165" fontId="0" fillId="0" borderId="6" xfId="1" applyFont="1" applyFill="1" applyBorder="1" applyAlignment="1">
      <alignment horizontal="center"/>
    </xf>
    <xf numFmtId="0" fontId="1" fillId="3" borderId="0" xfId="0" applyFont="1" applyFill="1" applyProtection="1">
      <protection locked="0"/>
    </xf>
    <xf numFmtId="165" fontId="6" fillId="3" borderId="0" xfId="1" applyFont="1" applyFill="1" applyBorder="1"/>
    <xf numFmtId="165" fontId="2" fillId="3" borderId="0" xfId="1" applyFont="1" applyFill="1" applyBorder="1"/>
    <xf numFmtId="0" fontId="0" fillId="22" borderId="0" xfId="0" quotePrefix="1" applyFill="1" applyAlignment="1">
      <alignment horizontal="center"/>
    </xf>
    <xf numFmtId="0" fontId="0" fillId="22" borderId="0" xfId="0" applyFill="1" applyProtection="1">
      <protection locked="0"/>
    </xf>
    <xf numFmtId="165" fontId="0" fillId="22" borderId="0" xfId="1" applyFont="1" applyFill="1" applyBorder="1" applyAlignment="1">
      <alignment horizontal="center"/>
    </xf>
    <xf numFmtId="165" fontId="1" fillId="56" borderId="0" xfId="1" applyFont="1" applyFill="1" applyAlignment="1">
      <alignment horizontal="center"/>
    </xf>
    <xf numFmtId="175" fontId="0" fillId="56" borderId="0" xfId="0" applyNumberFormat="1" applyFill="1"/>
    <xf numFmtId="165" fontId="6" fillId="4" borderId="0" xfId="1" applyFont="1" applyFill="1" applyBorder="1"/>
    <xf numFmtId="165" fontId="6" fillId="58" borderId="0" xfId="1" applyFont="1" applyFill="1" applyBorder="1"/>
    <xf numFmtId="0" fontId="30" fillId="0" borderId="5" xfId="0" applyFont="1" applyBorder="1" applyAlignment="1">
      <alignment vertical="center" wrapText="1"/>
    </xf>
    <xf numFmtId="14" fontId="2" fillId="0" borderId="5" xfId="0" applyNumberFormat="1" applyFont="1" applyBorder="1" applyAlignment="1">
      <alignment horizontal="center"/>
    </xf>
    <xf numFmtId="0" fontId="31" fillId="0" borderId="5" xfId="0" applyFont="1" applyBorder="1" applyAlignment="1">
      <alignment horizontal="center"/>
    </xf>
    <xf numFmtId="0" fontId="12" fillId="0" borderId="5" xfId="0" applyFont="1" applyBorder="1" applyAlignment="1">
      <alignment horizontal="center"/>
    </xf>
    <xf numFmtId="0" fontId="0" fillId="64" borderId="0" xfId="0" applyFill="1" applyAlignment="1">
      <alignment horizontal="center"/>
    </xf>
    <xf numFmtId="9" fontId="12" fillId="0" borderId="47" xfId="3" applyFont="1" applyBorder="1" applyAlignment="1">
      <alignment horizontal="center"/>
    </xf>
    <xf numFmtId="9" fontId="2" fillId="0" borderId="0" xfId="3" applyFont="1" applyAlignment="1">
      <alignment horizontal="center"/>
    </xf>
    <xf numFmtId="174" fontId="0" fillId="11" borderId="0" xfId="0" applyNumberFormat="1" applyFill="1" applyAlignment="1">
      <alignment horizontal="center"/>
    </xf>
    <xf numFmtId="176" fontId="0" fillId="21" borderId="0" xfId="1" applyNumberFormat="1" applyFont="1" applyFill="1"/>
    <xf numFmtId="0" fontId="2" fillId="0" borderId="0" xfId="1" applyNumberFormat="1" applyFont="1" applyAlignment="1">
      <alignment horizontal="center"/>
    </xf>
    <xf numFmtId="0" fontId="0" fillId="0" borderId="0" xfId="1" applyNumberFormat="1" applyFont="1" applyAlignment="1">
      <alignment wrapText="1"/>
    </xf>
    <xf numFmtId="0" fontId="0" fillId="0" borderId="0" xfId="1" applyNumberFormat="1" applyFont="1" applyFill="1"/>
    <xf numFmtId="10" fontId="0" fillId="0" borderId="11" xfId="3" applyNumberFormat="1" applyFont="1" applyBorder="1" applyAlignment="1">
      <alignment horizontal="center"/>
    </xf>
    <xf numFmtId="176" fontId="0" fillId="8" borderId="0" xfId="1" applyNumberFormat="1" applyFont="1" applyFill="1"/>
    <xf numFmtId="0" fontId="1" fillId="4" borderId="0" xfId="0" quotePrefix="1" applyFont="1" applyFill="1" applyAlignment="1">
      <alignment horizontal="center"/>
    </xf>
    <xf numFmtId="0" fontId="1" fillId="4" borderId="0" xfId="0" applyFont="1" applyFill="1"/>
    <xf numFmtId="0" fontId="1" fillId="4" borderId="0" xfId="0" applyFont="1" applyFill="1" applyAlignment="1">
      <alignment horizontal="center"/>
    </xf>
    <xf numFmtId="0" fontId="1" fillId="4" borderId="0" xfId="0" applyFont="1" applyFill="1" applyProtection="1">
      <protection locked="0"/>
    </xf>
    <xf numFmtId="165" fontId="1" fillId="4" borderId="0" xfId="1" applyFont="1" applyFill="1" applyAlignment="1">
      <alignment horizontal="center"/>
    </xf>
    <xf numFmtId="165" fontId="12" fillId="4" borderId="0" xfId="1" applyFont="1" applyFill="1" applyBorder="1"/>
    <xf numFmtId="165" fontId="1" fillId="4" borderId="0" xfId="1" applyFont="1" applyFill="1"/>
    <xf numFmtId="20" fontId="1" fillId="4" borderId="0" xfId="0" applyNumberFormat="1" applyFont="1" applyFill="1" applyAlignment="1">
      <alignment horizontal="left"/>
    </xf>
    <xf numFmtId="165" fontId="2" fillId="2" borderId="0" xfId="1" applyFont="1" applyFill="1" applyBorder="1" applyAlignment="1">
      <alignment horizontal="center"/>
    </xf>
    <xf numFmtId="165" fontId="2" fillId="3" borderId="0" xfId="1" applyFont="1" applyFill="1" applyBorder="1" applyAlignment="1">
      <alignment horizontal="center"/>
    </xf>
    <xf numFmtId="165" fontId="2" fillId="56" borderId="0" xfId="1" applyFont="1" applyFill="1" applyBorder="1" applyAlignment="1">
      <alignment horizontal="center"/>
    </xf>
    <xf numFmtId="0" fontId="1" fillId="7" borderId="0" xfId="0" applyFont="1" applyFill="1" applyProtection="1">
      <protection locked="0"/>
    </xf>
    <xf numFmtId="165" fontId="1" fillId="7" borderId="0" xfId="1" applyFont="1" applyFill="1"/>
    <xf numFmtId="165" fontId="6" fillId="7" borderId="0" xfId="1" applyFont="1" applyFill="1" applyBorder="1"/>
    <xf numFmtId="165" fontId="2" fillId="7" borderId="0" xfId="1" applyFont="1" applyFill="1" applyBorder="1"/>
    <xf numFmtId="0" fontId="0" fillId="64" borderId="0" xfId="0" applyFill="1" applyProtection="1">
      <protection locked="0"/>
    </xf>
    <xf numFmtId="0" fontId="0" fillId="64" borderId="0" xfId="0" applyFill="1" applyAlignment="1">
      <alignment horizontal="left"/>
    </xf>
    <xf numFmtId="165" fontId="6" fillId="3" borderId="0" xfId="1" applyFont="1" applyFill="1" applyBorder="1" applyAlignment="1">
      <alignment horizontal="center"/>
    </xf>
    <xf numFmtId="165" fontId="6" fillId="2" borderId="0" xfId="1" applyFont="1" applyFill="1" applyBorder="1" applyAlignment="1">
      <alignment horizontal="center"/>
    </xf>
    <xf numFmtId="165" fontId="6" fillId="56" borderId="0" xfId="1" applyFont="1" applyFill="1" applyBorder="1" applyAlignment="1">
      <alignment horizontal="center"/>
    </xf>
    <xf numFmtId="4" fontId="2" fillId="0" borderId="0" xfId="0" applyNumberFormat="1" applyFont="1" applyAlignment="1">
      <alignment horizontal="center"/>
    </xf>
    <xf numFmtId="165" fontId="2" fillId="0" borderId="0" xfId="1" applyFont="1" applyAlignment="1">
      <alignment horizontal="left"/>
    </xf>
    <xf numFmtId="43" fontId="2" fillId="0" borderId="0" xfId="0" applyNumberFormat="1" applyFont="1"/>
    <xf numFmtId="165" fontId="0" fillId="0" borderId="0" xfId="1" applyFont="1" applyProtection="1">
      <protection locked="0"/>
    </xf>
    <xf numFmtId="0" fontId="0" fillId="65" borderId="0" xfId="0" quotePrefix="1" applyFill="1" applyAlignment="1">
      <alignment horizontal="center"/>
    </xf>
    <xf numFmtId="0" fontId="0" fillId="65" borderId="0" xfId="0" applyFill="1"/>
    <xf numFmtId="0" fontId="0" fillId="65" borderId="0" xfId="0" applyFill="1" applyAlignment="1">
      <alignment horizontal="center"/>
    </xf>
    <xf numFmtId="174" fontId="0" fillId="65" borderId="0" xfId="0" applyNumberFormat="1" applyFill="1" applyAlignment="1">
      <alignment horizontal="center"/>
    </xf>
    <xf numFmtId="0" fontId="0" fillId="65" borderId="0" xfId="0" applyFill="1" applyProtection="1">
      <protection locked="0"/>
    </xf>
    <xf numFmtId="165" fontId="0" fillId="65" borderId="0" xfId="1" applyFont="1" applyFill="1"/>
    <xf numFmtId="165" fontId="0" fillId="65" borderId="0" xfId="1" applyFont="1" applyFill="1" applyAlignment="1">
      <alignment horizontal="center"/>
    </xf>
    <xf numFmtId="165" fontId="0" fillId="65" borderId="0" xfId="1" applyFont="1" applyFill="1" applyBorder="1" applyAlignment="1">
      <alignment horizontal="center"/>
    </xf>
    <xf numFmtId="20" fontId="0" fillId="65" borderId="0" xfId="0" applyNumberFormat="1" applyFill="1" applyAlignment="1">
      <alignment horizontal="left"/>
    </xf>
    <xf numFmtId="0" fontId="7" fillId="3" borderId="0" xfId="0" applyFont="1" applyFill="1" applyProtection="1">
      <protection locked="0"/>
    </xf>
    <xf numFmtId="0" fontId="7" fillId="2" borderId="0" xfId="0" applyFont="1" applyFill="1" applyProtection="1">
      <protection locked="0"/>
    </xf>
    <xf numFmtId="0" fontId="7" fillId="56" borderId="0" xfId="0" applyFont="1" applyFill="1" applyProtection="1">
      <protection locked="0"/>
    </xf>
    <xf numFmtId="165" fontId="13" fillId="0" borderId="0" xfId="1" applyFont="1" applyFill="1" applyBorder="1" applyAlignment="1">
      <alignment horizontal="center"/>
    </xf>
    <xf numFmtId="165" fontId="13" fillId="3" borderId="0" xfId="1" applyFont="1" applyFill="1" applyBorder="1" applyAlignment="1">
      <alignment horizontal="center"/>
    </xf>
    <xf numFmtId="165" fontId="13" fillId="56" borderId="0" xfId="1" applyFont="1" applyFill="1" applyBorder="1" applyAlignment="1">
      <alignment horizontal="center"/>
    </xf>
    <xf numFmtId="165" fontId="7" fillId="56" borderId="0" xfId="1" applyFont="1" applyFill="1"/>
    <xf numFmtId="165" fontId="7" fillId="0" borderId="0" xfId="1" applyFont="1" applyFill="1" applyProtection="1">
      <protection locked="0"/>
    </xf>
    <xf numFmtId="185" fontId="18" fillId="0" borderId="0" xfId="0" applyNumberFormat="1" applyFont="1"/>
    <xf numFmtId="165" fontId="2" fillId="8" borderId="0" xfId="0" applyNumberFormat="1" applyFont="1" applyFill="1" applyAlignment="1">
      <alignment horizontal="left"/>
    </xf>
    <xf numFmtId="173" fontId="6" fillId="0" borderId="0" xfId="0" applyNumberFormat="1" applyFont="1" applyAlignment="1">
      <alignment horizontal="left"/>
    </xf>
    <xf numFmtId="0" fontId="6" fillId="0" borderId="0" xfId="0" applyFont="1" applyAlignment="1">
      <alignment horizontal="left"/>
    </xf>
    <xf numFmtId="0" fontId="0" fillId="64" borderId="0" xfId="0" quotePrefix="1" applyFill="1" applyAlignment="1">
      <alignment horizontal="center"/>
    </xf>
    <xf numFmtId="0" fontId="0" fillId="64" borderId="0" xfId="0" applyFill="1"/>
    <xf numFmtId="165" fontId="0" fillId="64" borderId="0" xfId="1" applyFont="1" applyFill="1" applyBorder="1" applyAlignment="1">
      <alignment horizontal="center"/>
    </xf>
    <xf numFmtId="20" fontId="0" fillId="64" borderId="0" xfId="0" applyNumberFormat="1" applyFill="1" applyAlignment="1">
      <alignment horizontal="left"/>
    </xf>
    <xf numFmtId="166" fontId="0" fillId="64" borderId="0" xfId="0" applyNumberFormat="1" applyFill="1"/>
    <xf numFmtId="174" fontId="0" fillId="64" borderId="0" xfId="0" applyNumberFormat="1" applyFill="1" applyAlignment="1">
      <alignment horizontal="center"/>
    </xf>
    <xf numFmtId="0" fontId="1" fillId="8" borderId="0" xfId="0" applyFont="1" applyFill="1" applyProtection="1">
      <protection locked="0"/>
    </xf>
    <xf numFmtId="165" fontId="1" fillId="8" borderId="0" xfId="1" applyFont="1" applyFill="1"/>
    <xf numFmtId="165" fontId="6" fillId="8" borderId="0" xfId="1" applyFont="1" applyFill="1" applyBorder="1"/>
    <xf numFmtId="165" fontId="2" fillId="8" borderId="0" xfId="1" applyFont="1" applyFill="1" applyBorder="1"/>
    <xf numFmtId="9" fontId="1" fillId="0" borderId="0" xfId="3" applyFont="1"/>
    <xf numFmtId="186" fontId="1" fillId="0" borderId="0" xfId="3" applyNumberFormat="1" applyFont="1"/>
    <xf numFmtId="165" fontId="0" fillId="64" borderId="0" xfId="1" applyFont="1" applyFill="1" applyAlignment="1">
      <alignment horizontal="left"/>
    </xf>
    <xf numFmtId="165" fontId="1" fillId="0" borderId="0" xfId="1" applyFont="1" applyProtection="1">
      <protection locked="0"/>
    </xf>
    <xf numFmtId="173" fontId="1" fillId="0" borderId="0" xfId="1" applyNumberFormat="1" applyFont="1" applyProtection="1">
      <protection locked="0"/>
    </xf>
    <xf numFmtId="0" fontId="7" fillId="0" borderId="0" xfId="0" applyFont="1" applyAlignment="1" applyProtection="1">
      <alignment wrapText="1"/>
      <protection locked="0"/>
    </xf>
    <xf numFmtId="0" fontId="19" fillId="0" borderId="0" xfId="0" applyFont="1" applyAlignment="1">
      <alignment vertical="center"/>
    </xf>
    <xf numFmtId="43" fontId="1" fillId="0" borderId="0" xfId="0" applyNumberFormat="1" applyFont="1" applyProtection="1">
      <protection locked="0"/>
    </xf>
    <xf numFmtId="165" fontId="0" fillId="56" borderId="0" xfId="1" applyFont="1" applyFill="1" applyProtection="1">
      <protection locked="0"/>
    </xf>
    <xf numFmtId="165" fontId="0" fillId="3" borderId="0" xfId="1" applyFont="1" applyFill="1" applyProtection="1">
      <protection locked="0"/>
    </xf>
    <xf numFmtId="165" fontId="1" fillId="3" borderId="0" xfId="1" applyFont="1" applyFill="1" applyProtection="1">
      <protection locked="0"/>
    </xf>
    <xf numFmtId="165" fontId="1" fillId="2" borderId="0" xfId="1" applyFont="1" applyFill="1" applyProtection="1">
      <protection locked="0"/>
    </xf>
    <xf numFmtId="0" fontId="0" fillId="66" borderId="0" xfId="0" quotePrefix="1" applyFill="1" applyAlignment="1">
      <alignment horizontal="center"/>
    </xf>
    <xf numFmtId="0" fontId="0" fillId="66" borderId="0" xfId="0" applyFill="1"/>
    <xf numFmtId="174" fontId="0" fillId="66" borderId="0" xfId="0" applyNumberFormat="1" applyFill="1" applyAlignment="1">
      <alignment horizontal="center"/>
    </xf>
    <xf numFmtId="0" fontId="0" fillId="66" borderId="0" xfId="0" applyFill="1" applyAlignment="1">
      <alignment horizontal="center"/>
    </xf>
    <xf numFmtId="0" fontId="0" fillId="66" borderId="0" xfId="0" applyFill="1" applyProtection="1">
      <protection locked="0"/>
    </xf>
    <xf numFmtId="0" fontId="1" fillId="66" borderId="0" xfId="0" applyFont="1" applyFill="1" applyProtection="1">
      <protection locked="0"/>
    </xf>
    <xf numFmtId="165" fontId="1" fillId="66" borderId="0" xfId="1" applyFont="1" applyFill="1"/>
    <xf numFmtId="165" fontId="6" fillId="66" borderId="0" xfId="1" applyFont="1" applyFill="1" applyBorder="1"/>
    <xf numFmtId="165" fontId="2" fillId="66" borderId="0" xfId="1" applyFont="1" applyFill="1" applyBorder="1"/>
    <xf numFmtId="165" fontId="0" fillId="66" borderId="0" xfId="1" applyFont="1" applyFill="1"/>
    <xf numFmtId="20" fontId="0" fillId="66" borderId="0" xfId="0" applyNumberFormat="1" applyFill="1" applyAlignment="1">
      <alignment horizontal="left"/>
    </xf>
    <xf numFmtId="165" fontId="1" fillId="0" borderId="0" xfId="1" applyFont="1" applyFill="1" applyProtection="1">
      <protection locked="0"/>
    </xf>
    <xf numFmtId="186" fontId="1" fillId="0" borderId="0" xfId="3" applyNumberFormat="1" applyFont="1" applyFill="1"/>
    <xf numFmtId="165" fontId="1" fillId="56" borderId="0" xfId="1" applyFont="1" applyFill="1" applyProtection="1">
      <protection locked="0"/>
    </xf>
    <xf numFmtId="165" fontId="7" fillId="56" borderId="0" xfId="1" applyFont="1" applyFill="1" applyAlignment="1">
      <alignment horizontal="center"/>
    </xf>
    <xf numFmtId="186" fontId="1" fillId="56" borderId="0" xfId="3" applyNumberFormat="1" applyFont="1" applyFill="1"/>
    <xf numFmtId="165" fontId="0" fillId="2" borderId="0" xfId="1" applyFont="1" applyFill="1" applyBorder="1" applyAlignment="1">
      <alignment horizontal="left"/>
    </xf>
    <xf numFmtId="165" fontId="6" fillId="2" borderId="0" xfId="1" applyFont="1" applyFill="1" applyBorder="1"/>
    <xf numFmtId="165" fontId="7" fillId="2" borderId="0" xfId="1" applyFont="1" applyFill="1" applyAlignment="1">
      <alignment horizontal="center"/>
    </xf>
    <xf numFmtId="186" fontId="1" fillId="2" borderId="0" xfId="3" applyNumberFormat="1" applyFont="1" applyFill="1"/>
    <xf numFmtId="186" fontId="1" fillId="3" borderId="0" xfId="3" applyNumberFormat="1" applyFont="1" applyFill="1"/>
    <xf numFmtId="165" fontId="6" fillId="56" borderId="0" xfId="1" applyFont="1" applyFill="1" applyProtection="1">
      <protection locked="0"/>
    </xf>
    <xf numFmtId="165" fontId="0" fillId="0" borderId="0" xfId="1" applyFont="1" applyFill="1" applyAlignment="1">
      <alignment wrapText="1"/>
    </xf>
    <xf numFmtId="187" fontId="0" fillId="0" borderId="0" xfId="0" applyNumberFormat="1"/>
    <xf numFmtId="165" fontId="0" fillId="64" borderId="0" xfId="1" applyFont="1" applyFill="1"/>
    <xf numFmtId="165" fontId="6" fillId="0" borderId="0" xfId="1" applyFont="1" applyFill="1" applyProtection="1">
      <protection locked="0"/>
    </xf>
    <xf numFmtId="0" fontId="6" fillId="0" borderId="0" xfId="0" applyFont="1"/>
    <xf numFmtId="165" fontId="0" fillId="0" borderId="0" xfId="1" applyFont="1" applyAlignment="1" applyProtection="1">
      <alignment wrapText="1"/>
      <protection locked="0"/>
    </xf>
    <xf numFmtId="165" fontId="0" fillId="66" borderId="0" xfId="1" applyFont="1" applyFill="1" applyAlignment="1">
      <alignment horizontal="center"/>
    </xf>
    <xf numFmtId="43" fontId="0" fillId="0" borderId="0" xfId="5" applyFont="1"/>
    <xf numFmtId="165" fontId="7" fillId="58" borderId="0" xfId="1" applyFont="1" applyFill="1" applyAlignment="1">
      <alignment horizontal="center"/>
    </xf>
    <xf numFmtId="186" fontId="1" fillId="58" borderId="0" xfId="3" applyNumberFormat="1" applyFont="1" applyFill="1"/>
    <xf numFmtId="165" fontId="1" fillId="58" borderId="0" xfId="1" applyFont="1" applyFill="1" applyProtection="1">
      <protection locked="0"/>
    </xf>
    <xf numFmtId="165" fontId="2" fillId="8" borderId="0" xfId="1" applyFont="1" applyFill="1" applyBorder="1" applyAlignment="1">
      <alignment horizontal="center"/>
    </xf>
    <xf numFmtId="165" fontId="6" fillId="0" borderId="0" xfId="1" applyFont="1" applyFill="1" applyBorder="1" applyAlignment="1">
      <alignment horizontal="left"/>
    </xf>
    <xf numFmtId="0" fontId="1" fillId="0" borderId="0" xfId="1" applyNumberFormat="1" applyFont="1" applyAlignment="1">
      <alignment horizontal="left"/>
    </xf>
    <xf numFmtId="0" fontId="0" fillId="0" borderId="0" xfId="1" applyNumberFormat="1" applyFont="1" applyAlignment="1">
      <alignment horizontal="left"/>
    </xf>
    <xf numFmtId="165" fontId="1" fillId="22" borderId="0" xfId="1" applyFont="1" applyFill="1" applyBorder="1" applyAlignment="1">
      <alignment horizontal="left"/>
    </xf>
    <xf numFmtId="0" fontId="2" fillId="0" borderId="11" xfId="0" applyFont="1" applyBorder="1" applyAlignment="1">
      <alignment horizontal="left"/>
    </xf>
    <xf numFmtId="165" fontId="15" fillId="31" borderId="0" xfId="1" applyFont="1" applyFill="1" applyAlignment="1">
      <alignment horizontal="left"/>
    </xf>
    <xf numFmtId="165" fontId="0" fillId="3" borderId="0" xfId="1" applyFont="1" applyFill="1" applyAlignment="1">
      <alignment horizontal="left"/>
    </xf>
    <xf numFmtId="0" fontId="0" fillId="0" borderId="11" xfId="0" applyBorder="1" applyAlignment="1">
      <alignment horizontal="left"/>
    </xf>
    <xf numFmtId="0" fontId="2" fillId="0" borderId="5" xfId="0" applyFont="1" applyBorder="1" applyAlignment="1">
      <alignment horizontal="left"/>
    </xf>
    <xf numFmtId="165" fontId="0" fillId="0" borderId="5" xfId="1" applyFont="1" applyBorder="1" applyAlignment="1">
      <alignment horizontal="left"/>
    </xf>
    <xf numFmtId="165" fontId="0" fillId="0" borderId="5" xfId="0" applyNumberFormat="1" applyBorder="1" applyAlignment="1">
      <alignment horizontal="left"/>
    </xf>
    <xf numFmtId="165" fontId="15" fillId="31" borderId="5" xfId="1" applyFont="1" applyFill="1" applyBorder="1" applyAlignment="1">
      <alignment horizontal="left"/>
    </xf>
    <xf numFmtId="165" fontId="12" fillId="0" borderId="5" xfId="1" applyFont="1" applyFill="1" applyBorder="1" applyAlignment="1">
      <alignment horizontal="left"/>
    </xf>
    <xf numFmtId="165" fontId="15" fillId="0" borderId="5" xfId="1" applyFont="1" applyFill="1" applyBorder="1" applyAlignment="1">
      <alignment horizontal="left"/>
    </xf>
    <xf numFmtId="165" fontId="15" fillId="0" borderId="0" xfId="1" applyFont="1" applyFill="1" applyBorder="1" applyAlignment="1">
      <alignment horizontal="left"/>
    </xf>
    <xf numFmtId="165" fontId="2" fillId="0" borderId="0" xfId="1" applyFont="1" applyFill="1" applyBorder="1" applyAlignment="1">
      <alignment horizontal="left"/>
    </xf>
    <xf numFmtId="0" fontId="2" fillId="0" borderId="43" xfId="0" applyFont="1" applyBorder="1" applyAlignment="1">
      <alignment horizontal="left"/>
    </xf>
    <xf numFmtId="165" fontId="2" fillId="0" borderId="5" xfId="0" applyNumberFormat="1" applyFont="1" applyBorder="1" applyAlignment="1">
      <alignment horizontal="left"/>
    </xf>
    <xf numFmtId="165" fontId="12" fillId="3" borderId="46" xfId="1" applyFont="1" applyFill="1" applyBorder="1" applyAlignment="1">
      <alignment horizontal="left"/>
    </xf>
    <xf numFmtId="14" fontId="0" fillId="64" borderId="0" xfId="0" applyNumberFormat="1" applyFill="1"/>
    <xf numFmtId="165" fontId="6" fillId="64" borderId="0" xfId="1" applyFont="1" applyFill="1" applyBorder="1"/>
    <xf numFmtId="165" fontId="0" fillId="64" borderId="0" xfId="1" applyFont="1" applyFill="1" applyAlignment="1">
      <alignment horizontal="center"/>
    </xf>
    <xf numFmtId="0" fontId="1" fillId="0" borderId="0" xfId="0" applyFont="1" applyAlignment="1">
      <alignment vertical="center"/>
    </xf>
    <xf numFmtId="165" fontId="1" fillId="0" borderId="0" xfId="1" applyFont="1" applyFill="1" applyBorder="1" applyAlignment="1">
      <alignment horizontal="left"/>
    </xf>
    <xf numFmtId="165" fontId="14" fillId="0" borderId="0" xfId="4" applyNumberFormat="1" applyAlignment="1">
      <alignment vertical="center"/>
    </xf>
    <xf numFmtId="0" fontId="1" fillId="21" borderId="0" xfId="0" applyFont="1" applyFill="1"/>
    <xf numFmtId="0" fontId="1" fillId="21" borderId="0" xfId="0" applyFont="1" applyFill="1" applyProtection="1">
      <protection locked="0"/>
    </xf>
    <xf numFmtId="165" fontId="6" fillId="21" borderId="0" xfId="1" applyFont="1" applyFill="1" applyBorder="1" applyAlignment="1">
      <alignment horizontal="center"/>
    </xf>
    <xf numFmtId="165" fontId="2" fillId="21" borderId="0" xfId="1" applyFont="1" applyFill="1" applyBorder="1" applyAlignment="1">
      <alignment horizontal="center"/>
    </xf>
    <xf numFmtId="166" fontId="0" fillId="11" borderId="0" xfId="0" applyNumberFormat="1" applyFill="1"/>
    <xf numFmtId="165" fontId="0" fillId="2" borderId="0" xfId="1" applyFont="1" applyFill="1" applyProtection="1">
      <protection locked="0"/>
    </xf>
    <xf numFmtId="0" fontId="7" fillId="0" borderId="0" xfId="0" applyFont="1" applyAlignment="1" applyProtection="1">
      <alignment horizontal="center"/>
      <protection locked="0"/>
    </xf>
    <xf numFmtId="0" fontId="7" fillId="8" borderId="0" xfId="0" applyFont="1" applyFill="1" applyProtection="1">
      <protection locked="0"/>
    </xf>
    <xf numFmtId="165" fontId="6" fillId="8" borderId="0" xfId="1" applyFont="1" applyFill="1" applyBorder="1" applyAlignment="1">
      <alignment horizontal="center"/>
    </xf>
    <xf numFmtId="165" fontId="0" fillId="0" borderId="0" xfId="1" applyFont="1" applyFill="1" applyProtection="1">
      <protection locked="0"/>
    </xf>
    <xf numFmtId="165" fontId="7" fillId="64" borderId="0" xfId="1" applyFont="1" applyFill="1" applyAlignment="1">
      <alignment horizontal="center"/>
    </xf>
    <xf numFmtId="186" fontId="1" fillId="64" borderId="0" xfId="3" applyNumberFormat="1" applyFont="1" applyFill="1"/>
    <xf numFmtId="165" fontId="1" fillId="64" borderId="0" xfId="1" applyFont="1" applyFill="1" applyProtection="1">
      <protection locked="0"/>
    </xf>
    <xf numFmtId="186" fontId="7" fillId="56" borderId="0" xfId="3" applyNumberFormat="1" applyFont="1" applyFill="1"/>
    <xf numFmtId="165" fontId="7" fillId="56" borderId="0" xfId="1" applyFont="1" applyFill="1" applyProtection="1">
      <protection locked="0"/>
    </xf>
    <xf numFmtId="165" fontId="0" fillId="2" borderId="5" xfId="1" applyFont="1" applyFill="1" applyBorder="1"/>
    <xf numFmtId="0" fontId="21" fillId="0" borderId="0" xfId="0" applyFont="1" applyAlignment="1">
      <alignment horizontal="center" vertical="center"/>
    </xf>
    <xf numFmtId="174" fontId="0" fillId="3" borderId="0" xfId="0" applyNumberFormat="1" applyFill="1" applyAlignment="1">
      <alignment horizontal="center" vertical="center"/>
    </xf>
    <xf numFmtId="174" fontId="0" fillId="56" borderId="0" xfId="0" applyNumberFormat="1" applyFill="1" applyAlignment="1">
      <alignment horizontal="center" vertical="center"/>
    </xf>
    <xf numFmtId="174" fontId="0" fillId="8" borderId="0" xfId="0" applyNumberFormat="1" applyFill="1" applyAlignment="1">
      <alignment horizontal="center" vertical="center"/>
    </xf>
    <xf numFmtId="174" fontId="0" fillId="66" borderId="0" xfId="0" applyNumberFormat="1" applyFill="1" applyAlignment="1">
      <alignment horizontal="center" vertical="center"/>
    </xf>
    <xf numFmtId="0" fontId="0" fillId="56" borderId="0" xfId="0" applyFill="1" applyAlignment="1">
      <alignment horizontal="center" vertical="center"/>
    </xf>
    <xf numFmtId="0" fontId="0" fillId="58" borderId="0" xfId="0" applyFill="1" applyAlignment="1">
      <alignment horizontal="center" vertical="center"/>
    </xf>
    <xf numFmtId="0" fontId="0" fillId="3" borderId="0" xfId="0" applyFill="1" applyAlignment="1">
      <alignment horizontal="center" vertical="center"/>
    </xf>
    <xf numFmtId="0" fontId="0" fillId="66" borderId="0" xfId="0" applyFill="1" applyAlignment="1">
      <alignment horizontal="center" vertical="center"/>
    </xf>
    <xf numFmtId="0" fontId="1" fillId="4" borderId="0" xfId="0" applyFont="1" applyFill="1" applyAlignment="1">
      <alignment horizontal="center" vertical="center"/>
    </xf>
    <xf numFmtId="0" fontId="1" fillId="0" borderId="0" xfId="0" applyFont="1" applyAlignment="1">
      <alignment horizontal="center" vertical="center"/>
    </xf>
    <xf numFmtId="0" fontId="0" fillId="2" borderId="0" xfId="0" applyFill="1" applyAlignment="1">
      <alignment horizontal="center" vertical="center"/>
    </xf>
    <xf numFmtId="0" fontId="0" fillId="8" borderId="0" xfId="0" applyFill="1" applyAlignment="1">
      <alignment horizontal="center" vertical="center"/>
    </xf>
    <xf numFmtId="0" fontId="0" fillId="21" borderId="0" xfId="0" applyFill="1" applyAlignment="1">
      <alignment horizontal="center" vertical="center"/>
    </xf>
    <xf numFmtId="0" fontId="7" fillId="3" borderId="0" xfId="0" applyFont="1" applyFill="1" applyAlignment="1">
      <alignment horizontal="center" vertical="center"/>
    </xf>
    <xf numFmtId="0" fontId="7" fillId="56" borderId="0" xfId="0" applyFont="1" applyFill="1" applyAlignment="1">
      <alignment horizontal="center" vertical="center"/>
    </xf>
    <xf numFmtId="0" fontId="0" fillId="64" borderId="0" xfId="0" applyFill="1" applyAlignment="1">
      <alignment horizontal="center" vertical="center"/>
    </xf>
    <xf numFmtId="0" fontId="0" fillId="23" borderId="0" xfId="0" applyFill="1" applyAlignment="1">
      <alignment horizontal="center" vertical="center"/>
    </xf>
    <xf numFmtId="0" fontId="0" fillId="7" borderId="0" xfId="0" applyFill="1" applyAlignment="1">
      <alignment horizontal="center" vertical="center"/>
    </xf>
    <xf numFmtId="0" fontId="0" fillId="16" borderId="0" xfId="0" applyFill="1" applyAlignment="1">
      <alignment horizontal="center" vertical="center"/>
    </xf>
    <xf numFmtId="0" fontId="0" fillId="19" borderId="0" xfId="0" applyFill="1" applyAlignment="1">
      <alignment horizontal="center" vertical="center"/>
    </xf>
    <xf numFmtId="0" fontId="0" fillId="20" borderId="0" xfId="0" applyFill="1" applyAlignment="1">
      <alignment horizontal="center" vertical="center"/>
    </xf>
    <xf numFmtId="0" fontId="0" fillId="15" borderId="0" xfId="0" applyFill="1" applyAlignment="1">
      <alignment horizontal="center" vertical="center"/>
    </xf>
    <xf numFmtId="186" fontId="7" fillId="3" borderId="0" xfId="3" applyNumberFormat="1" applyFont="1" applyFill="1"/>
    <xf numFmtId="165" fontId="7" fillId="3" borderId="0" xfId="1" applyFont="1" applyFill="1" applyProtection="1">
      <protection locked="0"/>
    </xf>
    <xf numFmtId="0" fontId="2" fillId="0" borderId="5" xfId="0" applyFont="1" applyBorder="1" applyAlignment="1">
      <alignment horizontal="center" vertical="center"/>
    </xf>
    <xf numFmtId="0" fontId="19" fillId="0" borderId="42" xfId="0" applyFont="1" applyBorder="1" applyAlignment="1">
      <alignment vertical="center"/>
    </xf>
    <xf numFmtId="0" fontId="2" fillId="0" borderId="43" xfId="0" applyFont="1" applyBorder="1" applyAlignment="1">
      <alignment horizontal="center" vertical="center"/>
    </xf>
    <xf numFmtId="178" fontId="2" fillId="0" borderId="44" xfId="0" applyNumberFormat="1" applyFont="1" applyBorder="1"/>
    <xf numFmtId="0" fontId="19" fillId="0" borderId="30" xfId="0" applyFont="1" applyBorder="1" applyAlignment="1">
      <alignment vertical="center"/>
    </xf>
    <xf numFmtId="178" fontId="2" fillId="0" borderId="31" xfId="0" applyNumberFormat="1" applyFont="1" applyBorder="1"/>
    <xf numFmtId="0" fontId="19" fillId="0" borderId="30" xfId="0" applyFont="1" applyBorder="1" applyAlignment="1">
      <alignment horizontal="center" vertical="center"/>
    </xf>
    <xf numFmtId="0" fontId="19" fillId="0" borderId="5" xfId="0" applyFont="1" applyBorder="1" applyAlignment="1">
      <alignment horizontal="center" vertical="center"/>
    </xf>
    <xf numFmtId="0" fontId="19" fillId="0" borderId="31" xfId="0" applyFont="1" applyBorder="1" applyAlignment="1">
      <alignment horizontal="center" vertical="center"/>
    </xf>
    <xf numFmtId="165" fontId="0" fillId="0" borderId="31" xfId="1" applyFont="1" applyBorder="1"/>
    <xf numFmtId="165" fontId="0" fillId="0" borderId="45" xfId="1" applyFont="1" applyBorder="1" applyAlignment="1">
      <alignment horizontal="center"/>
    </xf>
    <xf numFmtId="165" fontId="0" fillId="0" borderId="46" xfId="1" applyFont="1" applyBorder="1"/>
    <xf numFmtId="165" fontId="0" fillId="0" borderId="47" xfId="1" applyFont="1" applyBorder="1"/>
    <xf numFmtId="165" fontId="0" fillId="0" borderId="30" xfId="1" applyFont="1" applyBorder="1"/>
    <xf numFmtId="165" fontId="0" fillId="0" borderId="5" xfId="1" applyFont="1" applyBorder="1" applyAlignment="1">
      <alignment horizontal="center" vertical="center"/>
    </xf>
    <xf numFmtId="165" fontId="0" fillId="0" borderId="45" xfId="1" applyFont="1" applyBorder="1"/>
    <xf numFmtId="165" fontId="0" fillId="0" borderId="46" xfId="1" applyFont="1" applyBorder="1" applyAlignment="1">
      <alignment horizontal="center" vertical="center"/>
    </xf>
    <xf numFmtId="186" fontId="0" fillId="56" borderId="0" xfId="3" applyNumberFormat="1" applyFont="1" applyFill="1"/>
    <xf numFmtId="165" fontId="6" fillId="0" borderId="0" xfId="1" applyFont="1" applyFill="1" applyAlignment="1" applyProtection="1">
      <alignment horizontal="left"/>
      <protection locked="0"/>
    </xf>
    <xf numFmtId="165" fontId="0" fillId="0" borderId="0" xfId="1" applyFont="1" applyFill="1" applyAlignment="1" applyProtection="1">
      <alignment horizontal="left"/>
      <protection locked="0"/>
    </xf>
    <xf numFmtId="165" fontId="6" fillId="4" borderId="0" xfId="1" applyFont="1" applyFill="1" applyProtection="1">
      <protection locked="0"/>
    </xf>
    <xf numFmtId="186" fontId="6" fillId="0" borderId="0" xfId="3" applyNumberFormat="1" applyFont="1" applyFill="1"/>
    <xf numFmtId="165" fontId="21" fillId="0" borderId="0" xfId="1" applyFont="1" applyAlignment="1">
      <alignment horizontal="center"/>
    </xf>
    <xf numFmtId="165" fontId="7" fillId="0" borderId="0" xfId="0" applyNumberFormat="1" applyFont="1"/>
    <xf numFmtId="15" fontId="0" fillId="0" borderId="0" xfId="0" applyNumberFormat="1" applyAlignment="1">
      <alignment horizontal="center" vertical="center"/>
    </xf>
    <xf numFmtId="0" fontId="1" fillId="2" borderId="0" xfId="0" applyFont="1" applyFill="1" applyAlignment="1">
      <alignment horizontal="center" vertical="center"/>
    </xf>
    <xf numFmtId="0" fontId="0" fillId="22" borderId="0" xfId="0" applyFill="1" applyAlignment="1">
      <alignment horizontal="center" vertical="center"/>
    </xf>
    <xf numFmtId="16" fontId="0" fillId="2" borderId="0" xfId="0" quotePrefix="1" applyNumberFormat="1" applyFill="1" applyAlignment="1">
      <alignment horizontal="center"/>
    </xf>
    <xf numFmtId="16" fontId="0" fillId="0" borderId="0" xfId="0" quotePrefix="1" applyNumberFormat="1" applyAlignment="1">
      <alignment horizontal="center"/>
    </xf>
    <xf numFmtId="16" fontId="0" fillId="3" borderId="0" xfId="0" quotePrefix="1" applyNumberFormat="1" applyFill="1" applyAlignment="1">
      <alignment horizontal="center"/>
    </xf>
    <xf numFmtId="16" fontId="0" fillId="56" borderId="0" xfId="0" quotePrefix="1" applyNumberFormat="1" applyFill="1" applyAlignment="1">
      <alignment horizontal="center"/>
    </xf>
    <xf numFmtId="16" fontId="1" fillId="2" borderId="0" xfId="0" quotePrefix="1" applyNumberFormat="1" applyFont="1" applyFill="1" applyAlignment="1">
      <alignment horizontal="center"/>
    </xf>
    <xf numFmtId="165" fontId="12" fillId="2" borderId="0" xfId="1" applyFont="1" applyFill="1" applyBorder="1" applyAlignment="1">
      <alignment horizontal="center"/>
    </xf>
    <xf numFmtId="9" fontId="0" fillId="0" borderId="0" xfId="3" applyFont="1" applyFill="1" applyBorder="1" applyAlignment="1">
      <alignment horizontal="center"/>
    </xf>
    <xf numFmtId="9" fontId="0" fillId="0" borderId="0" xfId="3" applyFont="1" applyFill="1"/>
    <xf numFmtId="173" fontId="6" fillId="2" borderId="0" xfId="1" applyNumberFormat="1" applyFont="1" applyFill="1"/>
    <xf numFmtId="0" fontId="7" fillId="56" borderId="5" xfId="0" applyFont="1" applyFill="1" applyBorder="1" applyAlignment="1">
      <alignment horizontal="center"/>
    </xf>
    <xf numFmtId="0" fontId="0" fillId="56" borderId="5" xfId="0" applyFill="1" applyBorder="1" applyAlignment="1">
      <alignment horizontal="center"/>
    </xf>
    <xf numFmtId="0" fontId="7" fillId="22" borderId="0" xfId="0" applyFont="1" applyFill="1"/>
    <xf numFmtId="165" fontId="7" fillId="22" borderId="0" xfId="1" applyFont="1" applyFill="1" applyAlignment="1">
      <alignment horizontal="center"/>
    </xf>
    <xf numFmtId="186" fontId="1" fillId="22" borderId="0" xfId="3" applyNumberFormat="1" applyFont="1" applyFill="1"/>
    <xf numFmtId="165" fontId="1" fillId="22" borderId="0" xfId="1" applyFont="1" applyFill="1" applyProtection="1">
      <protection locked="0"/>
    </xf>
    <xf numFmtId="165" fontId="7" fillId="66" borderId="0" xfId="1" applyFont="1" applyFill="1" applyAlignment="1">
      <alignment horizontal="center"/>
    </xf>
    <xf numFmtId="186" fontId="1" fillId="66" borderId="0" xfId="3" applyNumberFormat="1" applyFont="1" applyFill="1"/>
    <xf numFmtId="165" fontId="1" fillId="66" borderId="0" xfId="1" applyFont="1" applyFill="1" applyProtection="1">
      <protection locked="0"/>
    </xf>
    <xf numFmtId="165" fontId="0" fillId="66" borderId="0" xfId="1" applyFont="1" applyFill="1" applyBorder="1" applyAlignment="1">
      <alignment horizontal="center"/>
    </xf>
    <xf numFmtId="0" fontId="1" fillId="66" borderId="0" xfId="0" applyFont="1" applyFill="1"/>
    <xf numFmtId="165" fontId="6" fillId="66" borderId="0" xfId="1" applyFont="1" applyFill="1" applyBorder="1" applyAlignment="1">
      <alignment horizontal="center"/>
    </xf>
    <xf numFmtId="165" fontId="2" fillId="66" borderId="0" xfId="1" applyFont="1" applyFill="1" applyBorder="1" applyAlignment="1">
      <alignment horizontal="center"/>
    </xf>
    <xf numFmtId="0" fontId="0" fillId="19" borderId="0" xfId="0" applyFill="1" applyProtection="1">
      <protection locked="0"/>
    </xf>
    <xf numFmtId="165" fontId="2" fillId="19" borderId="0" xfId="1" applyFont="1" applyFill="1" applyBorder="1" applyAlignment="1">
      <alignment horizontal="center"/>
    </xf>
    <xf numFmtId="186" fontId="1" fillId="21" borderId="0" xfId="3" applyNumberFormat="1" applyFont="1" applyFill="1"/>
    <xf numFmtId="165" fontId="1" fillId="21" borderId="0" xfId="1" applyFont="1" applyFill="1" applyProtection="1">
      <protection locked="0"/>
    </xf>
    <xf numFmtId="0" fontId="0" fillId="3" borderId="12" xfId="0" applyFill="1" applyBorder="1" applyAlignment="1">
      <alignment horizontal="center"/>
    </xf>
    <xf numFmtId="0" fontId="7" fillId="0" borderId="0" xfId="0" applyFont="1" applyAlignment="1">
      <alignment horizontal="center" vertical="center"/>
    </xf>
    <xf numFmtId="16" fontId="0" fillId="4" borderId="0" xfId="0" quotePrefix="1" applyNumberFormat="1" applyFill="1" applyAlignment="1">
      <alignment horizontal="center"/>
    </xf>
    <xf numFmtId="0" fontId="0" fillId="4" borderId="0" xfId="0" applyFill="1" applyAlignment="1">
      <alignment horizontal="center" vertical="center"/>
    </xf>
    <xf numFmtId="165" fontId="6" fillId="4" borderId="0" xfId="1" applyFont="1" applyFill="1" applyBorder="1" applyAlignment="1">
      <alignment horizontal="center"/>
    </xf>
    <xf numFmtId="173" fontId="0" fillId="4" borderId="0" xfId="1" applyNumberFormat="1" applyFont="1" applyFill="1" applyAlignment="1">
      <alignment horizontal="center"/>
    </xf>
    <xf numFmtId="15" fontId="0" fillId="0" borderId="0" xfId="0" applyNumberFormat="1"/>
    <xf numFmtId="0" fontId="2" fillId="0" borderId="0" xfId="0" applyFont="1" applyAlignment="1">
      <alignment horizontal="center"/>
    </xf>
    <xf numFmtId="0" fontId="2" fillId="0" borderId="1" xfId="0" quotePrefix="1" applyFont="1" applyBorder="1" applyAlignment="1">
      <alignment horizontal="center"/>
    </xf>
    <xf numFmtId="0" fontId="2" fillId="0" borderId="2" xfId="0" quotePrefix="1" applyFont="1" applyBorder="1" applyAlignment="1">
      <alignment horizontal="center"/>
    </xf>
    <xf numFmtId="0" fontId="2" fillId="0" borderId="3" xfId="0" quotePrefix="1" applyFont="1" applyBorder="1" applyAlignment="1">
      <alignment horizontal="center"/>
    </xf>
    <xf numFmtId="0" fontId="1" fillId="0" borderId="0" xfId="0" applyFont="1" applyAlignment="1">
      <alignment horizontal="center" vertical="center" wrapText="1"/>
    </xf>
    <xf numFmtId="173" fontId="15" fillId="18" borderId="7" xfId="1" applyNumberFormat="1" applyFont="1" applyFill="1" applyBorder="1" applyAlignment="1">
      <alignment horizontal="right"/>
    </xf>
    <xf numFmtId="173" fontId="15" fillId="18" borderId="9" xfId="1" applyNumberFormat="1" applyFont="1" applyFill="1" applyBorder="1" applyAlignment="1">
      <alignment horizontal="right"/>
    </xf>
    <xf numFmtId="0" fontId="2" fillId="0" borderId="1"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7"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left"/>
    </xf>
    <xf numFmtId="16" fontId="0" fillId="0" borderId="19" xfId="0" applyNumberFormat="1" applyBorder="1" applyAlignment="1">
      <alignment horizontal="center" vertical="center"/>
    </xf>
    <xf numFmtId="16" fontId="0" fillId="0" borderId="0" xfId="0" applyNumberFormat="1" applyAlignment="1">
      <alignment horizontal="center" vertical="center"/>
    </xf>
    <xf numFmtId="0" fontId="0" fillId="0" borderId="19" xfId="0" applyBorder="1" applyAlignment="1">
      <alignment horizontal="center" vertical="center"/>
    </xf>
    <xf numFmtId="0" fontId="2" fillId="0" borderId="21" xfId="0" applyFont="1" applyBorder="1" applyAlignment="1">
      <alignment horizontal="center" vertical="center" wrapText="1"/>
    </xf>
    <xf numFmtId="0" fontId="2" fillId="0" borderId="0" xfId="0" applyFont="1" applyAlignment="1">
      <alignment horizontal="center" vertical="center" wrapText="1"/>
    </xf>
    <xf numFmtId="0" fontId="0" fillId="0" borderId="1" xfId="0" applyBorder="1" applyAlignment="1">
      <alignment horizontal="center"/>
    </xf>
    <xf numFmtId="0" fontId="0" fillId="0" borderId="2" xfId="0" applyBorder="1" applyAlignment="1">
      <alignment horizontal="left"/>
    </xf>
    <xf numFmtId="0" fontId="0" fillId="0" borderId="2" xfId="0" applyBorder="1" applyAlignment="1">
      <alignment horizontal="center"/>
    </xf>
    <xf numFmtId="0" fontId="0" fillId="0" borderId="3" xfId="0" applyBorder="1" applyAlignment="1">
      <alignment horizontal="center"/>
    </xf>
    <xf numFmtId="0" fontId="2" fillId="0" borderId="2" xfId="0" applyFont="1" applyBorder="1" applyAlignment="1">
      <alignment horizontal="left"/>
    </xf>
    <xf numFmtId="9" fontId="2" fillId="0" borderId="1" xfId="3" applyFont="1" applyFill="1" applyBorder="1" applyAlignment="1">
      <alignment horizontal="center"/>
    </xf>
    <xf numFmtId="9" fontId="2" fillId="0" borderId="2" xfId="3" applyFont="1" applyFill="1" applyBorder="1" applyAlignment="1">
      <alignment horizontal="left"/>
    </xf>
    <xf numFmtId="9" fontId="2" fillId="0" borderId="2" xfId="3" applyFont="1" applyFill="1" applyBorder="1" applyAlignment="1">
      <alignment horizontal="center"/>
    </xf>
    <xf numFmtId="9" fontId="2" fillId="0" borderId="3" xfId="3" applyFont="1" applyFill="1" applyBorder="1" applyAlignment="1">
      <alignment horizontal="center"/>
    </xf>
    <xf numFmtId="0" fontId="0" fillId="0" borderId="28" xfId="0" applyBorder="1" applyAlignment="1">
      <alignment horizontal="center"/>
    </xf>
    <xf numFmtId="0" fontId="0" fillId="0" borderId="12" xfId="0" applyBorder="1" applyAlignment="1">
      <alignment horizontal="left"/>
    </xf>
    <xf numFmtId="0" fontId="0" fillId="0" borderId="35" xfId="0" applyBorder="1" applyAlignment="1">
      <alignment horizontal="center"/>
    </xf>
    <xf numFmtId="0" fontId="0" fillId="0" borderId="6" xfId="0" applyBorder="1" applyAlignment="1">
      <alignment horizontal="center" vertical="center"/>
    </xf>
    <xf numFmtId="0" fontId="0" fillId="0" borderId="12" xfId="0" applyBorder="1" applyAlignment="1">
      <alignment horizontal="center" vertical="center"/>
    </xf>
    <xf numFmtId="0" fontId="0" fillId="0" borderId="11" xfId="0" applyBorder="1" applyAlignment="1">
      <alignment horizontal="center" vertical="center"/>
    </xf>
    <xf numFmtId="9" fontId="13" fillId="2" borderId="33" xfId="3" applyFont="1" applyFill="1" applyBorder="1" applyAlignment="1">
      <alignment horizontal="center"/>
    </xf>
    <xf numFmtId="9" fontId="13" fillId="2" borderId="34" xfId="3" applyFont="1" applyFill="1" applyBorder="1" applyAlignment="1">
      <alignment horizontal="left"/>
    </xf>
    <xf numFmtId="9" fontId="13" fillId="2" borderId="26" xfId="3" applyFont="1" applyFill="1" applyBorder="1" applyAlignment="1">
      <alignment horizontal="center"/>
    </xf>
    <xf numFmtId="9" fontId="13" fillId="2" borderId="27" xfId="3" applyFont="1" applyFill="1" applyBorder="1" applyAlignment="1">
      <alignment horizontal="center"/>
    </xf>
    <xf numFmtId="2" fontId="0" fillId="0" borderId="19" xfId="0" applyNumberFormat="1" applyBorder="1" applyAlignment="1">
      <alignment horizontal="center"/>
    </xf>
    <xf numFmtId="2" fontId="0" fillId="0" borderId="0" xfId="0" applyNumberFormat="1" applyAlignment="1">
      <alignment horizontal="center"/>
    </xf>
    <xf numFmtId="0" fontId="0" fillId="7" borderId="1" xfId="0" applyFill="1" applyBorder="1" applyAlignment="1">
      <alignment horizontal="center"/>
    </xf>
    <xf numFmtId="0" fontId="0" fillId="7" borderId="2" xfId="0" applyFill="1" applyBorder="1" applyAlignment="1">
      <alignment horizontal="center"/>
    </xf>
    <xf numFmtId="0" fontId="0" fillId="7" borderId="3" xfId="0" applyFill="1" applyBorder="1" applyAlignment="1">
      <alignment horizontal="center"/>
    </xf>
    <xf numFmtId="2" fontId="0" fillId="0" borderId="0" xfId="0" applyNumberFormat="1" applyAlignment="1">
      <alignment horizontal="center" vertical="center"/>
    </xf>
    <xf numFmtId="9" fontId="2" fillId="0" borderId="16" xfId="3" applyFont="1" applyBorder="1" applyAlignment="1">
      <alignment horizontal="center"/>
    </xf>
    <xf numFmtId="9" fontId="2" fillId="0" borderId="17" xfId="3" applyFont="1" applyBorder="1" applyAlignment="1">
      <alignment horizontal="center"/>
    </xf>
    <xf numFmtId="9" fontId="2" fillId="0" borderId="1" xfId="3" applyFont="1" applyBorder="1" applyAlignment="1">
      <alignment horizontal="center"/>
    </xf>
    <xf numFmtId="9" fontId="2" fillId="0" borderId="2" xfId="3" applyFont="1" applyBorder="1" applyAlignment="1">
      <alignment horizontal="center"/>
    </xf>
    <xf numFmtId="9" fontId="2" fillId="0" borderId="3" xfId="3" applyFont="1" applyBorder="1" applyAlignment="1">
      <alignment horizontal="center"/>
    </xf>
    <xf numFmtId="0" fontId="0" fillId="0" borderId="0" xfId="0" applyAlignment="1">
      <alignment horizontal="left" vertical="center"/>
    </xf>
    <xf numFmtId="16" fontId="0" fillId="0" borderId="0" xfId="0" applyNumberFormat="1" applyAlignment="1">
      <alignment horizontal="right" vertic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0" fillId="0" borderId="12" xfId="0" applyBorder="1" applyAlignment="1">
      <alignment horizontal="center"/>
    </xf>
    <xf numFmtId="165" fontId="0" fillId="0" borderId="0" xfId="1" applyFont="1" applyFill="1" applyAlignment="1">
      <alignment horizontal="center" vertical="center"/>
    </xf>
    <xf numFmtId="174" fontId="7" fillId="0" borderId="0" xfId="0" applyNumberFormat="1" applyFont="1" applyAlignment="1">
      <alignment horizontal="center" vertical="center"/>
    </xf>
    <xf numFmtId="0" fontId="2" fillId="7" borderId="1" xfId="0" applyFont="1" applyFill="1" applyBorder="1" applyAlignment="1">
      <alignment horizontal="center"/>
    </xf>
    <xf numFmtId="0" fontId="2" fillId="7" borderId="2" xfId="0" applyFont="1" applyFill="1" applyBorder="1" applyAlignment="1">
      <alignment horizontal="center"/>
    </xf>
    <xf numFmtId="0" fontId="2" fillId="7" borderId="3" xfId="0" applyFont="1" applyFill="1" applyBorder="1" applyAlignment="1">
      <alignment horizontal="center"/>
    </xf>
    <xf numFmtId="165" fontId="2" fillId="0" borderId="16" xfId="1" applyFont="1" applyBorder="1" applyAlignment="1">
      <alignment horizontal="center"/>
    </xf>
    <xf numFmtId="165" fontId="2" fillId="0" borderId="17" xfId="1" applyFont="1" applyBorder="1" applyAlignment="1">
      <alignment horizontal="center"/>
    </xf>
    <xf numFmtId="14" fontId="0" fillId="0" borderId="2" xfId="0" applyNumberFormat="1" applyBorder="1" applyAlignment="1">
      <alignment horizontal="center"/>
    </xf>
    <xf numFmtId="14" fontId="2" fillId="0" borderId="2" xfId="0" applyNumberFormat="1" applyFont="1" applyBorder="1" applyAlignment="1">
      <alignment horizontal="center"/>
    </xf>
    <xf numFmtId="0" fontId="2" fillId="0" borderId="1" xfId="0" applyFont="1" applyBorder="1" applyAlignment="1">
      <alignment horizontal="center" wrapText="1"/>
    </xf>
    <xf numFmtId="0" fontId="2" fillId="0" borderId="2" xfId="0" applyFont="1" applyBorder="1" applyAlignment="1">
      <alignment horizontal="center" wrapText="1"/>
    </xf>
    <xf numFmtId="0" fontId="2" fillId="0" borderId="3" xfId="0" applyFont="1" applyBorder="1" applyAlignment="1">
      <alignment horizontal="center" wrapText="1"/>
    </xf>
    <xf numFmtId="0" fontId="2" fillId="0" borderId="1" xfId="0" applyFont="1" applyBorder="1" applyAlignment="1">
      <alignment horizontal="center" vertical="center" wrapText="1"/>
    </xf>
    <xf numFmtId="0" fontId="2" fillId="0" borderId="2" xfId="0" applyFont="1" applyBorder="1" applyAlignment="1">
      <alignment horizontal="center" vertical="center"/>
    </xf>
    <xf numFmtId="14" fontId="2" fillId="0" borderId="2" xfId="0" applyNumberFormat="1" applyFont="1" applyBorder="1" applyAlignment="1">
      <alignment horizontal="center" vertical="center"/>
    </xf>
    <xf numFmtId="0" fontId="2" fillId="0" borderId="2" xfId="0" applyFont="1" applyBorder="1" applyAlignment="1">
      <alignment vertical="center"/>
    </xf>
    <xf numFmtId="0" fontId="2" fillId="0" borderId="3" xfId="0" applyFont="1" applyBorder="1" applyAlignment="1">
      <alignment horizontal="center" vertical="center"/>
    </xf>
    <xf numFmtId="0" fontId="2" fillId="0" borderId="2" xfId="0" applyFont="1" applyBorder="1" applyAlignment="1">
      <alignment horizontal="center" vertical="center" wrapText="1"/>
    </xf>
    <xf numFmtId="0" fontId="2" fillId="0" borderId="3" xfId="0" applyFont="1" applyBorder="1" applyAlignment="1">
      <alignment horizontal="center" vertical="center" wrapText="1"/>
    </xf>
    <xf numFmtId="174" fontId="0" fillId="0" borderId="0" xfId="0" applyNumberFormat="1" applyAlignment="1">
      <alignment horizontal="center" vertical="center"/>
    </xf>
    <xf numFmtId="0" fontId="2" fillId="0" borderId="0" xfId="0" quotePrefix="1" applyFont="1" applyAlignment="1">
      <alignment horizontal="center"/>
    </xf>
    <xf numFmtId="0" fontId="7" fillId="0" borderId="0" xfId="0" applyFont="1" applyAlignment="1">
      <alignment horizontal="center"/>
    </xf>
    <xf numFmtId="0" fontId="18" fillId="0" borderId="0" xfId="0" applyFont="1" applyAlignment="1">
      <alignment horizontal="center"/>
    </xf>
    <xf numFmtId="0" fontId="2" fillId="0" borderId="4" xfId="0" applyFont="1" applyBorder="1" applyAlignment="1">
      <alignment horizontal="center"/>
    </xf>
    <xf numFmtId="14" fontId="2" fillId="0" borderId="7" xfId="0" applyNumberFormat="1" applyFont="1" applyBorder="1" applyAlignment="1">
      <alignment horizontal="center" vertical="center"/>
    </xf>
    <xf numFmtId="14" fontId="2" fillId="0" borderId="8" xfId="0" applyNumberFormat="1" applyFont="1" applyBorder="1" applyAlignment="1">
      <alignment horizontal="center" vertical="center"/>
    </xf>
    <xf numFmtId="14" fontId="2" fillId="0" borderId="9" xfId="0" applyNumberFormat="1" applyFont="1" applyBorder="1" applyAlignment="1">
      <alignment horizontal="center" vertical="center"/>
    </xf>
    <xf numFmtId="0" fontId="2" fillId="0" borderId="39" xfId="0" applyFont="1" applyBorder="1" applyAlignment="1">
      <alignment horizontal="center"/>
    </xf>
    <xf numFmtId="0" fontId="2" fillId="0" borderId="40" xfId="0" applyFont="1" applyBorder="1" applyAlignment="1">
      <alignment horizontal="center"/>
    </xf>
    <xf numFmtId="0" fontId="2" fillId="0" borderId="41" xfId="0" applyFont="1" applyBorder="1" applyAlignment="1">
      <alignment horizontal="center"/>
    </xf>
    <xf numFmtId="165" fontId="6" fillId="0" borderId="0" xfId="1" applyFont="1" applyFill="1" applyAlignment="1">
      <alignment horizontal="center" vertical="center"/>
    </xf>
    <xf numFmtId="0" fontId="2" fillId="0" borderId="1" xfId="0" applyFont="1" applyBorder="1"/>
    <xf numFmtId="165" fontId="2" fillId="0" borderId="0" xfId="1" applyFont="1" applyAlignment="1">
      <alignment horizontal="center" vertical="center" wrapText="1"/>
    </xf>
    <xf numFmtId="0" fontId="0" fillId="0" borderId="20" xfId="0" applyBorder="1" applyAlignment="1">
      <alignment horizontal="center" vertical="center"/>
    </xf>
    <xf numFmtId="164" fontId="0" fillId="0" borderId="20" xfId="2" applyFont="1" applyBorder="1" applyAlignment="1">
      <alignment horizontal="center" vertical="center"/>
    </xf>
    <xf numFmtId="165" fontId="7" fillId="0" borderId="0" xfId="1" applyFont="1" applyAlignment="1">
      <alignment horizontal="center"/>
    </xf>
    <xf numFmtId="165" fontId="1" fillId="0" borderId="0" xfId="1" applyFont="1" applyAlignment="1">
      <alignment horizontal="center" wrapText="1"/>
    </xf>
    <xf numFmtId="165" fontId="0" fillId="0" borderId="6" xfId="1" applyFont="1" applyBorder="1" applyAlignment="1">
      <alignment horizontal="center" vertical="center"/>
    </xf>
    <xf numFmtId="165" fontId="0" fillId="0" borderId="12" xfId="1" applyFont="1" applyBorder="1" applyAlignment="1">
      <alignment horizontal="center" vertical="center"/>
    </xf>
    <xf numFmtId="165" fontId="0" fillId="0" borderId="11" xfId="1" applyFont="1" applyBorder="1" applyAlignment="1">
      <alignment horizontal="center" vertical="center"/>
    </xf>
    <xf numFmtId="9" fontId="12" fillId="2" borderId="26" xfId="3" applyFont="1" applyFill="1" applyBorder="1" applyAlignment="1">
      <alignment horizontal="center"/>
    </xf>
    <xf numFmtId="9" fontId="12" fillId="2" borderId="27" xfId="3" applyFont="1" applyFill="1" applyBorder="1" applyAlignment="1">
      <alignment horizontal="center"/>
    </xf>
    <xf numFmtId="174" fontId="0" fillId="0" borderId="0" xfId="0" applyNumberFormat="1" applyAlignment="1">
      <alignment horizontal="center"/>
    </xf>
    <xf numFmtId="0" fontId="1" fillId="0" borderId="0" xfId="0" applyFont="1" applyAlignment="1">
      <alignment horizontal="right"/>
    </xf>
    <xf numFmtId="0" fontId="7" fillId="4" borderId="0" xfId="0" applyFont="1" applyFill="1" applyAlignment="1">
      <alignment horizontal="center"/>
    </xf>
    <xf numFmtId="174" fontId="7" fillId="0" borderId="0" xfId="0" applyNumberFormat="1" applyFont="1" applyAlignment="1">
      <alignment horizontal="center"/>
    </xf>
    <xf numFmtId="0" fontId="12" fillId="0" borderId="0" xfId="0" applyFont="1" applyAlignment="1">
      <alignment horizontal="right"/>
    </xf>
    <xf numFmtId="20" fontId="0" fillId="0" borderId="0" xfId="0" applyNumberFormat="1" applyAlignment="1">
      <alignment horizontal="center"/>
    </xf>
    <xf numFmtId="174" fontId="0" fillId="0" borderId="0" xfId="0" applyNumberFormat="1" applyAlignment="1">
      <alignment horizontal="right"/>
    </xf>
    <xf numFmtId="0" fontId="0" fillId="0" borderId="0" xfId="0"/>
    <xf numFmtId="0" fontId="2" fillId="0" borderId="10" xfId="0" applyFont="1" applyBorder="1" applyAlignment="1">
      <alignment horizontal="center"/>
    </xf>
    <xf numFmtId="0" fontId="7" fillId="0" borderId="0" xfId="0" applyFont="1" applyAlignment="1">
      <alignment horizontal="left"/>
    </xf>
    <xf numFmtId="0" fontId="2" fillId="0" borderId="1" xfId="0" applyFont="1" applyBorder="1" applyAlignment="1">
      <alignment horizontal="left"/>
    </xf>
    <xf numFmtId="0" fontId="7" fillId="4" borderId="0" xfId="0" applyFont="1" applyFill="1" applyAlignment="1">
      <alignment horizontal="center" vertical="center"/>
    </xf>
    <xf numFmtId="0" fontId="0" fillId="0" borderId="6" xfId="0" applyBorder="1" applyAlignment="1">
      <alignment horizontal="center"/>
    </xf>
    <xf numFmtId="0" fontId="0" fillId="0" borderId="5" xfId="0" applyBorder="1" applyAlignment="1">
      <alignment horizontal="center" vertical="center"/>
    </xf>
    <xf numFmtId="0" fontId="2" fillId="0" borderId="49" xfId="0" applyFont="1" applyBorder="1" applyAlignment="1">
      <alignment horizontal="center"/>
    </xf>
    <xf numFmtId="0" fontId="2" fillId="0" borderId="50" xfId="0" applyFont="1" applyBorder="1" applyAlignment="1">
      <alignment horizontal="center"/>
    </xf>
    <xf numFmtId="0" fontId="2" fillId="0" borderId="8" xfId="0" applyFont="1" applyBorder="1" applyAlignment="1">
      <alignment horizontal="center"/>
    </xf>
    <xf numFmtId="165" fontId="0" fillId="0" borderId="5" xfId="1" applyFont="1" applyFill="1" applyBorder="1" applyAlignment="1">
      <alignment horizontal="center" vertical="center"/>
    </xf>
    <xf numFmtId="14" fontId="2" fillId="0" borderId="0" xfId="0" applyNumberFormat="1" applyFont="1" applyAlignment="1">
      <alignment horizontal="center"/>
    </xf>
    <xf numFmtId="14" fontId="2" fillId="0" borderId="25" xfId="0" applyNumberFormat="1" applyFont="1" applyBorder="1" applyAlignment="1">
      <alignment horizontal="center"/>
    </xf>
    <xf numFmtId="0" fontId="2" fillId="8" borderId="24" xfId="0" applyFont="1" applyFill="1" applyBorder="1" applyAlignment="1">
      <alignment horizontal="center"/>
    </xf>
    <xf numFmtId="0" fontId="2" fillId="8" borderId="19" xfId="0" applyFont="1" applyFill="1" applyBorder="1" applyAlignment="1">
      <alignment horizontal="center"/>
    </xf>
    <xf numFmtId="0" fontId="2" fillId="8" borderId="23" xfId="0" applyFont="1" applyFill="1" applyBorder="1" applyAlignment="1">
      <alignment horizontal="center"/>
    </xf>
    <xf numFmtId="0" fontId="2" fillId="8" borderId="39" xfId="0" applyFont="1" applyFill="1" applyBorder="1" applyAlignment="1">
      <alignment horizontal="center"/>
    </xf>
    <xf numFmtId="0" fontId="2" fillId="8" borderId="40" xfId="0" applyFont="1" applyFill="1" applyBorder="1" applyAlignment="1">
      <alignment horizontal="center"/>
    </xf>
    <xf numFmtId="0" fontId="2" fillId="8" borderId="41" xfId="0" applyFont="1" applyFill="1" applyBorder="1" applyAlignment="1">
      <alignment horizontal="center"/>
    </xf>
    <xf numFmtId="0" fontId="2" fillId="7" borderId="39" xfId="0" applyFont="1" applyFill="1" applyBorder="1" applyAlignment="1">
      <alignment horizontal="center"/>
    </xf>
    <xf numFmtId="0" fontId="2" fillId="7" borderId="40" xfId="0" applyFont="1" applyFill="1" applyBorder="1" applyAlignment="1">
      <alignment horizontal="center"/>
    </xf>
    <xf numFmtId="0" fontId="2" fillId="7" borderId="41" xfId="0" applyFont="1" applyFill="1" applyBorder="1" applyAlignment="1">
      <alignment horizontal="center"/>
    </xf>
    <xf numFmtId="0" fontId="2" fillId="0" borderId="5" xfId="0" applyFont="1" applyBorder="1" applyAlignment="1">
      <alignment horizontal="center"/>
    </xf>
    <xf numFmtId="0" fontId="2" fillId="0" borderId="21" xfId="0" applyFont="1" applyBorder="1" applyAlignment="1">
      <alignment horizontal="center"/>
    </xf>
    <xf numFmtId="0" fontId="0" fillId="0" borderId="0" xfId="0" applyAlignment="1">
      <alignment horizontal="center" vertical="center" wrapText="1"/>
    </xf>
    <xf numFmtId="0" fontId="0" fillId="0" borderId="5" xfId="0" applyBorder="1" applyAlignment="1">
      <alignment horizontal="center" vertical="center" wrapText="1"/>
    </xf>
    <xf numFmtId="0" fontId="7" fillId="0" borderId="22" xfId="0" applyFont="1" applyBorder="1" applyAlignment="1">
      <alignment horizontal="center"/>
    </xf>
    <xf numFmtId="9" fontId="13" fillId="0" borderId="16" xfId="3" applyFont="1" applyFill="1" applyBorder="1" applyAlignment="1">
      <alignment horizontal="center"/>
    </xf>
    <xf numFmtId="9" fontId="13" fillId="0" borderId="17" xfId="3" applyFont="1" applyFill="1" applyBorder="1" applyAlignment="1">
      <alignment horizontal="center"/>
    </xf>
    <xf numFmtId="0" fontId="21" fillId="0" borderId="0" xfId="0" applyFont="1"/>
    <xf numFmtId="0" fontId="21" fillId="0" borderId="0" xfId="0" applyFont="1" applyAlignment="1">
      <alignment horizontal="center"/>
    </xf>
    <xf numFmtId="0" fontId="19" fillId="0" borderId="0" xfId="0" applyFont="1" applyAlignment="1">
      <alignment vertical="center"/>
    </xf>
    <xf numFmtId="165" fontId="0" fillId="23" borderId="0" xfId="1" applyFont="1" applyFill="1" applyAlignment="1">
      <alignment horizontal="center" vertical="center"/>
    </xf>
    <xf numFmtId="0" fontId="19" fillId="0" borderId="0" xfId="0" applyFont="1" applyAlignment="1">
      <alignment horizontal="center" vertical="center"/>
    </xf>
    <xf numFmtId="16" fontId="0" fillId="0" borderId="0" xfId="0" quotePrefix="1" applyNumberFormat="1" applyFill="1" applyAlignment="1">
      <alignment horizontal="center"/>
    </xf>
    <xf numFmtId="0" fontId="7" fillId="0" borderId="0" xfId="0" applyFont="1" applyFill="1"/>
    <xf numFmtId="0" fontId="0" fillId="0" borderId="0" xfId="0" applyFill="1" applyAlignment="1">
      <alignment horizontal="center" vertical="center"/>
    </xf>
    <xf numFmtId="174" fontId="0" fillId="0" borderId="0" xfId="0" applyNumberFormat="1" applyFill="1" applyAlignment="1">
      <alignment horizontal="center"/>
    </xf>
    <xf numFmtId="0" fontId="0" fillId="0" borderId="0" xfId="0" applyFill="1" applyAlignment="1">
      <alignment horizontal="center"/>
    </xf>
    <xf numFmtId="0" fontId="0" fillId="0" borderId="0" xfId="0" applyFill="1"/>
    <xf numFmtId="20" fontId="0" fillId="0" borderId="0" xfId="0" applyNumberFormat="1" applyFill="1" applyAlignment="1">
      <alignment horizontal="left"/>
    </xf>
  </cellXfs>
  <cellStyles count="8">
    <cellStyle name="Hipervínculo" xfId="4" builtinId="8"/>
    <cellStyle name="Millares" xfId="1" builtinId="3"/>
    <cellStyle name="Millares 2" xfId="6" xr:uid="{00000000-0005-0000-0000-000002000000}"/>
    <cellStyle name="Millares 3" xfId="5" xr:uid="{00000000-0005-0000-0000-000003000000}"/>
    <cellStyle name="Moneda" xfId="2" builtinId="4"/>
    <cellStyle name="Moneda 2" xfId="7" xr:uid="{00000000-0005-0000-0000-000005000000}"/>
    <cellStyle name="Normal" xfId="0" builtinId="0"/>
    <cellStyle name="Porcentaje" xfId="3" builtinId="5"/>
  </cellStyles>
  <dxfs count="1">
    <dxf>
      <font>
        <color rgb="FF9C0006"/>
      </font>
      <fill>
        <patternFill>
          <bgColor rgb="FFFFC7CE"/>
        </patternFill>
      </fill>
    </dxf>
  </dxfs>
  <tableStyles count="0" defaultTableStyle="TableStyleMedium2" defaultPivotStyle="PivotStyleLight16"/>
  <colors>
    <mruColors>
      <color rgb="FF00FF00"/>
      <color rgb="FFFFCCFF"/>
      <color rgb="FFFFCCCC"/>
      <color rgb="FFFF33CC"/>
      <color rgb="FF99FFCC"/>
      <color rgb="FF0066FF"/>
      <color rgb="FFFF6699"/>
      <color rgb="FFD470EC"/>
      <color rgb="FFF4DAFA"/>
      <color rgb="FFF6DE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sharedStrings" Target="sharedStrings.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drawings/_rels/drawing4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914400</xdr:colOff>
          <xdr:row>3</xdr:row>
          <xdr:rowOff>38100</xdr:rowOff>
        </xdr:from>
        <xdr:to>
          <xdr:col>1</xdr:col>
          <xdr:colOff>1162050</xdr:colOff>
          <xdr:row>3</xdr:row>
          <xdr:rowOff>161925</xdr:rowOff>
        </xdr:to>
        <xdr:sp macro="" textlink="">
          <xdr:nvSpPr>
            <xdr:cNvPr id="401412" name="Botón 4" hidden="1">
              <a:extLst>
                <a:ext uri="{63B3BB69-23CF-44E3-9099-C40C66FF867C}">
                  <a14:compatExt spid="_x0000_s401412"/>
                </a:ext>
                <a:ext uri="{FF2B5EF4-FFF2-40B4-BE49-F238E27FC236}">
                  <a16:creationId xmlns:a16="http://schemas.microsoft.com/office/drawing/2014/main" id="{00000000-0008-0000-0000-000004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1590675</xdr:colOff>
          <xdr:row>4</xdr:row>
          <xdr:rowOff>19050</xdr:rowOff>
        </xdr:from>
        <xdr:to>
          <xdr:col>1</xdr:col>
          <xdr:colOff>1866900</xdr:colOff>
          <xdr:row>4</xdr:row>
          <xdr:rowOff>142875</xdr:rowOff>
        </xdr:to>
        <xdr:sp macro="" textlink="">
          <xdr:nvSpPr>
            <xdr:cNvPr id="401413" name="Botón 5" hidden="1">
              <a:extLst>
                <a:ext uri="{63B3BB69-23CF-44E3-9099-C40C66FF867C}">
                  <a14:compatExt spid="_x0000_s401413"/>
                </a:ext>
                <a:ext uri="{FF2B5EF4-FFF2-40B4-BE49-F238E27FC236}">
                  <a16:creationId xmlns:a16="http://schemas.microsoft.com/office/drawing/2014/main" id="{00000000-0008-0000-0000-000005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1362075</xdr:colOff>
          <xdr:row>5</xdr:row>
          <xdr:rowOff>9525</xdr:rowOff>
        </xdr:from>
        <xdr:to>
          <xdr:col>1</xdr:col>
          <xdr:colOff>1619250</xdr:colOff>
          <xdr:row>5</xdr:row>
          <xdr:rowOff>161925</xdr:rowOff>
        </xdr:to>
        <xdr:sp macro="" textlink="">
          <xdr:nvSpPr>
            <xdr:cNvPr id="401417" name="Botón 9" hidden="1">
              <a:extLst>
                <a:ext uri="{63B3BB69-23CF-44E3-9099-C40C66FF867C}">
                  <a14:compatExt spid="_x0000_s401417"/>
                </a:ext>
                <a:ext uri="{FF2B5EF4-FFF2-40B4-BE49-F238E27FC236}">
                  <a16:creationId xmlns:a16="http://schemas.microsoft.com/office/drawing/2014/main" id="{00000000-0008-0000-0000-000009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1381125</xdr:colOff>
          <xdr:row>6</xdr:row>
          <xdr:rowOff>28575</xdr:rowOff>
        </xdr:from>
        <xdr:to>
          <xdr:col>1</xdr:col>
          <xdr:colOff>1619250</xdr:colOff>
          <xdr:row>6</xdr:row>
          <xdr:rowOff>161925</xdr:rowOff>
        </xdr:to>
        <xdr:sp macro="" textlink="">
          <xdr:nvSpPr>
            <xdr:cNvPr id="401418" name="Botón 10" hidden="1">
              <a:extLst>
                <a:ext uri="{63B3BB69-23CF-44E3-9099-C40C66FF867C}">
                  <a14:compatExt spid="_x0000_s401418"/>
                </a:ext>
                <a:ext uri="{FF2B5EF4-FFF2-40B4-BE49-F238E27FC236}">
                  <a16:creationId xmlns:a16="http://schemas.microsoft.com/office/drawing/2014/main" id="{00000000-0008-0000-0000-00000A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7</xdr:row>
          <xdr:rowOff>28575</xdr:rowOff>
        </xdr:from>
        <xdr:to>
          <xdr:col>1</xdr:col>
          <xdr:colOff>1752600</xdr:colOff>
          <xdr:row>7</xdr:row>
          <xdr:rowOff>161925</xdr:rowOff>
        </xdr:to>
        <xdr:sp macro="" textlink="">
          <xdr:nvSpPr>
            <xdr:cNvPr id="401419" name="Botón 11" hidden="1">
              <a:extLst>
                <a:ext uri="{63B3BB69-23CF-44E3-9099-C40C66FF867C}">
                  <a14:compatExt spid="_x0000_s401419"/>
                </a:ext>
                <a:ext uri="{FF2B5EF4-FFF2-40B4-BE49-F238E27FC236}">
                  <a16:creationId xmlns:a16="http://schemas.microsoft.com/office/drawing/2014/main" id="{00000000-0008-0000-0000-00000B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1343025</xdr:colOff>
          <xdr:row>9</xdr:row>
          <xdr:rowOff>28575</xdr:rowOff>
        </xdr:from>
        <xdr:to>
          <xdr:col>1</xdr:col>
          <xdr:colOff>1628775</xdr:colOff>
          <xdr:row>9</xdr:row>
          <xdr:rowOff>171450</xdr:rowOff>
        </xdr:to>
        <xdr:sp macro="" textlink="">
          <xdr:nvSpPr>
            <xdr:cNvPr id="401425" name="Botón 17" hidden="1">
              <a:extLst>
                <a:ext uri="{63B3BB69-23CF-44E3-9099-C40C66FF867C}">
                  <a14:compatExt spid="_x0000_s401425"/>
                </a:ext>
                <a:ext uri="{FF2B5EF4-FFF2-40B4-BE49-F238E27FC236}">
                  <a16:creationId xmlns:a16="http://schemas.microsoft.com/office/drawing/2014/main" id="{00000000-0008-0000-0000-000011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1400175</xdr:colOff>
          <xdr:row>10</xdr:row>
          <xdr:rowOff>19050</xdr:rowOff>
        </xdr:from>
        <xdr:to>
          <xdr:col>1</xdr:col>
          <xdr:colOff>1704975</xdr:colOff>
          <xdr:row>10</xdr:row>
          <xdr:rowOff>161925</xdr:rowOff>
        </xdr:to>
        <xdr:sp macro="" textlink="">
          <xdr:nvSpPr>
            <xdr:cNvPr id="401426" name="Botón 18" hidden="1">
              <a:extLst>
                <a:ext uri="{63B3BB69-23CF-44E3-9099-C40C66FF867C}">
                  <a14:compatExt spid="_x0000_s401426"/>
                </a:ext>
                <a:ext uri="{FF2B5EF4-FFF2-40B4-BE49-F238E27FC236}">
                  <a16:creationId xmlns:a16="http://schemas.microsoft.com/office/drawing/2014/main" id="{00000000-0008-0000-0000-000012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1171575</xdr:colOff>
          <xdr:row>11</xdr:row>
          <xdr:rowOff>28575</xdr:rowOff>
        </xdr:from>
        <xdr:to>
          <xdr:col>1</xdr:col>
          <xdr:colOff>1476375</xdr:colOff>
          <xdr:row>11</xdr:row>
          <xdr:rowOff>161925</xdr:rowOff>
        </xdr:to>
        <xdr:sp macro="" textlink="">
          <xdr:nvSpPr>
            <xdr:cNvPr id="401427" name="Botón 19" hidden="1">
              <a:extLst>
                <a:ext uri="{63B3BB69-23CF-44E3-9099-C40C66FF867C}">
                  <a14:compatExt spid="_x0000_s401427"/>
                </a:ext>
                <a:ext uri="{FF2B5EF4-FFF2-40B4-BE49-F238E27FC236}">
                  <a16:creationId xmlns:a16="http://schemas.microsoft.com/office/drawing/2014/main" id="{00000000-0008-0000-0000-000013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1466850</xdr:colOff>
          <xdr:row>12</xdr:row>
          <xdr:rowOff>38100</xdr:rowOff>
        </xdr:from>
        <xdr:to>
          <xdr:col>1</xdr:col>
          <xdr:colOff>1781175</xdr:colOff>
          <xdr:row>12</xdr:row>
          <xdr:rowOff>161925</xdr:rowOff>
        </xdr:to>
        <xdr:sp macro="" textlink="">
          <xdr:nvSpPr>
            <xdr:cNvPr id="401429" name="Botón 21" hidden="1">
              <a:extLst>
                <a:ext uri="{63B3BB69-23CF-44E3-9099-C40C66FF867C}">
                  <a14:compatExt spid="_x0000_s401429"/>
                </a:ext>
                <a:ext uri="{FF2B5EF4-FFF2-40B4-BE49-F238E27FC236}">
                  <a16:creationId xmlns:a16="http://schemas.microsoft.com/office/drawing/2014/main" id="{00000000-0008-0000-0000-000015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1333500</xdr:colOff>
          <xdr:row>13</xdr:row>
          <xdr:rowOff>9525</xdr:rowOff>
        </xdr:from>
        <xdr:to>
          <xdr:col>1</xdr:col>
          <xdr:colOff>1638300</xdr:colOff>
          <xdr:row>13</xdr:row>
          <xdr:rowOff>161925</xdr:rowOff>
        </xdr:to>
        <xdr:sp macro="" textlink="">
          <xdr:nvSpPr>
            <xdr:cNvPr id="401430" name="Botón 22" hidden="1">
              <a:extLst>
                <a:ext uri="{63B3BB69-23CF-44E3-9099-C40C66FF867C}">
                  <a14:compatExt spid="_x0000_s401430"/>
                </a:ext>
                <a:ext uri="{FF2B5EF4-FFF2-40B4-BE49-F238E27FC236}">
                  <a16:creationId xmlns:a16="http://schemas.microsoft.com/office/drawing/2014/main" id="{00000000-0008-0000-0000-000016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1285875</xdr:colOff>
          <xdr:row>15</xdr:row>
          <xdr:rowOff>19050</xdr:rowOff>
        </xdr:from>
        <xdr:to>
          <xdr:col>1</xdr:col>
          <xdr:colOff>1590675</xdr:colOff>
          <xdr:row>15</xdr:row>
          <xdr:rowOff>171450</xdr:rowOff>
        </xdr:to>
        <xdr:sp macro="" textlink="">
          <xdr:nvSpPr>
            <xdr:cNvPr id="401433" name="Botón 25" hidden="1">
              <a:extLst>
                <a:ext uri="{63B3BB69-23CF-44E3-9099-C40C66FF867C}">
                  <a14:compatExt spid="_x0000_s401433"/>
                </a:ext>
                <a:ext uri="{FF2B5EF4-FFF2-40B4-BE49-F238E27FC236}">
                  <a16:creationId xmlns:a16="http://schemas.microsoft.com/office/drawing/2014/main" id="{00000000-0008-0000-0000-000019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1666875</xdr:colOff>
          <xdr:row>16</xdr:row>
          <xdr:rowOff>9525</xdr:rowOff>
        </xdr:from>
        <xdr:to>
          <xdr:col>1</xdr:col>
          <xdr:colOff>1952625</xdr:colOff>
          <xdr:row>16</xdr:row>
          <xdr:rowOff>180975</xdr:rowOff>
        </xdr:to>
        <xdr:sp macro="" textlink="">
          <xdr:nvSpPr>
            <xdr:cNvPr id="401434" name="Botón 26" hidden="1">
              <a:extLst>
                <a:ext uri="{63B3BB69-23CF-44E3-9099-C40C66FF867C}">
                  <a14:compatExt spid="_x0000_s401434"/>
                </a:ext>
                <a:ext uri="{FF2B5EF4-FFF2-40B4-BE49-F238E27FC236}">
                  <a16:creationId xmlns:a16="http://schemas.microsoft.com/office/drawing/2014/main" id="{00000000-0008-0000-0000-00001A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1438275</xdr:colOff>
          <xdr:row>17</xdr:row>
          <xdr:rowOff>9525</xdr:rowOff>
        </xdr:from>
        <xdr:to>
          <xdr:col>1</xdr:col>
          <xdr:colOff>1685925</xdr:colOff>
          <xdr:row>17</xdr:row>
          <xdr:rowOff>180975</xdr:rowOff>
        </xdr:to>
        <xdr:sp macro="" textlink="">
          <xdr:nvSpPr>
            <xdr:cNvPr id="401435" name="Botón 27" hidden="1">
              <a:extLst>
                <a:ext uri="{63B3BB69-23CF-44E3-9099-C40C66FF867C}">
                  <a14:compatExt spid="_x0000_s401435"/>
                </a:ext>
                <a:ext uri="{FF2B5EF4-FFF2-40B4-BE49-F238E27FC236}">
                  <a16:creationId xmlns:a16="http://schemas.microsoft.com/office/drawing/2014/main" id="{00000000-0008-0000-0000-00001B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1228725</xdr:colOff>
          <xdr:row>18</xdr:row>
          <xdr:rowOff>47625</xdr:rowOff>
        </xdr:from>
        <xdr:to>
          <xdr:col>1</xdr:col>
          <xdr:colOff>1514475</xdr:colOff>
          <xdr:row>18</xdr:row>
          <xdr:rowOff>171450</xdr:rowOff>
        </xdr:to>
        <xdr:sp macro="" textlink="">
          <xdr:nvSpPr>
            <xdr:cNvPr id="401436" name="Botón 28" hidden="1">
              <a:extLst>
                <a:ext uri="{63B3BB69-23CF-44E3-9099-C40C66FF867C}">
                  <a14:compatExt spid="_x0000_s401436"/>
                </a:ext>
                <a:ext uri="{FF2B5EF4-FFF2-40B4-BE49-F238E27FC236}">
                  <a16:creationId xmlns:a16="http://schemas.microsoft.com/office/drawing/2014/main" id="{00000000-0008-0000-0000-00001C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2457450</xdr:colOff>
          <xdr:row>19</xdr:row>
          <xdr:rowOff>28575</xdr:rowOff>
        </xdr:from>
        <xdr:to>
          <xdr:col>1</xdr:col>
          <xdr:colOff>2752725</xdr:colOff>
          <xdr:row>19</xdr:row>
          <xdr:rowOff>142875</xdr:rowOff>
        </xdr:to>
        <xdr:sp macro="" textlink="">
          <xdr:nvSpPr>
            <xdr:cNvPr id="401439" name="Botón 31" hidden="1">
              <a:extLst>
                <a:ext uri="{63B3BB69-23CF-44E3-9099-C40C66FF867C}">
                  <a14:compatExt spid="_x0000_s401439"/>
                </a:ext>
                <a:ext uri="{FF2B5EF4-FFF2-40B4-BE49-F238E27FC236}">
                  <a16:creationId xmlns:a16="http://schemas.microsoft.com/office/drawing/2014/main" id="{00000000-0008-0000-0000-00001F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1409700</xdr:colOff>
          <xdr:row>21</xdr:row>
          <xdr:rowOff>28575</xdr:rowOff>
        </xdr:from>
        <xdr:to>
          <xdr:col>1</xdr:col>
          <xdr:colOff>1657350</xdr:colOff>
          <xdr:row>22</xdr:row>
          <xdr:rowOff>0</xdr:rowOff>
        </xdr:to>
        <xdr:sp macro="" textlink="">
          <xdr:nvSpPr>
            <xdr:cNvPr id="401442" name="Botón 34" hidden="1">
              <a:extLst>
                <a:ext uri="{63B3BB69-23CF-44E3-9099-C40C66FF867C}">
                  <a14:compatExt spid="_x0000_s401442"/>
                </a:ext>
                <a:ext uri="{FF2B5EF4-FFF2-40B4-BE49-F238E27FC236}">
                  <a16:creationId xmlns:a16="http://schemas.microsoft.com/office/drawing/2014/main" id="{00000000-0008-0000-0000-000022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676275</xdr:colOff>
          <xdr:row>23</xdr:row>
          <xdr:rowOff>28575</xdr:rowOff>
        </xdr:from>
        <xdr:to>
          <xdr:col>1</xdr:col>
          <xdr:colOff>923925</xdr:colOff>
          <xdr:row>23</xdr:row>
          <xdr:rowOff>180975</xdr:rowOff>
        </xdr:to>
        <xdr:sp macro="" textlink="">
          <xdr:nvSpPr>
            <xdr:cNvPr id="401446" name="Botón 38" hidden="1">
              <a:extLst>
                <a:ext uri="{63B3BB69-23CF-44E3-9099-C40C66FF867C}">
                  <a14:compatExt spid="_x0000_s401446"/>
                </a:ext>
                <a:ext uri="{FF2B5EF4-FFF2-40B4-BE49-F238E27FC236}">
                  <a16:creationId xmlns:a16="http://schemas.microsoft.com/office/drawing/2014/main" id="{00000000-0008-0000-0000-000026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2295525</xdr:colOff>
          <xdr:row>24</xdr:row>
          <xdr:rowOff>19050</xdr:rowOff>
        </xdr:from>
        <xdr:to>
          <xdr:col>1</xdr:col>
          <xdr:colOff>2562225</xdr:colOff>
          <xdr:row>24</xdr:row>
          <xdr:rowOff>171450</xdr:rowOff>
        </xdr:to>
        <xdr:sp macro="" textlink="">
          <xdr:nvSpPr>
            <xdr:cNvPr id="401448" name="Botón 40" hidden="1">
              <a:extLst>
                <a:ext uri="{63B3BB69-23CF-44E3-9099-C40C66FF867C}">
                  <a14:compatExt spid="_x0000_s401448"/>
                </a:ext>
                <a:ext uri="{FF2B5EF4-FFF2-40B4-BE49-F238E27FC236}">
                  <a16:creationId xmlns:a16="http://schemas.microsoft.com/office/drawing/2014/main" id="{00000000-0008-0000-0000-000028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2057400</xdr:colOff>
          <xdr:row>25</xdr:row>
          <xdr:rowOff>19050</xdr:rowOff>
        </xdr:from>
        <xdr:to>
          <xdr:col>1</xdr:col>
          <xdr:colOff>2362200</xdr:colOff>
          <xdr:row>25</xdr:row>
          <xdr:rowOff>161925</xdr:rowOff>
        </xdr:to>
        <xdr:sp macro="" textlink="">
          <xdr:nvSpPr>
            <xdr:cNvPr id="401450" name="Botón 42" hidden="1">
              <a:extLst>
                <a:ext uri="{63B3BB69-23CF-44E3-9099-C40C66FF867C}">
                  <a14:compatExt spid="_x0000_s401450"/>
                </a:ext>
                <a:ext uri="{FF2B5EF4-FFF2-40B4-BE49-F238E27FC236}">
                  <a16:creationId xmlns:a16="http://schemas.microsoft.com/office/drawing/2014/main" id="{00000000-0008-0000-0000-00002A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2257425</xdr:colOff>
          <xdr:row>26</xdr:row>
          <xdr:rowOff>28575</xdr:rowOff>
        </xdr:from>
        <xdr:to>
          <xdr:col>1</xdr:col>
          <xdr:colOff>2543175</xdr:colOff>
          <xdr:row>26</xdr:row>
          <xdr:rowOff>180975</xdr:rowOff>
        </xdr:to>
        <xdr:sp macro="" textlink="">
          <xdr:nvSpPr>
            <xdr:cNvPr id="401474" name="Botón 66" hidden="1">
              <a:extLst>
                <a:ext uri="{63B3BB69-23CF-44E3-9099-C40C66FF867C}">
                  <a14:compatExt spid="_x0000_s401474"/>
                </a:ext>
                <a:ext uri="{FF2B5EF4-FFF2-40B4-BE49-F238E27FC236}">
                  <a16:creationId xmlns:a16="http://schemas.microsoft.com/office/drawing/2014/main" id="{00000000-0008-0000-0000-000042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1666875</xdr:colOff>
          <xdr:row>27</xdr:row>
          <xdr:rowOff>19050</xdr:rowOff>
        </xdr:from>
        <xdr:to>
          <xdr:col>1</xdr:col>
          <xdr:colOff>1914525</xdr:colOff>
          <xdr:row>27</xdr:row>
          <xdr:rowOff>180975</xdr:rowOff>
        </xdr:to>
        <xdr:sp macro="" textlink="">
          <xdr:nvSpPr>
            <xdr:cNvPr id="401476" name="Botón 68" hidden="1">
              <a:extLst>
                <a:ext uri="{63B3BB69-23CF-44E3-9099-C40C66FF867C}">
                  <a14:compatExt spid="_x0000_s401476"/>
                </a:ext>
                <a:ext uri="{FF2B5EF4-FFF2-40B4-BE49-F238E27FC236}">
                  <a16:creationId xmlns:a16="http://schemas.microsoft.com/office/drawing/2014/main" id="{00000000-0008-0000-0000-000044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1933575</xdr:colOff>
          <xdr:row>28</xdr:row>
          <xdr:rowOff>38100</xdr:rowOff>
        </xdr:from>
        <xdr:to>
          <xdr:col>1</xdr:col>
          <xdr:colOff>2200275</xdr:colOff>
          <xdr:row>28</xdr:row>
          <xdr:rowOff>161925</xdr:rowOff>
        </xdr:to>
        <xdr:sp macro="" textlink="">
          <xdr:nvSpPr>
            <xdr:cNvPr id="401477" name="Botón 69" hidden="1">
              <a:extLst>
                <a:ext uri="{63B3BB69-23CF-44E3-9099-C40C66FF867C}">
                  <a14:compatExt spid="_x0000_s401477"/>
                </a:ext>
                <a:ext uri="{FF2B5EF4-FFF2-40B4-BE49-F238E27FC236}">
                  <a16:creationId xmlns:a16="http://schemas.microsoft.com/office/drawing/2014/main" id="{00000000-0008-0000-0000-000045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1876425</xdr:colOff>
          <xdr:row>29</xdr:row>
          <xdr:rowOff>28575</xdr:rowOff>
        </xdr:from>
        <xdr:to>
          <xdr:col>1</xdr:col>
          <xdr:colOff>2152650</xdr:colOff>
          <xdr:row>29</xdr:row>
          <xdr:rowOff>161925</xdr:rowOff>
        </xdr:to>
        <xdr:sp macro="" textlink="">
          <xdr:nvSpPr>
            <xdr:cNvPr id="401478" name="Botón 70" hidden="1">
              <a:extLst>
                <a:ext uri="{63B3BB69-23CF-44E3-9099-C40C66FF867C}">
                  <a14:compatExt spid="_x0000_s401478"/>
                </a:ext>
                <a:ext uri="{FF2B5EF4-FFF2-40B4-BE49-F238E27FC236}">
                  <a16:creationId xmlns:a16="http://schemas.microsoft.com/office/drawing/2014/main" id="{00000000-0008-0000-0000-000046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1781175</xdr:colOff>
          <xdr:row>30</xdr:row>
          <xdr:rowOff>28575</xdr:rowOff>
        </xdr:from>
        <xdr:to>
          <xdr:col>1</xdr:col>
          <xdr:colOff>2047875</xdr:colOff>
          <xdr:row>30</xdr:row>
          <xdr:rowOff>161925</xdr:rowOff>
        </xdr:to>
        <xdr:sp macro="" textlink="">
          <xdr:nvSpPr>
            <xdr:cNvPr id="401479" name="Botón 71" hidden="1">
              <a:extLst>
                <a:ext uri="{63B3BB69-23CF-44E3-9099-C40C66FF867C}">
                  <a14:compatExt spid="_x0000_s401479"/>
                </a:ext>
                <a:ext uri="{FF2B5EF4-FFF2-40B4-BE49-F238E27FC236}">
                  <a16:creationId xmlns:a16="http://schemas.microsoft.com/office/drawing/2014/main" id="{00000000-0008-0000-0000-000047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1485900</xdr:colOff>
          <xdr:row>31</xdr:row>
          <xdr:rowOff>9525</xdr:rowOff>
        </xdr:from>
        <xdr:to>
          <xdr:col>1</xdr:col>
          <xdr:colOff>1724025</xdr:colOff>
          <xdr:row>31</xdr:row>
          <xdr:rowOff>161925</xdr:rowOff>
        </xdr:to>
        <xdr:sp macro="" textlink="">
          <xdr:nvSpPr>
            <xdr:cNvPr id="401480" name="Botón 72" hidden="1">
              <a:extLst>
                <a:ext uri="{63B3BB69-23CF-44E3-9099-C40C66FF867C}">
                  <a14:compatExt spid="_x0000_s401480"/>
                </a:ext>
                <a:ext uri="{FF2B5EF4-FFF2-40B4-BE49-F238E27FC236}">
                  <a16:creationId xmlns:a16="http://schemas.microsoft.com/office/drawing/2014/main" id="{00000000-0008-0000-0000-000048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2447925</xdr:colOff>
          <xdr:row>32</xdr:row>
          <xdr:rowOff>9525</xdr:rowOff>
        </xdr:from>
        <xdr:to>
          <xdr:col>1</xdr:col>
          <xdr:colOff>2686050</xdr:colOff>
          <xdr:row>32</xdr:row>
          <xdr:rowOff>161925</xdr:rowOff>
        </xdr:to>
        <xdr:sp macro="" textlink="">
          <xdr:nvSpPr>
            <xdr:cNvPr id="401481" name="Botón 73" hidden="1">
              <a:extLst>
                <a:ext uri="{63B3BB69-23CF-44E3-9099-C40C66FF867C}">
                  <a14:compatExt spid="_x0000_s401481"/>
                </a:ext>
                <a:ext uri="{FF2B5EF4-FFF2-40B4-BE49-F238E27FC236}">
                  <a16:creationId xmlns:a16="http://schemas.microsoft.com/office/drawing/2014/main" id="{00000000-0008-0000-0000-000049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1752600</xdr:colOff>
          <xdr:row>33</xdr:row>
          <xdr:rowOff>47625</xdr:rowOff>
        </xdr:from>
        <xdr:to>
          <xdr:col>1</xdr:col>
          <xdr:colOff>2028825</xdr:colOff>
          <xdr:row>33</xdr:row>
          <xdr:rowOff>171450</xdr:rowOff>
        </xdr:to>
        <xdr:sp macro="" textlink="">
          <xdr:nvSpPr>
            <xdr:cNvPr id="401482" name="Botón 74" hidden="1">
              <a:extLst>
                <a:ext uri="{63B3BB69-23CF-44E3-9099-C40C66FF867C}">
                  <a14:compatExt spid="_x0000_s401482"/>
                </a:ext>
                <a:ext uri="{FF2B5EF4-FFF2-40B4-BE49-F238E27FC236}">
                  <a16:creationId xmlns:a16="http://schemas.microsoft.com/office/drawing/2014/main" id="{00000000-0008-0000-0000-00004A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34</xdr:row>
          <xdr:rowOff>38100</xdr:rowOff>
        </xdr:from>
        <xdr:to>
          <xdr:col>1</xdr:col>
          <xdr:colOff>1752600</xdr:colOff>
          <xdr:row>34</xdr:row>
          <xdr:rowOff>180975</xdr:rowOff>
        </xdr:to>
        <xdr:sp macro="" textlink="">
          <xdr:nvSpPr>
            <xdr:cNvPr id="401484" name="Botón 76" hidden="1">
              <a:extLst>
                <a:ext uri="{63B3BB69-23CF-44E3-9099-C40C66FF867C}">
                  <a14:compatExt spid="_x0000_s401484"/>
                </a:ext>
                <a:ext uri="{FF2B5EF4-FFF2-40B4-BE49-F238E27FC236}">
                  <a16:creationId xmlns:a16="http://schemas.microsoft.com/office/drawing/2014/main" id="{00000000-0008-0000-0000-00004C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1600200</xdr:colOff>
          <xdr:row>35</xdr:row>
          <xdr:rowOff>38100</xdr:rowOff>
        </xdr:from>
        <xdr:to>
          <xdr:col>1</xdr:col>
          <xdr:colOff>1895475</xdr:colOff>
          <xdr:row>35</xdr:row>
          <xdr:rowOff>152400</xdr:rowOff>
        </xdr:to>
        <xdr:sp macro="" textlink="">
          <xdr:nvSpPr>
            <xdr:cNvPr id="401485" name="Botón 77" hidden="1">
              <a:extLst>
                <a:ext uri="{63B3BB69-23CF-44E3-9099-C40C66FF867C}">
                  <a14:compatExt spid="_x0000_s401485"/>
                </a:ext>
                <a:ext uri="{FF2B5EF4-FFF2-40B4-BE49-F238E27FC236}">
                  <a16:creationId xmlns:a16="http://schemas.microsoft.com/office/drawing/2014/main" id="{00000000-0008-0000-0000-00004D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36</xdr:row>
          <xdr:rowOff>19050</xdr:rowOff>
        </xdr:from>
        <xdr:to>
          <xdr:col>1</xdr:col>
          <xdr:colOff>2343150</xdr:colOff>
          <xdr:row>36</xdr:row>
          <xdr:rowOff>142875</xdr:rowOff>
        </xdr:to>
        <xdr:sp macro="" textlink="">
          <xdr:nvSpPr>
            <xdr:cNvPr id="401486" name="Botón 78" hidden="1">
              <a:extLst>
                <a:ext uri="{63B3BB69-23CF-44E3-9099-C40C66FF867C}">
                  <a14:compatExt spid="_x0000_s401486"/>
                </a:ext>
                <a:ext uri="{FF2B5EF4-FFF2-40B4-BE49-F238E27FC236}">
                  <a16:creationId xmlns:a16="http://schemas.microsoft.com/office/drawing/2014/main" id="{00000000-0008-0000-0000-00004E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2009775</xdr:colOff>
          <xdr:row>38</xdr:row>
          <xdr:rowOff>38100</xdr:rowOff>
        </xdr:from>
        <xdr:to>
          <xdr:col>1</xdr:col>
          <xdr:colOff>2314575</xdr:colOff>
          <xdr:row>38</xdr:row>
          <xdr:rowOff>161925</xdr:rowOff>
        </xdr:to>
        <xdr:sp macro="" textlink="">
          <xdr:nvSpPr>
            <xdr:cNvPr id="401489" name="Botón 81" hidden="1">
              <a:extLst>
                <a:ext uri="{63B3BB69-23CF-44E3-9099-C40C66FF867C}">
                  <a14:compatExt spid="_x0000_s401489"/>
                </a:ext>
                <a:ext uri="{FF2B5EF4-FFF2-40B4-BE49-F238E27FC236}">
                  <a16:creationId xmlns:a16="http://schemas.microsoft.com/office/drawing/2014/main" id="{00000000-0008-0000-0000-000051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2647950</xdr:colOff>
          <xdr:row>39</xdr:row>
          <xdr:rowOff>9525</xdr:rowOff>
        </xdr:from>
        <xdr:to>
          <xdr:col>1</xdr:col>
          <xdr:colOff>2962275</xdr:colOff>
          <xdr:row>39</xdr:row>
          <xdr:rowOff>180975</xdr:rowOff>
        </xdr:to>
        <xdr:sp macro="" textlink="">
          <xdr:nvSpPr>
            <xdr:cNvPr id="401490" name="Botón 82" hidden="1">
              <a:extLst>
                <a:ext uri="{63B3BB69-23CF-44E3-9099-C40C66FF867C}">
                  <a14:compatExt spid="_x0000_s401490"/>
                </a:ext>
                <a:ext uri="{FF2B5EF4-FFF2-40B4-BE49-F238E27FC236}">
                  <a16:creationId xmlns:a16="http://schemas.microsoft.com/office/drawing/2014/main" id="{00000000-0008-0000-0000-000052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828675</xdr:colOff>
          <xdr:row>40</xdr:row>
          <xdr:rowOff>47625</xdr:rowOff>
        </xdr:from>
        <xdr:to>
          <xdr:col>1</xdr:col>
          <xdr:colOff>1181100</xdr:colOff>
          <xdr:row>40</xdr:row>
          <xdr:rowOff>180975</xdr:rowOff>
        </xdr:to>
        <xdr:sp macro="" textlink="">
          <xdr:nvSpPr>
            <xdr:cNvPr id="401491" name="Botón 83" hidden="1">
              <a:extLst>
                <a:ext uri="{63B3BB69-23CF-44E3-9099-C40C66FF867C}">
                  <a14:compatExt spid="_x0000_s401491"/>
                </a:ext>
                <a:ext uri="{FF2B5EF4-FFF2-40B4-BE49-F238E27FC236}">
                  <a16:creationId xmlns:a16="http://schemas.microsoft.com/office/drawing/2014/main" id="{00000000-0008-0000-0000-000053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2705100</xdr:colOff>
          <xdr:row>41</xdr:row>
          <xdr:rowOff>28575</xdr:rowOff>
        </xdr:from>
        <xdr:to>
          <xdr:col>1</xdr:col>
          <xdr:colOff>3019425</xdr:colOff>
          <xdr:row>41</xdr:row>
          <xdr:rowOff>180975</xdr:rowOff>
        </xdr:to>
        <xdr:sp macro="" textlink="">
          <xdr:nvSpPr>
            <xdr:cNvPr id="401492" name="Botón 84" hidden="1">
              <a:extLst>
                <a:ext uri="{63B3BB69-23CF-44E3-9099-C40C66FF867C}">
                  <a14:compatExt spid="_x0000_s401492"/>
                </a:ext>
                <a:ext uri="{FF2B5EF4-FFF2-40B4-BE49-F238E27FC236}">
                  <a16:creationId xmlns:a16="http://schemas.microsoft.com/office/drawing/2014/main" id="{00000000-0008-0000-0000-000054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781050</xdr:colOff>
          <xdr:row>42</xdr:row>
          <xdr:rowOff>38100</xdr:rowOff>
        </xdr:from>
        <xdr:to>
          <xdr:col>1</xdr:col>
          <xdr:colOff>1038225</xdr:colOff>
          <xdr:row>42</xdr:row>
          <xdr:rowOff>171450</xdr:rowOff>
        </xdr:to>
        <xdr:sp macro="" textlink="">
          <xdr:nvSpPr>
            <xdr:cNvPr id="401493" name="Botón 85" hidden="1">
              <a:extLst>
                <a:ext uri="{63B3BB69-23CF-44E3-9099-C40C66FF867C}">
                  <a14:compatExt spid="_x0000_s401493"/>
                </a:ext>
                <a:ext uri="{FF2B5EF4-FFF2-40B4-BE49-F238E27FC236}">
                  <a16:creationId xmlns:a16="http://schemas.microsoft.com/office/drawing/2014/main" id="{00000000-0008-0000-0000-000055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1343025</xdr:colOff>
          <xdr:row>43</xdr:row>
          <xdr:rowOff>19050</xdr:rowOff>
        </xdr:from>
        <xdr:to>
          <xdr:col>1</xdr:col>
          <xdr:colOff>1609725</xdr:colOff>
          <xdr:row>43</xdr:row>
          <xdr:rowOff>161925</xdr:rowOff>
        </xdr:to>
        <xdr:sp macro="" textlink="">
          <xdr:nvSpPr>
            <xdr:cNvPr id="401494" name="Botón 86" hidden="1">
              <a:extLst>
                <a:ext uri="{63B3BB69-23CF-44E3-9099-C40C66FF867C}">
                  <a14:compatExt spid="_x0000_s401494"/>
                </a:ext>
                <a:ext uri="{FF2B5EF4-FFF2-40B4-BE49-F238E27FC236}">
                  <a16:creationId xmlns:a16="http://schemas.microsoft.com/office/drawing/2014/main" id="{00000000-0008-0000-0000-000056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942975</xdr:colOff>
          <xdr:row>44</xdr:row>
          <xdr:rowOff>9525</xdr:rowOff>
        </xdr:from>
        <xdr:to>
          <xdr:col>1</xdr:col>
          <xdr:colOff>1190625</xdr:colOff>
          <xdr:row>44</xdr:row>
          <xdr:rowOff>152400</xdr:rowOff>
        </xdr:to>
        <xdr:sp macro="" textlink="">
          <xdr:nvSpPr>
            <xdr:cNvPr id="401495" name="Botón 87" hidden="1">
              <a:extLst>
                <a:ext uri="{63B3BB69-23CF-44E3-9099-C40C66FF867C}">
                  <a14:compatExt spid="_x0000_s401495"/>
                </a:ext>
                <a:ext uri="{FF2B5EF4-FFF2-40B4-BE49-F238E27FC236}">
                  <a16:creationId xmlns:a16="http://schemas.microsoft.com/office/drawing/2014/main" id="{00000000-0008-0000-0000-000057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1381125</xdr:colOff>
          <xdr:row>45</xdr:row>
          <xdr:rowOff>9525</xdr:rowOff>
        </xdr:from>
        <xdr:to>
          <xdr:col>1</xdr:col>
          <xdr:colOff>1647825</xdr:colOff>
          <xdr:row>45</xdr:row>
          <xdr:rowOff>161925</xdr:rowOff>
        </xdr:to>
        <xdr:sp macro="" textlink="">
          <xdr:nvSpPr>
            <xdr:cNvPr id="401496" name="Botón 88" hidden="1">
              <a:extLst>
                <a:ext uri="{63B3BB69-23CF-44E3-9099-C40C66FF867C}">
                  <a14:compatExt spid="_x0000_s401496"/>
                </a:ext>
                <a:ext uri="{FF2B5EF4-FFF2-40B4-BE49-F238E27FC236}">
                  <a16:creationId xmlns:a16="http://schemas.microsoft.com/office/drawing/2014/main" id="{00000000-0008-0000-0000-000058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904875</xdr:colOff>
          <xdr:row>46</xdr:row>
          <xdr:rowOff>38100</xdr:rowOff>
        </xdr:from>
        <xdr:to>
          <xdr:col>1</xdr:col>
          <xdr:colOff>1152525</xdr:colOff>
          <xdr:row>46</xdr:row>
          <xdr:rowOff>161925</xdr:rowOff>
        </xdr:to>
        <xdr:sp macro="" textlink="">
          <xdr:nvSpPr>
            <xdr:cNvPr id="401497" name="Botón 89" hidden="1">
              <a:extLst>
                <a:ext uri="{63B3BB69-23CF-44E3-9099-C40C66FF867C}">
                  <a14:compatExt spid="_x0000_s401497"/>
                </a:ext>
                <a:ext uri="{FF2B5EF4-FFF2-40B4-BE49-F238E27FC236}">
                  <a16:creationId xmlns:a16="http://schemas.microsoft.com/office/drawing/2014/main" id="{00000000-0008-0000-0000-000059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1885950</xdr:colOff>
          <xdr:row>47</xdr:row>
          <xdr:rowOff>47625</xdr:rowOff>
        </xdr:from>
        <xdr:to>
          <xdr:col>1</xdr:col>
          <xdr:colOff>2133600</xdr:colOff>
          <xdr:row>47</xdr:row>
          <xdr:rowOff>190500</xdr:rowOff>
        </xdr:to>
        <xdr:sp macro="" textlink="">
          <xdr:nvSpPr>
            <xdr:cNvPr id="401498" name="Botón 90" hidden="1">
              <a:extLst>
                <a:ext uri="{63B3BB69-23CF-44E3-9099-C40C66FF867C}">
                  <a14:compatExt spid="_x0000_s401498"/>
                </a:ext>
                <a:ext uri="{FF2B5EF4-FFF2-40B4-BE49-F238E27FC236}">
                  <a16:creationId xmlns:a16="http://schemas.microsoft.com/office/drawing/2014/main" id="{00000000-0008-0000-0000-00005A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3352800</xdr:colOff>
          <xdr:row>48</xdr:row>
          <xdr:rowOff>28575</xdr:rowOff>
        </xdr:from>
        <xdr:to>
          <xdr:col>1</xdr:col>
          <xdr:colOff>3629025</xdr:colOff>
          <xdr:row>48</xdr:row>
          <xdr:rowOff>161925</xdr:rowOff>
        </xdr:to>
        <xdr:sp macro="" textlink="">
          <xdr:nvSpPr>
            <xdr:cNvPr id="401506" name="Botón 98" hidden="1">
              <a:extLst>
                <a:ext uri="{63B3BB69-23CF-44E3-9099-C40C66FF867C}">
                  <a14:compatExt spid="_x0000_s401506"/>
                </a:ext>
                <a:ext uri="{FF2B5EF4-FFF2-40B4-BE49-F238E27FC236}">
                  <a16:creationId xmlns:a16="http://schemas.microsoft.com/office/drawing/2014/main" id="{00000000-0008-0000-0000-000062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1333500</xdr:colOff>
          <xdr:row>49</xdr:row>
          <xdr:rowOff>9525</xdr:rowOff>
        </xdr:from>
        <xdr:to>
          <xdr:col>1</xdr:col>
          <xdr:colOff>1571625</xdr:colOff>
          <xdr:row>49</xdr:row>
          <xdr:rowOff>171450</xdr:rowOff>
        </xdr:to>
        <xdr:sp macro="" textlink="">
          <xdr:nvSpPr>
            <xdr:cNvPr id="401507" name="Botón 99" hidden="1">
              <a:extLst>
                <a:ext uri="{63B3BB69-23CF-44E3-9099-C40C66FF867C}">
                  <a14:compatExt spid="_x0000_s401507"/>
                </a:ext>
                <a:ext uri="{FF2B5EF4-FFF2-40B4-BE49-F238E27FC236}">
                  <a16:creationId xmlns:a16="http://schemas.microsoft.com/office/drawing/2014/main" id="{00000000-0008-0000-0000-000063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1609725</xdr:colOff>
          <xdr:row>50</xdr:row>
          <xdr:rowOff>28575</xdr:rowOff>
        </xdr:from>
        <xdr:to>
          <xdr:col>1</xdr:col>
          <xdr:colOff>1914525</xdr:colOff>
          <xdr:row>50</xdr:row>
          <xdr:rowOff>171450</xdr:rowOff>
        </xdr:to>
        <xdr:sp macro="" textlink="">
          <xdr:nvSpPr>
            <xdr:cNvPr id="401508" name="Botón 100" hidden="1">
              <a:extLst>
                <a:ext uri="{63B3BB69-23CF-44E3-9099-C40C66FF867C}">
                  <a14:compatExt spid="_x0000_s401508"/>
                </a:ext>
                <a:ext uri="{FF2B5EF4-FFF2-40B4-BE49-F238E27FC236}">
                  <a16:creationId xmlns:a16="http://schemas.microsoft.com/office/drawing/2014/main" id="{00000000-0008-0000-0000-000064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1200150</xdr:colOff>
          <xdr:row>51</xdr:row>
          <xdr:rowOff>19050</xdr:rowOff>
        </xdr:from>
        <xdr:to>
          <xdr:col>1</xdr:col>
          <xdr:colOff>1552575</xdr:colOff>
          <xdr:row>51</xdr:row>
          <xdr:rowOff>171450</xdr:rowOff>
        </xdr:to>
        <xdr:sp macro="" textlink="">
          <xdr:nvSpPr>
            <xdr:cNvPr id="401512" name="Botón 104" hidden="1">
              <a:extLst>
                <a:ext uri="{63B3BB69-23CF-44E3-9099-C40C66FF867C}">
                  <a14:compatExt spid="_x0000_s401512"/>
                </a:ext>
                <a:ext uri="{FF2B5EF4-FFF2-40B4-BE49-F238E27FC236}">
                  <a16:creationId xmlns:a16="http://schemas.microsoft.com/office/drawing/2014/main" id="{00000000-0008-0000-0000-000068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1343025</xdr:colOff>
          <xdr:row>52</xdr:row>
          <xdr:rowOff>19050</xdr:rowOff>
        </xdr:from>
        <xdr:to>
          <xdr:col>1</xdr:col>
          <xdr:colOff>1600200</xdr:colOff>
          <xdr:row>52</xdr:row>
          <xdr:rowOff>161925</xdr:rowOff>
        </xdr:to>
        <xdr:sp macro="" textlink="">
          <xdr:nvSpPr>
            <xdr:cNvPr id="401513" name="Botón 105" hidden="1">
              <a:extLst>
                <a:ext uri="{63B3BB69-23CF-44E3-9099-C40C66FF867C}">
                  <a14:compatExt spid="_x0000_s401513"/>
                </a:ext>
                <a:ext uri="{FF2B5EF4-FFF2-40B4-BE49-F238E27FC236}">
                  <a16:creationId xmlns:a16="http://schemas.microsoft.com/office/drawing/2014/main" id="{00000000-0008-0000-0000-000069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1228725</xdr:colOff>
          <xdr:row>53</xdr:row>
          <xdr:rowOff>38100</xdr:rowOff>
        </xdr:from>
        <xdr:to>
          <xdr:col>1</xdr:col>
          <xdr:colOff>1504950</xdr:colOff>
          <xdr:row>53</xdr:row>
          <xdr:rowOff>190500</xdr:rowOff>
        </xdr:to>
        <xdr:sp macro="" textlink="">
          <xdr:nvSpPr>
            <xdr:cNvPr id="401514" name="Botón 106" hidden="1">
              <a:extLst>
                <a:ext uri="{63B3BB69-23CF-44E3-9099-C40C66FF867C}">
                  <a14:compatExt spid="_x0000_s401514"/>
                </a:ext>
                <a:ext uri="{FF2B5EF4-FFF2-40B4-BE49-F238E27FC236}">
                  <a16:creationId xmlns:a16="http://schemas.microsoft.com/office/drawing/2014/main" id="{00000000-0008-0000-0000-00006A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1695450</xdr:colOff>
          <xdr:row>22</xdr:row>
          <xdr:rowOff>28575</xdr:rowOff>
        </xdr:from>
        <xdr:to>
          <xdr:col>1</xdr:col>
          <xdr:colOff>1933575</xdr:colOff>
          <xdr:row>22</xdr:row>
          <xdr:rowOff>161925</xdr:rowOff>
        </xdr:to>
        <xdr:sp macro="" textlink="">
          <xdr:nvSpPr>
            <xdr:cNvPr id="401526" name="Botón 118" hidden="1">
              <a:extLst>
                <a:ext uri="{63B3BB69-23CF-44E3-9099-C40C66FF867C}">
                  <a14:compatExt spid="_x0000_s401526"/>
                </a:ext>
                <a:ext uri="{FF2B5EF4-FFF2-40B4-BE49-F238E27FC236}">
                  <a16:creationId xmlns:a16="http://schemas.microsoft.com/office/drawing/2014/main" id="{00000000-0008-0000-0000-000076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1238250</xdr:colOff>
          <xdr:row>54</xdr:row>
          <xdr:rowOff>28575</xdr:rowOff>
        </xdr:from>
        <xdr:to>
          <xdr:col>1</xdr:col>
          <xdr:colOff>1514475</xdr:colOff>
          <xdr:row>54</xdr:row>
          <xdr:rowOff>171450</xdr:rowOff>
        </xdr:to>
        <xdr:sp macro="" textlink="">
          <xdr:nvSpPr>
            <xdr:cNvPr id="401538" name="Botón 130" hidden="1">
              <a:extLst>
                <a:ext uri="{63B3BB69-23CF-44E3-9099-C40C66FF867C}">
                  <a14:compatExt spid="_x0000_s401538"/>
                </a:ext>
                <a:ext uri="{FF2B5EF4-FFF2-40B4-BE49-F238E27FC236}">
                  <a16:creationId xmlns:a16="http://schemas.microsoft.com/office/drawing/2014/main" id="{00000000-0008-0000-0000-000082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2428875</xdr:colOff>
          <xdr:row>55</xdr:row>
          <xdr:rowOff>28575</xdr:rowOff>
        </xdr:from>
        <xdr:to>
          <xdr:col>1</xdr:col>
          <xdr:colOff>2676525</xdr:colOff>
          <xdr:row>55</xdr:row>
          <xdr:rowOff>180975</xdr:rowOff>
        </xdr:to>
        <xdr:sp macro="" textlink="">
          <xdr:nvSpPr>
            <xdr:cNvPr id="401539" name="Botón 131" hidden="1">
              <a:extLst>
                <a:ext uri="{63B3BB69-23CF-44E3-9099-C40C66FF867C}">
                  <a14:compatExt spid="_x0000_s401539"/>
                </a:ext>
                <a:ext uri="{FF2B5EF4-FFF2-40B4-BE49-F238E27FC236}">
                  <a16:creationId xmlns:a16="http://schemas.microsoft.com/office/drawing/2014/main" id="{00000000-0008-0000-0000-000083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2105025</xdr:colOff>
          <xdr:row>56</xdr:row>
          <xdr:rowOff>28575</xdr:rowOff>
        </xdr:from>
        <xdr:to>
          <xdr:col>1</xdr:col>
          <xdr:colOff>2352675</xdr:colOff>
          <xdr:row>56</xdr:row>
          <xdr:rowOff>180975</xdr:rowOff>
        </xdr:to>
        <xdr:sp macro="" textlink="">
          <xdr:nvSpPr>
            <xdr:cNvPr id="401540" name="Botón 132" hidden="1">
              <a:extLst>
                <a:ext uri="{63B3BB69-23CF-44E3-9099-C40C66FF867C}">
                  <a14:compatExt spid="_x0000_s401540"/>
                </a:ext>
                <a:ext uri="{FF2B5EF4-FFF2-40B4-BE49-F238E27FC236}">
                  <a16:creationId xmlns:a16="http://schemas.microsoft.com/office/drawing/2014/main" id="{00000000-0008-0000-0000-000084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1838325</xdr:colOff>
          <xdr:row>57</xdr:row>
          <xdr:rowOff>47625</xdr:rowOff>
        </xdr:from>
        <xdr:to>
          <xdr:col>1</xdr:col>
          <xdr:colOff>2047875</xdr:colOff>
          <xdr:row>57</xdr:row>
          <xdr:rowOff>171450</xdr:rowOff>
        </xdr:to>
        <xdr:sp macro="" textlink="">
          <xdr:nvSpPr>
            <xdr:cNvPr id="401545" name="Botón 137" hidden="1">
              <a:extLst>
                <a:ext uri="{63B3BB69-23CF-44E3-9099-C40C66FF867C}">
                  <a14:compatExt spid="_x0000_s401545"/>
                </a:ext>
                <a:ext uri="{FF2B5EF4-FFF2-40B4-BE49-F238E27FC236}">
                  <a16:creationId xmlns:a16="http://schemas.microsoft.com/office/drawing/2014/main" id="{00000000-0008-0000-0000-000089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2124075</xdr:colOff>
          <xdr:row>58</xdr:row>
          <xdr:rowOff>28575</xdr:rowOff>
        </xdr:from>
        <xdr:to>
          <xdr:col>1</xdr:col>
          <xdr:colOff>2371725</xdr:colOff>
          <xdr:row>58</xdr:row>
          <xdr:rowOff>161925</xdr:rowOff>
        </xdr:to>
        <xdr:sp macro="" textlink="">
          <xdr:nvSpPr>
            <xdr:cNvPr id="401547" name="Botón 139" hidden="1">
              <a:extLst>
                <a:ext uri="{63B3BB69-23CF-44E3-9099-C40C66FF867C}">
                  <a14:compatExt spid="_x0000_s401547"/>
                </a:ext>
                <a:ext uri="{FF2B5EF4-FFF2-40B4-BE49-F238E27FC236}">
                  <a16:creationId xmlns:a16="http://schemas.microsoft.com/office/drawing/2014/main" id="{00000000-0008-0000-0000-00008B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1590675</xdr:colOff>
          <xdr:row>59</xdr:row>
          <xdr:rowOff>19050</xdr:rowOff>
        </xdr:from>
        <xdr:to>
          <xdr:col>1</xdr:col>
          <xdr:colOff>1800225</xdr:colOff>
          <xdr:row>59</xdr:row>
          <xdr:rowOff>142875</xdr:rowOff>
        </xdr:to>
        <xdr:sp macro="" textlink="">
          <xdr:nvSpPr>
            <xdr:cNvPr id="401549" name="Botón 141" hidden="1">
              <a:extLst>
                <a:ext uri="{63B3BB69-23CF-44E3-9099-C40C66FF867C}">
                  <a14:compatExt spid="_x0000_s401549"/>
                </a:ext>
                <a:ext uri="{FF2B5EF4-FFF2-40B4-BE49-F238E27FC236}">
                  <a16:creationId xmlns:a16="http://schemas.microsoft.com/office/drawing/2014/main" id="{00000000-0008-0000-0000-00008D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3366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1914525</xdr:colOff>
          <xdr:row>60</xdr:row>
          <xdr:rowOff>38100</xdr:rowOff>
        </xdr:from>
        <xdr:to>
          <xdr:col>1</xdr:col>
          <xdr:colOff>2133600</xdr:colOff>
          <xdr:row>60</xdr:row>
          <xdr:rowOff>180975</xdr:rowOff>
        </xdr:to>
        <xdr:sp macro="" textlink="">
          <xdr:nvSpPr>
            <xdr:cNvPr id="401550" name="Botón 142" hidden="1">
              <a:extLst>
                <a:ext uri="{63B3BB69-23CF-44E3-9099-C40C66FF867C}">
                  <a14:compatExt spid="_x0000_s401550"/>
                </a:ext>
                <a:ext uri="{FF2B5EF4-FFF2-40B4-BE49-F238E27FC236}">
                  <a16:creationId xmlns:a16="http://schemas.microsoft.com/office/drawing/2014/main" id="{00000000-0008-0000-0000-00008E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1876425</xdr:colOff>
          <xdr:row>63</xdr:row>
          <xdr:rowOff>0</xdr:rowOff>
        </xdr:from>
        <xdr:to>
          <xdr:col>1</xdr:col>
          <xdr:colOff>2143125</xdr:colOff>
          <xdr:row>63</xdr:row>
          <xdr:rowOff>180975</xdr:rowOff>
        </xdr:to>
        <xdr:sp macro="" textlink="">
          <xdr:nvSpPr>
            <xdr:cNvPr id="401553" name="Botón 145" hidden="1">
              <a:extLst>
                <a:ext uri="{63B3BB69-23CF-44E3-9099-C40C66FF867C}">
                  <a14:compatExt spid="_x0000_s401553"/>
                </a:ext>
                <a:ext uri="{FF2B5EF4-FFF2-40B4-BE49-F238E27FC236}">
                  <a16:creationId xmlns:a16="http://schemas.microsoft.com/office/drawing/2014/main" id="{00000000-0008-0000-0000-000091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1381125</xdr:colOff>
          <xdr:row>61</xdr:row>
          <xdr:rowOff>19050</xdr:rowOff>
        </xdr:from>
        <xdr:to>
          <xdr:col>1</xdr:col>
          <xdr:colOff>1704975</xdr:colOff>
          <xdr:row>61</xdr:row>
          <xdr:rowOff>180975</xdr:rowOff>
        </xdr:to>
        <xdr:sp macro="" textlink="">
          <xdr:nvSpPr>
            <xdr:cNvPr id="401555" name="Botón 147" hidden="1">
              <a:extLst>
                <a:ext uri="{63B3BB69-23CF-44E3-9099-C40C66FF867C}">
                  <a14:compatExt spid="_x0000_s401555"/>
                </a:ext>
                <a:ext uri="{FF2B5EF4-FFF2-40B4-BE49-F238E27FC236}">
                  <a16:creationId xmlns:a16="http://schemas.microsoft.com/office/drawing/2014/main" id="{00000000-0008-0000-0000-000093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3366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1676400</xdr:colOff>
          <xdr:row>19</xdr:row>
          <xdr:rowOff>180975</xdr:rowOff>
        </xdr:from>
        <xdr:to>
          <xdr:col>1</xdr:col>
          <xdr:colOff>1895475</xdr:colOff>
          <xdr:row>21</xdr:row>
          <xdr:rowOff>0</xdr:rowOff>
        </xdr:to>
        <xdr:sp macro="" textlink="">
          <xdr:nvSpPr>
            <xdr:cNvPr id="401556" name="Botón 148" hidden="1">
              <a:extLst>
                <a:ext uri="{63B3BB69-23CF-44E3-9099-C40C66FF867C}">
                  <a14:compatExt spid="_x0000_s401556"/>
                </a:ext>
                <a:ext uri="{FF2B5EF4-FFF2-40B4-BE49-F238E27FC236}">
                  <a16:creationId xmlns:a16="http://schemas.microsoft.com/office/drawing/2014/main" id="{00000000-0008-0000-0000-000094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3366FF"/>
                  </a:solidFill>
                  <a:latin typeface="Calibri"/>
                  <a:ea typeface="Calibri"/>
                  <a:cs typeface="Calibri"/>
                </a:rPr>
                <a:t>IR 148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1733550</xdr:colOff>
          <xdr:row>62</xdr:row>
          <xdr:rowOff>9525</xdr:rowOff>
        </xdr:from>
        <xdr:to>
          <xdr:col>1</xdr:col>
          <xdr:colOff>2000250</xdr:colOff>
          <xdr:row>62</xdr:row>
          <xdr:rowOff>180975</xdr:rowOff>
        </xdr:to>
        <xdr:sp macro="" textlink="">
          <xdr:nvSpPr>
            <xdr:cNvPr id="401557" name="Botón 149" hidden="1">
              <a:extLst>
                <a:ext uri="{63B3BB69-23CF-44E3-9099-C40C66FF867C}">
                  <a14:compatExt spid="_x0000_s401557"/>
                </a:ext>
                <a:ext uri="{FF2B5EF4-FFF2-40B4-BE49-F238E27FC236}">
                  <a16:creationId xmlns:a16="http://schemas.microsoft.com/office/drawing/2014/main" id="{00000000-0008-0000-0000-000095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1990725</xdr:colOff>
          <xdr:row>64</xdr:row>
          <xdr:rowOff>38100</xdr:rowOff>
        </xdr:from>
        <xdr:to>
          <xdr:col>1</xdr:col>
          <xdr:colOff>2181225</xdr:colOff>
          <xdr:row>64</xdr:row>
          <xdr:rowOff>180975</xdr:rowOff>
        </xdr:to>
        <xdr:sp macro="" textlink="">
          <xdr:nvSpPr>
            <xdr:cNvPr id="401559" name="Botón 151" hidden="1">
              <a:extLst>
                <a:ext uri="{63B3BB69-23CF-44E3-9099-C40C66FF867C}">
                  <a14:compatExt spid="_x0000_s401559"/>
                </a:ext>
                <a:ext uri="{FF2B5EF4-FFF2-40B4-BE49-F238E27FC236}">
                  <a16:creationId xmlns:a16="http://schemas.microsoft.com/office/drawing/2014/main" id="{00000000-0008-0000-0000-000097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1457325</xdr:colOff>
          <xdr:row>65</xdr:row>
          <xdr:rowOff>9525</xdr:rowOff>
        </xdr:from>
        <xdr:to>
          <xdr:col>1</xdr:col>
          <xdr:colOff>1666875</xdr:colOff>
          <xdr:row>65</xdr:row>
          <xdr:rowOff>161925</xdr:rowOff>
        </xdr:to>
        <xdr:sp macro="" textlink="">
          <xdr:nvSpPr>
            <xdr:cNvPr id="401563" name="Botón 155" hidden="1">
              <a:extLst>
                <a:ext uri="{63B3BB69-23CF-44E3-9099-C40C66FF867C}">
                  <a14:compatExt spid="_x0000_s401563"/>
                </a:ext>
                <a:ext uri="{FF2B5EF4-FFF2-40B4-BE49-F238E27FC236}">
                  <a16:creationId xmlns:a16="http://schemas.microsoft.com/office/drawing/2014/main" id="{00000000-0008-0000-0000-00009B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1657350</xdr:colOff>
          <xdr:row>66</xdr:row>
          <xdr:rowOff>28575</xdr:rowOff>
        </xdr:from>
        <xdr:to>
          <xdr:col>1</xdr:col>
          <xdr:colOff>1876425</xdr:colOff>
          <xdr:row>66</xdr:row>
          <xdr:rowOff>161925</xdr:rowOff>
        </xdr:to>
        <xdr:sp macro="" textlink="">
          <xdr:nvSpPr>
            <xdr:cNvPr id="401564" name="Botón 156" hidden="1">
              <a:extLst>
                <a:ext uri="{63B3BB69-23CF-44E3-9099-C40C66FF867C}">
                  <a14:compatExt spid="_x0000_s401564"/>
                </a:ext>
                <a:ext uri="{FF2B5EF4-FFF2-40B4-BE49-F238E27FC236}">
                  <a16:creationId xmlns:a16="http://schemas.microsoft.com/office/drawing/2014/main" id="{00000000-0008-0000-0000-00009C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1543050</xdr:colOff>
          <xdr:row>67</xdr:row>
          <xdr:rowOff>28575</xdr:rowOff>
        </xdr:from>
        <xdr:to>
          <xdr:col>1</xdr:col>
          <xdr:colOff>1771650</xdr:colOff>
          <xdr:row>67</xdr:row>
          <xdr:rowOff>161925</xdr:rowOff>
        </xdr:to>
        <xdr:sp macro="" textlink="">
          <xdr:nvSpPr>
            <xdr:cNvPr id="401565" name="Botón 157" hidden="1">
              <a:extLst>
                <a:ext uri="{63B3BB69-23CF-44E3-9099-C40C66FF867C}">
                  <a14:compatExt spid="_x0000_s401565"/>
                </a:ext>
                <a:ext uri="{FF2B5EF4-FFF2-40B4-BE49-F238E27FC236}">
                  <a16:creationId xmlns:a16="http://schemas.microsoft.com/office/drawing/2014/main" id="{00000000-0008-0000-0000-00009D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2914650</xdr:colOff>
          <xdr:row>37</xdr:row>
          <xdr:rowOff>9525</xdr:rowOff>
        </xdr:from>
        <xdr:to>
          <xdr:col>1</xdr:col>
          <xdr:colOff>3133725</xdr:colOff>
          <xdr:row>37</xdr:row>
          <xdr:rowOff>161925</xdr:rowOff>
        </xdr:to>
        <xdr:sp macro="" textlink="">
          <xdr:nvSpPr>
            <xdr:cNvPr id="401566" name="Botón 158" hidden="1">
              <a:extLst>
                <a:ext uri="{63B3BB69-23CF-44E3-9099-C40C66FF867C}">
                  <a14:compatExt spid="_x0000_s401566"/>
                </a:ext>
                <a:ext uri="{FF2B5EF4-FFF2-40B4-BE49-F238E27FC236}">
                  <a16:creationId xmlns:a16="http://schemas.microsoft.com/office/drawing/2014/main" id="{00000000-0008-0000-0000-00009E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1781175</xdr:colOff>
          <xdr:row>68</xdr:row>
          <xdr:rowOff>47625</xdr:rowOff>
        </xdr:from>
        <xdr:to>
          <xdr:col>1</xdr:col>
          <xdr:colOff>2000250</xdr:colOff>
          <xdr:row>68</xdr:row>
          <xdr:rowOff>171450</xdr:rowOff>
        </xdr:to>
        <xdr:sp macro="" textlink="">
          <xdr:nvSpPr>
            <xdr:cNvPr id="401568" name="Botón 160" hidden="1">
              <a:extLst>
                <a:ext uri="{63B3BB69-23CF-44E3-9099-C40C66FF867C}">
                  <a14:compatExt spid="_x0000_s401568"/>
                </a:ext>
                <a:ext uri="{FF2B5EF4-FFF2-40B4-BE49-F238E27FC236}">
                  <a16:creationId xmlns:a16="http://schemas.microsoft.com/office/drawing/2014/main" id="{00000000-0008-0000-0000-0000A0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1724025</xdr:colOff>
          <xdr:row>69</xdr:row>
          <xdr:rowOff>57150</xdr:rowOff>
        </xdr:from>
        <xdr:to>
          <xdr:col>1</xdr:col>
          <xdr:colOff>1990725</xdr:colOff>
          <xdr:row>69</xdr:row>
          <xdr:rowOff>171450</xdr:rowOff>
        </xdr:to>
        <xdr:sp macro="" textlink="">
          <xdr:nvSpPr>
            <xdr:cNvPr id="401569" name="Botón 161" hidden="1">
              <a:extLst>
                <a:ext uri="{63B3BB69-23CF-44E3-9099-C40C66FF867C}">
                  <a14:compatExt spid="_x0000_s401569"/>
                </a:ext>
                <a:ext uri="{FF2B5EF4-FFF2-40B4-BE49-F238E27FC236}">
                  <a16:creationId xmlns:a16="http://schemas.microsoft.com/office/drawing/2014/main" id="{00000000-0008-0000-0000-0000A1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71</xdr:row>
          <xdr:rowOff>28575</xdr:rowOff>
        </xdr:from>
        <xdr:to>
          <xdr:col>1</xdr:col>
          <xdr:colOff>1695450</xdr:colOff>
          <xdr:row>71</xdr:row>
          <xdr:rowOff>152400</xdr:rowOff>
        </xdr:to>
        <xdr:sp macro="" textlink="">
          <xdr:nvSpPr>
            <xdr:cNvPr id="401571" name="Botón 163" hidden="1">
              <a:extLst>
                <a:ext uri="{63B3BB69-23CF-44E3-9099-C40C66FF867C}">
                  <a14:compatExt spid="_x0000_s401571"/>
                </a:ext>
                <a:ext uri="{FF2B5EF4-FFF2-40B4-BE49-F238E27FC236}">
                  <a16:creationId xmlns:a16="http://schemas.microsoft.com/office/drawing/2014/main" id="{00000000-0008-0000-0000-0000A3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3366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1933575</xdr:colOff>
          <xdr:row>72</xdr:row>
          <xdr:rowOff>28575</xdr:rowOff>
        </xdr:from>
        <xdr:to>
          <xdr:col>1</xdr:col>
          <xdr:colOff>2124075</xdr:colOff>
          <xdr:row>72</xdr:row>
          <xdr:rowOff>161925</xdr:rowOff>
        </xdr:to>
        <xdr:sp macro="" textlink="">
          <xdr:nvSpPr>
            <xdr:cNvPr id="401572" name="Botón 164" hidden="1">
              <a:extLst>
                <a:ext uri="{63B3BB69-23CF-44E3-9099-C40C66FF867C}">
                  <a14:compatExt spid="_x0000_s401572"/>
                </a:ext>
                <a:ext uri="{FF2B5EF4-FFF2-40B4-BE49-F238E27FC236}">
                  <a16:creationId xmlns:a16="http://schemas.microsoft.com/office/drawing/2014/main" id="{00000000-0008-0000-0000-0000A4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r>
                <a:rPr lang="es-ES" sz="1100" b="0" i="0" u="none" strike="noStrike" baseline="0">
                  <a:solidFill>
                    <a:srgbClr val="000000"/>
                  </a:solidFill>
                  <a:latin typeface="Calibri"/>
                  <a:ea typeface="Calibri"/>
                  <a:cs typeface="Calibri"/>
                </a:rPr>
                <a:t>otón 164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1800225</xdr:colOff>
          <xdr:row>73</xdr:row>
          <xdr:rowOff>47625</xdr:rowOff>
        </xdr:from>
        <xdr:to>
          <xdr:col>1</xdr:col>
          <xdr:colOff>2000250</xdr:colOff>
          <xdr:row>74</xdr:row>
          <xdr:rowOff>0</xdr:rowOff>
        </xdr:to>
        <xdr:sp macro="" textlink="">
          <xdr:nvSpPr>
            <xdr:cNvPr id="401573" name="Botón 165" hidden="1">
              <a:extLst>
                <a:ext uri="{63B3BB69-23CF-44E3-9099-C40C66FF867C}">
                  <a14:compatExt spid="_x0000_s401573"/>
                </a:ext>
                <a:ext uri="{FF2B5EF4-FFF2-40B4-BE49-F238E27FC236}">
                  <a16:creationId xmlns:a16="http://schemas.microsoft.com/office/drawing/2014/main" id="{00000000-0008-0000-0000-0000A5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2981325</xdr:colOff>
          <xdr:row>70</xdr:row>
          <xdr:rowOff>28575</xdr:rowOff>
        </xdr:from>
        <xdr:to>
          <xdr:col>1</xdr:col>
          <xdr:colOff>3200400</xdr:colOff>
          <xdr:row>71</xdr:row>
          <xdr:rowOff>9525</xdr:rowOff>
        </xdr:to>
        <xdr:sp macro="" textlink="">
          <xdr:nvSpPr>
            <xdr:cNvPr id="401574" name="Botón 166" hidden="1">
              <a:extLst>
                <a:ext uri="{63B3BB69-23CF-44E3-9099-C40C66FF867C}">
                  <a14:compatExt spid="_x0000_s401574"/>
                </a:ext>
                <a:ext uri="{FF2B5EF4-FFF2-40B4-BE49-F238E27FC236}">
                  <a16:creationId xmlns:a16="http://schemas.microsoft.com/office/drawing/2014/main" id="{00000000-0008-0000-0000-0000A6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1552575</xdr:colOff>
          <xdr:row>74</xdr:row>
          <xdr:rowOff>38100</xdr:rowOff>
        </xdr:from>
        <xdr:to>
          <xdr:col>1</xdr:col>
          <xdr:colOff>1771650</xdr:colOff>
          <xdr:row>74</xdr:row>
          <xdr:rowOff>161925</xdr:rowOff>
        </xdr:to>
        <xdr:sp macro="" textlink="">
          <xdr:nvSpPr>
            <xdr:cNvPr id="401575" name="Botón 167" hidden="1">
              <a:extLst>
                <a:ext uri="{63B3BB69-23CF-44E3-9099-C40C66FF867C}">
                  <a14:compatExt spid="_x0000_s401575"/>
                </a:ext>
                <a:ext uri="{FF2B5EF4-FFF2-40B4-BE49-F238E27FC236}">
                  <a16:creationId xmlns:a16="http://schemas.microsoft.com/office/drawing/2014/main" id="{00000000-0008-0000-0000-0000A7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2771775</xdr:colOff>
          <xdr:row>75</xdr:row>
          <xdr:rowOff>28575</xdr:rowOff>
        </xdr:from>
        <xdr:to>
          <xdr:col>1</xdr:col>
          <xdr:colOff>2981325</xdr:colOff>
          <xdr:row>75</xdr:row>
          <xdr:rowOff>171450</xdr:rowOff>
        </xdr:to>
        <xdr:sp macro="" textlink="">
          <xdr:nvSpPr>
            <xdr:cNvPr id="401576" name="Botón 168" hidden="1">
              <a:extLst>
                <a:ext uri="{63B3BB69-23CF-44E3-9099-C40C66FF867C}">
                  <a14:compatExt spid="_x0000_s401576"/>
                </a:ext>
                <a:ext uri="{FF2B5EF4-FFF2-40B4-BE49-F238E27FC236}">
                  <a16:creationId xmlns:a16="http://schemas.microsoft.com/office/drawing/2014/main" id="{00000000-0008-0000-0000-0000A8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2305050</xdr:colOff>
          <xdr:row>76</xdr:row>
          <xdr:rowOff>28575</xdr:rowOff>
        </xdr:from>
        <xdr:to>
          <xdr:col>1</xdr:col>
          <xdr:colOff>2533650</xdr:colOff>
          <xdr:row>77</xdr:row>
          <xdr:rowOff>0</xdr:rowOff>
        </xdr:to>
        <xdr:sp macro="" textlink="">
          <xdr:nvSpPr>
            <xdr:cNvPr id="401578" name="Botón 170" hidden="1">
              <a:extLst>
                <a:ext uri="{63B3BB69-23CF-44E3-9099-C40C66FF867C}">
                  <a14:compatExt spid="_x0000_s401578"/>
                </a:ext>
                <a:ext uri="{FF2B5EF4-FFF2-40B4-BE49-F238E27FC236}">
                  <a16:creationId xmlns:a16="http://schemas.microsoft.com/office/drawing/2014/main" id="{00000000-0008-0000-0000-0000AA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3366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1466850</xdr:colOff>
          <xdr:row>77</xdr:row>
          <xdr:rowOff>28575</xdr:rowOff>
        </xdr:from>
        <xdr:to>
          <xdr:col>1</xdr:col>
          <xdr:colOff>1676400</xdr:colOff>
          <xdr:row>77</xdr:row>
          <xdr:rowOff>161925</xdr:rowOff>
        </xdr:to>
        <xdr:sp macro="" textlink="">
          <xdr:nvSpPr>
            <xdr:cNvPr id="401579" name="Botón 171" hidden="1">
              <a:extLst>
                <a:ext uri="{63B3BB69-23CF-44E3-9099-C40C66FF867C}">
                  <a14:compatExt spid="_x0000_s401579"/>
                </a:ext>
                <a:ext uri="{FF2B5EF4-FFF2-40B4-BE49-F238E27FC236}">
                  <a16:creationId xmlns:a16="http://schemas.microsoft.com/office/drawing/2014/main" id="{00000000-0008-0000-0000-0000AB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3366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2200275</xdr:colOff>
          <xdr:row>78</xdr:row>
          <xdr:rowOff>38100</xdr:rowOff>
        </xdr:from>
        <xdr:to>
          <xdr:col>1</xdr:col>
          <xdr:colOff>2400300</xdr:colOff>
          <xdr:row>79</xdr:row>
          <xdr:rowOff>0</xdr:rowOff>
        </xdr:to>
        <xdr:sp macro="" textlink="">
          <xdr:nvSpPr>
            <xdr:cNvPr id="401580" name="Botón 172" hidden="1">
              <a:extLst>
                <a:ext uri="{63B3BB69-23CF-44E3-9099-C40C66FF867C}">
                  <a14:compatExt spid="_x0000_s401580"/>
                </a:ext>
                <a:ext uri="{FF2B5EF4-FFF2-40B4-BE49-F238E27FC236}">
                  <a16:creationId xmlns:a16="http://schemas.microsoft.com/office/drawing/2014/main" id="{00000000-0008-0000-0000-0000AC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1933575</xdr:colOff>
          <xdr:row>80</xdr:row>
          <xdr:rowOff>47625</xdr:rowOff>
        </xdr:from>
        <xdr:to>
          <xdr:col>1</xdr:col>
          <xdr:colOff>2200275</xdr:colOff>
          <xdr:row>80</xdr:row>
          <xdr:rowOff>180975</xdr:rowOff>
        </xdr:to>
        <xdr:sp macro="" textlink="">
          <xdr:nvSpPr>
            <xdr:cNvPr id="401584" name="Botón 176" hidden="1">
              <a:extLst>
                <a:ext uri="{63B3BB69-23CF-44E3-9099-C40C66FF867C}">
                  <a14:compatExt spid="_x0000_s401584"/>
                </a:ext>
                <a:ext uri="{FF2B5EF4-FFF2-40B4-BE49-F238E27FC236}">
                  <a16:creationId xmlns:a16="http://schemas.microsoft.com/office/drawing/2014/main" id="{00000000-0008-0000-0000-0000B0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2314575</xdr:colOff>
          <xdr:row>81</xdr:row>
          <xdr:rowOff>47625</xdr:rowOff>
        </xdr:from>
        <xdr:to>
          <xdr:col>1</xdr:col>
          <xdr:colOff>2533650</xdr:colOff>
          <xdr:row>81</xdr:row>
          <xdr:rowOff>171450</xdr:rowOff>
        </xdr:to>
        <xdr:sp macro="" textlink="">
          <xdr:nvSpPr>
            <xdr:cNvPr id="401586" name="Botón 178" hidden="1">
              <a:extLst>
                <a:ext uri="{63B3BB69-23CF-44E3-9099-C40C66FF867C}">
                  <a14:compatExt spid="_x0000_s401586"/>
                </a:ext>
                <a:ext uri="{FF2B5EF4-FFF2-40B4-BE49-F238E27FC236}">
                  <a16:creationId xmlns:a16="http://schemas.microsoft.com/office/drawing/2014/main" id="{00000000-0008-0000-0000-0000B2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1609725</xdr:colOff>
          <xdr:row>79</xdr:row>
          <xdr:rowOff>38100</xdr:rowOff>
        </xdr:from>
        <xdr:to>
          <xdr:col>1</xdr:col>
          <xdr:colOff>1819275</xdr:colOff>
          <xdr:row>79</xdr:row>
          <xdr:rowOff>171450</xdr:rowOff>
        </xdr:to>
        <xdr:sp macro="" textlink="">
          <xdr:nvSpPr>
            <xdr:cNvPr id="401587" name="Botón 179" hidden="1">
              <a:extLst>
                <a:ext uri="{63B3BB69-23CF-44E3-9099-C40C66FF867C}">
                  <a14:compatExt spid="_x0000_s401587"/>
                </a:ext>
                <a:ext uri="{FF2B5EF4-FFF2-40B4-BE49-F238E27FC236}">
                  <a16:creationId xmlns:a16="http://schemas.microsoft.com/office/drawing/2014/main" id="{00000000-0008-0000-0000-0000B3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1600200</xdr:colOff>
          <xdr:row>8</xdr:row>
          <xdr:rowOff>38100</xdr:rowOff>
        </xdr:from>
        <xdr:to>
          <xdr:col>1</xdr:col>
          <xdr:colOff>1885950</xdr:colOff>
          <xdr:row>8</xdr:row>
          <xdr:rowOff>161925</xdr:rowOff>
        </xdr:to>
        <xdr:sp macro="" textlink="">
          <xdr:nvSpPr>
            <xdr:cNvPr id="401588" name="Botón 14" hidden="1">
              <a:extLst>
                <a:ext uri="{63B3BB69-23CF-44E3-9099-C40C66FF867C}">
                  <a14:compatExt spid="_x0000_s401588"/>
                </a:ext>
                <a:ext uri="{FF2B5EF4-FFF2-40B4-BE49-F238E27FC236}">
                  <a16:creationId xmlns:a16="http://schemas.microsoft.com/office/drawing/2014/main" id="{00000000-0008-0000-0000-0000B4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2628900</xdr:colOff>
          <xdr:row>82</xdr:row>
          <xdr:rowOff>9525</xdr:rowOff>
        </xdr:from>
        <xdr:to>
          <xdr:col>1</xdr:col>
          <xdr:colOff>2905125</xdr:colOff>
          <xdr:row>82</xdr:row>
          <xdr:rowOff>161925</xdr:rowOff>
        </xdr:to>
        <xdr:sp macro="" textlink="">
          <xdr:nvSpPr>
            <xdr:cNvPr id="401589" name="Botón 181" hidden="1">
              <a:extLst>
                <a:ext uri="{63B3BB69-23CF-44E3-9099-C40C66FF867C}">
                  <a14:compatExt spid="_x0000_s401589"/>
                </a:ext>
                <a:ext uri="{FF2B5EF4-FFF2-40B4-BE49-F238E27FC236}">
                  <a16:creationId xmlns:a16="http://schemas.microsoft.com/office/drawing/2014/main" id="{00000000-0008-0000-0000-0000B5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1676400</xdr:colOff>
          <xdr:row>14</xdr:row>
          <xdr:rowOff>19050</xdr:rowOff>
        </xdr:from>
        <xdr:to>
          <xdr:col>1</xdr:col>
          <xdr:colOff>1895475</xdr:colOff>
          <xdr:row>14</xdr:row>
          <xdr:rowOff>161925</xdr:rowOff>
        </xdr:to>
        <xdr:sp macro="" textlink="">
          <xdr:nvSpPr>
            <xdr:cNvPr id="401590" name="Botón 182" hidden="1">
              <a:extLst>
                <a:ext uri="{63B3BB69-23CF-44E3-9099-C40C66FF867C}">
                  <a14:compatExt spid="_x0000_s401590"/>
                </a:ext>
                <a:ext uri="{FF2B5EF4-FFF2-40B4-BE49-F238E27FC236}">
                  <a16:creationId xmlns:a16="http://schemas.microsoft.com/office/drawing/2014/main" id="{00000000-0008-0000-0000-0000B6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9</xdr:row>
          <xdr:rowOff>180975</xdr:rowOff>
        </xdr:from>
        <xdr:to>
          <xdr:col>5</xdr:col>
          <xdr:colOff>457200</xdr:colOff>
          <xdr:row>12</xdr:row>
          <xdr:rowOff>190500</xdr:rowOff>
        </xdr:to>
        <xdr:sp macro="" textlink="">
          <xdr:nvSpPr>
            <xdr:cNvPr id="401592" name="Botón 184" hidden="1">
              <a:extLst>
                <a:ext uri="{63B3BB69-23CF-44E3-9099-C40C66FF867C}">
                  <a14:compatExt spid="_x0000_s401592"/>
                </a:ext>
                <a:ext uri="{FF2B5EF4-FFF2-40B4-BE49-F238E27FC236}">
                  <a16:creationId xmlns:a16="http://schemas.microsoft.com/office/drawing/2014/main" id="{00000000-0008-0000-0000-0000B8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1704975</xdr:colOff>
          <xdr:row>83</xdr:row>
          <xdr:rowOff>9525</xdr:rowOff>
        </xdr:from>
        <xdr:to>
          <xdr:col>1</xdr:col>
          <xdr:colOff>1933575</xdr:colOff>
          <xdr:row>83</xdr:row>
          <xdr:rowOff>180975</xdr:rowOff>
        </xdr:to>
        <xdr:sp macro="" textlink="">
          <xdr:nvSpPr>
            <xdr:cNvPr id="401594" name="Botón 186" hidden="1">
              <a:extLst>
                <a:ext uri="{63B3BB69-23CF-44E3-9099-C40C66FF867C}">
                  <a14:compatExt spid="_x0000_s401594"/>
                </a:ext>
                <a:ext uri="{FF2B5EF4-FFF2-40B4-BE49-F238E27FC236}">
                  <a16:creationId xmlns:a16="http://schemas.microsoft.com/office/drawing/2014/main" id="{00000000-0008-0000-0000-0000BA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84</xdr:row>
          <xdr:rowOff>28575</xdr:rowOff>
        </xdr:from>
        <xdr:to>
          <xdr:col>1</xdr:col>
          <xdr:colOff>2238375</xdr:colOff>
          <xdr:row>84</xdr:row>
          <xdr:rowOff>180975</xdr:rowOff>
        </xdr:to>
        <xdr:sp macro="" textlink="">
          <xdr:nvSpPr>
            <xdr:cNvPr id="401597" name="Botón 189" hidden="1">
              <a:extLst>
                <a:ext uri="{63B3BB69-23CF-44E3-9099-C40C66FF867C}">
                  <a14:compatExt spid="_x0000_s401597"/>
                </a:ext>
                <a:ext uri="{FF2B5EF4-FFF2-40B4-BE49-F238E27FC236}">
                  <a16:creationId xmlns:a16="http://schemas.microsoft.com/office/drawing/2014/main" id="{00000000-0008-0000-0000-0000BD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2409825</xdr:colOff>
          <xdr:row>85</xdr:row>
          <xdr:rowOff>9525</xdr:rowOff>
        </xdr:from>
        <xdr:to>
          <xdr:col>1</xdr:col>
          <xdr:colOff>2638425</xdr:colOff>
          <xdr:row>85</xdr:row>
          <xdr:rowOff>180975</xdr:rowOff>
        </xdr:to>
        <xdr:sp macro="" textlink="">
          <xdr:nvSpPr>
            <xdr:cNvPr id="401599" name="Botón 191" hidden="1">
              <a:extLst>
                <a:ext uri="{63B3BB69-23CF-44E3-9099-C40C66FF867C}">
                  <a14:compatExt spid="_x0000_s401599"/>
                </a:ext>
                <a:ext uri="{FF2B5EF4-FFF2-40B4-BE49-F238E27FC236}">
                  <a16:creationId xmlns:a16="http://schemas.microsoft.com/office/drawing/2014/main" id="{00000000-0008-0000-0000-0000BF2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1438275</xdr:colOff>
          <xdr:row>21</xdr:row>
          <xdr:rowOff>28575</xdr:rowOff>
        </xdr:from>
        <xdr:to>
          <xdr:col>1</xdr:col>
          <xdr:colOff>2733675</xdr:colOff>
          <xdr:row>24</xdr:row>
          <xdr:rowOff>57150</xdr:rowOff>
        </xdr:to>
        <xdr:sp macro="" textlink="">
          <xdr:nvSpPr>
            <xdr:cNvPr id="662561" name="Botón 33" hidden="1">
              <a:extLst>
                <a:ext uri="{63B3BB69-23CF-44E3-9099-C40C66FF867C}">
                  <a14:compatExt spid="_x0000_s662561"/>
                </a:ext>
                <a:ext uri="{FF2B5EF4-FFF2-40B4-BE49-F238E27FC236}">
                  <a16:creationId xmlns:a16="http://schemas.microsoft.com/office/drawing/2014/main" id="{00000000-0008-0000-0100-0000211C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2076450</xdr:colOff>
          <xdr:row>6</xdr:row>
          <xdr:rowOff>47625</xdr:rowOff>
        </xdr:from>
        <xdr:to>
          <xdr:col>1</xdr:col>
          <xdr:colOff>2381250</xdr:colOff>
          <xdr:row>6</xdr:row>
          <xdr:rowOff>171450</xdr:rowOff>
        </xdr:to>
        <xdr:sp macro="" textlink="">
          <xdr:nvSpPr>
            <xdr:cNvPr id="662562" name="Botón 81" hidden="1">
              <a:extLst>
                <a:ext uri="{63B3BB69-23CF-44E3-9099-C40C66FF867C}">
                  <a14:compatExt spid="_x0000_s662562"/>
                </a:ext>
                <a:ext uri="{FF2B5EF4-FFF2-40B4-BE49-F238E27FC236}">
                  <a16:creationId xmlns:a16="http://schemas.microsoft.com/office/drawing/2014/main" id="{00000000-0008-0000-0100-0000221C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981075</xdr:colOff>
          <xdr:row>7</xdr:row>
          <xdr:rowOff>28575</xdr:rowOff>
        </xdr:from>
        <xdr:to>
          <xdr:col>1</xdr:col>
          <xdr:colOff>1228725</xdr:colOff>
          <xdr:row>7</xdr:row>
          <xdr:rowOff>161925</xdr:rowOff>
        </xdr:to>
        <xdr:sp macro="" textlink="">
          <xdr:nvSpPr>
            <xdr:cNvPr id="662563" name="Botón 89" hidden="1">
              <a:extLst>
                <a:ext uri="{63B3BB69-23CF-44E3-9099-C40C66FF867C}">
                  <a14:compatExt spid="_x0000_s662563"/>
                </a:ext>
                <a:ext uri="{FF2B5EF4-FFF2-40B4-BE49-F238E27FC236}">
                  <a16:creationId xmlns:a16="http://schemas.microsoft.com/office/drawing/2014/main" id="{00000000-0008-0000-0100-0000231C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3705225</xdr:colOff>
          <xdr:row>4</xdr:row>
          <xdr:rowOff>28575</xdr:rowOff>
        </xdr:from>
        <xdr:to>
          <xdr:col>1</xdr:col>
          <xdr:colOff>3990975</xdr:colOff>
          <xdr:row>4</xdr:row>
          <xdr:rowOff>152400</xdr:rowOff>
        </xdr:to>
        <xdr:sp macro="" textlink="">
          <xdr:nvSpPr>
            <xdr:cNvPr id="662568" name="Botón 14" hidden="1">
              <a:extLst>
                <a:ext uri="{63B3BB69-23CF-44E3-9099-C40C66FF867C}">
                  <a14:compatExt spid="_x0000_s662568"/>
                </a:ext>
                <a:ext uri="{FF2B5EF4-FFF2-40B4-BE49-F238E27FC236}">
                  <a16:creationId xmlns:a16="http://schemas.microsoft.com/office/drawing/2014/main" id="{00000000-0008-0000-0100-0000281C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3857625</xdr:colOff>
          <xdr:row>5</xdr:row>
          <xdr:rowOff>9525</xdr:rowOff>
        </xdr:from>
        <xdr:to>
          <xdr:col>1</xdr:col>
          <xdr:colOff>4143375</xdr:colOff>
          <xdr:row>5</xdr:row>
          <xdr:rowOff>142875</xdr:rowOff>
        </xdr:to>
        <xdr:sp macro="" textlink="">
          <xdr:nvSpPr>
            <xdr:cNvPr id="662569" name="Botón 14" hidden="1">
              <a:extLst>
                <a:ext uri="{63B3BB69-23CF-44E3-9099-C40C66FF867C}">
                  <a14:compatExt spid="_x0000_s662569"/>
                </a:ext>
                <a:ext uri="{FF2B5EF4-FFF2-40B4-BE49-F238E27FC236}">
                  <a16:creationId xmlns:a16="http://schemas.microsoft.com/office/drawing/2014/main" id="{00000000-0008-0000-0100-0000291C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2790825</xdr:colOff>
          <xdr:row>3</xdr:row>
          <xdr:rowOff>180975</xdr:rowOff>
        </xdr:from>
        <xdr:to>
          <xdr:col>1</xdr:col>
          <xdr:colOff>3009900</xdr:colOff>
          <xdr:row>4</xdr:row>
          <xdr:rowOff>0</xdr:rowOff>
        </xdr:to>
        <xdr:sp macro="" textlink="">
          <xdr:nvSpPr>
            <xdr:cNvPr id="662570" name="Botón 148" hidden="1">
              <a:extLst>
                <a:ext uri="{63B3BB69-23CF-44E3-9099-C40C66FF867C}">
                  <a14:compatExt spid="_x0000_s662570"/>
                </a:ext>
                <a:ext uri="{FF2B5EF4-FFF2-40B4-BE49-F238E27FC236}">
                  <a16:creationId xmlns:a16="http://schemas.microsoft.com/office/drawing/2014/main" id="{00000000-0008-0000-0100-00002A1C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3366FF"/>
                  </a:solidFill>
                  <a:latin typeface="Calibri"/>
                  <a:ea typeface="Calibri"/>
                  <a:cs typeface="Calibri"/>
                </a:rPr>
                <a:t>IR 148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1724025</xdr:colOff>
          <xdr:row>9</xdr:row>
          <xdr:rowOff>38100</xdr:rowOff>
        </xdr:from>
        <xdr:to>
          <xdr:col>1</xdr:col>
          <xdr:colOff>1990725</xdr:colOff>
          <xdr:row>9</xdr:row>
          <xdr:rowOff>171450</xdr:rowOff>
        </xdr:to>
        <xdr:sp macro="" textlink="">
          <xdr:nvSpPr>
            <xdr:cNvPr id="662573" name="Botón 176" hidden="1">
              <a:extLst>
                <a:ext uri="{63B3BB69-23CF-44E3-9099-C40C66FF867C}">
                  <a14:compatExt spid="_x0000_s662573"/>
                </a:ext>
                <a:ext uri="{FF2B5EF4-FFF2-40B4-BE49-F238E27FC236}">
                  <a16:creationId xmlns:a16="http://schemas.microsoft.com/office/drawing/2014/main" id="{00000000-0008-0000-0100-00002D1C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1581150</xdr:colOff>
          <xdr:row>8</xdr:row>
          <xdr:rowOff>19050</xdr:rowOff>
        </xdr:from>
        <xdr:to>
          <xdr:col>1</xdr:col>
          <xdr:colOff>1847850</xdr:colOff>
          <xdr:row>8</xdr:row>
          <xdr:rowOff>152400</xdr:rowOff>
        </xdr:to>
        <xdr:sp macro="" textlink="">
          <xdr:nvSpPr>
            <xdr:cNvPr id="662574" name="Botón 71" hidden="1">
              <a:extLst>
                <a:ext uri="{63B3BB69-23CF-44E3-9099-C40C66FF867C}">
                  <a14:compatExt spid="_x0000_s662574"/>
                </a:ext>
                <a:ext uri="{FF2B5EF4-FFF2-40B4-BE49-F238E27FC236}">
                  <a16:creationId xmlns:a16="http://schemas.microsoft.com/office/drawing/2014/main" id="{00000000-0008-0000-0100-00002E1C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2533650</xdr:colOff>
          <xdr:row>10</xdr:row>
          <xdr:rowOff>9525</xdr:rowOff>
        </xdr:from>
        <xdr:to>
          <xdr:col>1</xdr:col>
          <xdr:colOff>2781300</xdr:colOff>
          <xdr:row>10</xdr:row>
          <xdr:rowOff>161925</xdr:rowOff>
        </xdr:to>
        <xdr:sp macro="" textlink="">
          <xdr:nvSpPr>
            <xdr:cNvPr id="662575" name="Botón 131" hidden="1">
              <a:extLst>
                <a:ext uri="{63B3BB69-23CF-44E3-9099-C40C66FF867C}">
                  <a14:compatExt spid="_x0000_s662575"/>
                </a:ext>
                <a:ext uri="{FF2B5EF4-FFF2-40B4-BE49-F238E27FC236}">
                  <a16:creationId xmlns:a16="http://schemas.microsoft.com/office/drawing/2014/main" id="{00000000-0008-0000-0100-00002F1C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2743200</xdr:colOff>
          <xdr:row>11</xdr:row>
          <xdr:rowOff>9525</xdr:rowOff>
        </xdr:from>
        <xdr:to>
          <xdr:col>1</xdr:col>
          <xdr:colOff>2981325</xdr:colOff>
          <xdr:row>11</xdr:row>
          <xdr:rowOff>161925</xdr:rowOff>
        </xdr:to>
        <xdr:sp macro="" textlink="">
          <xdr:nvSpPr>
            <xdr:cNvPr id="662576" name="Botón 73" hidden="1">
              <a:extLst>
                <a:ext uri="{63B3BB69-23CF-44E3-9099-C40C66FF867C}">
                  <a14:compatExt spid="_x0000_s662576"/>
                </a:ext>
                <a:ext uri="{FF2B5EF4-FFF2-40B4-BE49-F238E27FC236}">
                  <a16:creationId xmlns:a16="http://schemas.microsoft.com/office/drawing/2014/main" id="{00000000-0008-0000-0100-0000301C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1562100</xdr:colOff>
          <xdr:row>12</xdr:row>
          <xdr:rowOff>38100</xdr:rowOff>
        </xdr:from>
        <xdr:to>
          <xdr:col>1</xdr:col>
          <xdr:colOff>1800225</xdr:colOff>
          <xdr:row>12</xdr:row>
          <xdr:rowOff>171450</xdr:rowOff>
        </xdr:to>
        <xdr:sp macro="" textlink="">
          <xdr:nvSpPr>
            <xdr:cNvPr id="662577" name="Botón 10" hidden="1">
              <a:extLst>
                <a:ext uri="{63B3BB69-23CF-44E3-9099-C40C66FF867C}">
                  <a14:compatExt spid="_x0000_s662577"/>
                </a:ext>
                <a:ext uri="{FF2B5EF4-FFF2-40B4-BE49-F238E27FC236}">
                  <a16:creationId xmlns:a16="http://schemas.microsoft.com/office/drawing/2014/main" id="{00000000-0008-0000-0100-0000311C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2276475</xdr:colOff>
          <xdr:row>13</xdr:row>
          <xdr:rowOff>9525</xdr:rowOff>
        </xdr:from>
        <xdr:to>
          <xdr:col>1</xdr:col>
          <xdr:colOff>2562225</xdr:colOff>
          <xdr:row>13</xdr:row>
          <xdr:rowOff>161925</xdr:rowOff>
        </xdr:to>
        <xdr:sp macro="" textlink="">
          <xdr:nvSpPr>
            <xdr:cNvPr id="662578" name="Botón 66" hidden="1">
              <a:extLst>
                <a:ext uri="{63B3BB69-23CF-44E3-9099-C40C66FF867C}">
                  <a14:compatExt spid="_x0000_s662578"/>
                </a:ext>
                <a:ext uri="{FF2B5EF4-FFF2-40B4-BE49-F238E27FC236}">
                  <a16:creationId xmlns:a16="http://schemas.microsoft.com/office/drawing/2014/main" id="{00000000-0008-0000-0100-0000321C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14</xdr:row>
          <xdr:rowOff>0</xdr:rowOff>
        </xdr:from>
        <xdr:to>
          <xdr:col>1</xdr:col>
          <xdr:colOff>1952625</xdr:colOff>
          <xdr:row>14</xdr:row>
          <xdr:rowOff>161925</xdr:rowOff>
        </xdr:to>
        <xdr:sp macro="" textlink="">
          <xdr:nvSpPr>
            <xdr:cNvPr id="662580" name="Botón 147" hidden="1">
              <a:extLst>
                <a:ext uri="{63B3BB69-23CF-44E3-9099-C40C66FF867C}">
                  <a14:compatExt spid="_x0000_s662580"/>
                </a:ext>
                <a:ext uri="{FF2B5EF4-FFF2-40B4-BE49-F238E27FC236}">
                  <a16:creationId xmlns:a16="http://schemas.microsoft.com/office/drawing/2014/main" id="{00000000-0008-0000-0100-0000341C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3366FF"/>
                  </a:solidFill>
                  <a:latin typeface="Calibri"/>
                  <a:ea typeface="Calibri"/>
                  <a:cs typeface="Calibri"/>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1162050</xdr:colOff>
          <xdr:row>15</xdr:row>
          <xdr:rowOff>28575</xdr:rowOff>
        </xdr:from>
        <xdr:to>
          <xdr:col>1</xdr:col>
          <xdr:colOff>1466850</xdr:colOff>
          <xdr:row>15</xdr:row>
          <xdr:rowOff>180975</xdr:rowOff>
        </xdr:to>
        <xdr:sp macro="" textlink="">
          <xdr:nvSpPr>
            <xdr:cNvPr id="662581" name="Botón 25" hidden="1">
              <a:extLst>
                <a:ext uri="{63B3BB69-23CF-44E3-9099-C40C66FF867C}">
                  <a14:compatExt spid="_x0000_s662581"/>
                </a:ext>
                <a:ext uri="{FF2B5EF4-FFF2-40B4-BE49-F238E27FC236}">
                  <a16:creationId xmlns:a16="http://schemas.microsoft.com/office/drawing/2014/main" id="{00000000-0008-0000-0100-0000351C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FF"/>
                  </a:solidFill>
                  <a:latin typeface="Calibri"/>
                  <a:ea typeface="Calibri"/>
                  <a:cs typeface="Calibri"/>
                </a:rPr>
                <a:t>IR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390525</xdr:colOff>
          <xdr:row>25</xdr:row>
          <xdr:rowOff>152400</xdr:rowOff>
        </xdr:from>
        <xdr:to>
          <xdr:col>1</xdr:col>
          <xdr:colOff>1685925</xdr:colOff>
          <xdr:row>29</xdr:row>
          <xdr:rowOff>0</xdr:rowOff>
        </xdr:to>
        <xdr:sp macro="" textlink="">
          <xdr:nvSpPr>
            <xdr:cNvPr id="663556" name="Botón 4" hidden="1">
              <a:extLst>
                <a:ext uri="{63B3BB69-23CF-44E3-9099-C40C66FF867C}">
                  <a14:compatExt spid="_x0000_s663556"/>
                </a:ext>
                <a:ext uri="{FF2B5EF4-FFF2-40B4-BE49-F238E27FC236}">
                  <a16:creationId xmlns:a16="http://schemas.microsoft.com/office/drawing/2014/main" id="{00000000-0008-0000-0200-00000420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1076325</xdr:colOff>
          <xdr:row>0</xdr:row>
          <xdr:rowOff>257175</xdr:rowOff>
        </xdr:to>
        <xdr:sp macro="" textlink="">
          <xdr:nvSpPr>
            <xdr:cNvPr id="116754" name="Button 1" hidden="1">
              <a:extLst>
                <a:ext uri="{63B3BB69-23CF-44E3-9099-C40C66FF867C}">
                  <a14:compatExt spid="_x0000_s116754"/>
                </a:ext>
                <a:ext uri="{FF2B5EF4-FFF2-40B4-BE49-F238E27FC236}">
                  <a16:creationId xmlns:a16="http://schemas.microsoft.com/office/drawing/2014/main" id="{00000000-0008-0000-0300-000012C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390525</xdr:colOff>
          <xdr:row>77</xdr:row>
          <xdr:rowOff>47625</xdr:rowOff>
        </xdr:from>
        <xdr:to>
          <xdr:col>1</xdr:col>
          <xdr:colOff>1685925</xdr:colOff>
          <xdr:row>80</xdr:row>
          <xdr:rowOff>76200</xdr:rowOff>
        </xdr:to>
        <xdr:sp macro="" textlink="">
          <xdr:nvSpPr>
            <xdr:cNvPr id="116762" name="Botón 26" hidden="1">
              <a:extLst>
                <a:ext uri="{63B3BB69-23CF-44E3-9099-C40C66FF867C}">
                  <a14:compatExt spid="_x0000_s116762"/>
                </a:ext>
                <a:ext uri="{FF2B5EF4-FFF2-40B4-BE49-F238E27FC236}">
                  <a16:creationId xmlns:a16="http://schemas.microsoft.com/office/drawing/2014/main" id="{00000000-0008-0000-0300-00001AC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2</xdr:col>
          <xdr:colOff>47625</xdr:colOff>
          <xdr:row>1</xdr:row>
          <xdr:rowOff>9525</xdr:rowOff>
        </xdr:to>
        <xdr:sp macro="" textlink="">
          <xdr:nvSpPr>
            <xdr:cNvPr id="510980" name="Button 1" hidden="1">
              <a:extLst>
                <a:ext uri="{63B3BB69-23CF-44E3-9099-C40C66FF867C}">
                  <a14:compatExt spid="_x0000_s510980"/>
                </a:ext>
                <a:ext uri="{FF2B5EF4-FFF2-40B4-BE49-F238E27FC236}">
                  <a16:creationId xmlns:a16="http://schemas.microsoft.com/office/drawing/2014/main" id="{00000000-0008-0000-0400-000004CC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714375</xdr:colOff>
          <xdr:row>9</xdr:row>
          <xdr:rowOff>123825</xdr:rowOff>
        </xdr:from>
        <xdr:to>
          <xdr:col>2</xdr:col>
          <xdr:colOff>228600</xdr:colOff>
          <xdr:row>12</xdr:row>
          <xdr:rowOff>161925</xdr:rowOff>
        </xdr:to>
        <xdr:sp macro="" textlink="">
          <xdr:nvSpPr>
            <xdr:cNvPr id="510984" name="Botón 8" hidden="1">
              <a:extLst>
                <a:ext uri="{63B3BB69-23CF-44E3-9099-C40C66FF867C}">
                  <a14:compatExt spid="_x0000_s510984"/>
                </a:ext>
                <a:ext uri="{FF2B5EF4-FFF2-40B4-BE49-F238E27FC236}">
                  <a16:creationId xmlns:a16="http://schemas.microsoft.com/office/drawing/2014/main" id="{00000000-0008-0000-0400-000008C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2</xdr:col>
          <xdr:colOff>323850</xdr:colOff>
          <xdr:row>1</xdr:row>
          <xdr:rowOff>9525</xdr:rowOff>
        </xdr:to>
        <xdr:sp macro="" textlink="">
          <xdr:nvSpPr>
            <xdr:cNvPr id="21512" name="Button 1" hidden="1">
              <a:extLst>
                <a:ext uri="{63B3BB69-23CF-44E3-9099-C40C66FF867C}">
                  <a14:compatExt spid="_x0000_s21512"/>
                </a:ext>
                <a:ext uri="{FF2B5EF4-FFF2-40B4-BE49-F238E27FC236}">
                  <a16:creationId xmlns:a16="http://schemas.microsoft.com/office/drawing/2014/main" id="{00000000-0008-0000-0500-000008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666750</xdr:colOff>
          <xdr:row>59</xdr:row>
          <xdr:rowOff>19050</xdr:rowOff>
        </xdr:from>
        <xdr:to>
          <xdr:col>2</xdr:col>
          <xdr:colOff>447675</xdr:colOff>
          <xdr:row>62</xdr:row>
          <xdr:rowOff>47625</xdr:rowOff>
        </xdr:to>
        <xdr:sp macro="" textlink="">
          <xdr:nvSpPr>
            <xdr:cNvPr id="21517" name="Botón 13" hidden="1">
              <a:extLst>
                <a:ext uri="{63B3BB69-23CF-44E3-9099-C40C66FF867C}">
                  <a14:compatExt spid="_x0000_s21517"/>
                </a:ext>
                <a:ext uri="{FF2B5EF4-FFF2-40B4-BE49-F238E27FC236}">
                  <a16:creationId xmlns:a16="http://schemas.microsoft.com/office/drawing/2014/main" id="{00000000-0008-0000-0500-00000D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0</xdr:row>
          <xdr:rowOff>0</xdr:rowOff>
        </xdr:from>
        <xdr:to>
          <xdr:col>3</xdr:col>
          <xdr:colOff>371475</xdr:colOff>
          <xdr:row>1</xdr:row>
          <xdr:rowOff>28575</xdr:rowOff>
        </xdr:to>
        <xdr:sp macro="" textlink="">
          <xdr:nvSpPr>
            <xdr:cNvPr id="227331" name="Button 1" hidden="1">
              <a:extLst>
                <a:ext uri="{63B3BB69-23CF-44E3-9099-C40C66FF867C}">
                  <a14:compatExt spid="_x0000_s227331"/>
                </a:ext>
                <a:ext uri="{FF2B5EF4-FFF2-40B4-BE49-F238E27FC236}">
                  <a16:creationId xmlns:a16="http://schemas.microsoft.com/office/drawing/2014/main" id="{00000000-0008-0000-0600-0000037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666750</xdr:colOff>
          <xdr:row>144</xdr:row>
          <xdr:rowOff>66675</xdr:rowOff>
        </xdr:from>
        <xdr:to>
          <xdr:col>3</xdr:col>
          <xdr:colOff>600075</xdr:colOff>
          <xdr:row>147</xdr:row>
          <xdr:rowOff>104775</xdr:rowOff>
        </xdr:to>
        <xdr:sp macro="" textlink="">
          <xdr:nvSpPr>
            <xdr:cNvPr id="227341" name="Botón 13" hidden="1">
              <a:extLst>
                <a:ext uri="{63B3BB69-23CF-44E3-9099-C40C66FF867C}">
                  <a14:compatExt spid="_x0000_s227341"/>
                </a:ext>
                <a:ext uri="{FF2B5EF4-FFF2-40B4-BE49-F238E27FC236}">
                  <a16:creationId xmlns:a16="http://schemas.microsoft.com/office/drawing/2014/main" id="{00000000-0008-0000-0600-00000D7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2</xdr:col>
          <xdr:colOff>323850</xdr:colOff>
          <xdr:row>0</xdr:row>
          <xdr:rowOff>257175</xdr:rowOff>
        </xdr:to>
        <xdr:sp macro="" textlink="">
          <xdr:nvSpPr>
            <xdr:cNvPr id="569346" name="Button 1" hidden="1">
              <a:extLst>
                <a:ext uri="{63B3BB69-23CF-44E3-9099-C40C66FF867C}">
                  <a14:compatExt spid="_x0000_s569346"/>
                </a:ext>
                <a:ext uri="{FF2B5EF4-FFF2-40B4-BE49-F238E27FC236}">
                  <a16:creationId xmlns:a16="http://schemas.microsoft.com/office/drawing/2014/main" id="{00000000-0008-0000-0700-000002B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666750</xdr:colOff>
          <xdr:row>25</xdr:row>
          <xdr:rowOff>47625</xdr:rowOff>
        </xdr:from>
        <xdr:to>
          <xdr:col>4</xdr:col>
          <xdr:colOff>447675</xdr:colOff>
          <xdr:row>28</xdr:row>
          <xdr:rowOff>76200</xdr:rowOff>
        </xdr:to>
        <xdr:sp macro="" textlink="">
          <xdr:nvSpPr>
            <xdr:cNvPr id="569351" name="Botón 7" hidden="1">
              <a:extLst>
                <a:ext uri="{63B3BB69-23CF-44E3-9099-C40C66FF867C}">
                  <a14:compatExt spid="_x0000_s569351"/>
                </a:ext>
                <a:ext uri="{FF2B5EF4-FFF2-40B4-BE49-F238E27FC236}">
                  <a16:creationId xmlns:a16="http://schemas.microsoft.com/office/drawing/2014/main" id="{00000000-0008-0000-0700-000007B0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2</xdr:col>
          <xdr:colOff>200025</xdr:colOff>
          <xdr:row>0</xdr:row>
          <xdr:rowOff>257175</xdr:rowOff>
        </xdr:to>
        <xdr:sp macro="" textlink="">
          <xdr:nvSpPr>
            <xdr:cNvPr id="570371" name="Button 1" hidden="1">
              <a:extLst>
                <a:ext uri="{63B3BB69-23CF-44E3-9099-C40C66FF867C}">
                  <a14:compatExt spid="_x0000_s570371"/>
                </a:ext>
                <a:ext uri="{FF2B5EF4-FFF2-40B4-BE49-F238E27FC236}">
                  <a16:creationId xmlns:a16="http://schemas.microsoft.com/office/drawing/2014/main" id="{00000000-0008-0000-0800-000003B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247650</xdr:colOff>
          <xdr:row>72</xdr:row>
          <xdr:rowOff>38100</xdr:rowOff>
        </xdr:from>
        <xdr:to>
          <xdr:col>2</xdr:col>
          <xdr:colOff>409575</xdr:colOff>
          <xdr:row>75</xdr:row>
          <xdr:rowOff>0</xdr:rowOff>
        </xdr:to>
        <xdr:sp macro="" textlink="">
          <xdr:nvSpPr>
            <xdr:cNvPr id="570382" name="Botón 128" hidden="1">
              <a:extLst>
                <a:ext uri="{63B3BB69-23CF-44E3-9099-C40C66FF867C}">
                  <a14:compatExt spid="_x0000_s570382"/>
                </a:ext>
                <a:ext uri="{FF2B5EF4-FFF2-40B4-BE49-F238E27FC236}">
                  <a16:creationId xmlns:a16="http://schemas.microsoft.com/office/drawing/2014/main" id="{00000000-0008-0000-0800-00000EB4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FF"/>
                  </a:solidFill>
                  <a:latin typeface="Calibri"/>
                  <a:ea typeface="Calibri"/>
                  <a:cs typeface="Calibri"/>
                </a:rPr>
                <a:t>DETALLE VUELOS B200 2025</a:t>
              </a:r>
            </a:p>
            <a:p>
              <a:pPr algn="ctr" rtl="0">
                <a:defRPr sz="1000"/>
              </a:pPr>
              <a:endParaRPr lang="es-ES" sz="1200" b="1" i="0" u="none" strike="noStrike" baseline="0">
                <a:solidFill>
                  <a:srgbClr val="0000FF"/>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666750</xdr:colOff>
          <xdr:row>50</xdr:row>
          <xdr:rowOff>180975</xdr:rowOff>
        </xdr:from>
        <xdr:to>
          <xdr:col>3</xdr:col>
          <xdr:colOff>447675</xdr:colOff>
          <xdr:row>54</xdr:row>
          <xdr:rowOff>0</xdr:rowOff>
        </xdr:to>
        <xdr:sp macro="" textlink="">
          <xdr:nvSpPr>
            <xdr:cNvPr id="570384" name="Botón 16" hidden="1">
              <a:extLst>
                <a:ext uri="{63B3BB69-23CF-44E3-9099-C40C66FF867C}">
                  <a14:compatExt spid="_x0000_s570384"/>
                </a:ext>
                <a:ext uri="{FF2B5EF4-FFF2-40B4-BE49-F238E27FC236}">
                  <a16:creationId xmlns:a16="http://schemas.microsoft.com/office/drawing/2014/main" id="{00000000-0008-0000-0800-000010B4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1076325</xdr:colOff>
          <xdr:row>0</xdr:row>
          <xdr:rowOff>257175</xdr:rowOff>
        </xdr:to>
        <xdr:sp macro="" textlink="">
          <xdr:nvSpPr>
            <xdr:cNvPr id="1048" name="Button 1" hidden="1">
              <a:extLst>
                <a:ext uri="{63B3BB69-23CF-44E3-9099-C40C66FF867C}">
                  <a14:compatExt spid="_x0000_s1048"/>
                </a:ext>
                <a:ext uri="{FF2B5EF4-FFF2-40B4-BE49-F238E27FC236}">
                  <a16:creationId xmlns:a16="http://schemas.microsoft.com/office/drawing/2014/main" id="{00000000-0008-0000-0900-00001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177</xdr:row>
          <xdr:rowOff>38100</xdr:rowOff>
        </xdr:from>
        <xdr:to>
          <xdr:col>2</xdr:col>
          <xdr:colOff>114300</xdr:colOff>
          <xdr:row>180</xdr:row>
          <xdr:rowOff>66675</xdr:rowOff>
        </xdr:to>
        <xdr:sp macro="" textlink="">
          <xdr:nvSpPr>
            <xdr:cNvPr id="1056" name="Botón 32" hidden="1">
              <a:extLst>
                <a:ext uri="{63B3BB69-23CF-44E3-9099-C40C66FF867C}">
                  <a14:compatExt spid="_x0000_s1056"/>
                </a:ext>
                <a:ext uri="{FF2B5EF4-FFF2-40B4-BE49-F238E27FC236}">
                  <a16:creationId xmlns:a16="http://schemas.microsoft.com/office/drawing/2014/main" id="{00000000-0008-0000-0900-00002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2</xdr:col>
          <xdr:colOff>276225</xdr:colOff>
          <xdr:row>1</xdr:row>
          <xdr:rowOff>0</xdr:rowOff>
        </xdr:to>
        <xdr:sp macro="" textlink="">
          <xdr:nvSpPr>
            <xdr:cNvPr id="8203" name="Button 1" hidden="1">
              <a:extLst>
                <a:ext uri="{63B3BB69-23CF-44E3-9099-C40C66FF867C}">
                  <a14:compatExt spid="_x0000_s8203"/>
                </a:ext>
                <a:ext uri="{FF2B5EF4-FFF2-40B4-BE49-F238E27FC236}">
                  <a16:creationId xmlns:a16="http://schemas.microsoft.com/office/drawing/2014/main" id="{00000000-0008-0000-0A00-00000B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666750</xdr:colOff>
          <xdr:row>88</xdr:row>
          <xdr:rowOff>38100</xdr:rowOff>
        </xdr:from>
        <xdr:to>
          <xdr:col>3</xdr:col>
          <xdr:colOff>285750</xdr:colOff>
          <xdr:row>91</xdr:row>
          <xdr:rowOff>66675</xdr:rowOff>
        </xdr:to>
        <xdr:sp macro="" textlink="">
          <xdr:nvSpPr>
            <xdr:cNvPr id="8214" name="Botón 22" hidden="1">
              <a:extLst>
                <a:ext uri="{63B3BB69-23CF-44E3-9099-C40C66FF867C}">
                  <a14:compatExt spid="_x0000_s8214"/>
                </a:ext>
                <a:ext uri="{FF2B5EF4-FFF2-40B4-BE49-F238E27FC236}">
                  <a16:creationId xmlns:a16="http://schemas.microsoft.com/office/drawing/2014/main" id="{00000000-0008-0000-0A00-000016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0</xdr:row>
          <xdr:rowOff>0</xdr:rowOff>
        </xdr:from>
        <xdr:to>
          <xdr:col>3</xdr:col>
          <xdr:colOff>228600</xdr:colOff>
          <xdr:row>0</xdr:row>
          <xdr:rowOff>257175</xdr:rowOff>
        </xdr:to>
        <xdr:sp macro="" textlink="">
          <xdr:nvSpPr>
            <xdr:cNvPr id="571394" name="Button 1" hidden="1">
              <a:extLst>
                <a:ext uri="{63B3BB69-23CF-44E3-9099-C40C66FF867C}">
                  <a14:compatExt spid="_x0000_s571394"/>
                </a:ext>
                <a:ext uri="{FF2B5EF4-FFF2-40B4-BE49-F238E27FC236}">
                  <a16:creationId xmlns:a16="http://schemas.microsoft.com/office/drawing/2014/main" id="{00000000-0008-0000-0B00-000002B8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666750</xdr:colOff>
          <xdr:row>14</xdr:row>
          <xdr:rowOff>0</xdr:rowOff>
        </xdr:from>
        <xdr:to>
          <xdr:col>3</xdr:col>
          <xdr:colOff>352425</xdr:colOff>
          <xdr:row>17</xdr:row>
          <xdr:rowOff>28575</xdr:rowOff>
        </xdr:to>
        <xdr:sp macro="" textlink="">
          <xdr:nvSpPr>
            <xdr:cNvPr id="571400" name="Botón 8" hidden="1">
              <a:extLst>
                <a:ext uri="{63B3BB69-23CF-44E3-9099-C40C66FF867C}">
                  <a14:compatExt spid="_x0000_s571400"/>
                </a:ext>
                <a:ext uri="{FF2B5EF4-FFF2-40B4-BE49-F238E27FC236}">
                  <a16:creationId xmlns:a16="http://schemas.microsoft.com/office/drawing/2014/main" id="{00000000-0008-0000-0B00-000008B8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2</xdr:col>
          <xdr:colOff>323850</xdr:colOff>
          <xdr:row>0</xdr:row>
          <xdr:rowOff>257175</xdr:rowOff>
        </xdr:to>
        <xdr:sp macro="" textlink="">
          <xdr:nvSpPr>
            <xdr:cNvPr id="572421" name="Button 1" hidden="1">
              <a:extLst>
                <a:ext uri="{63B3BB69-23CF-44E3-9099-C40C66FF867C}">
                  <a14:compatExt spid="_x0000_s572421"/>
                </a:ext>
                <a:ext uri="{FF2B5EF4-FFF2-40B4-BE49-F238E27FC236}">
                  <a16:creationId xmlns:a16="http://schemas.microsoft.com/office/drawing/2014/main" id="{00000000-0008-0000-0C00-000005B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666750</xdr:colOff>
          <xdr:row>93</xdr:row>
          <xdr:rowOff>180975</xdr:rowOff>
        </xdr:from>
        <xdr:to>
          <xdr:col>2</xdr:col>
          <xdr:colOff>447675</xdr:colOff>
          <xdr:row>97</xdr:row>
          <xdr:rowOff>28575</xdr:rowOff>
        </xdr:to>
        <xdr:sp macro="" textlink="">
          <xdr:nvSpPr>
            <xdr:cNvPr id="572436" name="Botón 20" hidden="1">
              <a:extLst>
                <a:ext uri="{63B3BB69-23CF-44E3-9099-C40C66FF867C}">
                  <a14:compatExt spid="_x0000_s572436"/>
                </a:ext>
                <a:ext uri="{FF2B5EF4-FFF2-40B4-BE49-F238E27FC236}">
                  <a16:creationId xmlns:a16="http://schemas.microsoft.com/office/drawing/2014/main" id="{00000000-0008-0000-0C00-000014BC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2</xdr:col>
          <xdr:colOff>323850</xdr:colOff>
          <xdr:row>0</xdr:row>
          <xdr:rowOff>257175</xdr:rowOff>
        </xdr:to>
        <xdr:sp macro="" textlink="">
          <xdr:nvSpPr>
            <xdr:cNvPr id="573444" name="Button 1" hidden="1">
              <a:extLst>
                <a:ext uri="{63B3BB69-23CF-44E3-9099-C40C66FF867C}">
                  <a14:compatExt spid="_x0000_s573444"/>
                </a:ext>
                <a:ext uri="{FF2B5EF4-FFF2-40B4-BE49-F238E27FC236}">
                  <a16:creationId xmlns:a16="http://schemas.microsoft.com/office/drawing/2014/main" id="{00000000-0008-0000-0D00-000004C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19</xdr:row>
          <xdr:rowOff>76200</xdr:rowOff>
        </xdr:from>
        <xdr:to>
          <xdr:col>1</xdr:col>
          <xdr:colOff>1171575</xdr:colOff>
          <xdr:row>22</xdr:row>
          <xdr:rowOff>104775</xdr:rowOff>
        </xdr:to>
        <xdr:sp macro="" textlink="">
          <xdr:nvSpPr>
            <xdr:cNvPr id="573448" name="Botón 8" hidden="1">
              <a:extLst>
                <a:ext uri="{63B3BB69-23CF-44E3-9099-C40C66FF867C}">
                  <a14:compatExt spid="_x0000_s573448"/>
                </a:ext>
                <a:ext uri="{FF2B5EF4-FFF2-40B4-BE49-F238E27FC236}">
                  <a16:creationId xmlns:a16="http://schemas.microsoft.com/office/drawing/2014/main" id="{00000000-0008-0000-0D00-000008C0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495300</xdr:colOff>
          <xdr:row>0</xdr:row>
          <xdr:rowOff>257175</xdr:rowOff>
        </xdr:to>
        <xdr:sp macro="" textlink="">
          <xdr:nvSpPr>
            <xdr:cNvPr id="36879" name="Button 1" hidden="1">
              <a:extLst>
                <a:ext uri="{63B3BB69-23CF-44E3-9099-C40C66FF867C}">
                  <a14:compatExt spid="_x0000_s36879"/>
                </a:ext>
                <a:ext uri="{FF2B5EF4-FFF2-40B4-BE49-F238E27FC236}">
                  <a16:creationId xmlns:a16="http://schemas.microsoft.com/office/drawing/2014/main" id="{00000000-0008-0000-0E00-00000F9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314325</xdr:colOff>
          <xdr:row>73</xdr:row>
          <xdr:rowOff>123825</xdr:rowOff>
        </xdr:from>
        <xdr:to>
          <xdr:col>1</xdr:col>
          <xdr:colOff>752475</xdr:colOff>
          <xdr:row>76</xdr:row>
          <xdr:rowOff>85725</xdr:rowOff>
        </xdr:to>
        <xdr:sp macro="" textlink="">
          <xdr:nvSpPr>
            <xdr:cNvPr id="36881" name="Botón 128" hidden="1">
              <a:extLst>
                <a:ext uri="{63B3BB69-23CF-44E3-9099-C40C66FF867C}">
                  <a14:compatExt spid="_x0000_s36881"/>
                </a:ext>
                <a:ext uri="{FF2B5EF4-FFF2-40B4-BE49-F238E27FC236}">
                  <a16:creationId xmlns:a16="http://schemas.microsoft.com/office/drawing/2014/main" id="{00000000-0008-0000-0E00-00001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FF"/>
                  </a:solidFill>
                  <a:latin typeface="Calibri"/>
                  <a:ea typeface="Calibri"/>
                  <a:cs typeface="Calibri"/>
                </a:rPr>
                <a:t>DETALLE VUELOS B200 2025</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2</xdr:col>
          <xdr:colOff>323850</xdr:colOff>
          <xdr:row>0</xdr:row>
          <xdr:rowOff>257175</xdr:rowOff>
        </xdr:to>
        <xdr:sp macro="" textlink="">
          <xdr:nvSpPr>
            <xdr:cNvPr id="837633" name="Button 1" hidden="1">
              <a:extLst>
                <a:ext uri="{63B3BB69-23CF-44E3-9099-C40C66FF867C}">
                  <a14:compatExt spid="_x0000_s837633"/>
                </a:ext>
                <a:ext uri="{FF2B5EF4-FFF2-40B4-BE49-F238E27FC236}">
                  <a16:creationId xmlns:a16="http://schemas.microsoft.com/office/drawing/2014/main" id="{00000000-0008-0000-0F00-000001C8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666750</xdr:colOff>
          <xdr:row>13</xdr:row>
          <xdr:rowOff>171450</xdr:rowOff>
        </xdr:from>
        <xdr:to>
          <xdr:col>2</xdr:col>
          <xdr:colOff>342900</xdr:colOff>
          <xdr:row>17</xdr:row>
          <xdr:rowOff>19050</xdr:rowOff>
        </xdr:to>
        <xdr:sp macro="" textlink="">
          <xdr:nvSpPr>
            <xdr:cNvPr id="837637" name="Botón 5" hidden="1">
              <a:extLst>
                <a:ext uri="{63B3BB69-23CF-44E3-9099-C40C66FF867C}">
                  <a14:compatExt spid="_x0000_s837637"/>
                </a:ext>
                <a:ext uri="{FF2B5EF4-FFF2-40B4-BE49-F238E27FC236}">
                  <a16:creationId xmlns:a16="http://schemas.microsoft.com/office/drawing/2014/main" id="{00000000-0008-0000-0F00-000005C80C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1</xdr:col>
          <xdr:colOff>495300</xdr:colOff>
          <xdr:row>0</xdr:row>
          <xdr:rowOff>257175</xdr:rowOff>
        </xdr:to>
        <xdr:sp macro="" textlink="">
          <xdr:nvSpPr>
            <xdr:cNvPr id="461830" name="Button 1" hidden="1">
              <a:extLst>
                <a:ext uri="{63B3BB69-23CF-44E3-9099-C40C66FF867C}">
                  <a14:compatExt spid="_x0000_s461830"/>
                </a:ext>
                <a:ext uri="{FF2B5EF4-FFF2-40B4-BE49-F238E27FC236}">
                  <a16:creationId xmlns:a16="http://schemas.microsoft.com/office/drawing/2014/main" id="{00000000-0008-0000-1000-0000060C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666750</xdr:colOff>
          <xdr:row>312</xdr:row>
          <xdr:rowOff>47625</xdr:rowOff>
        </xdr:from>
        <xdr:to>
          <xdr:col>1</xdr:col>
          <xdr:colOff>619125</xdr:colOff>
          <xdr:row>315</xdr:row>
          <xdr:rowOff>76200</xdr:rowOff>
        </xdr:to>
        <xdr:sp macro="" textlink="">
          <xdr:nvSpPr>
            <xdr:cNvPr id="461898" name="Botón 74" hidden="1">
              <a:extLst>
                <a:ext uri="{63B3BB69-23CF-44E3-9099-C40C66FF867C}">
                  <a14:compatExt spid="_x0000_s461898"/>
                </a:ext>
                <a:ext uri="{FF2B5EF4-FFF2-40B4-BE49-F238E27FC236}">
                  <a16:creationId xmlns:a16="http://schemas.microsoft.com/office/drawing/2014/main" id="{00000000-0008-0000-1000-00004A0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2</xdr:col>
          <xdr:colOff>323850</xdr:colOff>
          <xdr:row>0</xdr:row>
          <xdr:rowOff>257175</xdr:rowOff>
        </xdr:to>
        <xdr:sp macro="" textlink="">
          <xdr:nvSpPr>
            <xdr:cNvPr id="576516" name="Button 1" hidden="1">
              <a:extLst>
                <a:ext uri="{63B3BB69-23CF-44E3-9099-C40C66FF867C}">
                  <a14:compatExt spid="_x0000_s576516"/>
                </a:ext>
                <a:ext uri="{FF2B5EF4-FFF2-40B4-BE49-F238E27FC236}">
                  <a16:creationId xmlns:a16="http://schemas.microsoft.com/office/drawing/2014/main" id="{00000000-0008-0000-1100-000004C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666750</xdr:colOff>
          <xdr:row>29</xdr:row>
          <xdr:rowOff>28575</xdr:rowOff>
        </xdr:from>
        <xdr:to>
          <xdr:col>3</xdr:col>
          <xdr:colOff>447675</xdr:colOff>
          <xdr:row>32</xdr:row>
          <xdr:rowOff>57150</xdr:rowOff>
        </xdr:to>
        <xdr:sp macro="" textlink="">
          <xdr:nvSpPr>
            <xdr:cNvPr id="576520" name="Botón 8" hidden="1">
              <a:extLst>
                <a:ext uri="{63B3BB69-23CF-44E3-9099-C40C66FF867C}">
                  <a14:compatExt spid="_x0000_s576520"/>
                </a:ext>
                <a:ext uri="{FF2B5EF4-FFF2-40B4-BE49-F238E27FC236}">
                  <a16:creationId xmlns:a16="http://schemas.microsoft.com/office/drawing/2014/main" id="{00000000-0008-0000-1100-000008CC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2</xdr:col>
          <xdr:colOff>323850</xdr:colOff>
          <xdr:row>0</xdr:row>
          <xdr:rowOff>257175</xdr:rowOff>
        </xdr:to>
        <xdr:sp macro="" textlink="">
          <xdr:nvSpPr>
            <xdr:cNvPr id="76805" name="Button 1" hidden="1">
              <a:extLst>
                <a:ext uri="{63B3BB69-23CF-44E3-9099-C40C66FF867C}">
                  <a14:compatExt spid="_x0000_s76805"/>
                </a:ext>
                <a:ext uri="{FF2B5EF4-FFF2-40B4-BE49-F238E27FC236}">
                  <a16:creationId xmlns:a16="http://schemas.microsoft.com/office/drawing/2014/main" id="{00000000-0008-0000-1200-0000052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333375</xdr:colOff>
          <xdr:row>35</xdr:row>
          <xdr:rowOff>57150</xdr:rowOff>
        </xdr:from>
        <xdr:to>
          <xdr:col>2</xdr:col>
          <xdr:colOff>123825</xdr:colOff>
          <xdr:row>38</xdr:row>
          <xdr:rowOff>85725</xdr:rowOff>
        </xdr:to>
        <xdr:sp macro="" textlink="">
          <xdr:nvSpPr>
            <xdr:cNvPr id="76809" name="Botón 9" hidden="1">
              <a:extLst>
                <a:ext uri="{63B3BB69-23CF-44E3-9099-C40C66FF867C}">
                  <a14:compatExt spid="_x0000_s76809"/>
                </a:ext>
                <a:ext uri="{FF2B5EF4-FFF2-40B4-BE49-F238E27FC236}">
                  <a16:creationId xmlns:a16="http://schemas.microsoft.com/office/drawing/2014/main" id="{00000000-0008-0000-1200-000009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2</xdr:col>
          <xdr:colOff>228600</xdr:colOff>
          <xdr:row>0</xdr:row>
          <xdr:rowOff>257175</xdr:rowOff>
        </xdr:to>
        <xdr:sp macro="" textlink="">
          <xdr:nvSpPr>
            <xdr:cNvPr id="226315" name="Button 1" hidden="1">
              <a:extLst>
                <a:ext uri="{63B3BB69-23CF-44E3-9099-C40C66FF867C}">
                  <a14:compatExt spid="_x0000_s226315"/>
                </a:ext>
                <a:ext uri="{FF2B5EF4-FFF2-40B4-BE49-F238E27FC236}">
                  <a16:creationId xmlns:a16="http://schemas.microsoft.com/office/drawing/2014/main" id="{00000000-0008-0000-1300-00000B7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75</xdr:row>
          <xdr:rowOff>9525</xdr:rowOff>
        </xdr:from>
        <xdr:to>
          <xdr:col>3</xdr:col>
          <xdr:colOff>9525</xdr:colOff>
          <xdr:row>78</xdr:row>
          <xdr:rowOff>38100</xdr:rowOff>
        </xdr:to>
        <xdr:sp macro="" textlink="">
          <xdr:nvSpPr>
            <xdr:cNvPr id="226323" name="Botón 19" hidden="1">
              <a:extLst>
                <a:ext uri="{63B3BB69-23CF-44E3-9099-C40C66FF867C}">
                  <a14:compatExt spid="_x0000_s226323"/>
                </a:ext>
                <a:ext uri="{FF2B5EF4-FFF2-40B4-BE49-F238E27FC236}">
                  <a16:creationId xmlns:a16="http://schemas.microsoft.com/office/drawing/2014/main" id="{00000000-0008-0000-1300-0000137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2</xdr:col>
          <xdr:colOff>542925</xdr:colOff>
          <xdr:row>0</xdr:row>
          <xdr:rowOff>257175</xdr:rowOff>
        </xdr:to>
        <xdr:sp macro="" textlink="">
          <xdr:nvSpPr>
            <xdr:cNvPr id="56332" name="Button 1" hidden="1">
              <a:extLst>
                <a:ext uri="{63B3BB69-23CF-44E3-9099-C40C66FF867C}">
                  <a14:compatExt spid="_x0000_s56332"/>
                </a:ext>
                <a:ext uri="{FF2B5EF4-FFF2-40B4-BE49-F238E27FC236}">
                  <a16:creationId xmlns:a16="http://schemas.microsoft.com/office/drawing/2014/main" id="{00000000-0008-0000-1400-00000C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31</xdr:row>
          <xdr:rowOff>28575</xdr:rowOff>
        </xdr:from>
        <xdr:to>
          <xdr:col>2</xdr:col>
          <xdr:colOff>619125</xdr:colOff>
          <xdr:row>33</xdr:row>
          <xdr:rowOff>180975</xdr:rowOff>
        </xdr:to>
        <xdr:sp macro="" textlink="">
          <xdr:nvSpPr>
            <xdr:cNvPr id="56335" name="Botón 128" hidden="1">
              <a:extLst>
                <a:ext uri="{63B3BB69-23CF-44E3-9099-C40C66FF867C}">
                  <a14:compatExt spid="_x0000_s56335"/>
                </a:ext>
                <a:ext uri="{FF2B5EF4-FFF2-40B4-BE49-F238E27FC236}">
                  <a16:creationId xmlns:a16="http://schemas.microsoft.com/office/drawing/2014/main" id="{00000000-0008-0000-1400-00000FD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FF"/>
                  </a:solidFill>
                  <a:latin typeface="Calibri"/>
                  <a:ea typeface="Calibri"/>
                  <a:cs typeface="Calibri"/>
                </a:rPr>
                <a:t>DETALLE VUELOS B200 2025</a:t>
              </a:r>
            </a:p>
            <a:p>
              <a:pPr algn="ctr" rtl="0">
                <a:defRPr sz="1000"/>
              </a:pPr>
              <a:endParaRPr lang="es-ES" sz="1200" b="1" i="0" u="none" strike="noStrike" baseline="0">
                <a:solidFill>
                  <a:srgbClr val="0000FF"/>
                </a:solidFill>
                <a:latin typeface="Calibri"/>
                <a:ea typeface="Calibri"/>
                <a:cs typeface="Calibri"/>
              </a:endParaRP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295275</xdr:colOff>
          <xdr:row>0</xdr:row>
          <xdr:rowOff>123825</xdr:rowOff>
        </xdr:from>
        <xdr:to>
          <xdr:col>1</xdr:col>
          <xdr:colOff>1352550</xdr:colOff>
          <xdr:row>0</xdr:row>
          <xdr:rowOff>381000</xdr:rowOff>
        </xdr:to>
        <xdr:sp macro="" textlink="">
          <xdr:nvSpPr>
            <xdr:cNvPr id="142373" name="Button 1" hidden="1">
              <a:extLst>
                <a:ext uri="{63B3BB69-23CF-44E3-9099-C40C66FF867C}">
                  <a14:compatExt spid="_x0000_s142373"/>
                </a:ext>
                <a:ext uri="{FF2B5EF4-FFF2-40B4-BE49-F238E27FC236}">
                  <a16:creationId xmlns:a16="http://schemas.microsoft.com/office/drawing/2014/main" id="{00000000-0008-0000-1500-0000252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666750</xdr:colOff>
          <xdr:row>306</xdr:row>
          <xdr:rowOff>171450</xdr:rowOff>
        </xdr:from>
        <xdr:to>
          <xdr:col>2</xdr:col>
          <xdr:colOff>285750</xdr:colOff>
          <xdr:row>310</xdr:row>
          <xdr:rowOff>9525</xdr:rowOff>
        </xdr:to>
        <xdr:sp macro="" textlink="">
          <xdr:nvSpPr>
            <xdr:cNvPr id="142479" name="Botón 143" hidden="1">
              <a:extLst>
                <a:ext uri="{63B3BB69-23CF-44E3-9099-C40C66FF867C}">
                  <a14:compatExt spid="_x0000_s142479"/>
                </a:ext>
                <a:ext uri="{FF2B5EF4-FFF2-40B4-BE49-F238E27FC236}">
                  <a16:creationId xmlns:a16="http://schemas.microsoft.com/office/drawing/2014/main" id="{00000000-0008-0000-1500-00008F2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2</xdr:col>
          <xdr:colOff>238125</xdr:colOff>
          <xdr:row>0</xdr:row>
          <xdr:rowOff>257175</xdr:rowOff>
        </xdr:to>
        <xdr:sp macro="" textlink="">
          <xdr:nvSpPr>
            <xdr:cNvPr id="577541" name="Button 1" hidden="1">
              <a:extLst>
                <a:ext uri="{63B3BB69-23CF-44E3-9099-C40C66FF867C}">
                  <a14:compatExt spid="_x0000_s577541"/>
                </a:ext>
                <a:ext uri="{FF2B5EF4-FFF2-40B4-BE49-F238E27FC236}">
                  <a16:creationId xmlns:a16="http://schemas.microsoft.com/office/drawing/2014/main" id="{00000000-0008-0000-1600-000005D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619125</xdr:colOff>
          <xdr:row>19</xdr:row>
          <xdr:rowOff>38100</xdr:rowOff>
        </xdr:from>
        <xdr:to>
          <xdr:col>2</xdr:col>
          <xdr:colOff>314325</xdr:colOff>
          <xdr:row>22</xdr:row>
          <xdr:rowOff>66675</xdr:rowOff>
        </xdr:to>
        <xdr:sp macro="" textlink="">
          <xdr:nvSpPr>
            <xdr:cNvPr id="577547" name="Botón 11" hidden="1">
              <a:extLst>
                <a:ext uri="{63B3BB69-23CF-44E3-9099-C40C66FF867C}">
                  <a14:compatExt spid="_x0000_s577547"/>
                </a:ext>
                <a:ext uri="{FF2B5EF4-FFF2-40B4-BE49-F238E27FC236}">
                  <a16:creationId xmlns:a16="http://schemas.microsoft.com/office/drawing/2014/main" id="{00000000-0008-0000-1600-00000BD0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0</xdr:rowOff>
        </xdr:from>
        <xdr:to>
          <xdr:col>2</xdr:col>
          <xdr:colOff>323850</xdr:colOff>
          <xdr:row>0</xdr:row>
          <xdr:rowOff>257175</xdr:rowOff>
        </xdr:to>
        <xdr:sp macro="" textlink="">
          <xdr:nvSpPr>
            <xdr:cNvPr id="519177" name="Button 1" hidden="1">
              <a:extLst>
                <a:ext uri="{63B3BB69-23CF-44E3-9099-C40C66FF867C}">
                  <a14:compatExt spid="_x0000_s519177"/>
                </a:ext>
                <a:ext uri="{FF2B5EF4-FFF2-40B4-BE49-F238E27FC236}">
                  <a16:creationId xmlns:a16="http://schemas.microsoft.com/office/drawing/2014/main" id="{00000000-0008-0000-1700-000009EC07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666750</xdr:colOff>
          <xdr:row>31</xdr:row>
          <xdr:rowOff>152400</xdr:rowOff>
        </xdr:from>
        <xdr:to>
          <xdr:col>2</xdr:col>
          <xdr:colOff>619125</xdr:colOff>
          <xdr:row>35</xdr:row>
          <xdr:rowOff>0</xdr:rowOff>
        </xdr:to>
        <xdr:sp macro="" textlink="">
          <xdr:nvSpPr>
            <xdr:cNvPr id="519188" name="Botón 20" hidden="1">
              <a:extLst>
                <a:ext uri="{63B3BB69-23CF-44E3-9099-C40C66FF867C}">
                  <a14:compatExt spid="_x0000_s519188"/>
                </a:ext>
                <a:ext uri="{FF2B5EF4-FFF2-40B4-BE49-F238E27FC236}">
                  <a16:creationId xmlns:a16="http://schemas.microsoft.com/office/drawing/2014/main" id="{00000000-0008-0000-1700-000014E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1</xdr:col>
          <xdr:colOff>1095375</xdr:colOff>
          <xdr:row>0</xdr:row>
          <xdr:rowOff>314325</xdr:rowOff>
        </xdr:to>
        <xdr:sp macro="" textlink="">
          <xdr:nvSpPr>
            <xdr:cNvPr id="222219" name="Button 1" hidden="1">
              <a:extLst>
                <a:ext uri="{63B3BB69-23CF-44E3-9099-C40C66FF867C}">
                  <a14:compatExt spid="_x0000_s222219"/>
                </a:ext>
                <a:ext uri="{FF2B5EF4-FFF2-40B4-BE49-F238E27FC236}">
                  <a16:creationId xmlns:a16="http://schemas.microsoft.com/office/drawing/2014/main" id="{00000000-0008-0000-1800-00000B6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666750</xdr:colOff>
          <xdr:row>17</xdr:row>
          <xdr:rowOff>180975</xdr:rowOff>
        </xdr:from>
        <xdr:to>
          <xdr:col>1</xdr:col>
          <xdr:colOff>1962150</xdr:colOff>
          <xdr:row>21</xdr:row>
          <xdr:rowOff>28575</xdr:rowOff>
        </xdr:to>
        <xdr:sp macro="" textlink="">
          <xdr:nvSpPr>
            <xdr:cNvPr id="222223" name="Botón 15" hidden="1">
              <a:extLst>
                <a:ext uri="{63B3BB69-23CF-44E3-9099-C40C66FF867C}">
                  <a14:compatExt spid="_x0000_s222223"/>
                </a:ext>
                <a:ext uri="{FF2B5EF4-FFF2-40B4-BE49-F238E27FC236}">
                  <a16:creationId xmlns:a16="http://schemas.microsoft.com/office/drawing/2014/main" id="{00000000-0008-0000-1800-00000F6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2</xdr:col>
          <xdr:colOff>333375</xdr:colOff>
          <xdr:row>0</xdr:row>
          <xdr:rowOff>314325</xdr:rowOff>
        </xdr:to>
        <xdr:sp macro="" textlink="">
          <xdr:nvSpPr>
            <xdr:cNvPr id="578564" name="Button 1" hidden="1">
              <a:extLst>
                <a:ext uri="{63B3BB69-23CF-44E3-9099-C40C66FF867C}">
                  <a14:compatExt spid="_x0000_s578564"/>
                </a:ext>
                <a:ext uri="{FF2B5EF4-FFF2-40B4-BE49-F238E27FC236}">
                  <a16:creationId xmlns:a16="http://schemas.microsoft.com/office/drawing/2014/main" id="{00000000-0008-0000-1900-000004D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666750</xdr:colOff>
          <xdr:row>14</xdr:row>
          <xdr:rowOff>114300</xdr:rowOff>
        </xdr:from>
        <xdr:to>
          <xdr:col>3</xdr:col>
          <xdr:colOff>447675</xdr:colOff>
          <xdr:row>17</xdr:row>
          <xdr:rowOff>142875</xdr:rowOff>
        </xdr:to>
        <xdr:sp macro="" textlink="">
          <xdr:nvSpPr>
            <xdr:cNvPr id="578568" name="Botón 8" hidden="1">
              <a:extLst>
                <a:ext uri="{63B3BB69-23CF-44E3-9099-C40C66FF867C}">
                  <a14:compatExt spid="_x0000_s578568"/>
                </a:ext>
                <a:ext uri="{FF2B5EF4-FFF2-40B4-BE49-F238E27FC236}">
                  <a16:creationId xmlns:a16="http://schemas.microsoft.com/office/drawing/2014/main" id="{00000000-0008-0000-1900-000008D4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2</xdr:col>
          <xdr:colOff>333375</xdr:colOff>
          <xdr:row>0</xdr:row>
          <xdr:rowOff>314325</xdr:rowOff>
        </xdr:to>
        <xdr:sp macro="" textlink="">
          <xdr:nvSpPr>
            <xdr:cNvPr id="579588" name="Button 1" hidden="1">
              <a:extLst>
                <a:ext uri="{63B3BB69-23CF-44E3-9099-C40C66FF867C}">
                  <a14:compatExt spid="_x0000_s579588"/>
                </a:ext>
                <a:ext uri="{FF2B5EF4-FFF2-40B4-BE49-F238E27FC236}">
                  <a16:creationId xmlns:a16="http://schemas.microsoft.com/office/drawing/2014/main" id="{00000000-0008-0000-1A00-000004D8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704850</xdr:colOff>
          <xdr:row>31</xdr:row>
          <xdr:rowOff>142875</xdr:rowOff>
        </xdr:from>
        <xdr:to>
          <xdr:col>2</xdr:col>
          <xdr:colOff>485775</xdr:colOff>
          <xdr:row>34</xdr:row>
          <xdr:rowOff>171450</xdr:rowOff>
        </xdr:to>
        <xdr:sp macro="" textlink="">
          <xdr:nvSpPr>
            <xdr:cNvPr id="579592" name="Botón 8" hidden="1">
              <a:extLst>
                <a:ext uri="{63B3BB69-23CF-44E3-9099-C40C66FF867C}">
                  <a14:compatExt spid="_x0000_s579592"/>
                </a:ext>
                <a:ext uri="{FF2B5EF4-FFF2-40B4-BE49-F238E27FC236}">
                  <a16:creationId xmlns:a16="http://schemas.microsoft.com/office/drawing/2014/main" id="{00000000-0008-0000-1A00-000008D8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2</xdr:col>
          <xdr:colOff>266700</xdr:colOff>
          <xdr:row>1</xdr:row>
          <xdr:rowOff>0</xdr:rowOff>
        </xdr:to>
        <xdr:sp macro="" textlink="">
          <xdr:nvSpPr>
            <xdr:cNvPr id="580613" name="Button 1" hidden="1">
              <a:extLst>
                <a:ext uri="{63B3BB69-23CF-44E3-9099-C40C66FF867C}">
                  <a14:compatExt spid="_x0000_s580613"/>
                </a:ext>
                <a:ext uri="{FF2B5EF4-FFF2-40B4-BE49-F238E27FC236}">
                  <a16:creationId xmlns:a16="http://schemas.microsoft.com/office/drawing/2014/main" id="{00000000-0008-0000-1B00-000005D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46</xdr:row>
          <xdr:rowOff>28575</xdr:rowOff>
        </xdr:from>
        <xdr:to>
          <xdr:col>3</xdr:col>
          <xdr:colOff>514350</xdr:colOff>
          <xdr:row>51</xdr:row>
          <xdr:rowOff>47625</xdr:rowOff>
        </xdr:to>
        <xdr:sp macro="" textlink="">
          <xdr:nvSpPr>
            <xdr:cNvPr id="580622" name="Botón 14" hidden="1">
              <a:extLst>
                <a:ext uri="{63B3BB69-23CF-44E3-9099-C40C66FF867C}">
                  <a14:compatExt spid="_x0000_s580622"/>
                </a:ext>
                <a:ext uri="{FF2B5EF4-FFF2-40B4-BE49-F238E27FC236}">
                  <a16:creationId xmlns:a16="http://schemas.microsoft.com/office/drawing/2014/main" id="{00000000-0008-0000-1B00-00000EDC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2</xdr:col>
          <xdr:colOff>333375</xdr:colOff>
          <xdr:row>0</xdr:row>
          <xdr:rowOff>314325</xdr:rowOff>
        </xdr:to>
        <xdr:sp macro="" textlink="">
          <xdr:nvSpPr>
            <xdr:cNvPr id="581637" name="Button 1" hidden="1">
              <a:extLst>
                <a:ext uri="{63B3BB69-23CF-44E3-9099-C40C66FF867C}">
                  <a14:compatExt spid="_x0000_s581637"/>
                </a:ext>
                <a:ext uri="{FF2B5EF4-FFF2-40B4-BE49-F238E27FC236}">
                  <a16:creationId xmlns:a16="http://schemas.microsoft.com/office/drawing/2014/main" id="{00000000-0008-0000-1C00-000005E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111</xdr:row>
          <xdr:rowOff>9525</xdr:rowOff>
        </xdr:from>
        <xdr:to>
          <xdr:col>2</xdr:col>
          <xdr:colOff>676275</xdr:colOff>
          <xdr:row>114</xdr:row>
          <xdr:rowOff>38100</xdr:rowOff>
        </xdr:to>
        <xdr:sp macro="" textlink="">
          <xdr:nvSpPr>
            <xdr:cNvPr id="581650" name="Botón 18" hidden="1">
              <a:extLst>
                <a:ext uri="{63B3BB69-23CF-44E3-9099-C40C66FF867C}">
                  <a14:compatExt spid="_x0000_s581650"/>
                </a:ext>
                <a:ext uri="{FF2B5EF4-FFF2-40B4-BE49-F238E27FC236}">
                  <a16:creationId xmlns:a16="http://schemas.microsoft.com/office/drawing/2014/main" id="{00000000-0008-0000-1C00-000012E0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2</xdr:col>
          <xdr:colOff>123825</xdr:colOff>
          <xdr:row>0</xdr:row>
          <xdr:rowOff>314325</xdr:rowOff>
        </xdr:to>
        <xdr:sp macro="" textlink="">
          <xdr:nvSpPr>
            <xdr:cNvPr id="582660" name="Button 1" hidden="1">
              <a:extLst>
                <a:ext uri="{63B3BB69-23CF-44E3-9099-C40C66FF867C}">
                  <a14:compatExt spid="_x0000_s582660"/>
                </a:ext>
                <a:ext uri="{FF2B5EF4-FFF2-40B4-BE49-F238E27FC236}">
                  <a16:creationId xmlns:a16="http://schemas.microsoft.com/office/drawing/2014/main" id="{00000000-0008-0000-1D00-000004E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885825</xdr:colOff>
          <xdr:row>19</xdr:row>
          <xdr:rowOff>161925</xdr:rowOff>
        </xdr:from>
        <xdr:to>
          <xdr:col>2</xdr:col>
          <xdr:colOff>466725</xdr:colOff>
          <xdr:row>23</xdr:row>
          <xdr:rowOff>9525</xdr:rowOff>
        </xdr:to>
        <xdr:sp macro="" textlink="">
          <xdr:nvSpPr>
            <xdr:cNvPr id="582664" name="Botón 8" hidden="1">
              <a:extLst>
                <a:ext uri="{63B3BB69-23CF-44E3-9099-C40C66FF867C}">
                  <a14:compatExt spid="_x0000_s582664"/>
                </a:ext>
                <a:ext uri="{FF2B5EF4-FFF2-40B4-BE49-F238E27FC236}">
                  <a16:creationId xmlns:a16="http://schemas.microsoft.com/office/drawing/2014/main" id="{00000000-0008-0000-1D00-000008E4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1</xdr:col>
          <xdr:colOff>742950</xdr:colOff>
          <xdr:row>0</xdr:row>
          <xdr:rowOff>314325</xdr:rowOff>
        </xdr:to>
        <xdr:sp macro="" textlink="">
          <xdr:nvSpPr>
            <xdr:cNvPr id="291845" name="Button 1" hidden="1">
              <a:extLst>
                <a:ext uri="{63B3BB69-23CF-44E3-9099-C40C66FF867C}">
                  <a14:compatExt spid="_x0000_s291845"/>
                </a:ext>
                <a:ext uri="{FF2B5EF4-FFF2-40B4-BE49-F238E27FC236}">
                  <a16:creationId xmlns:a16="http://schemas.microsoft.com/office/drawing/2014/main" id="{00000000-0008-0000-1E00-0000057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885825</xdr:colOff>
          <xdr:row>12</xdr:row>
          <xdr:rowOff>123825</xdr:rowOff>
        </xdr:from>
        <xdr:to>
          <xdr:col>2</xdr:col>
          <xdr:colOff>323850</xdr:colOff>
          <xdr:row>15</xdr:row>
          <xdr:rowOff>152400</xdr:rowOff>
        </xdr:to>
        <xdr:sp macro="" textlink="">
          <xdr:nvSpPr>
            <xdr:cNvPr id="291849" name="Botón 9" hidden="1">
              <a:extLst>
                <a:ext uri="{63B3BB69-23CF-44E3-9099-C40C66FF867C}">
                  <a14:compatExt spid="_x0000_s291849"/>
                </a:ext>
                <a:ext uri="{FF2B5EF4-FFF2-40B4-BE49-F238E27FC236}">
                  <a16:creationId xmlns:a16="http://schemas.microsoft.com/office/drawing/2014/main" id="{00000000-0008-0000-1E00-0000097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1</xdr:col>
          <xdr:colOff>1095375</xdr:colOff>
          <xdr:row>0</xdr:row>
          <xdr:rowOff>314325</xdr:rowOff>
        </xdr:to>
        <xdr:sp macro="" textlink="">
          <xdr:nvSpPr>
            <xdr:cNvPr id="583684" name="Button 1" hidden="1">
              <a:extLst>
                <a:ext uri="{63B3BB69-23CF-44E3-9099-C40C66FF867C}">
                  <a14:compatExt spid="_x0000_s583684"/>
                </a:ext>
                <a:ext uri="{FF2B5EF4-FFF2-40B4-BE49-F238E27FC236}">
                  <a16:creationId xmlns:a16="http://schemas.microsoft.com/office/drawing/2014/main" id="{00000000-0008-0000-1F00-000004E8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51</xdr:row>
          <xdr:rowOff>0</xdr:rowOff>
        </xdr:from>
        <xdr:to>
          <xdr:col>1</xdr:col>
          <xdr:colOff>1428750</xdr:colOff>
          <xdr:row>53</xdr:row>
          <xdr:rowOff>66675</xdr:rowOff>
        </xdr:to>
        <xdr:sp macro="" textlink="">
          <xdr:nvSpPr>
            <xdr:cNvPr id="583692" name="Botón 12" hidden="1">
              <a:extLst>
                <a:ext uri="{63B3BB69-23CF-44E3-9099-C40C66FF867C}">
                  <a14:compatExt spid="_x0000_s583692"/>
                </a:ext>
                <a:ext uri="{FF2B5EF4-FFF2-40B4-BE49-F238E27FC236}">
                  <a16:creationId xmlns:a16="http://schemas.microsoft.com/office/drawing/2014/main" id="{00000000-0008-0000-1F00-00000CE8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1</xdr:col>
          <xdr:colOff>628650</xdr:colOff>
          <xdr:row>0</xdr:row>
          <xdr:rowOff>314325</xdr:rowOff>
        </xdr:to>
        <xdr:sp macro="" textlink="">
          <xdr:nvSpPr>
            <xdr:cNvPr id="31754" name="Button 1" hidden="1">
              <a:extLst>
                <a:ext uri="{63B3BB69-23CF-44E3-9099-C40C66FF867C}">
                  <a14:compatExt spid="_x0000_s31754"/>
                </a:ext>
                <a:ext uri="{FF2B5EF4-FFF2-40B4-BE49-F238E27FC236}">
                  <a16:creationId xmlns:a16="http://schemas.microsoft.com/office/drawing/2014/main" id="{00000000-0008-0000-2000-00000A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885825</xdr:colOff>
          <xdr:row>175</xdr:row>
          <xdr:rowOff>180975</xdr:rowOff>
        </xdr:from>
        <xdr:to>
          <xdr:col>1</xdr:col>
          <xdr:colOff>962025</xdr:colOff>
          <xdr:row>179</xdr:row>
          <xdr:rowOff>28575</xdr:rowOff>
        </xdr:to>
        <xdr:sp macro="" textlink="">
          <xdr:nvSpPr>
            <xdr:cNvPr id="31817" name="Botón 73" hidden="1">
              <a:extLst>
                <a:ext uri="{63B3BB69-23CF-44E3-9099-C40C66FF867C}">
                  <a14:compatExt spid="_x0000_s31817"/>
                </a:ext>
                <a:ext uri="{FF2B5EF4-FFF2-40B4-BE49-F238E27FC236}">
                  <a16:creationId xmlns:a16="http://schemas.microsoft.com/office/drawing/2014/main" id="{00000000-0008-0000-2000-000049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1</xdr:col>
          <xdr:colOff>1095375</xdr:colOff>
          <xdr:row>1</xdr:row>
          <xdr:rowOff>0</xdr:rowOff>
        </xdr:to>
        <xdr:sp macro="" textlink="">
          <xdr:nvSpPr>
            <xdr:cNvPr id="584709" name="Button 1" hidden="1">
              <a:extLst>
                <a:ext uri="{63B3BB69-23CF-44E3-9099-C40C66FF867C}">
                  <a14:compatExt spid="_x0000_s584709"/>
                </a:ext>
                <a:ext uri="{FF2B5EF4-FFF2-40B4-BE49-F238E27FC236}">
                  <a16:creationId xmlns:a16="http://schemas.microsoft.com/office/drawing/2014/main" id="{00000000-0008-0000-2100-000005E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54</xdr:row>
          <xdr:rowOff>95250</xdr:rowOff>
        </xdr:from>
        <xdr:to>
          <xdr:col>2</xdr:col>
          <xdr:colOff>47625</xdr:colOff>
          <xdr:row>57</xdr:row>
          <xdr:rowOff>123825</xdr:rowOff>
        </xdr:to>
        <xdr:sp macro="" textlink="">
          <xdr:nvSpPr>
            <xdr:cNvPr id="584716" name="Botón 12" hidden="1">
              <a:extLst>
                <a:ext uri="{63B3BB69-23CF-44E3-9099-C40C66FF867C}">
                  <a14:compatExt spid="_x0000_s584716"/>
                </a:ext>
                <a:ext uri="{FF2B5EF4-FFF2-40B4-BE49-F238E27FC236}">
                  <a16:creationId xmlns:a16="http://schemas.microsoft.com/office/drawing/2014/main" id="{00000000-0008-0000-2100-00000CEC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2</xdr:col>
          <xdr:colOff>333375</xdr:colOff>
          <xdr:row>0</xdr:row>
          <xdr:rowOff>314325</xdr:rowOff>
        </xdr:to>
        <xdr:sp macro="" textlink="">
          <xdr:nvSpPr>
            <xdr:cNvPr id="585733" name="Button 1" hidden="1">
              <a:extLst>
                <a:ext uri="{63B3BB69-23CF-44E3-9099-C40C66FF867C}">
                  <a14:compatExt spid="_x0000_s585733"/>
                </a:ext>
                <a:ext uri="{FF2B5EF4-FFF2-40B4-BE49-F238E27FC236}">
                  <a16:creationId xmlns:a16="http://schemas.microsoft.com/office/drawing/2014/main" id="{00000000-0008-0000-2200-000005F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34</xdr:row>
          <xdr:rowOff>0</xdr:rowOff>
        </xdr:from>
        <xdr:to>
          <xdr:col>2</xdr:col>
          <xdr:colOff>676275</xdr:colOff>
          <xdr:row>37</xdr:row>
          <xdr:rowOff>28575</xdr:rowOff>
        </xdr:to>
        <xdr:sp macro="" textlink="">
          <xdr:nvSpPr>
            <xdr:cNvPr id="585742" name="Botón 14" hidden="1">
              <a:extLst>
                <a:ext uri="{63B3BB69-23CF-44E3-9099-C40C66FF867C}">
                  <a14:compatExt spid="_x0000_s585742"/>
                </a:ext>
                <a:ext uri="{FF2B5EF4-FFF2-40B4-BE49-F238E27FC236}">
                  <a16:creationId xmlns:a16="http://schemas.microsoft.com/office/drawing/2014/main" id="{00000000-0008-0000-2200-00000EF0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1</xdr:col>
          <xdr:colOff>638175</xdr:colOff>
          <xdr:row>0</xdr:row>
          <xdr:rowOff>314325</xdr:rowOff>
        </xdr:to>
        <xdr:sp macro="" textlink="">
          <xdr:nvSpPr>
            <xdr:cNvPr id="268305" name="Button 1" hidden="1">
              <a:extLst>
                <a:ext uri="{63B3BB69-23CF-44E3-9099-C40C66FF867C}">
                  <a14:compatExt spid="_x0000_s268305"/>
                </a:ext>
                <a:ext uri="{FF2B5EF4-FFF2-40B4-BE49-F238E27FC236}">
                  <a16:creationId xmlns:a16="http://schemas.microsoft.com/office/drawing/2014/main" id="{00000000-0008-0000-2300-0000111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885825</xdr:colOff>
          <xdr:row>115</xdr:row>
          <xdr:rowOff>104775</xdr:rowOff>
        </xdr:from>
        <xdr:to>
          <xdr:col>2</xdr:col>
          <xdr:colOff>219075</xdr:colOff>
          <xdr:row>118</xdr:row>
          <xdr:rowOff>133350</xdr:rowOff>
        </xdr:to>
        <xdr:sp macro="" textlink="">
          <xdr:nvSpPr>
            <xdr:cNvPr id="268402" name="Botón 114" hidden="1">
              <a:extLst>
                <a:ext uri="{63B3BB69-23CF-44E3-9099-C40C66FF867C}">
                  <a14:compatExt spid="_x0000_s268402"/>
                </a:ext>
                <a:ext uri="{FF2B5EF4-FFF2-40B4-BE49-F238E27FC236}">
                  <a16:creationId xmlns:a16="http://schemas.microsoft.com/office/drawing/2014/main" id="{00000000-0008-0000-2300-0000721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1</xdr:col>
          <xdr:colOff>695325</xdr:colOff>
          <xdr:row>0</xdr:row>
          <xdr:rowOff>314325</xdr:rowOff>
        </xdr:to>
        <xdr:sp macro="" textlink="">
          <xdr:nvSpPr>
            <xdr:cNvPr id="192518" name="Button 1" hidden="1">
              <a:extLst>
                <a:ext uri="{63B3BB69-23CF-44E3-9099-C40C66FF867C}">
                  <a14:compatExt spid="_x0000_s192518"/>
                </a:ext>
                <a:ext uri="{FF2B5EF4-FFF2-40B4-BE49-F238E27FC236}">
                  <a16:creationId xmlns:a16="http://schemas.microsoft.com/office/drawing/2014/main" id="{00000000-0008-0000-2400-000006F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11</xdr:row>
          <xdr:rowOff>0</xdr:rowOff>
        </xdr:from>
        <xdr:to>
          <xdr:col>2</xdr:col>
          <xdr:colOff>152400</xdr:colOff>
          <xdr:row>14</xdr:row>
          <xdr:rowOff>28575</xdr:rowOff>
        </xdr:to>
        <xdr:sp macro="" textlink="">
          <xdr:nvSpPr>
            <xdr:cNvPr id="192522" name="Botón 10" hidden="1">
              <a:extLst>
                <a:ext uri="{63B3BB69-23CF-44E3-9099-C40C66FF867C}">
                  <a14:compatExt spid="_x0000_s192522"/>
                </a:ext>
                <a:ext uri="{FF2B5EF4-FFF2-40B4-BE49-F238E27FC236}">
                  <a16:creationId xmlns:a16="http://schemas.microsoft.com/office/drawing/2014/main" id="{00000000-0008-0000-2400-00000AF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1</xdr:col>
          <xdr:colOff>781050</xdr:colOff>
          <xdr:row>0</xdr:row>
          <xdr:rowOff>314325</xdr:rowOff>
        </xdr:to>
        <xdr:sp macro="" textlink="">
          <xdr:nvSpPr>
            <xdr:cNvPr id="586758" name="Button 1" hidden="1">
              <a:extLst>
                <a:ext uri="{63B3BB69-23CF-44E3-9099-C40C66FF867C}">
                  <a14:compatExt spid="_x0000_s586758"/>
                </a:ext>
                <a:ext uri="{FF2B5EF4-FFF2-40B4-BE49-F238E27FC236}">
                  <a16:creationId xmlns:a16="http://schemas.microsoft.com/office/drawing/2014/main" id="{00000000-0008-0000-2500-000006F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1057275</xdr:colOff>
          <xdr:row>70</xdr:row>
          <xdr:rowOff>57150</xdr:rowOff>
        </xdr:from>
        <xdr:to>
          <xdr:col>1</xdr:col>
          <xdr:colOff>1295400</xdr:colOff>
          <xdr:row>73</xdr:row>
          <xdr:rowOff>85725</xdr:rowOff>
        </xdr:to>
        <xdr:sp macro="" textlink="">
          <xdr:nvSpPr>
            <xdr:cNvPr id="586767" name="Botón 15" hidden="1">
              <a:extLst>
                <a:ext uri="{63B3BB69-23CF-44E3-9099-C40C66FF867C}">
                  <a14:compatExt spid="_x0000_s586767"/>
                </a:ext>
                <a:ext uri="{FF2B5EF4-FFF2-40B4-BE49-F238E27FC236}">
                  <a16:creationId xmlns:a16="http://schemas.microsoft.com/office/drawing/2014/main" id="{00000000-0008-0000-2500-00000FF4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1</xdr:col>
          <xdr:colOff>714375</xdr:colOff>
          <xdr:row>0</xdr:row>
          <xdr:rowOff>314325</xdr:rowOff>
        </xdr:to>
        <xdr:sp macro="" textlink="">
          <xdr:nvSpPr>
            <xdr:cNvPr id="388102" name="Button 1" hidden="1">
              <a:extLst>
                <a:ext uri="{63B3BB69-23CF-44E3-9099-C40C66FF867C}">
                  <a14:compatExt spid="_x0000_s388102"/>
                </a:ext>
                <a:ext uri="{FF2B5EF4-FFF2-40B4-BE49-F238E27FC236}">
                  <a16:creationId xmlns:a16="http://schemas.microsoft.com/office/drawing/2014/main" id="{00000000-0008-0000-2600-000006EC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49</xdr:row>
          <xdr:rowOff>104775</xdr:rowOff>
        </xdr:from>
        <xdr:to>
          <xdr:col>2</xdr:col>
          <xdr:colOff>47625</xdr:colOff>
          <xdr:row>52</xdr:row>
          <xdr:rowOff>142875</xdr:rowOff>
        </xdr:to>
        <xdr:sp macro="" textlink="">
          <xdr:nvSpPr>
            <xdr:cNvPr id="388116" name="Botón 20" hidden="1">
              <a:extLst>
                <a:ext uri="{63B3BB69-23CF-44E3-9099-C40C66FF867C}">
                  <a14:compatExt spid="_x0000_s388116"/>
                </a:ext>
                <a:ext uri="{FF2B5EF4-FFF2-40B4-BE49-F238E27FC236}">
                  <a16:creationId xmlns:a16="http://schemas.microsoft.com/office/drawing/2014/main" id="{00000000-0008-0000-2600-000014E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0</xdr:row>
          <xdr:rowOff>47625</xdr:rowOff>
        </xdr:from>
        <xdr:to>
          <xdr:col>1</xdr:col>
          <xdr:colOff>1847850</xdr:colOff>
          <xdr:row>0</xdr:row>
          <xdr:rowOff>314325</xdr:rowOff>
        </xdr:to>
        <xdr:sp macro="" textlink="">
          <xdr:nvSpPr>
            <xdr:cNvPr id="134154" name="Button 1" hidden="1">
              <a:extLst>
                <a:ext uri="{63B3BB69-23CF-44E3-9099-C40C66FF867C}">
                  <a14:compatExt spid="_x0000_s134154"/>
                </a:ext>
                <a:ext uri="{FF2B5EF4-FFF2-40B4-BE49-F238E27FC236}">
                  <a16:creationId xmlns:a16="http://schemas.microsoft.com/office/drawing/2014/main" id="{00000000-0008-0000-2700-00000A0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885825</xdr:colOff>
          <xdr:row>40</xdr:row>
          <xdr:rowOff>85725</xdr:rowOff>
        </xdr:from>
        <xdr:to>
          <xdr:col>3</xdr:col>
          <xdr:colOff>57150</xdr:colOff>
          <xdr:row>43</xdr:row>
          <xdr:rowOff>114300</xdr:rowOff>
        </xdr:to>
        <xdr:sp macro="" textlink="">
          <xdr:nvSpPr>
            <xdr:cNvPr id="134158" name="Botón 14" hidden="1">
              <a:extLst>
                <a:ext uri="{63B3BB69-23CF-44E3-9099-C40C66FF867C}">
                  <a14:compatExt spid="_x0000_s134158"/>
                </a:ext>
                <a:ext uri="{FF2B5EF4-FFF2-40B4-BE49-F238E27FC236}">
                  <a16:creationId xmlns:a16="http://schemas.microsoft.com/office/drawing/2014/main" id="{00000000-0008-0000-2700-00000E0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2</xdr:col>
          <xdr:colOff>47625</xdr:colOff>
          <xdr:row>0</xdr:row>
          <xdr:rowOff>314325</xdr:rowOff>
        </xdr:to>
        <xdr:sp macro="" textlink="">
          <xdr:nvSpPr>
            <xdr:cNvPr id="382984" name="Button 1" hidden="1">
              <a:extLst>
                <a:ext uri="{63B3BB69-23CF-44E3-9099-C40C66FF867C}">
                  <a14:compatExt spid="_x0000_s382984"/>
                </a:ext>
                <a:ext uri="{FF2B5EF4-FFF2-40B4-BE49-F238E27FC236}">
                  <a16:creationId xmlns:a16="http://schemas.microsoft.com/office/drawing/2014/main" id="{00000000-0008-0000-2800-000008D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952500</xdr:colOff>
          <xdr:row>33</xdr:row>
          <xdr:rowOff>133350</xdr:rowOff>
        </xdr:from>
        <xdr:to>
          <xdr:col>2</xdr:col>
          <xdr:colOff>447675</xdr:colOff>
          <xdr:row>36</xdr:row>
          <xdr:rowOff>161925</xdr:rowOff>
        </xdr:to>
        <xdr:sp macro="" textlink="">
          <xdr:nvSpPr>
            <xdr:cNvPr id="382990" name="Botón 14" hidden="1">
              <a:extLst>
                <a:ext uri="{63B3BB69-23CF-44E3-9099-C40C66FF867C}">
                  <a14:compatExt spid="_x0000_s382990"/>
                </a:ext>
                <a:ext uri="{FF2B5EF4-FFF2-40B4-BE49-F238E27FC236}">
                  <a16:creationId xmlns:a16="http://schemas.microsoft.com/office/drawing/2014/main" id="{00000000-0008-0000-2800-00000ED8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1</xdr:col>
          <xdr:colOff>790575</xdr:colOff>
          <xdr:row>0</xdr:row>
          <xdr:rowOff>314325</xdr:rowOff>
        </xdr:to>
        <xdr:sp macro="" textlink="">
          <xdr:nvSpPr>
            <xdr:cNvPr id="587781" name="Button 1" hidden="1">
              <a:extLst>
                <a:ext uri="{63B3BB69-23CF-44E3-9099-C40C66FF867C}">
                  <a14:compatExt spid="_x0000_s587781"/>
                </a:ext>
                <a:ext uri="{FF2B5EF4-FFF2-40B4-BE49-F238E27FC236}">
                  <a16:creationId xmlns:a16="http://schemas.microsoft.com/office/drawing/2014/main" id="{00000000-0008-0000-2900-000005F8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885825</xdr:colOff>
          <xdr:row>143</xdr:row>
          <xdr:rowOff>142875</xdr:rowOff>
        </xdr:from>
        <xdr:to>
          <xdr:col>1</xdr:col>
          <xdr:colOff>1123950</xdr:colOff>
          <xdr:row>146</xdr:row>
          <xdr:rowOff>171450</xdr:rowOff>
        </xdr:to>
        <xdr:sp macro="" textlink="">
          <xdr:nvSpPr>
            <xdr:cNvPr id="587811" name="Botón 35" hidden="1">
              <a:extLst>
                <a:ext uri="{63B3BB69-23CF-44E3-9099-C40C66FF867C}">
                  <a14:compatExt spid="_x0000_s587811"/>
                </a:ext>
                <a:ext uri="{FF2B5EF4-FFF2-40B4-BE49-F238E27FC236}">
                  <a16:creationId xmlns:a16="http://schemas.microsoft.com/office/drawing/2014/main" id="{00000000-0008-0000-2900-000023F8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twoCellAnchor editAs="oneCell">
    <xdr:from>
      <xdr:col>1</xdr:col>
      <xdr:colOff>168313</xdr:colOff>
      <xdr:row>155</xdr:row>
      <xdr:rowOff>38252</xdr:rowOff>
    </xdr:from>
    <xdr:to>
      <xdr:col>17</xdr:col>
      <xdr:colOff>730171</xdr:colOff>
      <xdr:row>170</xdr:row>
      <xdr:rowOff>86268</xdr:rowOff>
    </xdr:to>
    <xdr:pic>
      <xdr:nvPicPr>
        <xdr:cNvPr id="2" name="Imagen 1">
          <a:extLst>
            <a:ext uri="{FF2B5EF4-FFF2-40B4-BE49-F238E27FC236}">
              <a16:creationId xmlns:a16="http://schemas.microsoft.com/office/drawing/2014/main" id="{00000000-0008-0000-2900-000002000000}"/>
            </a:ext>
          </a:extLst>
        </xdr:cNvPr>
        <xdr:cNvPicPr>
          <a:picLocks noChangeAspect="1"/>
        </xdr:cNvPicPr>
      </xdr:nvPicPr>
      <xdr:blipFill>
        <a:blip xmlns:r="http://schemas.openxmlformats.org/officeDocument/2006/relationships" r:embed="rId1"/>
        <a:stretch>
          <a:fillRect/>
        </a:stretch>
      </xdr:blipFill>
      <xdr:spPr>
        <a:xfrm>
          <a:off x="1231747" y="23923433"/>
          <a:ext cx="18112340" cy="2802234"/>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1</xdr:col>
          <xdr:colOff>838200</xdr:colOff>
          <xdr:row>0</xdr:row>
          <xdr:rowOff>314325</xdr:rowOff>
        </xdr:to>
        <xdr:sp macro="" textlink="">
          <xdr:nvSpPr>
            <xdr:cNvPr id="369670" name="Button 1" hidden="1">
              <a:extLst>
                <a:ext uri="{63B3BB69-23CF-44E3-9099-C40C66FF867C}">
                  <a14:compatExt spid="_x0000_s369670"/>
                </a:ext>
                <a:ext uri="{FF2B5EF4-FFF2-40B4-BE49-F238E27FC236}">
                  <a16:creationId xmlns:a16="http://schemas.microsoft.com/office/drawing/2014/main" id="{00000000-0008-0000-2A00-000006A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885825</xdr:colOff>
          <xdr:row>13</xdr:row>
          <xdr:rowOff>114300</xdr:rowOff>
        </xdr:from>
        <xdr:to>
          <xdr:col>1</xdr:col>
          <xdr:colOff>1171575</xdr:colOff>
          <xdr:row>16</xdr:row>
          <xdr:rowOff>142875</xdr:rowOff>
        </xdr:to>
        <xdr:sp macro="" textlink="">
          <xdr:nvSpPr>
            <xdr:cNvPr id="369674" name="Botón 10" hidden="1">
              <a:extLst>
                <a:ext uri="{63B3BB69-23CF-44E3-9099-C40C66FF867C}">
                  <a14:compatExt spid="_x0000_s369674"/>
                </a:ext>
                <a:ext uri="{FF2B5EF4-FFF2-40B4-BE49-F238E27FC236}">
                  <a16:creationId xmlns:a16="http://schemas.microsoft.com/office/drawing/2014/main" id="{00000000-0008-0000-2A00-00000AA4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1</xdr:col>
          <xdr:colOff>714375</xdr:colOff>
          <xdr:row>0</xdr:row>
          <xdr:rowOff>314325</xdr:rowOff>
        </xdr:to>
        <xdr:sp macro="" textlink="">
          <xdr:nvSpPr>
            <xdr:cNvPr id="588805" name="Button 1" hidden="1">
              <a:extLst>
                <a:ext uri="{63B3BB69-23CF-44E3-9099-C40C66FF867C}">
                  <a14:compatExt spid="_x0000_s588805"/>
                </a:ext>
                <a:ext uri="{FF2B5EF4-FFF2-40B4-BE49-F238E27FC236}">
                  <a16:creationId xmlns:a16="http://schemas.microsoft.com/office/drawing/2014/main" id="{00000000-0008-0000-2B00-000005F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885825</xdr:colOff>
          <xdr:row>12</xdr:row>
          <xdr:rowOff>171450</xdr:rowOff>
        </xdr:from>
        <xdr:to>
          <xdr:col>1</xdr:col>
          <xdr:colOff>1047750</xdr:colOff>
          <xdr:row>16</xdr:row>
          <xdr:rowOff>19050</xdr:rowOff>
        </xdr:to>
        <xdr:sp macro="" textlink="">
          <xdr:nvSpPr>
            <xdr:cNvPr id="588809" name="Botón 9" hidden="1">
              <a:extLst>
                <a:ext uri="{63B3BB69-23CF-44E3-9099-C40C66FF867C}">
                  <a14:compatExt spid="_x0000_s588809"/>
                </a:ext>
                <a:ext uri="{FF2B5EF4-FFF2-40B4-BE49-F238E27FC236}">
                  <a16:creationId xmlns:a16="http://schemas.microsoft.com/office/drawing/2014/main" id="{00000000-0008-0000-2B00-000009FC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1</xdr:col>
          <xdr:colOff>857250</xdr:colOff>
          <xdr:row>0</xdr:row>
          <xdr:rowOff>314325</xdr:rowOff>
        </xdr:to>
        <xdr:sp macro="" textlink="">
          <xdr:nvSpPr>
            <xdr:cNvPr id="13328" name="Button 1" hidden="1">
              <a:extLst>
                <a:ext uri="{63B3BB69-23CF-44E3-9099-C40C66FF867C}">
                  <a14:compatExt spid="_x0000_s13328"/>
                </a:ext>
                <a:ext uri="{FF2B5EF4-FFF2-40B4-BE49-F238E27FC236}">
                  <a16:creationId xmlns:a16="http://schemas.microsoft.com/office/drawing/2014/main" id="{00000000-0008-0000-2C00-00001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885825</xdr:colOff>
          <xdr:row>167</xdr:row>
          <xdr:rowOff>180975</xdr:rowOff>
        </xdr:from>
        <xdr:to>
          <xdr:col>1</xdr:col>
          <xdr:colOff>2181225</xdr:colOff>
          <xdr:row>171</xdr:row>
          <xdr:rowOff>0</xdr:rowOff>
        </xdr:to>
        <xdr:sp macro="" textlink="">
          <xdr:nvSpPr>
            <xdr:cNvPr id="13425" name="Botón 113" hidden="1">
              <a:extLst>
                <a:ext uri="{63B3BB69-23CF-44E3-9099-C40C66FF867C}">
                  <a14:compatExt spid="_x0000_s13425"/>
                </a:ext>
                <a:ext uri="{FF2B5EF4-FFF2-40B4-BE49-F238E27FC236}">
                  <a16:creationId xmlns:a16="http://schemas.microsoft.com/office/drawing/2014/main" id="{00000000-0008-0000-2C00-00007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1</xdr:col>
          <xdr:colOff>781050</xdr:colOff>
          <xdr:row>0</xdr:row>
          <xdr:rowOff>314325</xdr:rowOff>
        </xdr:to>
        <xdr:sp macro="" textlink="">
          <xdr:nvSpPr>
            <xdr:cNvPr id="175111" name="Button 1" hidden="1">
              <a:extLst>
                <a:ext uri="{63B3BB69-23CF-44E3-9099-C40C66FF867C}">
                  <a14:compatExt spid="_x0000_s175111"/>
                </a:ext>
                <a:ext uri="{FF2B5EF4-FFF2-40B4-BE49-F238E27FC236}">
                  <a16:creationId xmlns:a16="http://schemas.microsoft.com/office/drawing/2014/main" id="{00000000-0008-0000-2D00-000007A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885825</xdr:colOff>
          <xdr:row>14</xdr:row>
          <xdr:rowOff>123825</xdr:rowOff>
        </xdr:from>
        <xdr:to>
          <xdr:col>1</xdr:col>
          <xdr:colOff>1114425</xdr:colOff>
          <xdr:row>17</xdr:row>
          <xdr:rowOff>152400</xdr:rowOff>
        </xdr:to>
        <xdr:sp macro="" textlink="">
          <xdr:nvSpPr>
            <xdr:cNvPr id="175115" name="Botón 11" hidden="1">
              <a:extLst>
                <a:ext uri="{63B3BB69-23CF-44E3-9099-C40C66FF867C}">
                  <a14:compatExt spid="_x0000_s175115"/>
                </a:ext>
                <a:ext uri="{FF2B5EF4-FFF2-40B4-BE49-F238E27FC236}">
                  <a16:creationId xmlns:a16="http://schemas.microsoft.com/office/drawing/2014/main" id="{00000000-0008-0000-2D00-00000BA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2</xdr:col>
          <xdr:colOff>333375</xdr:colOff>
          <xdr:row>0</xdr:row>
          <xdr:rowOff>314325</xdr:rowOff>
        </xdr:to>
        <xdr:sp macro="" textlink="">
          <xdr:nvSpPr>
            <xdr:cNvPr id="240646" name="Button 1" hidden="1">
              <a:extLst>
                <a:ext uri="{63B3BB69-23CF-44E3-9099-C40C66FF867C}">
                  <a14:compatExt spid="_x0000_s240646"/>
                </a:ext>
                <a:ext uri="{FF2B5EF4-FFF2-40B4-BE49-F238E27FC236}">
                  <a16:creationId xmlns:a16="http://schemas.microsoft.com/office/drawing/2014/main" id="{00000000-0008-0000-2E00-000006A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13</xdr:row>
          <xdr:rowOff>85725</xdr:rowOff>
        </xdr:from>
        <xdr:to>
          <xdr:col>2</xdr:col>
          <xdr:colOff>676275</xdr:colOff>
          <xdr:row>16</xdr:row>
          <xdr:rowOff>114300</xdr:rowOff>
        </xdr:to>
        <xdr:sp macro="" textlink="">
          <xdr:nvSpPr>
            <xdr:cNvPr id="240650" name="Botón 10" hidden="1">
              <a:extLst>
                <a:ext uri="{63B3BB69-23CF-44E3-9099-C40C66FF867C}">
                  <a14:compatExt spid="_x0000_s240650"/>
                </a:ext>
                <a:ext uri="{FF2B5EF4-FFF2-40B4-BE49-F238E27FC236}">
                  <a16:creationId xmlns:a16="http://schemas.microsoft.com/office/drawing/2014/main" id="{00000000-0008-0000-2E00-00000AA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0</xdr:row>
          <xdr:rowOff>47625</xdr:rowOff>
        </xdr:from>
        <xdr:to>
          <xdr:col>3</xdr:col>
          <xdr:colOff>123825</xdr:colOff>
          <xdr:row>0</xdr:row>
          <xdr:rowOff>314325</xdr:rowOff>
        </xdr:to>
        <xdr:sp macro="" textlink="">
          <xdr:nvSpPr>
            <xdr:cNvPr id="15370" name="Button 1" hidden="1">
              <a:extLst>
                <a:ext uri="{63B3BB69-23CF-44E3-9099-C40C66FF867C}">
                  <a14:compatExt spid="_x0000_s15370"/>
                </a:ext>
                <a:ext uri="{FF2B5EF4-FFF2-40B4-BE49-F238E27FC236}">
                  <a16:creationId xmlns:a16="http://schemas.microsoft.com/office/drawing/2014/main" id="{00000000-0008-0000-2F00-00000A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xdr:colOff>
          <xdr:row>521</xdr:row>
          <xdr:rowOff>95250</xdr:rowOff>
        </xdr:from>
        <xdr:to>
          <xdr:col>2</xdr:col>
          <xdr:colOff>581025</xdr:colOff>
          <xdr:row>524</xdr:row>
          <xdr:rowOff>123825</xdr:rowOff>
        </xdr:to>
        <xdr:sp macro="" textlink="">
          <xdr:nvSpPr>
            <xdr:cNvPr id="15415" name="Botón 55" hidden="1">
              <a:extLst>
                <a:ext uri="{63B3BB69-23CF-44E3-9099-C40C66FF867C}">
                  <a14:compatExt spid="_x0000_s15415"/>
                </a:ext>
                <a:ext uri="{FF2B5EF4-FFF2-40B4-BE49-F238E27FC236}">
                  <a16:creationId xmlns:a16="http://schemas.microsoft.com/office/drawing/2014/main" id="{00000000-0008-0000-2F00-000037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2</xdr:col>
          <xdr:colOff>47625</xdr:colOff>
          <xdr:row>0</xdr:row>
          <xdr:rowOff>314325</xdr:rowOff>
        </xdr:to>
        <xdr:sp macro="" textlink="">
          <xdr:nvSpPr>
            <xdr:cNvPr id="317457" name="Button 1" hidden="1">
              <a:extLst>
                <a:ext uri="{63B3BB69-23CF-44E3-9099-C40C66FF867C}">
                  <a14:compatExt spid="_x0000_s317457"/>
                </a:ext>
                <a:ext uri="{FF2B5EF4-FFF2-40B4-BE49-F238E27FC236}">
                  <a16:creationId xmlns:a16="http://schemas.microsoft.com/office/drawing/2014/main" id="{00000000-0008-0000-3000-000011D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72</xdr:row>
          <xdr:rowOff>76200</xdr:rowOff>
        </xdr:from>
        <xdr:to>
          <xdr:col>2</xdr:col>
          <xdr:colOff>381000</xdr:colOff>
          <xdr:row>75</xdr:row>
          <xdr:rowOff>104775</xdr:rowOff>
        </xdr:to>
        <xdr:sp macro="" textlink="">
          <xdr:nvSpPr>
            <xdr:cNvPr id="317461" name="Botón 21" hidden="1">
              <a:extLst>
                <a:ext uri="{63B3BB69-23CF-44E3-9099-C40C66FF867C}">
                  <a14:compatExt spid="_x0000_s317461"/>
                </a:ext>
                <a:ext uri="{FF2B5EF4-FFF2-40B4-BE49-F238E27FC236}">
                  <a16:creationId xmlns:a16="http://schemas.microsoft.com/office/drawing/2014/main" id="{00000000-0008-0000-3000-000015D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1</xdr:col>
          <xdr:colOff>619125</xdr:colOff>
          <xdr:row>0</xdr:row>
          <xdr:rowOff>314325</xdr:rowOff>
        </xdr:to>
        <xdr:sp macro="" textlink="">
          <xdr:nvSpPr>
            <xdr:cNvPr id="450567" name="Button 1" hidden="1">
              <a:extLst>
                <a:ext uri="{63B3BB69-23CF-44E3-9099-C40C66FF867C}">
                  <a14:compatExt spid="_x0000_s450567"/>
                </a:ext>
                <a:ext uri="{FF2B5EF4-FFF2-40B4-BE49-F238E27FC236}">
                  <a16:creationId xmlns:a16="http://schemas.microsoft.com/office/drawing/2014/main" id="{00000000-0008-0000-3100-000007E0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885825</xdr:colOff>
          <xdr:row>12</xdr:row>
          <xdr:rowOff>133350</xdr:rowOff>
        </xdr:from>
        <xdr:to>
          <xdr:col>1</xdr:col>
          <xdr:colOff>962025</xdr:colOff>
          <xdr:row>15</xdr:row>
          <xdr:rowOff>161925</xdr:rowOff>
        </xdr:to>
        <xdr:sp macro="" textlink="">
          <xdr:nvSpPr>
            <xdr:cNvPr id="450571" name="Botón 11" hidden="1">
              <a:extLst>
                <a:ext uri="{63B3BB69-23CF-44E3-9099-C40C66FF867C}">
                  <a14:compatExt spid="_x0000_s450571"/>
                </a:ext>
                <a:ext uri="{FF2B5EF4-FFF2-40B4-BE49-F238E27FC236}">
                  <a16:creationId xmlns:a16="http://schemas.microsoft.com/office/drawing/2014/main" id="{00000000-0008-0000-3100-00000BE0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1</xdr:col>
          <xdr:colOff>1095375</xdr:colOff>
          <xdr:row>0</xdr:row>
          <xdr:rowOff>314325</xdr:rowOff>
        </xdr:to>
        <xdr:sp macro="" textlink="">
          <xdr:nvSpPr>
            <xdr:cNvPr id="99352" name="Button 1" hidden="1">
              <a:extLst>
                <a:ext uri="{63B3BB69-23CF-44E3-9099-C40C66FF867C}">
                  <a14:compatExt spid="_x0000_s99352"/>
                </a:ext>
                <a:ext uri="{FF2B5EF4-FFF2-40B4-BE49-F238E27FC236}">
                  <a16:creationId xmlns:a16="http://schemas.microsoft.com/office/drawing/2014/main" id="{00000000-0008-0000-3200-0000188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86</xdr:row>
          <xdr:rowOff>104775</xdr:rowOff>
        </xdr:from>
        <xdr:to>
          <xdr:col>1</xdr:col>
          <xdr:colOff>1428750</xdr:colOff>
          <xdr:row>89</xdr:row>
          <xdr:rowOff>142875</xdr:rowOff>
        </xdr:to>
        <xdr:sp macro="" textlink="">
          <xdr:nvSpPr>
            <xdr:cNvPr id="99360" name="Botón 32" hidden="1">
              <a:extLst>
                <a:ext uri="{63B3BB69-23CF-44E3-9099-C40C66FF867C}">
                  <a14:compatExt spid="_x0000_s99360"/>
                </a:ext>
                <a:ext uri="{FF2B5EF4-FFF2-40B4-BE49-F238E27FC236}">
                  <a16:creationId xmlns:a16="http://schemas.microsoft.com/office/drawing/2014/main" id="{00000000-0008-0000-3200-000020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1</xdr:col>
          <xdr:colOff>1095375</xdr:colOff>
          <xdr:row>0</xdr:row>
          <xdr:rowOff>314325</xdr:rowOff>
        </xdr:to>
        <xdr:sp macro="" textlink="">
          <xdr:nvSpPr>
            <xdr:cNvPr id="566299" name="Button 1" hidden="1">
              <a:extLst>
                <a:ext uri="{63B3BB69-23CF-44E3-9099-C40C66FF867C}">
                  <a14:compatExt spid="_x0000_s566299"/>
                </a:ext>
                <a:ext uri="{FF2B5EF4-FFF2-40B4-BE49-F238E27FC236}">
                  <a16:creationId xmlns:a16="http://schemas.microsoft.com/office/drawing/2014/main" id="{00000000-0008-0000-3300-00001BA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432</xdr:row>
          <xdr:rowOff>161925</xdr:rowOff>
        </xdr:from>
        <xdr:to>
          <xdr:col>1</xdr:col>
          <xdr:colOff>1428750</xdr:colOff>
          <xdr:row>436</xdr:row>
          <xdr:rowOff>9525</xdr:rowOff>
        </xdr:to>
        <xdr:sp macro="" textlink="">
          <xdr:nvSpPr>
            <xdr:cNvPr id="566380" name="Botón 108" hidden="1">
              <a:extLst>
                <a:ext uri="{63B3BB69-23CF-44E3-9099-C40C66FF867C}">
                  <a14:compatExt spid="_x0000_s566380"/>
                </a:ext>
                <a:ext uri="{FF2B5EF4-FFF2-40B4-BE49-F238E27FC236}">
                  <a16:creationId xmlns:a16="http://schemas.microsoft.com/office/drawing/2014/main" id="{00000000-0008-0000-3300-00006CA4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1</xdr:col>
          <xdr:colOff>1095375</xdr:colOff>
          <xdr:row>0</xdr:row>
          <xdr:rowOff>314325</xdr:rowOff>
        </xdr:to>
        <xdr:sp macro="" textlink="">
          <xdr:nvSpPr>
            <xdr:cNvPr id="589829" name="Button 1" hidden="1">
              <a:extLst>
                <a:ext uri="{63B3BB69-23CF-44E3-9099-C40C66FF867C}">
                  <a14:compatExt spid="_x0000_s589829"/>
                </a:ext>
                <a:ext uri="{FF2B5EF4-FFF2-40B4-BE49-F238E27FC236}">
                  <a16:creationId xmlns:a16="http://schemas.microsoft.com/office/drawing/2014/main" id="{00000000-0008-0000-3400-00000500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28</xdr:row>
          <xdr:rowOff>133350</xdr:rowOff>
        </xdr:from>
        <xdr:to>
          <xdr:col>1</xdr:col>
          <xdr:colOff>1428750</xdr:colOff>
          <xdr:row>31</xdr:row>
          <xdr:rowOff>161925</xdr:rowOff>
        </xdr:to>
        <xdr:sp macro="" textlink="">
          <xdr:nvSpPr>
            <xdr:cNvPr id="589842" name="Botón 18" hidden="1">
              <a:extLst>
                <a:ext uri="{63B3BB69-23CF-44E3-9099-C40C66FF867C}">
                  <a14:compatExt spid="_x0000_s589842"/>
                </a:ext>
                <a:ext uri="{FF2B5EF4-FFF2-40B4-BE49-F238E27FC236}">
                  <a16:creationId xmlns:a16="http://schemas.microsoft.com/office/drawing/2014/main" id="{00000000-0008-0000-3400-0000120009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1</xdr:col>
          <xdr:colOff>1095375</xdr:colOff>
          <xdr:row>0</xdr:row>
          <xdr:rowOff>314325</xdr:rowOff>
        </xdr:to>
        <xdr:sp macro="" textlink="">
          <xdr:nvSpPr>
            <xdr:cNvPr id="590853" name="Button 1" hidden="1">
              <a:extLst>
                <a:ext uri="{63B3BB69-23CF-44E3-9099-C40C66FF867C}">
                  <a14:compatExt spid="_x0000_s590853"/>
                </a:ext>
                <a:ext uri="{FF2B5EF4-FFF2-40B4-BE49-F238E27FC236}">
                  <a16:creationId xmlns:a16="http://schemas.microsoft.com/office/drawing/2014/main" id="{00000000-0008-0000-3500-00000504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11</xdr:row>
          <xdr:rowOff>19050</xdr:rowOff>
        </xdr:from>
        <xdr:to>
          <xdr:col>1</xdr:col>
          <xdr:colOff>676275</xdr:colOff>
          <xdr:row>14</xdr:row>
          <xdr:rowOff>47625</xdr:rowOff>
        </xdr:to>
        <xdr:sp macro="" textlink="">
          <xdr:nvSpPr>
            <xdr:cNvPr id="590858" name="Botón 10" hidden="1">
              <a:extLst>
                <a:ext uri="{63B3BB69-23CF-44E3-9099-C40C66FF867C}">
                  <a14:compatExt spid="_x0000_s590858"/>
                </a:ext>
                <a:ext uri="{FF2B5EF4-FFF2-40B4-BE49-F238E27FC236}">
                  <a16:creationId xmlns:a16="http://schemas.microsoft.com/office/drawing/2014/main" id="{00000000-0008-0000-3500-00000A0409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1</xdr:col>
          <xdr:colOff>1095375</xdr:colOff>
          <xdr:row>0</xdr:row>
          <xdr:rowOff>314325</xdr:rowOff>
        </xdr:to>
        <xdr:sp macro="" textlink="">
          <xdr:nvSpPr>
            <xdr:cNvPr id="591876" name="Button 1" hidden="1">
              <a:extLst>
                <a:ext uri="{63B3BB69-23CF-44E3-9099-C40C66FF867C}">
                  <a14:compatExt spid="_x0000_s591876"/>
                </a:ext>
                <a:ext uri="{FF2B5EF4-FFF2-40B4-BE49-F238E27FC236}">
                  <a16:creationId xmlns:a16="http://schemas.microsoft.com/office/drawing/2014/main" id="{00000000-0008-0000-3600-00000408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447675</xdr:colOff>
          <xdr:row>7</xdr:row>
          <xdr:rowOff>85725</xdr:rowOff>
        </xdr:from>
        <xdr:to>
          <xdr:col>1</xdr:col>
          <xdr:colOff>990600</xdr:colOff>
          <xdr:row>10</xdr:row>
          <xdr:rowOff>114300</xdr:rowOff>
        </xdr:to>
        <xdr:sp macro="" textlink="">
          <xdr:nvSpPr>
            <xdr:cNvPr id="591880" name="Botón 8" hidden="1">
              <a:extLst>
                <a:ext uri="{63B3BB69-23CF-44E3-9099-C40C66FF867C}">
                  <a14:compatExt spid="_x0000_s591880"/>
                </a:ext>
                <a:ext uri="{FF2B5EF4-FFF2-40B4-BE49-F238E27FC236}">
                  <a16:creationId xmlns:a16="http://schemas.microsoft.com/office/drawing/2014/main" id="{00000000-0008-0000-3600-0000080809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2</xdr:col>
          <xdr:colOff>333375</xdr:colOff>
          <xdr:row>0</xdr:row>
          <xdr:rowOff>314325</xdr:rowOff>
        </xdr:to>
        <xdr:sp macro="" textlink="">
          <xdr:nvSpPr>
            <xdr:cNvPr id="623618" name="Button 1" hidden="1">
              <a:extLst>
                <a:ext uri="{63B3BB69-23CF-44E3-9099-C40C66FF867C}">
                  <a14:compatExt spid="_x0000_s623618"/>
                </a:ext>
                <a:ext uri="{FF2B5EF4-FFF2-40B4-BE49-F238E27FC236}">
                  <a16:creationId xmlns:a16="http://schemas.microsoft.com/office/drawing/2014/main" id="{00000000-0008-0000-3700-00000284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466725</xdr:colOff>
          <xdr:row>9</xdr:row>
          <xdr:rowOff>142875</xdr:rowOff>
        </xdr:from>
        <xdr:to>
          <xdr:col>2</xdr:col>
          <xdr:colOff>257175</xdr:colOff>
          <xdr:row>12</xdr:row>
          <xdr:rowOff>180975</xdr:rowOff>
        </xdr:to>
        <xdr:sp macro="" textlink="">
          <xdr:nvSpPr>
            <xdr:cNvPr id="623624" name="Botón 8" hidden="1">
              <a:extLst>
                <a:ext uri="{63B3BB69-23CF-44E3-9099-C40C66FF867C}">
                  <a14:compatExt spid="_x0000_s623624"/>
                </a:ext>
                <a:ext uri="{FF2B5EF4-FFF2-40B4-BE49-F238E27FC236}">
                  <a16:creationId xmlns:a16="http://schemas.microsoft.com/office/drawing/2014/main" id="{00000000-0008-0000-3700-0000088409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2</xdr:col>
          <xdr:colOff>333375</xdr:colOff>
          <xdr:row>0</xdr:row>
          <xdr:rowOff>314325</xdr:rowOff>
        </xdr:to>
        <xdr:sp macro="" textlink="">
          <xdr:nvSpPr>
            <xdr:cNvPr id="630786" name="Button 1" hidden="1">
              <a:extLst>
                <a:ext uri="{63B3BB69-23CF-44E3-9099-C40C66FF867C}">
                  <a14:compatExt spid="_x0000_s630786"/>
                </a:ext>
                <a:ext uri="{FF2B5EF4-FFF2-40B4-BE49-F238E27FC236}">
                  <a16:creationId xmlns:a16="http://schemas.microsoft.com/office/drawing/2014/main" id="{00000000-0008-0000-3800-000002A0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581025</xdr:colOff>
          <xdr:row>72</xdr:row>
          <xdr:rowOff>19050</xdr:rowOff>
        </xdr:from>
        <xdr:to>
          <xdr:col>3</xdr:col>
          <xdr:colOff>0</xdr:colOff>
          <xdr:row>75</xdr:row>
          <xdr:rowOff>47625</xdr:rowOff>
        </xdr:to>
        <xdr:sp macro="" textlink="">
          <xdr:nvSpPr>
            <xdr:cNvPr id="630796" name="Botón 12" hidden="1">
              <a:extLst>
                <a:ext uri="{63B3BB69-23CF-44E3-9099-C40C66FF867C}">
                  <a14:compatExt spid="_x0000_s630796"/>
                </a:ext>
                <a:ext uri="{FF2B5EF4-FFF2-40B4-BE49-F238E27FC236}">
                  <a16:creationId xmlns:a16="http://schemas.microsoft.com/office/drawing/2014/main" id="{00000000-0008-0000-3800-00000CA009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1</xdr:col>
          <xdr:colOff>1095375</xdr:colOff>
          <xdr:row>0</xdr:row>
          <xdr:rowOff>314325</xdr:rowOff>
        </xdr:to>
        <xdr:sp macro="" textlink="">
          <xdr:nvSpPr>
            <xdr:cNvPr id="637954" name="Button 1" hidden="1">
              <a:extLst>
                <a:ext uri="{63B3BB69-23CF-44E3-9099-C40C66FF867C}">
                  <a14:compatExt spid="_x0000_s637954"/>
                </a:ext>
                <a:ext uri="{FF2B5EF4-FFF2-40B4-BE49-F238E27FC236}">
                  <a16:creationId xmlns:a16="http://schemas.microsoft.com/office/drawing/2014/main" id="{00000000-0008-0000-3900-000002BC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600075</xdr:colOff>
          <xdr:row>13</xdr:row>
          <xdr:rowOff>104775</xdr:rowOff>
        </xdr:from>
        <xdr:to>
          <xdr:col>2</xdr:col>
          <xdr:colOff>28575</xdr:colOff>
          <xdr:row>16</xdr:row>
          <xdr:rowOff>142875</xdr:rowOff>
        </xdr:to>
        <xdr:sp macro="" textlink="">
          <xdr:nvSpPr>
            <xdr:cNvPr id="637958" name="Botón 6" hidden="1">
              <a:extLst>
                <a:ext uri="{63B3BB69-23CF-44E3-9099-C40C66FF867C}">
                  <a14:compatExt spid="_x0000_s637958"/>
                </a:ext>
                <a:ext uri="{FF2B5EF4-FFF2-40B4-BE49-F238E27FC236}">
                  <a16:creationId xmlns:a16="http://schemas.microsoft.com/office/drawing/2014/main" id="{00000000-0008-0000-3900-000006BC09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5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1</xdr:col>
          <xdr:colOff>1095375</xdr:colOff>
          <xdr:row>0</xdr:row>
          <xdr:rowOff>314325</xdr:rowOff>
        </xdr:to>
        <xdr:sp macro="" textlink="">
          <xdr:nvSpPr>
            <xdr:cNvPr id="645122" name="Button 1" hidden="1">
              <a:extLst>
                <a:ext uri="{63B3BB69-23CF-44E3-9099-C40C66FF867C}">
                  <a14:compatExt spid="_x0000_s645122"/>
                </a:ext>
                <a:ext uri="{FF2B5EF4-FFF2-40B4-BE49-F238E27FC236}">
                  <a16:creationId xmlns:a16="http://schemas.microsoft.com/office/drawing/2014/main" id="{00000000-0008-0000-3A00-000002D8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695325</xdr:colOff>
          <xdr:row>55</xdr:row>
          <xdr:rowOff>28575</xdr:rowOff>
        </xdr:from>
        <xdr:to>
          <xdr:col>2</xdr:col>
          <xdr:colOff>114300</xdr:colOff>
          <xdr:row>58</xdr:row>
          <xdr:rowOff>57150</xdr:rowOff>
        </xdr:to>
        <xdr:sp macro="" textlink="">
          <xdr:nvSpPr>
            <xdr:cNvPr id="645142" name="Botón 22" hidden="1">
              <a:extLst>
                <a:ext uri="{63B3BB69-23CF-44E3-9099-C40C66FF867C}">
                  <a14:compatExt spid="_x0000_s645142"/>
                </a:ext>
                <a:ext uri="{FF2B5EF4-FFF2-40B4-BE49-F238E27FC236}">
                  <a16:creationId xmlns:a16="http://schemas.microsoft.com/office/drawing/2014/main" id="{00000000-0008-0000-3A00-000016D809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6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47625</xdr:rowOff>
        </xdr:from>
        <xdr:to>
          <xdr:col>1</xdr:col>
          <xdr:colOff>1095375</xdr:colOff>
          <xdr:row>0</xdr:row>
          <xdr:rowOff>314325</xdr:rowOff>
        </xdr:to>
        <xdr:sp macro="" textlink="">
          <xdr:nvSpPr>
            <xdr:cNvPr id="652291" name="Button 1" hidden="1">
              <a:extLst>
                <a:ext uri="{63B3BB69-23CF-44E3-9099-C40C66FF867C}">
                  <a14:compatExt spid="_x0000_s652291"/>
                </a:ext>
                <a:ext uri="{FF2B5EF4-FFF2-40B4-BE49-F238E27FC236}">
                  <a16:creationId xmlns:a16="http://schemas.microsoft.com/office/drawing/2014/main" id="{00000000-0008-0000-3B00-000003F4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666750</xdr:colOff>
          <xdr:row>37</xdr:row>
          <xdr:rowOff>9525</xdr:rowOff>
        </xdr:from>
        <xdr:to>
          <xdr:col>2</xdr:col>
          <xdr:colOff>95250</xdr:colOff>
          <xdr:row>40</xdr:row>
          <xdr:rowOff>47625</xdr:rowOff>
        </xdr:to>
        <xdr:sp macro="" textlink="">
          <xdr:nvSpPr>
            <xdr:cNvPr id="652306" name="Botón 18" hidden="1">
              <a:extLst>
                <a:ext uri="{63B3BB69-23CF-44E3-9099-C40C66FF867C}">
                  <a14:compatExt spid="_x0000_s652306"/>
                </a:ext>
                <a:ext uri="{FF2B5EF4-FFF2-40B4-BE49-F238E27FC236}">
                  <a16:creationId xmlns:a16="http://schemas.microsoft.com/office/drawing/2014/main" id="{00000000-0008-0000-3B00-000012F409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6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38100</xdr:rowOff>
        </xdr:from>
        <xdr:to>
          <xdr:col>1</xdr:col>
          <xdr:colOff>1066800</xdr:colOff>
          <xdr:row>0</xdr:row>
          <xdr:rowOff>276225</xdr:rowOff>
        </xdr:to>
        <xdr:sp macro="" textlink="">
          <xdr:nvSpPr>
            <xdr:cNvPr id="659457" name="Button 1" hidden="1">
              <a:extLst>
                <a:ext uri="{63B3BB69-23CF-44E3-9099-C40C66FF867C}">
                  <a14:compatExt spid="_x0000_s659457"/>
                </a:ext>
                <a:ext uri="{FF2B5EF4-FFF2-40B4-BE49-F238E27FC236}">
                  <a16:creationId xmlns:a16="http://schemas.microsoft.com/office/drawing/2014/main" id="{00000000-0008-0000-3C00-000001100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142875</xdr:rowOff>
        </xdr:from>
        <xdr:to>
          <xdr:col>1</xdr:col>
          <xdr:colOff>1304925</xdr:colOff>
          <xdr:row>25</xdr:row>
          <xdr:rowOff>171450</xdr:rowOff>
        </xdr:to>
        <xdr:sp macro="" textlink="">
          <xdr:nvSpPr>
            <xdr:cNvPr id="659462" name="Botón 6" hidden="1">
              <a:extLst>
                <a:ext uri="{63B3BB69-23CF-44E3-9099-C40C66FF867C}">
                  <a14:compatExt spid="_x0000_s659462"/>
                </a:ext>
                <a:ext uri="{FF2B5EF4-FFF2-40B4-BE49-F238E27FC236}">
                  <a16:creationId xmlns:a16="http://schemas.microsoft.com/office/drawing/2014/main" id="{00000000-0008-0000-3C00-00000610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6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38100</xdr:rowOff>
        </xdr:from>
        <xdr:to>
          <xdr:col>1</xdr:col>
          <xdr:colOff>1066800</xdr:colOff>
          <xdr:row>0</xdr:row>
          <xdr:rowOff>276225</xdr:rowOff>
        </xdr:to>
        <xdr:sp macro="" textlink="">
          <xdr:nvSpPr>
            <xdr:cNvPr id="727041" name="Button 1" hidden="1">
              <a:extLst>
                <a:ext uri="{63B3BB69-23CF-44E3-9099-C40C66FF867C}">
                  <a14:compatExt spid="_x0000_s727041"/>
                </a:ext>
                <a:ext uri="{FF2B5EF4-FFF2-40B4-BE49-F238E27FC236}">
                  <a16:creationId xmlns:a16="http://schemas.microsoft.com/office/drawing/2014/main" id="{00000000-0008-0000-3D00-00000118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676275</xdr:colOff>
          <xdr:row>9</xdr:row>
          <xdr:rowOff>85725</xdr:rowOff>
        </xdr:from>
        <xdr:to>
          <xdr:col>1</xdr:col>
          <xdr:colOff>1219200</xdr:colOff>
          <xdr:row>12</xdr:row>
          <xdr:rowOff>114300</xdr:rowOff>
        </xdr:to>
        <xdr:sp macro="" textlink="">
          <xdr:nvSpPr>
            <xdr:cNvPr id="727046" name="Botón 6" hidden="1">
              <a:extLst>
                <a:ext uri="{63B3BB69-23CF-44E3-9099-C40C66FF867C}">
                  <a14:compatExt spid="_x0000_s727046"/>
                </a:ext>
                <a:ext uri="{FF2B5EF4-FFF2-40B4-BE49-F238E27FC236}">
                  <a16:creationId xmlns:a16="http://schemas.microsoft.com/office/drawing/2014/main" id="{00000000-0008-0000-3D00-00000618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6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38100</xdr:rowOff>
        </xdr:from>
        <xdr:to>
          <xdr:col>1</xdr:col>
          <xdr:colOff>1066800</xdr:colOff>
          <xdr:row>0</xdr:row>
          <xdr:rowOff>276225</xdr:rowOff>
        </xdr:to>
        <xdr:sp macro="" textlink="">
          <xdr:nvSpPr>
            <xdr:cNvPr id="732161" name="Button 1" hidden="1">
              <a:extLst>
                <a:ext uri="{63B3BB69-23CF-44E3-9099-C40C66FF867C}">
                  <a14:compatExt spid="_x0000_s732161"/>
                </a:ext>
                <a:ext uri="{FF2B5EF4-FFF2-40B4-BE49-F238E27FC236}">
                  <a16:creationId xmlns:a16="http://schemas.microsoft.com/office/drawing/2014/main" id="{00000000-0008-0000-3E00-0000012C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581025</xdr:colOff>
          <xdr:row>48</xdr:row>
          <xdr:rowOff>161925</xdr:rowOff>
        </xdr:from>
        <xdr:to>
          <xdr:col>2</xdr:col>
          <xdr:colOff>542925</xdr:colOff>
          <xdr:row>52</xdr:row>
          <xdr:rowOff>19050</xdr:rowOff>
        </xdr:to>
        <xdr:sp macro="" textlink="">
          <xdr:nvSpPr>
            <xdr:cNvPr id="732167" name="Botón 7" hidden="1">
              <a:extLst>
                <a:ext uri="{63B3BB69-23CF-44E3-9099-C40C66FF867C}">
                  <a14:compatExt spid="_x0000_s732167"/>
                </a:ext>
                <a:ext uri="{FF2B5EF4-FFF2-40B4-BE49-F238E27FC236}">
                  <a16:creationId xmlns:a16="http://schemas.microsoft.com/office/drawing/2014/main" id="{00000000-0008-0000-3E00-0000072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6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38100</xdr:rowOff>
        </xdr:from>
        <xdr:to>
          <xdr:col>1</xdr:col>
          <xdr:colOff>1066800</xdr:colOff>
          <xdr:row>0</xdr:row>
          <xdr:rowOff>276225</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3F00-00000140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657225</xdr:colOff>
          <xdr:row>10</xdr:row>
          <xdr:rowOff>9525</xdr:rowOff>
        </xdr:from>
        <xdr:to>
          <xdr:col>1</xdr:col>
          <xdr:colOff>1209675</xdr:colOff>
          <xdr:row>13</xdr:row>
          <xdr:rowOff>47625</xdr:rowOff>
        </xdr:to>
        <xdr:sp macro="" textlink="">
          <xdr:nvSpPr>
            <xdr:cNvPr id="737286" name="Botón 6" hidden="1">
              <a:extLst>
                <a:ext uri="{63B3BB69-23CF-44E3-9099-C40C66FF867C}">
                  <a14:compatExt spid="_x0000_s737286"/>
                </a:ext>
                <a:ext uri="{FF2B5EF4-FFF2-40B4-BE49-F238E27FC236}">
                  <a16:creationId xmlns:a16="http://schemas.microsoft.com/office/drawing/2014/main" id="{00000000-0008-0000-3F00-00000640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6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38100</xdr:rowOff>
        </xdr:from>
        <xdr:to>
          <xdr:col>1</xdr:col>
          <xdr:colOff>1066800</xdr:colOff>
          <xdr:row>0</xdr:row>
          <xdr:rowOff>276225</xdr:rowOff>
        </xdr:to>
        <xdr:sp macro="" textlink="">
          <xdr:nvSpPr>
            <xdr:cNvPr id="742401" name="Button 1" hidden="1">
              <a:extLst>
                <a:ext uri="{63B3BB69-23CF-44E3-9099-C40C66FF867C}">
                  <a14:compatExt spid="_x0000_s742401"/>
                </a:ext>
                <a:ext uri="{FF2B5EF4-FFF2-40B4-BE49-F238E27FC236}">
                  <a16:creationId xmlns:a16="http://schemas.microsoft.com/office/drawing/2014/main" id="{00000000-0008-0000-4000-00000154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11</xdr:row>
          <xdr:rowOff>180975</xdr:rowOff>
        </xdr:from>
        <xdr:to>
          <xdr:col>2</xdr:col>
          <xdr:colOff>85725</xdr:colOff>
          <xdr:row>15</xdr:row>
          <xdr:rowOff>28575</xdr:rowOff>
        </xdr:to>
        <xdr:sp macro="" textlink="">
          <xdr:nvSpPr>
            <xdr:cNvPr id="742405" name="Botón 5" hidden="1">
              <a:extLst>
                <a:ext uri="{63B3BB69-23CF-44E3-9099-C40C66FF867C}">
                  <a14:compatExt spid="_x0000_s742405"/>
                </a:ext>
                <a:ext uri="{FF2B5EF4-FFF2-40B4-BE49-F238E27FC236}">
                  <a16:creationId xmlns:a16="http://schemas.microsoft.com/office/drawing/2014/main" id="{00000000-0008-0000-4000-0000055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6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38100</xdr:rowOff>
        </xdr:from>
        <xdr:to>
          <xdr:col>1</xdr:col>
          <xdr:colOff>1066800</xdr:colOff>
          <xdr:row>0</xdr:row>
          <xdr:rowOff>276225</xdr:rowOff>
        </xdr:to>
        <xdr:sp macro="" textlink="">
          <xdr:nvSpPr>
            <xdr:cNvPr id="747521" name="Button 1" hidden="1">
              <a:extLst>
                <a:ext uri="{63B3BB69-23CF-44E3-9099-C40C66FF867C}">
                  <a14:compatExt spid="_x0000_s747521"/>
                </a:ext>
                <a:ext uri="{FF2B5EF4-FFF2-40B4-BE49-F238E27FC236}">
                  <a16:creationId xmlns:a16="http://schemas.microsoft.com/office/drawing/2014/main" id="{00000000-0008-0000-4100-00000168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161925</xdr:colOff>
          <xdr:row>30</xdr:row>
          <xdr:rowOff>104775</xdr:rowOff>
        </xdr:from>
        <xdr:to>
          <xdr:col>1</xdr:col>
          <xdr:colOff>1457325</xdr:colOff>
          <xdr:row>33</xdr:row>
          <xdr:rowOff>142875</xdr:rowOff>
        </xdr:to>
        <xdr:sp macro="" textlink="">
          <xdr:nvSpPr>
            <xdr:cNvPr id="747526" name="Botón 6" hidden="1">
              <a:extLst>
                <a:ext uri="{63B3BB69-23CF-44E3-9099-C40C66FF867C}">
                  <a14:compatExt spid="_x0000_s747526"/>
                </a:ext>
                <a:ext uri="{FF2B5EF4-FFF2-40B4-BE49-F238E27FC236}">
                  <a16:creationId xmlns:a16="http://schemas.microsoft.com/office/drawing/2014/main" id="{00000000-0008-0000-4100-00000668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6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38100</xdr:rowOff>
        </xdr:from>
        <xdr:to>
          <xdr:col>1</xdr:col>
          <xdr:colOff>1066800</xdr:colOff>
          <xdr:row>0</xdr:row>
          <xdr:rowOff>276225</xdr:rowOff>
        </xdr:to>
        <xdr:sp macro="" textlink="">
          <xdr:nvSpPr>
            <xdr:cNvPr id="752641" name="Button 1" hidden="1">
              <a:extLst>
                <a:ext uri="{63B3BB69-23CF-44E3-9099-C40C66FF867C}">
                  <a14:compatExt spid="_x0000_s752641"/>
                </a:ext>
                <a:ext uri="{FF2B5EF4-FFF2-40B4-BE49-F238E27FC236}">
                  <a16:creationId xmlns:a16="http://schemas.microsoft.com/office/drawing/2014/main" id="{00000000-0008-0000-4200-0000017C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523875</xdr:colOff>
          <xdr:row>12</xdr:row>
          <xdr:rowOff>142875</xdr:rowOff>
        </xdr:from>
        <xdr:to>
          <xdr:col>1</xdr:col>
          <xdr:colOff>1076325</xdr:colOff>
          <xdr:row>15</xdr:row>
          <xdr:rowOff>180975</xdr:rowOff>
        </xdr:to>
        <xdr:sp macro="" textlink="">
          <xdr:nvSpPr>
            <xdr:cNvPr id="752646" name="Botón 6" hidden="1">
              <a:extLst>
                <a:ext uri="{63B3BB69-23CF-44E3-9099-C40C66FF867C}">
                  <a14:compatExt spid="_x0000_s752646"/>
                </a:ext>
                <a:ext uri="{FF2B5EF4-FFF2-40B4-BE49-F238E27FC236}">
                  <a16:creationId xmlns:a16="http://schemas.microsoft.com/office/drawing/2014/main" id="{00000000-0008-0000-4200-0000067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6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38100</xdr:rowOff>
        </xdr:from>
        <xdr:to>
          <xdr:col>1</xdr:col>
          <xdr:colOff>1066800</xdr:colOff>
          <xdr:row>0</xdr:row>
          <xdr:rowOff>276225</xdr:rowOff>
        </xdr:to>
        <xdr:sp macro="" textlink="">
          <xdr:nvSpPr>
            <xdr:cNvPr id="757761" name="Button 1" hidden="1">
              <a:extLst>
                <a:ext uri="{63B3BB69-23CF-44E3-9099-C40C66FF867C}">
                  <a14:compatExt spid="_x0000_s757761"/>
                </a:ext>
                <a:ext uri="{FF2B5EF4-FFF2-40B4-BE49-F238E27FC236}">
                  <a16:creationId xmlns:a16="http://schemas.microsoft.com/office/drawing/2014/main" id="{00000000-0008-0000-4300-00000190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18</xdr:row>
          <xdr:rowOff>180975</xdr:rowOff>
        </xdr:from>
        <xdr:to>
          <xdr:col>1</xdr:col>
          <xdr:colOff>1428750</xdr:colOff>
          <xdr:row>22</xdr:row>
          <xdr:rowOff>28575</xdr:rowOff>
        </xdr:to>
        <xdr:sp macro="" textlink="">
          <xdr:nvSpPr>
            <xdr:cNvPr id="757769" name="Botón 9" hidden="1">
              <a:extLst>
                <a:ext uri="{63B3BB69-23CF-44E3-9099-C40C66FF867C}">
                  <a14:compatExt spid="_x0000_s757769"/>
                </a:ext>
                <a:ext uri="{FF2B5EF4-FFF2-40B4-BE49-F238E27FC236}">
                  <a16:creationId xmlns:a16="http://schemas.microsoft.com/office/drawing/2014/main" id="{00000000-0008-0000-4300-00000990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6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38100</xdr:rowOff>
        </xdr:from>
        <xdr:to>
          <xdr:col>1</xdr:col>
          <xdr:colOff>1066800</xdr:colOff>
          <xdr:row>0</xdr:row>
          <xdr:rowOff>276225</xdr:rowOff>
        </xdr:to>
        <xdr:sp macro="" textlink="">
          <xdr:nvSpPr>
            <xdr:cNvPr id="762881" name="Button 1" hidden="1">
              <a:extLst>
                <a:ext uri="{63B3BB69-23CF-44E3-9099-C40C66FF867C}">
                  <a14:compatExt spid="_x0000_s762881"/>
                </a:ext>
                <a:ext uri="{FF2B5EF4-FFF2-40B4-BE49-F238E27FC236}">
                  <a16:creationId xmlns:a16="http://schemas.microsoft.com/office/drawing/2014/main" id="{00000000-0008-0000-4400-000001A4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47625</xdr:colOff>
          <xdr:row>12</xdr:row>
          <xdr:rowOff>152400</xdr:rowOff>
        </xdr:from>
        <xdr:to>
          <xdr:col>1</xdr:col>
          <xdr:colOff>1352550</xdr:colOff>
          <xdr:row>16</xdr:row>
          <xdr:rowOff>0</xdr:rowOff>
        </xdr:to>
        <xdr:sp macro="" textlink="">
          <xdr:nvSpPr>
            <xdr:cNvPr id="762885" name="Botón 5" hidden="1">
              <a:extLst>
                <a:ext uri="{63B3BB69-23CF-44E3-9099-C40C66FF867C}">
                  <a14:compatExt spid="_x0000_s762885"/>
                </a:ext>
                <a:ext uri="{FF2B5EF4-FFF2-40B4-BE49-F238E27FC236}">
                  <a16:creationId xmlns:a16="http://schemas.microsoft.com/office/drawing/2014/main" id="{00000000-0008-0000-4400-000005A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7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38100</xdr:rowOff>
        </xdr:from>
        <xdr:to>
          <xdr:col>1</xdr:col>
          <xdr:colOff>1066800</xdr:colOff>
          <xdr:row>0</xdr:row>
          <xdr:rowOff>276225</xdr:rowOff>
        </xdr:to>
        <xdr:sp macro="" textlink="">
          <xdr:nvSpPr>
            <xdr:cNvPr id="773121" name="Button 1" hidden="1">
              <a:extLst>
                <a:ext uri="{63B3BB69-23CF-44E3-9099-C40C66FF867C}">
                  <a14:compatExt spid="_x0000_s773121"/>
                </a:ext>
                <a:ext uri="{FF2B5EF4-FFF2-40B4-BE49-F238E27FC236}">
                  <a16:creationId xmlns:a16="http://schemas.microsoft.com/office/drawing/2014/main" id="{00000000-0008-0000-4500-000001CC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34</xdr:row>
          <xdr:rowOff>180975</xdr:rowOff>
        </xdr:from>
        <xdr:to>
          <xdr:col>1</xdr:col>
          <xdr:colOff>1428750</xdr:colOff>
          <xdr:row>38</xdr:row>
          <xdr:rowOff>28575</xdr:rowOff>
        </xdr:to>
        <xdr:sp macro="" textlink="">
          <xdr:nvSpPr>
            <xdr:cNvPr id="773126" name="Botón 6" hidden="1">
              <a:extLst>
                <a:ext uri="{63B3BB69-23CF-44E3-9099-C40C66FF867C}">
                  <a14:compatExt spid="_x0000_s773126"/>
                </a:ext>
                <a:ext uri="{FF2B5EF4-FFF2-40B4-BE49-F238E27FC236}">
                  <a16:creationId xmlns:a16="http://schemas.microsoft.com/office/drawing/2014/main" id="{00000000-0008-0000-4500-000006C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7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38100</xdr:rowOff>
        </xdr:from>
        <xdr:to>
          <xdr:col>1</xdr:col>
          <xdr:colOff>1066800</xdr:colOff>
          <xdr:row>0</xdr:row>
          <xdr:rowOff>276225</xdr:rowOff>
        </xdr:to>
        <xdr:sp macro="" textlink="">
          <xdr:nvSpPr>
            <xdr:cNvPr id="779265" name="Button 1" hidden="1">
              <a:extLst>
                <a:ext uri="{63B3BB69-23CF-44E3-9099-C40C66FF867C}">
                  <a14:compatExt spid="_x0000_s779265"/>
                </a:ext>
                <a:ext uri="{FF2B5EF4-FFF2-40B4-BE49-F238E27FC236}">
                  <a16:creationId xmlns:a16="http://schemas.microsoft.com/office/drawing/2014/main" id="{00000000-0008-0000-4600-000001E4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552450</xdr:colOff>
          <xdr:row>18</xdr:row>
          <xdr:rowOff>171450</xdr:rowOff>
        </xdr:from>
        <xdr:to>
          <xdr:col>1</xdr:col>
          <xdr:colOff>1095375</xdr:colOff>
          <xdr:row>22</xdr:row>
          <xdr:rowOff>19050</xdr:rowOff>
        </xdr:to>
        <xdr:sp macro="" textlink="">
          <xdr:nvSpPr>
            <xdr:cNvPr id="779269" name="Botón 5" hidden="1">
              <a:extLst>
                <a:ext uri="{63B3BB69-23CF-44E3-9099-C40C66FF867C}">
                  <a14:compatExt spid="_x0000_s779269"/>
                </a:ext>
                <a:ext uri="{FF2B5EF4-FFF2-40B4-BE49-F238E27FC236}">
                  <a16:creationId xmlns:a16="http://schemas.microsoft.com/office/drawing/2014/main" id="{00000000-0008-0000-4600-000005E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7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38100</xdr:rowOff>
        </xdr:from>
        <xdr:to>
          <xdr:col>1</xdr:col>
          <xdr:colOff>1066800</xdr:colOff>
          <xdr:row>0</xdr:row>
          <xdr:rowOff>276225</xdr:rowOff>
        </xdr:to>
        <xdr:sp macro="" textlink="">
          <xdr:nvSpPr>
            <xdr:cNvPr id="785409" name="Button 1" hidden="1">
              <a:extLst>
                <a:ext uri="{63B3BB69-23CF-44E3-9099-C40C66FF867C}">
                  <a14:compatExt spid="_x0000_s785409"/>
                </a:ext>
                <a:ext uri="{FF2B5EF4-FFF2-40B4-BE49-F238E27FC236}">
                  <a16:creationId xmlns:a16="http://schemas.microsoft.com/office/drawing/2014/main" id="{00000000-0008-0000-4700-000001FC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9</xdr:row>
          <xdr:rowOff>180975</xdr:rowOff>
        </xdr:from>
        <xdr:to>
          <xdr:col>1</xdr:col>
          <xdr:colOff>1428750</xdr:colOff>
          <xdr:row>13</xdr:row>
          <xdr:rowOff>28575</xdr:rowOff>
        </xdr:to>
        <xdr:sp macro="" textlink="">
          <xdr:nvSpPr>
            <xdr:cNvPr id="785412" name="Botón 4" hidden="1">
              <a:extLst>
                <a:ext uri="{63B3BB69-23CF-44E3-9099-C40C66FF867C}">
                  <a14:compatExt spid="_x0000_s785412"/>
                </a:ext>
                <a:ext uri="{FF2B5EF4-FFF2-40B4-BE49-F238E27FC236}">
                  <a16:creationId xmlns:a16="http://schemas.microsoft.com/office/drawing/2014/main" id="{00000000-0008-0000-4700-000004F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7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38100</xdr:rowOff>
        </xdr:from>
        <xdr:to>
          <xdr:col>1</xdr:col>
          <xdr:colOff>1066800</xdr:colOff>
          <xdr:row>0</xdr:row>
          <xdr:rowOff>276225</xdr:rowOff>
        </xdr:to>
        <xdr:sp macro="" textlink="">
          <xdr:nvSpPr>
            <xdr:cNvPr id="791553" name="Button 1" hidden="1">
              <a:extLst>
                <a:ext uri="{63B3BB69-23CF-44E3-9099-C40C66FF867C}">
                  <a14:compatExt spid="_x0000_s791553"/>
                </a:ext>
                <a:ext uri="{FF2B5EF4-FFF2-40B4-BE49-F238E27FC236}">
                  <a16:creationId xmlns:a16="http://schemas.microsoft.com/office/drawing/2014/main" id="{00000000-0008-0000-4800-0000011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15</xdr:row>
          <xdr:rowOff>180975</xdr:rowOff>
        </xdr:from>
        <xdr:to>
          <xdr:col>1</xdr:col>
          <xdr:colOff>1428750</xdr:colOff>
          <xdr:row>19</xdr:row>
          <xdr:rowOff>28575</xdr:rowOff>
        </xdr:to>
        <xdr:sp macro="" textlink="">
          <xdr:nvSpPr>
            <xdr:cNvPr id="791556" name="Botón 4" hidden="1">
              <a:extLst>
                <a:ext uri="{63B3BB69-23CF-44E3-9099-C40C66FF867C}">
                  <a14:compatExt spid="_x0000_s791556"/>
                </a:ext>
                <a:ext uri="{FF2B5EF4-FFF2-40B4-BE49-F238E27FC236}">
                  <a16:creationId xmlns:a16="http://schemas.microsoft.com/office/drawing/2014/main" id="{00000000-0008-0000-4800-000004140C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7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38100</xdr:rowOff>
        </xdr:from>
        <xdr:to>
          <xdr:col>1</xdr:col>
          <xdr:colOff>1066800</xdr:colOff>
          <xdr:row>0</xdr:row>
          <xdr:rowOff>276225</xdr:rowOff>
        </xdr:to>
        <xdr:sp macro="" textlink="">
          <xdr:nvSpPr>
            <xdr:cNvPr id="797697" name="Button 1" hidden="1">
              <a:extLst>
                <a:ext uri="{63B3BB69-23CF-44E3-9099-C40C66FF867C}">
                  <a14:compatExt spid="_x0000_s797697"/>
                </a:ext>
                <a:ext uri="{FF2B5EF4-FFF2-40B4-BE49-F238E27FC236}">
                  <a16:creationId xmlns:a16="http://schemas.microsoft.com/office/drawing/2014/main" id="{00000000-0008-0000-4900-0000012C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20</xdr:row>
          <xdr:rowOff>161925</xdr:rowOff>
        </xdr:from>
        <xdr:to>
          <xdr:col>1</xdr:col>
          <xdr:colOff>1428750</xdr:colOff>
          <xdr:row>24</xdr:row>
          <xdr:rowOff>9525</xdr:rowOff>
        </xdr:to>
        <xdr:sp macro="" textlink="">
          <xdr:nvSpPr>
            <xdr:cNvPr id="797708" name="Botón 12" hidden="1">
              <a:extLst>
                <a:ext uri="{63B3BB69-23CF-44E3-9099-C40C66FF867C}">
                  <a14:compatExt spid="_x0000_s797708"/>
                </a:ext>
                <a:ext uri="{FF2B5EF4-FFF2-40B4-BE49-F238E27FC236}">
                  <a16:creationId xmlns:a16="http://schemas.microsoft.com/office/drawing/2014/main" id="{00000000-0008-0000-4900-00000C2C0C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7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38100</xdr:rowOff>
        </xdr:from>
        <xdr:to>
          <xdr:col>1</xdr:col>
          <xdr:colOff>1066800</xdr:colOff>
          <xdr:row>0</xdr:row>
          <xdr:rowOff>276225</xdr:rowOff>
        </xdr:to>
        <xdr:sp macro="" textlink="">
          <xdr:nvSpPr>
            <xdr:cNvPr id="798721" name="Button 1" hidden="1">
              <a:extLst>
                <a:ext uri="{63B3BB69-23CF-44E3-9099-C40C66FF867C}">
                  <a14:compatExt spid="_x0000_s798721"/>
                </a:ext>
                <a:ext uri="{FF2B5EF4-FFF2-40B4-BE49-F238E27FC236}">
                  <a16:creationId xmlns:a16="http://schemas.microsoft.com/office/drawing/2014/main" id="{00000000-0008-0000-4A00-00000130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9</xdr:row>
          <xdr:rowOff>180975</xdr:rowOff>
        </xdr:from>
        <xdr:to>
          <xdr:col>1</xdr:col>
          <xdr:colOff>1428750</xdr:colOff>
          <xdr:row>13</xdr:row>
          <xdr:rowOff>28575</xdr:rowOff>
        </xdr:to>
        <xdr:sp macro="" textlink="">
          <xdr:nvSpPr>
            <xdr:cNvPr id="798725" name="Botón 5" hidden="1">
              <a:extLst>
                <a:ext uri="{63B3BB69-23CF-44E3-9099-C40C66FF867C}">
                  <a14:compatExt spid="_x0000_s798725"/>
                </a:ext>
                <a:ext uri="{FF2B5EF4-FFF2-40B4-BE49-F238E27FC236}">
                  <a16:creationId xmlns:a16="http://schemas.microsoft.com/office/drawing/2014/main" id="{00000000-0008-0000-4A00-000005300C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7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38100</xdr:rowOff>
        </xdr:from>
        <xdr:to>
          <xdr:col>1</xdr:col>
          <xdr:colOff>1066800</xdr:colOff>
          <xdr:row>0</xdr:row>
          <xdr:rowOff>276225</xdr:rowOff>
        </xdr:to>
        <xdr:sp macro="" textlink="">
          <xdr:nvSpPr>
            <xdr:cNvPr id="801793" name="Button 1" hidden="1">
              <a:extLst>
                <a:ext uri="{63B3BB69-23CF-44E3-9099-C40C66FF867C}">
                  <a14:compatExt spid="_x0000_s801793"/>
                </a:ext>
                <a:ext uri="{FF2B5EF4-FFF2-40B4-BE49-F238E27FC236}">
                  <a16:creationId xmlns:a16="http://schemas.microsoft.com/office/drawing/2014/main" id="{00000000-0008-0000-4B00-0000013C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12</xdr:row>
          <xdr:rowOff>180975</xdr:rowOff>
        </xdr:from>
        <xdr:to>
          <xdr:col>1</xdr:col>
          <xdr:colOff>676275</xdr:colOff>
          <xdr:row>16</xdr:row>
          <xdr:rowOff>28575</xdr:rowOff>
        </xdr:to>
        <xdr:sp macro="" textlink="">
          <xdr:nvSpPr>
            <xdr:cNvPr id="801798" name="Botón 6" hidden="1">
              <a:extLst>
                <a:ext uri="{63B3BB69-23CF-44E3-9099-C40C66FF867C}">
                  <a14:compatExt spid="_x0000_s801798"/>
                </a:ext>
                <a:ext uri="{FF2B5EF4-FFF2-40B4-BE49-F238E27FC236}">
                  <a16:creationId xmlns:a16="http://schemas.microsoft.com/office/drawing/2014/main" id="{00000000-0008-0000-4B00-0000063C0C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7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38100</xdr:rowOff>
        </xdr:from>
        <xdr:to>
          <xdr:col>1</xdr:col>
          <xdr:colOff>1066800</xdr:colOff>
          <xdr:row>0</xdr:row>
          <xdr:rowOff>276225</xdr:rowOff>
        </xdr:to>
        <xdr:sp macro="" textlink="">
          <xdr:nvSpPr>
            <xdr:cNvPr id="804865" name="Button 1" hidden="1">
              <a:extLst>
                <a:ext uri="{63B3BB69-23CF-44E3-9099-C40C66FF867C}">
                  <a14:compatExt spid="_x0000_s804865"/>
                </a:ext>
                <a:ext uri="{FF2B5EF4-FFF2-40B4-BE49-F238E27FC236}">
                  <a16:creationId xmlns:a16="http://schemas.microsoft.com/office/drawing/2014/main" id="{00000000-0008-0000-4C00-00000148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21</xdr:row>
          <xdr:rowOff>180975</xdr:rowOff>
        </xdr:from>
        <xdr:to>
          <xdr:col>1</xdr:col>
          <xdr:colOff>1428750</xdr:colOff>
          <xdr:row>25</xdr:row>
          <xdr:rowOff>28575</xdr:rowOff>
        </xdr:to>
        <xdr:sp macro="" textlink="">
          <xdr:nvSpPr>
            <xdr:cNvPr id="804875" name="Botón 11" hidden="1">
              <a:extLst>
                <a:ext uri="{63B3BB69-23CF-44E3-9099-C40C66FF867C}">
                  <a14:compatExt spid="_x0000_s804875"/>
                </a:ext>
                <a:ext uri="{FF2B5EF4-FFF2-40B4-BE49-F238E27FC236}">
                  <a16:creationId xmlns:a16="http://schemas.microsoft.com/office/drawing/2014/main" id="{00000000-0008-0000-4C00-00000B480C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7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38100</xdr:rowOff>
        </xdr:from>
        <xdr:to>
          <xdr:col>1</xdr:col>
          <xdr:colOff>1066800</xdr:colOff>
          <xdr:row>0</xdr:row>
          <xdr:rowOff>276225</xdr:rowOff>
        </xdr:to>
        <xdr:sp macro="" textlink="">
          <xdr:nvSpPr>
            <xdr:cNvPr id="807937" name="Button 1" hidden="1">
              <a:extLst>
                <a:ext uri="{63B3BB69-23CF-44E3-9099-C40C66FF867C}">
                  <a14:compatExt spid="_x0000_s807937"/>
                </a:ext>
                <a:ext uri="{FF2B5EF4-FFF2-40B4-BE49-F238E27FC236}">
                  <a16:creationId xmlns:a16="http://schemas.microsoft.com/office/drawing/2014/main" id="{00000000-0008-0000-4D00-0000015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31</xdr:row>
          <xdr:rowOff>180975</xdr:rowOff>
        </xdr:from>
        <xdr:to>
          <xdr:col>1</xdr:col>
          <xdr:colOff>1428750</xdr:colOff>
          <xdr:row>35</xdr:row>
          <xdr:rowOff>28575</xdr:rowOff>
        </xdr:to>
        <xdr:sp macro="" textlink="">
          <xdr:nvSpPr>
            <xdr:cNvPr id="807947" name="Botón 11" hidden="1">
              <a:extLst>
                <a:ext uri="{63B3BB69-23CF-44E3-9099-C40C66FF867C}">
                  <a14:compatExt spid="_x0000_s807947"/>
                </a:ext>
                <a:ext uri="{FF2B5EF4-FFF2-40B4-BE49-F238E27FC236}">
                  <a16:creationId xmlns:a16="http://schemas.microsoft.com/office/drawing/2014/main" id="{00000000-0008-0000-4D00-00000B540C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7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38100</xdr:rowOff>
        </xdr:from>
        <xdr:to>
          <xdr:col>1</xdr:col>
          <xdr:colOff>1066800</xdr:colOff>
          <xdr:row>0</xdr:row>
          <xdr:rowOff>276225</xdr:rowOff>
        </xdr:to>
        <xdr:sp macro="" textlink="">
          <xdr:nvSpPr>
            <xdr:cNvPr id="811009" name="Button 1" hidden="1">
              <a:extLst>
                <a:ext uri="{63B3BB69-23CF-44E3-9099-C40C66FF867C}">
                  <a14:compatExt spid="_x0000_s811009"/>
                </a:ext>
                <a:ext uri="{FF2B5EF4-FFF2-40B4-BE49-F238E27FC236}">
                  <a16:creationId xmlns:a16="http://schemas.microsoft.com/office/drawing/2014/main" id="{00000000-0008-0000-4E00-00000160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180975</xdr:rowOff>
        </xdr:from>
        <xdr:to>
          <xdr:col>1</xdr:col>
          <xdr:colOff>1428750</xdr:colOff>
          <xdr:row>16</xdr:row>
          <xdr:rowOff>28575</xdr:rowOff>
        </xdr:to>
        <xdr:sp macro="" textlink="">
          <xdr:nvSpPr>
            <xdr:cNvPr id="811012" name="Botón 4" hidden="1">
              <a:extLst>
                <a:ext uri="{63B3BB69-23CF-44E3-9099-C40C66FF867C}">
                  <a14:compatExt spid="_x0000_s811012"/>
                </a:ext>
                <a:ext uri="{FF2B5EF4-FFF2-40B4-BE49-F238E27FC236}">
                  <a16:creationId xmlns:a16="http://schemas.microsoft.com/office/drawing/2014/main" id="{00000000-0008-0000-4E00-000004600C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8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38100</xdr:rowOff>
        </xdr:from>
        <xdr:to>
          <xdr:col>1</xdr:col>
          <xdr:colOff>1066800</xdr:colOff>
          <xdr:row>0</xdr:row>
          <xdr:rowOff>276225</xdr:rowOff>
        </xdr:to>
        <xdr:sp macro="" textlink="">
          <xdr:nvSpPr>
            <xdr:cNvPr id="814081" name="Button 1" hidden="1">
              <a:extLst>
                <a:ext uri="{63B3BB69-23CF-44E3-9099-C40C66FF867C}">
                  <a14:compatExt spid="_x0000_s814081"/>
                </a:ext>
                <a:ext uri="{FF2B5EF4-FFF2-40B4-BE49-F238E27FC236}">
                  <a16:creationId xmlns:a16="http://schemas.microsoft.com/office/drawing/2014/main" id="{00000000-0008-0000-4F00-0000016C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6</xdr:row>
          <xdr:rowOff>180975</xdr:rowOff>
        </xdr:from>
        <xdr:to>
          <xdr:col>1</xdr:col>
          <xdr:colOff>676275</xdr:colOff>
          <xdr:row>10</xdr:row>
          <xdr:rowOff>28575</xdr:rowOff>
        </xdr:to>
        <xdr:sp macro="" textlink="">
          <xdr:nvSpPr>
            <xdr:cNvPr id="814084" name="Botón 4" hidden="1">
              <a:extLst>
                <a:ext uri="{63B3BB69-23CF-44E3-9099-C40C66FF867C}">
                  <a14:compatExt spid="_x0000_s814084"/>
                </a:ext>
                <a:ext uri="{FF2B5EF4-FFF2-40B4-BE49-F238E27FC236}">
                  <a16:creationId xmlns:a16="http://schemas.microsoft.com/office/drawing/2014/main" id="{00000000-0008-0000-4F00-0000046C0C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8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38100</xdr:rowOff>
        </xdr:from>
        <xdr:to>
          <xdr:col>1</xdr:col>
          <xdr:colOff>1066800</xdr:colOff>
          <xdr:row>0</xdr:row>
          <xdr:rowOff>276225</xdr:rowOff>
        </xdr:to>
        <xdr:sp macro="" textlink="">
          <xdr:nvSpPr>
            <xdr:cNvPr id="817153" name="Button 1" hidden="1">
              <a:extLst>
                <a:ext uri="{63B3BB69-23CF-44E3-9099-C40C66FF867C}">
                  <a14:compatExt spid="_x0000_s817153"/>
                </a:ext>
                <a:ext uri="{FF2B5EF4-FFF2-40B4-BE49-F238E27FC236}">
                  <a16:creationId xmlns:a16="http://schemas.microsoft.com/office/drawing/2014/main" id="{00000000-0008-0000-5000-00000178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6</xdr:row>
          <xdr:rowOff>180975</xdr:rowOff>
        </xdr:from>
        <xdr:to>
          <xdr:col>1</xdr:col>
          <xdr:colOff>1428750</xdr:colOff>
          <xdr:row>10</xdr:row>
          <xdr:rowOff>28575</xdr:rowOff>
        </xdr:to>
        <xdr:sp macro="" textlink="">
          <xdr:nvSpPr>
            <xdr:cNvPr id="817157" name="Botón 5" hidden="1">
              <a:extLst>
                <a:ext uri="{63B3BB69-23CF-44E3-9099-C40C66FF867C}">
                  <a14:compatExt spid="_x0000_s817157"/>
                </a:ext>
                <a:ext uri="{FF2B5EF4-FFF2-40B4-BE49-F238E27FC236}">
                  <a16:creationId xmlns:a16="http://schemas.microsoft.com/office/drawing/2014/main" id="{00000000-0008-0000-5000-000005780C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8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38100</xdr:rowOff>
        </xdr:from>
        <xdr:to>
          <xdr:col>1</xdr:col>
          <xdr:colOff>1066800</xdr:colOff>
          <xdr:row>0</xdr:row>
          <xdr:rowOff>276225</xdr:rowOff>
        </xdr:to>
        <xdr:sp macro="" textlink="">
          <xdr:nvSpPr>
            <xdr:cNvPr id="820225" name="Button 1" hidden="1">
              <a:extLst>
                <a:ext uri="{63B3BB69-23CF-44E3-9099-C40C66FF867C}">
                  <a14:compatExt spid="_x0000_s820225"/>
                </a:ext>
                <a:ext uri="{FF2B5EF4-FFF2-40B4-BE49-F238E27FC236}">
                  <a16:creationId xmlns:a16="http://schemas.microsoft.com/office/drawing/2014/main" id="{00000000-0008-0000-5100-0000018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447675</xdr:colOff>
          <xdr:row>35</xdr:row>
          <xdr:rowOff>152400</xdr:rowOff>
        </xdr:from>
        <xdr:to>
          <xdr:col>1</xdr:col>
          <xdr:colOff>923925</xdr:colOff>
          <xdr:row>39</xdr:row>
          <xdr:rowOff>28575</xdr:rowOff>
        </xdr:to>
        <xdr:sp macro="" textlink="">
          <xdr:nvSpPr>
            <xdr:cNvPr id="820228" name="Botón 4" hidden="1">
              <a:extLst>
                <a:ext uri="{63B3BB69-23CF-44E3-9099-C40C66FF867C}">
                  <a14:compatExt spid="_x0000_s820228"/>
                </a:ext>
                <a:ext uri="{FF2B5EF4-FFF2-40B4-BE49-F238E27FC236}">
                  <a16:creationId xmlns:a16="http://schemas.microsoft.com/office/drawing/2014/main" id="{00000000-0008-0000-5100-000004840C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8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38100</xdr:rowOff>
        </xdr:from>
        <xdr:to>
          <xdr:col>1</xdr:col>
          <xdr:colOff>1066800</xdr:colOff>
          <xdr:row>0</xdr:row>
          <xdr:rowOff>276225</xdr:rowOff>
        </xdr:to>
        <xdr:sp macro="" textlink="">
          <xdr:nvSpPr>
            <xdr:cNvPr id="823297" name="Button 1" hidden="1">
              <a:extLst>
                <a:ext uri="{63B3BB69-23CF-44E3-9099-C40C66FF867C}">
                  <a14:compatExt spid="_x0000_s823297"/>
                </a:ext>
                <a:ext uri="{FF2B5EF4-FFF2-40B4-BE49-F238E27FC236}">
                  <a16:creationId xmlns:a16="http://schemas.microsoft.com/office/drawing/2014/main" id="{00000000-0008-0000-5200-00000190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7</xdr:row>
          <xdr:rowOff>180975</xdr:rowOff>
        </xdr:from>
        <xdr:to>
          <xdr:col>1</xdr:col>
          <xdr:colOff>676275</xdr:colOff>
          <xdr:row>11</xdr:row>
          <xdr:rowOff>28575</xdr:rowOff>
        </xdr:to>
        <xdr:sp macro="" textlink="">
          <xdr:nvSpPr>
            <xdr:cNvPr id="823300" name="Botón 4" hidden="1">
              <a:extLst>
                <a:ext uri="{63B3BB69-23CF-44E3-9099-C40C66FF867C}">
                  <a14:compatExt spid="_x0000_s823300"/>
                </a:ext>
                <a:ext uri="{FF2B5EF4-FFF2-40B4-BE49-F238E27FC236}">
                  <a16:creationId xmlns:a16="http://schemas.microsoft.com/office/drawing/2014/main" id="{00000000-0008-0000-5200-000004900C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8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38100</xdr:rowOff>
        </xdr:from>
        <xdr:to>
          <xdr:col>1</xdr:col>
          <xdr:colOff>1066800</xdr:colOff>
          <xdr:row>0</xdr:row>
          <xdr:rowOff>276225</xdr:rowOff>
        </xdr:to>
        <xdr:sp macro="" textlink="">
          <xdr:nvSpPr>
            <xdr:cNvPr id="828417" name="Button 1" hidden="1">
              <a:extLst>
                <a:ext uri="{63B3BB69-23CF-44E3-9099-C40C66FF867C}">
                  <a14:compatExt spid="_x0000_s828417"/>
                </a:ext>
                <a:ext uri="{FF2B5EF4-FFF2-40B4-BE49-F238E27FC236}">
                  <a16:creationId xmlns:a16="http://schemas.microsoft.com/office/drawing/2014/main" id="{00000000-0008-0000-5300-000001A4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6</xdr:row>
          <xdr:rowOff>180975</xdr:rowOff>
        </xdr:from>
        <xdr:to>
          <xdr:col>1</xdr:col>
          <xdr:colOff>1428750</xdr:colOff>
          <xdr:row>10</xdr:row>
          <xdr:rowOff>28575</xdr:rowOff>
        </xdr:to>
        <xdr:sp macro="" textlink="">
          <xdr:nvSpPr>
            <xdr:cNvPr id="828420" name="Botón 4" hidden="1">
              <a:extLst>
                <a:ext uri="{63B3BB69-23CF-44E3-9099-C40C66FF867C}">
                  <a14:compatExt spid="_x0000_s828420"/>
                </a:ext>
                <a:ext uri="{FF2B5EF4-FFF2-40B4-BE49-F238E27FC236}">
                  <a16:creationId xmlns:a16="http://schemas.microsoft.com/office/drawing/2014/main" id="{00000000-0008-0000-5300-000004A40C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8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38100</xdr:rowOff>
        </xdr:from>
        <xdr:to>
          <xdr:col>1</xdr:col>
          <xdr:colOff>1066800</xdr:colOff>
          <xdr:row>0</xdr:row>
          <xdr:rowOff>276225</xdr:rowOff>
        </xdr:to>
        <xdr:sp macro="" textlink="">
          <xdr:nvSpPr>
            <xdr:cNvPr id="920577" name="Button 1" hidden="1">
              <a:extLst>
                <a:ext uri="{63B3BB69-23CF-44E3-9099-C40C66FF867C}">
                  <a14:compatExt spid="_x0000_s920577"/>
                </a:ext>
                <a:ext uri="{FF2B5EF4-FFF2-40B4-BE49-F238E27FC236}">
                  <a16:creationId xmlns:a16="http://schemas.microsoft.com/office/drawing/2014/main" id="{00000000-0008-0000-5400-0000010C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6</xdr:row>
          <xdr:rowOff>180975</xdr:rowOff>
        </xdr:from>
        <xdr:to>
          <xdr:col>1</xdr:col>
          <xdr:colOff>1428750</xdr:colOff>
          <xdr:row>10</xdr:row>
          <xdr:rowOff>28575</xdr:rowOff>
        </xdr:to>
        <xdr:sp macro="" textlink="">
          <xdr:nvSpPr>
            <xdr:cNvPr id="920578" name="Botón 4" hidden="1">
              <a:extLst>
                <a:ext uri="{63B3BB69-23CF-44E3-9099-C40C66FF867C}">
                  <a14:compatExt spid="_x0000_s920578"/>
                </a:ext>
                <a:ext uri="{FF2B5EF4-FFF2-40B4-BE49-F238E27FC236}">
                  <a16:creationId xmlns:a16="http://schemas.microsoft.com/office/drawing/2014/main" id="{00000000-0008-0000-5400-0000020C0E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8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38100</xdr:rowOff>
        </xdr:from>
        <xdr:to>
          <xdr:col>1</xdr:col>
          <xdr:colOff>1066800</xdr:colOff>
          <xdr:row>0</xdr:row>
          <xdr:rowOff>276225</xdr:rowOff>
        </xdr:to>
        <xdr:sp macro="" textlink="">
          <xdr:nvSpPr>
            <xdr:cNvPr id="926721" name="Button 1" hidden="1">
              <a:extLst>
                <a:ext uri="{63B3BB69-23CF-44E3-9099-C40C66FF867C}">
                  <a14:compatExt spid="_x0000_s926721"/>
                </a:ext>
                <a:ext uri="{FF2B5EF4-FFF2-40B4-BE49-F238E27FC236}">
                  <a16:creationId xmlns:a16="http://schemas.microsoft.com/office/drawing/2014/main" id="{00000000-0008-0000-5500-00000124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7</xdr:row>
          <xdr:rowOff>180975</xdr:rowOff>
        </xdr:from>
        <xdr:to>
          <xdr:col>1</xdr:col>
          <xdr:colOff>1428750</xdr:colOff>
          <xdr:row>11</xdr:row>
          <xdr:rowOff>28575</xdr:rowOff>
        </xdr:to>
        <xdr:sp macro="" textlink="">
          <xdr:nvSpPr>
            <xdr:cNvPr id="926722" name="Botón 4" hidden="1">
              <a:extLst>
                <a:ext uri="{63B3BB69-23CF-44E3-9099-C40C66FF867C}">
                  <a14:compatExt spid="_x0000_s926722"/>
                </a:ext>
                <a:ext uri="{FF2B5EF4-FFF2-40B4-BE49-F238E27FC236}">
                  <a16:creationId xmlns:a16="http://schemas.microsoft.com/office/drawing/2014/main" id="{00000000-0008-0000-5500-000002240E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8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38100</xdr:rowOff>
        </xdr:from>
        <xdr:to>
          <xdr:col>1</xdr:col>
          <xdr:colOff>1066800</xdr:colOff>
          <xdr:row>0</xdr:row>
          <xdr:rowOff>276225</xdr:rowOff>
        </xdr:to>
        <xdr:sp macro="" textlink="">
          <xdr:nvSpPr>
            <xdr:cNvPr id="932865" name="Button 1" hidden="1">
              <a:extLst>
                <a:ext uri="{63B3BB69-23CF-44E3-9099-C40C66FF867C}">
                  <a14:compatExt spid="_x0000_s932865"/>
                </a:ext>
                <a:ext uri="{FF2B5EF4-FFF2-40B4-BE49-F238E27FC236}">
                  <a16:creationId xmlns:a16="http://schemas.microsoft.com/office/drawing/2014/main" id="{00000000-0008-0000-5600-0000013C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7</xdr:row>
          <xdr:rowOff>180975</xdr:rowOff>
        </xdr:from>
        <xdr:to>
          <xdr:col>1</xdr:col>
          <xdr:colOff>1428750</xdr:colOff>
          <xdr:row>11</xdr:row>
          <xdr:rowOff>28575</xdr:rowOff>
        </xdr:to>
        <xdr:sp macro="" textlink="">
          <xdr:nvSpPr>
            <xdr:cNvPr id="932866" name="Botón 4" hidden="1">
              <a:extLst>
                <a:ext uri="{63B3BB69-23CF-44E3-9099-C40C66FF867C}">
                  <a14:compatExt spid="_x0000_s932866"/>
                </a:ext>
                <a:ext uri="{FF2B5EF4-FFF2-40B4-BE49-F238E27FC236}">
                  <a16:creationId xmlns:a16="http://schemas.microsoft.com/office/drawing/2014/main" id="{00000000-0008-0000-5600-0000023C0E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FF"/>
                  </a:solidFill>
                  <a:latin typeface="Calibri"/>
                  <a:ea typeface="Calibri"/>
                  <a:cs typeface="Calibri"/>
                </a:rPr>
                <a:t>DETALLE DE VUELOS  B200 2026</a:t>
              </a:r>
            </a:p>
          </xdr:txBody>
        </xdr:sp>
        <xdr:clientData fPrintsWithSheet="0"/>
      </xdr:twoCellAnchor>
    </mc:Choice>
    <mc:Fallback/>
  </mc:AlternateContent>
</xdr:wsDr>
</file>

<file path=xl/drawings/drawing8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219075</xdr:colOff>
          <xdr:row>557</xdr:row>
          <xdr:rowOff>123825</xdr:rowOff>
        </xdr:from>
        <xdr:to>
          <xdr:col>1</xdr:col>
          <xdr:colOff>1000125</xdr:colOff>
          <xdr:row>563</xdr:row>
          <xdr:rowOff>114300</xdr:rowOff>
        </xdr:to>
        <xdr:sp macro="" textlink="">
          <xdr:nvSpPr>
            <xdr:cNvPr id="916481" name="Button 1" hidden="1">
              <a:extLst>
                <a:ext uri="{63B3BB69-23CF-44E3-9099-C40C66FF867C}">
                  <a14:compatExt spid="_x0000_s916481"/>
                </a:ext>
                <a:ext uri="{FF2B5EF4-FFF2-40B4-BE49-F238E27FC236}">
                  <a16:creationId xmlns:a16="http://schemas.microsoft.com/office/drawing/2014/main" id="{00000000-0008-0000-5700-000001FC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xdr:wsDr>
</file>

<file path=xl/drawings/drawing8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476250</xdr:colOff>
          <xdr:row>986</xdr:row>
          <xdr:rowOff>28575</xdr:rowOff>
        </xdr:from>
        <xdr:to>
          <xdr:col>1</xdr:col>
          <xdr:colOff>1257300</xdr:colOff>
          <xdr:row>991</xdr:row>
          <xdr:rowOff>19050</xdr:rowOff>
        </xdr:to>
        <xdr:sp macro="" textlink="">
          <xdr:nvSpPr>
            <xdr:cNvPr id="913409" name="Button 1" hidden="1">
              <a:extLst>
                <a:ext uri="{63B3BB69-23CF-44E3-9099-C40C66FF867C}">
                  <a14:compatExt spid="_x0000_s913409"/>
                </a:ext>
                <a:ext uri="{FF2B5EF4-FFF2-40B4-BE49-F238E27FC236}">
                  <a16:creationId xmlns:a16="http://schemas.microsoft.com/office/drawing/2014/main" id="{00000000-0008-0000-5800-000001F00D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xdr:wsDr>
</file>

<file path=xl/drawings/drawing9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390525</xdr:colOff>
          <xdr:row>954</xdr:row>
          <xdr:rowOff>123825</xdr:rowOff>
        </xdr:from>
        <xdr:to>
          <xdr:col>1</xdr:col>
          <xdr:colOff>2200275</xdr:colOff>
          <xdr:row>959</xdr:row>
          <xdr:rowOff>104775</xdr:rowOff>
        </xdr:to>
        <xdr:sp macro="" textlink="">
          <xdr:nvSpPr>
            <xdr:cNvPr id="826369" name="Button 1" hidden="1">
              <a:extLst>
                <a:ext uri="{63B3BB69-23CF-44E3-9099-C40C66FF867C}">
                  <a14:compatExt spid="_x0000_s826369"/>
                </a:ext>
                <a:ext uri="{FF2B5EF4-FFF2-40B4-BE49-F238E27FC236}">
                  <a16:creationId xmlns:a16="http://schemas.microsoft.com/office/drawing/2014/main" id="{00000000-0008-0000-5900-0000019C0C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xdr:wsDr>
</file>

<file path=xl/drawings/drawing9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747</xdr:row>
          <xdr:rowOff>180975</xdr:rowOff>
        </xdr:from>
        <xdr:to>
          <xdr:col>1</xdr:col>
          <xdr:colOff>1857375</xdr:colOff>
          <xdr:row>750</xdr:row>
          <xdr:rowOff>104775</xdr:rowOff>
        </xdr:to>
        <xdr:sp macro="" textlink="">
          <xdr:nvSpPr>
            <xdr:cNvPr id="453727" name="Button 1" hidden="1">
              <a:extLst>
                <a:ext uri="{63B3BB69-23CF-44E3-9099-C40C66FF867C}">
                  <a14:compatExt spid="_x0000_s453727"/>
                </a:ext>
                <a:ext uri="{FF2B5EF4-FFF2-40B4-BE49-F238E27FC236}">
                  <a16:creationId xmlns:a16="http://schemas.microsoft.com/office/drawing/2014/main" id="{00000000-0008-0000-5A00-00005FEC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FF"/>
                  </a:solidFill>
                  <a:latin typeface="Calibri"/>
                  <a:ea typeface="Calibri"/>
                  <a:cs typeface="Calibri"/>
                </a:rPr>
                <a:t>IR A PRIMERA HOJA</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9.xml"/><Relationship Id="rId13" Type="http://schemas.openxmlformats.org/officeDocument/2006/relationships/ctrlProp" Target="../ctrlProps/ctrlProp94.xml"/><Relationship Id="rId3" Type="http://schemas.openxmlformats.org/officeDocument/2006/relationships/vmlDrawing" Target="../drawings/vmlDrawing2.vml"/><Relationship Id="rId7" Type="http://schemas.openxmlformats.org/officeDocument/2006/relationships/ctrlProp" Target="../ctrlProps/ctrlProp88.xml"/><Relationship Id="rId12" Type="http://schemas.openxmlformats.org/officeDocument/2006/relationships/ctrlProp" Target="../ctrlProps/ctrlProp93.xml"/><Relationship Id="rId17" Type="http://schemas.openxmlformats.org/officeDocument/2006/relationships/ctrlProp" Target="../ctrlProps/ctrlProp98.xml"/><Relationship Id="rId2" Type="http://schemas.openxmlformats.org/officeDocument/2006/relationships/drawing" Target="../drawings/drawing2.xml"/><Relationship Id="rId16" Type="http://schemas.openxmlformats.org/officeDocument/2006/relationships/ctrlProp" Target="../ctrlProps/ctrlProp97.xml"/><Relationship Id="rId1" Type="http://schemas.openxmlformats.org/officeDocument/2006/relationships/printerSettings" Target="../printerSettings/printerSettings2.bin"/><Relationship Id="rId6" Type="http://schemas.openxmlformats.org/officeDocument/2006/relationships/ctrlProp" Target="../ctrlProps/ctrlProp87.xml"/><Relationship Id="rId11" Type="http://schemas.openxmlformats.org/officeDocument/2006/relationships/ctrlProp" Target="../ctrlProps/ctrlProp92.xml"/><Relationship Id="rId5" Type="http://schemas.openxmlformats.org/officeDocument/2006/relationships/ctrlProp" Target="../ctrlProps/ctrlProp86.xml"/><Relationship Id="rId15" Type="http://schemas.openxmlformats.org/officeDocument/2006/relationships/ctrlProp" Target="../ctrlProps/ctrlProp96.xml"/><Relationship Id="rId10" Type="http://schemas.openxmlformats.org/officeDocument/2006/relationships/ctrlProp" Target="../ctrlProps/ctrlProp91.xml"/><Relationship Id="rId4" Type="http://schemas.openxmlformats.org/officeDocument/2006/relationships/ctrlProp" Target="../ctrlProps/ctrlProp85.xml"/><Relationship Id="rId9" Type="http://schemas.openxmlformats.org/officeDocument/2006/relationships/ctrlProp" Target="../ctrlProps/ctrlProp90.xml"/><Relationship Id="rId14" Type="http://schemas.openxmlformats.org/officeDocument/2006/relationships/ctrlProp" Target="../ctrlProps/ctrlProp95.xml"/></Relationships>
</file>

<file path=xl/worksheets/_rels/sheet3.xml.rels><?xml version="1.0" encoding="UTF-8" standalone="yes"?>
<Relationships xmlns="http://schemas.openxmlformats.org/package/2006/relationships"><Relationship Id="rId8" Type="http://schemas.openxmlformats.org/officeDocument/2006/relationships/hyperlink" Target="mailto:essaludexternocotizacion@gmail.com" TargetMode="External"/><Relationship Id="rId13" Type="http://schemas.openxmlformats.org/officeDocument/2006/relationships/hyperlink" Target="mailto:marco.perez@essalud.gob.pe" TargetMode="External"/><Relationship Id="rId18" Type="http://schemas.openxmlformats.org/officeDocument/2006/relationships/hyperlink" Target="mailto:geancarlo.casamayor@essalud.gob.pe" TargetMode="External"/><Relationship Id="rId26" Type="http://schemas.openxmlformats.org/officeDocument/2006/relationships/hyperlink" Target="mailto:referenciasalorimac@rimac.com.pe" TargetMode="External"/><Relationship Id="rId3" Type="http://schemas.openxmlformats.org/officeDocument/2006/relationships/hyperlink" Target="mailto:referencias@hospitaltarapoto.gob.pe" TargetMode="External"/><Relationship Id="rId21" Type="http://schemas.openxmlformats.org/officeDocument/2006/relationships/hyperlink" Target="mailto:carlos.lopeza@essalud.gob.pe" TargetMode="External"/><Relationship Id="rId7" Type="http://schemas.openxmlformats.org/officeDocument/2006/relationships/hyperlink" Target="mailto:logistica_hdh@hotmail.com" TargetMode="External"/><Relationship Id="rId12" Type="http://schemas.openxmlformats.org/officeDocument/2006/relationships/hyperlink" Target="mailto:gissel.jimenez@essalud.gob.pe" TargetMode="External"/><Relationship Id="rId17" Type="http://schemas.openxmlformats.org/officeDocument/2006/relationships/hyperlink" Target="mailto:zulygch@hotmail.com" TargetMode="External"/><Relationship Id="rId25" Type="http://schemas.openxmlformats.org/officeDocument/2006/relationships/hyperlink" Target="mailto:redtarapotofacturacionservicio@gmail.com" TargetMode="External"/><Relationship Id="rId2" Type="http://schemas.openxmlformats.org/officeDocument/2006/relationships/hyperlink" Target="mailto:percy.vargas@essalud.gob.pe" TargetMode="External"/><Relationship Id="rId16" Type="http://schemas.openxmlformats.org/officeDocument/2006/relationships/hyperlink" Target="mailto:jose.escalante@essalud.gob.pe" TargetMode="External"/><Relationship Id="rId20" Type="http://schemas.openxmlformats.org/officeDocument/2006/relationships/hyperlink" Target="mailto:flor.villanueva@essalud.gog.pe" TargetMode="External"/><Relationship Id="rId29" Type="http://schemas.openxmlformats.org/officeDocument/2006/relationships/vmlDrawing" Target="../drawings/vmlDrawing3.vml"/><Relationship Id="rId1" Type="http://schemas.openxmlformats.org/officeDocument/2006/relationships/hyperlink" Target="mailto:referencias.hnagv@essalud.gob.pe" TargetMode="External"/><Relationship Id="rId6" Type="http://schemas.openxmlformats.org/officeDocument/2006/relationships/hyperlink" Target="mailto:cotizacion@hrh.gob.pe" TargetMode="External"/><Relationship Id="rId11" Type="http://schemas.openxmlformats.org/officeDocument/2006/relationships/hyperlink" Target="mailto:itarrilloc07@gmail.com" TargetMode="External"/><Relationship Id="rId24" Type="http://schemas.openxmlformats.org/officeDocument/2006/relationships/hyperlink" Target="mailto:referenciahga@essalud.gob.pe" TargetMode="External"/><Relationship Id="rId5" Type="http://schemas.openxmlformats.org/officeDocument/2006/relationships/hyperlink" Target="mailto:cvela@oosaludaltomayo.gob.pe" TargetMode="External"/><Relationship Id="rId15" Type="http://schemas.openxmlformats.org/officeDocument/2006/relationships/hyperlink" Target="mailto:mary.galvez@essalud.gob.pe" TargetMode="External"/><Relationship Id="rId23" Type="http://schemas.openxmlformats.org/officeDocument/2006/relationships/hyperlink" Target="mailto:programacion.rpl.especialista1@gmail.com" TargetMode="External"/><Relationship Id="rId28" Type="http://schemas.openxmlformats.org/officeDocument/2006/relationships/drawing" Target="../drawings/drawing3.xml"/><Relationship Id="rId10" Type="http://schemas.openxmlformats.org/officeDocument/2006/relationships/hyperlink" Target="mailto:aseguramiento.hra@gmail.com" TargetMode="External"/><Relationship Id="rId19" Type="http://schemas.openxmlformats.org/officeDocument/2006/relationships/hyperlink" Target="mailto:milagrosrodriguezpinedo@gmail.com" TargetMode="External"/><Relationship Id="rId4" Type="http://schemas.openxmlformats.org/officeDocument/2006/relationships/hyperlink" Target="mailto:karla.carrillo@essalud.gob.pe" TargetMode="External"/><Relationship Id="rId9" Type="http://schemas.openxmlformats.org/officeDocument/2006/relationships/hyperlink" Target="mailto:nancy.huaranga@essalud.gob.pe" TargetMode="External"/><Relationship Id="rId14" Type="http://schemas.openxmlformats.org/officeDocument/2006/relationships/hyperlink" Target="mailto:jorge.quine@essalud.gob.pe" TargetMode="External"/><Relationship Id="rId22" Type="http://schemas.openxmlformats.org/officeDocument/2006/relationships/hyperlink" Target="mailto:carla.rodriguez@essalud.gob.pe" TargetMode="External"/><Relationship Id="rId27" Type="http://schemas.openxmlformats.org/officeDocument/2006/relationships/printerSettings" Target="../printerSettings/printerSettings3.bin"/><Relationship Id="rId30" Type="http://schemas.openxmlformats.org/officeDocument/2006/relationships/ctrlProp" Target="../ctrlProps/ctrlProp9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101.xml"/><Relationship Id="rId4" Type="http://schemas.openxmlformats.org/officeDocument/2006/relationships/ctrlProp" Target="../ctrlProps/ctrlProp10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02.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omments" Target="../comments3.xml"/><Relationship Id="rId4" Type="http://schemas.openxmlformats.org/officeDocument/2006/relationships/ctrlProp" Target="../ctrlProps/ctrlProp10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105.xml"/><Relationship Id="rId4" Type="http://schemas.openxmlformats.org/officeDocument/2006/relationships/ctrlProp" Target="../ctrlProps/ctrlProp10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07.xml"/><Relationship Id="rId4" Type="http://schemas.openxmlformats.org/officeDocument/2006/relationships/ctrlProp" Target="../ctrlProps/ctrlProp10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ctrlProp" Target="../ctrlProps/ctrlProp109.xml"/><Relationship Id="rId4" Type="http://schemas.openxmlformats.org/officeDocument/2006/relationships/ctrlProp" Target="../ctrlProps/ctrlProp10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omments" Target="../comments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112.xml"/><Relationship Id="rId5" Type="http://schemas.openxmlformats.org/officeDocument/2006/relationships/ctrlProp" Target="../ctrlProps/ctrlProp111.xml"/><Relationship Id="rId4" Type="http://schemas.openxmlformats.org/officeDocument/2006/relationships/ctrlProp" Target="../ctrlProps/ctrlProp1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omments" Target="../comments8.xml"/><Relationship Id="rId5" Type="http://schemas.openxmlformats.org/officeDocument/2006/relationships/ctrlProp" Target="../ctrlProps/ctrlProp114.xml"/><Relationship Id="rId4" Type="http://schemas.openxmlformats.org/officeDocument/2006/relationships/ctrlProp" Target="../ctrlProps/ctrlProp11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omments" Target="../comments9.xml"/><Relationship Id="rId5" Type="http://schemas.openxmlformats.org/officeDocument/2006/relationships/ctrlProp" Target="../ctrlProps/ctrlProp116.xml"/><Relationship Id="rId4" Type="http://schemas.openxmlformats.org/officeDocument/2006/relationships/ctrlProp" Target="../ctrlProps/ctrlProp11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omments" Target="../comments10.xml"/><Relationship Id="rId5" Type="http://schemas.openxmlformats.org/officeDocument/2006/relationships/ctrlProp" Target="../ctrlProps/ctrlProp118.xml"/><Relationship Id="rId4" Type="http://schemas.openxmlformats.org/officeDocument/2006/relationships/ctrlProp" Target="../ctrlProps/ctrlProp117.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9.xml"/><Relationship Id="rId2" Type="http://schemas.openxmlformats.org/officeDocument/2006/relationships/vmlDrawing" Target="../drawings/vmlDrawing13.vml"/><Relationship Id="rId1" Type="http://schemas.openxmlformats.org/officeDocument/2006/relationships/drawing" Target="../drawings/drawing13.xml"/><Relationship Id="rId5" Type="http://schemas.openxmlformats.org/officeDocument/2006/relationships/comments" Target="../comments11.xml"/><Relationship Id="rId4" Type="http://schemas.openxmlformats.org/officeDocument/2006/relationships/ctrlProp" Target="../ctrlProps/ctrlProp120.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1.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ctrlProp" Target="../ctrlProps/ctrlProp12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2.bin"/><Relationship Id="rId6" Type="http://schemas.openxmlformats.org/officeDocument/2006/relationships/comments" Target="../comments12.xml"/><Relationship Id="rId5" Type="http://schemas.openxmlformats.org/officeDocument/2006/relationships/ctrlProp" Target="../ctrlProps/ctrlProp124.xml"/><Relationship Id="rId4" Type="http://schemas.openxmlformats.org/officeDocument/2006/relationships/ctrlProp" Target="../ctrlProps/ctrlProp12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25.xml"/><Relationship Id="rId2" Type="http://schemas.openxmlformats.org/officeDocument/2006/relationships/vmlDrawing" Target="../drawings/vmlDrawing16.vml"/><Relationship Id="rId1" Type="http://schemas.openxmlformats.org/officeDocument/2006/relationships/drawing" Target="../drawings/drawing16.xml"/><Relationship Id="rId5" Type="http://schemas.openxmlformats.org/officeDocument/2006/relationships/comments" Target="../comments13.xml"/><Relationship Id="rId4" Type="http://schemas.openxmlformats.org/officeDocument/2006/relationships/ctrlProp" Target="../ctrlProps/ctrlProp12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3.bin"/><Relationship Id="rId6" Type="http://schemas.openxmlformats.org/officeDocument/2006/relationships/comments" Target="../comments14.xml"/><Relationship Id="rId5" Type="http://schemas.openxmlformats.org/officeDocument/2006/relationships/ctrlProp" Target="../ctrlProps/ctrlProp128.xml"/><Relationship Id="rId4" Type="http://schemas.openxmlformats.org/officeDocument/2006/relationships/ctrlProp" Target="../ctrlProps/ctrlProp12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4.bin"/><Relationship Id="rId5" Type="http://schemas.openxmlformats.org/officeDocument/2006/relationships/ctrlProp" Target="../ctrlProps/ctrlProp130.xml"/><Relationship Id="rId4" Type="http://schemas.openxmlformats.org/officeDocument/2006/relationships/ctrlProp" Target="../ctrlProps/ctrlProp129.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5.bin"/><Relationship Id="rId6" Type="http://schemas.openxmlformats.org/officeDocument/2006/relationships/comments" Target="../comments15.xml"/><Relationship Id="rId5" Type="http://schemas.openxmlformats.org/officeDocument/2006/relationships/ctrlProp" Target="../ctrlProps/ctrlProp132.xml"/><Relationship Id="rId4" Type="http://schemas.openxmlformats.org/officeDocument/2006/relationships/ctrlProp" Target="../ctrlProps/ctrlProp13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6.bin"/><Relationship Id="rId6" Type="http://schemas.openxmlformats.org/officeDocument/2006/relationships/comments" Target="../comments16.xml"/><Relationship Id="rId5" Type="http://schemas.openxmlformats.org/officeDocument/2006/relationships/ctrlProp" Target="../ctrlProps/ctrlProp134.xml"/><Relationship Id="rId4" Type="http://schemas.openxmlformats.org/officeDocument/2006/relationships/ctrlProp" Target="../ctrlProps/ctrlProp13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7.bin"/><Relationship Id="rId6" Type="http://schemas.openxmlformats.org/officeDocument/2006/relationships/comments" Target="../comments17.xml"/><Relationship Id="rId5" Type="http://schemas.openxmlformats.org/officeDocument/2006/relationships/ctrlProp" Target="../ctrlProps/ctrlProp136.xml"/><Relationship Id="rId4" Type="http://schemas.openxmlformats.org/officeDocument/2006/relationships/ctrlProp" Target="../ctrlProps/ctrlProp135.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18.bin"/><Relationship Id="rId6" Type="http://schemas.openxmlformats.org/officeDocument/2006/relationships/comments" Target="../comments18.xml"/><Relationship Id="rId5" Type="http://schemas.openxmlformats.org/officeDocument/2006/relationships/ctrlProp" Target="../ctrlProps/ctrlProp138.xml"/><Relationship Id="rId4" Type="http://schemas.openxmlformats.org/officeDocument/2006/relationships/ctrlProp" Target="../ctrlProps/ctrlProp13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19.bin"/><Relationship Id="rId6" Type="http://schemas.openxmlformats.org/officeDocument/2006/relationships/comments" Target="../comments19.xml"/><Relationship Id="rId5" Type="http://schemas.openxmlformats.org/officeDocument/2006/relationships/ctrlProp" Target="../ctrlProps/ctrlProp140.xml"/><Relationship Id="rId4" Type="http://schemas.openxmlformats.org/officeDocument/2006/relationships/ctrlProp" Target="../ctrlProps/ctrlProp139.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0.bin"/><Relationship Id="rId6" Type="http://schemas.openxmlformats.org/officeDocument/2006/relationships/comments" Target="../comments20.xml"/><Relationship Id="rId5" Type="http://schemas.openxmlformats.org/officeDocument/2006/relationships/ctrlProp" Target="../ctrlProps/ctrlProp142.xml"/><Relationship Id="rId4" Type="http://schemas.openxmlformats.org/officeDocument/2006/relationships/ctrlProp" Target="../ctrlProps/ctrlProp141.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43.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comments" Target="../comments21.xml"/><Relationship Id="rId4" Type="http://schemas.openxmlformats.org/officeDocument/2006/relationships/ctrlProp" Target="../ctrlProps/ctrlProp14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1.bin"/><Relationship Id="rId5" Type="http://schemas.openxmlformats.org/officeDocument/2006/relationships/ctrlProp" Target="../ctrlProps/ctrlProp146.xml"/><Relationship Id="rId4" Type="http://schemas.openxmlformats.org/officeDocument/2006/relationships/ctrlProp" Target="../ctrlProps/ctrlProp145.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2.bin"/><Relationship Id="rId5" Type="http://schemas.openxmlformats.org/officeDocument/2006/relationships/ctrlProp" Target="../ctrlProps/ctrlProp148.xml"/><Relationship Id="rId4" Type="http://schemas.openxmlformats.org/officeDocument/2006/relationships/ctrlProp" Target="../ctrlProps/ctrlProp14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3.bin"/><Relationship Id="rId6" Type="http://schemas.openxmlformats.org/officeDocument/2006/relationships/comments" Target="../comments22.xml"/><Relationship Id="rId5" Type="http://schemas.openxmlformats.org/officeDocument/2006/relationships/ctrlProp" Target="../ctrlProps/ctrlProp150.xml"/><Relationship Id="rId4" Type="http://schemas.openxmlformats.org/officeDocument/2006/relationships/ctrlProp" Target="../ctrlProps/ctrlProp149.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24.bin"/><Relationship Id="rId6" Type="http://schemas.openxmlformats.org/officeDocument/2006/relationships/comments" Target="../comments23.xml"/><Relationship Id="rId5" Type="http://schemas.openxmlformats.org/officeDocument/2006/relationships/ctrlProp" Target="../ctrlProps/ctrlProp152.xml"/><Relationship Id="rId4" Type="http://schemas.openxmlformats.org/officeDocument/2006/relationships/ctrlProp" Target="../ctrlProps/ctrlProp151.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25.bin"/><Relationship Id="rId5" Type="http://schemas.openxmlformats.org/officeDocument/2006/relationships/ctrlProp" Target="../ctrlProps/ctrlProp154.xml"/><Relationship Id="rId4" Type="http://schemas.openxmlformats.org/officeDocument/2006/relationships/ctrlProp" Target="../ctrlProps/ctrlProp153.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26.bin"/><Relationship Id="rId6" Type="http://schemas.openxmlformats.org/officeDocument/2006/relationships/comments" Target="../comments24.xml"/><Relationship Id="rId5" Type="http://schemas.openxmlformats.org/officeDocument/2006/relationships/ctrlProp" Target="../ctrlProps/ctrlProp156.xml"/><Relationship Id="rId4" Type="http://schemas.openxmlformats.org/officeDocument/2006/relationships/ctrlProp" Target="../ctrlProps/ctrlProp155.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2.xml"/><Relationship Id="rId1" Type="http://schemas.openxmlformats.org/officeDocument/2006/relationships/printerSettings" Target="../printerSettings/printerSettings27.bin"/><Relationship Id="rId6" Type="http://schemas.openxmlformats.org/officeDocument/2006/relationships/comments" Target="../comments25.xml"/><Relationship Id="rId5" Type="http://schemas.openxmlformats.org/officeDocument/2006/relationships/ctrlProp" Target="../ctrlProps/ctrlProp158.xml"/><Relationship Id="rId4" Type="http://schemas.openxmlformats.org/officeDocument/2006/relationships/ctrlProp" Target="../ctrlProps/ctrlProp157.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3.xml"/><Relationship Id="rId1" Type="http://schemas.openxmlformats.org/officeDocument/2006/relationships/printerSettings" Target="../printerSettings/printerSettings28.bin"/><Relationship Id="rId6" Type="http://schemas.openxmlformats.org/officeDocument/2006/relationships/comments" Target="../comments26.xml"/><Relationship Id="rId5" Type="http://schemas.openxmlformats.org/officeDocument/2006/relationships/ctrlProp" Target="../ctrlProps/ctrlProp160.xml"/><Relationship Id="rId4" Type="http://schemas.openxmlformats.org/officeDocument/2006/relationships/ctrlProp" Target="../ctrlProps/ctrlProp159.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4.xml"/><Relationship Id="rId1" Type="http://schemas.openxmlformats.org/officeDocument/2006/relationships/printerSettings" Target="../printerSettings/printerSettings29.bin"/><Relationship Id="rId6" Type="http://schemas.openxmlformats.org/officeDocument/2006/relationships/comments" Target="../comments27.xml"/><Relationship Id="rId5" Type="http://schemas.openxmlformats.org/officeDocument/2006/relationships/ctrlProp" Target="../ctrlProps/ctrlProp162.xml"/><Relationship Id="rId4" Type="http://schemas.openxmlformats.org/officeDocument/2006/relationships/ctrlProp" Target="../ctrlProps/ctrlProp161.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30.bin"/><Relationship Id="rId6" Type="http://schemas.openxmlformats.org/officeDocument/2006/relationships/comments" Target="../comments28.xml"/><Relationship Id="rId5" Type="http://schemas.openxmlformats.org/officeDocument/2006/relationships/ctrlProp" Target="../ctrlProps/ctrlProp164.xml"/><Relationship Id="rId4" Type="http://schemas.openxmlformats.org/officeDocument/2006/relationships/ctrlProp" Target="../ctrlProps/ctrlProp163.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6.xml"/><Relationship Id="rId1" Type="http://schemas.openxmlformats.org/officeDocument/2006/relationships/printerSettings" Target="../printerSettings/printerSettings31.bin"/><Relationship Id="rId6" Type="http://schemas.openxmlformats.org/officeDocument/2006/relationships/comments" Target="../comments29.xml"/><Relationship Id="rId5" Type="http://schemas.openxmlformats.org/officeDocument/2006/relationships/ctrlProp" Target="../ctrlProps/ctrlProp166.xml"/><Relationship Id="rId4" Type="http://schemas.openxmlformats.org/officeDocument/2006/relationships/ctrlProp" Target="../ctrlProps/ctrlProp16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7.xml"/><Relationship Id="rId1" Type="http://schemas.openxmlformats.org/officeDocument/2006/relationships/printerSettings" Target="../printerSettings/printerSettings32.bin"/><Relationship Id="rId6" Type="http://schemas.openxmlformats.org/officeDocument/2006/relationships/comments" Target="../comments30.xml"/><Relationship Id="rId5" Type="http://schemas.openxmlformats.org/officeDocument/2006/relationships/ctrlProp" Target="../ctrlProps/ctrlProp168.xml"/><Relationship Id="rId4" Type="http://schemas.openxmlformats.org/officeDocument/2006/relationships/ctrlProp" Target="../ctrlProps/ctrlProp16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8.xml"/><Relationship Id="rId1" Type="http://schemas.openxmlformats.org/officeDocument/2006/relationships/printerSettings" Target="../printerSettings/printerSettings33.bin"/><Relationship Id="rId6" Type="http://schemas.openxmlformats.org/officeDocument/2006/relationships/comments" Target="../comments31.xml"/><Relationship Id="rId5" Type="http://schemas.openxmlformats.org/officeDocument/2006/relationships/ctrlProp" Target="../ctrlProps/ctrlProp170.xml"/><Relationship Id="rId4" Type="http://schemas.openxmlformats.org/officeDocument/2006/relationships/ctrlProp" Target="../ctrlProps/ctrlProp169.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9.xml"/><Relationship Id="rId1" Type="http://schemas.openxmlformats.org/officeDocument/2006/relationships/printerSettings" Target="../printerSettings/printerSettings34.bin"/><Relationship Id="rId6" Type="http://schemas.openxmlformats.org/officeDocument/2006/relationships/comments" Target="../comments32.xml"/><Relationship Id="rId5" Type="http://schemas.openxmlformats.org/officeDocument/2006/relationships/ctrlProp" Target="../ctrlProps/ctrlProp172.xml"/><Relationship Id="rId4" Type="http://schemas.openxmlformats.org/officeDocument/2006/relationships/ctrlProp" Target="../ctrlProps/ctrlProp171.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0.xml"/><Relationship Id="rId1" Type="http://schemas.openxmlformats.org/officeDocument/2006/relationships/printerSettings" Target="../printerSettings/printerSettings35.bin"/><Relationship Id="rId6" Type="http://schemas.openxmlformats.org/officeDocument/2006/relationships/comments" Target="../comments33.xml"/><Relationship Id="rId5" Type="http://schemas.openxmlformats.org/officeDocument/2006/relationships/ctrlProp" Target="../ctrlProps/ctrlProp174.xml"/><Relationship Id="rId4" Type="http://schemas.openxmlformats.org/officeDocument/2006/relationships/ctrlProp" Target="../ctrlProps/ctrlProp173.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1.xml"/><Relationship Id="rId1" Type="http://schemas.openxmlformats.org/officeDocument/2006/relationships/printerSettings" Target="../printerSettings/printerSettings36.bin"/><Relationship Id="rId6" Type="http://schemas.openxmlformats.org/officeDocument/2006/relationships/comments" Target="../comments34.xml"/><Relationship Id="rId5" Type="http://schemas.openxmlformats.org/officeDocument/2006/relationships/ctrlProp" Target="../ctrlProps/ctrlProp176.xml"/><Relationship Id="rId4" Type="http://schemas.openxmlformats.org/officeDocument/2006/relationships/ctrlProp" Target="../ctrlProps/ctrlProp175.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2.xml"/><Relationship Id="rId1" Type="http://schemas.openxmlformats.org/officeDocument/2006/relationships/printerSettings" Target="../printerSettings/printerSettings37.bin"/><Relationship Id="rId6" Type="http://schemas.openxmlformats.org/officeDocument/2006/relationships/comments" Target="../comments35.xml"/><Relationship Id="rId5" Type="http://schemas.openxmlformats.org/officeDocument/2006/relationships/ctrlProp" Target="../ctrlProps/ctrlProp178.xml"/><Relationship Id="rId4" Type="http://schemas.openxmlformats.org/officeDocument/2006/relationships/ctrlProp" Target="../ctrlProps/ctrlProp177.xml"/></Relationships>
</file>

<file path=xl/worksheets/_rels/sheet43.xml.rels><?xml version="1.0" encoding="UTF-8" standalone="yes"?>
<Relationships xmlns="http://schemas.openxmlformats.org/package/2006/relationships"><Relationship Id="rId3" Type="http://schemas.openxmlformats.org/officeDocument/2006/relationships/ctrlProp" Target="../ctrlProps/ctrlProp179.xml"/><Relationship Id="rId2" Type="http://schemas.openxmlformats.org/officeDocument/2006/relationships/vmlDrawing" Target="../drawings/vmlDrawing43.vml"/><Relationship Id="rId1" Type="http://schemas.openxmlformats.org/officeDocument/2006/relationships/drawing" Target="../drawings/drawing43.xml"/><Relationship Id="rId5" Type="http://schemas.openxmlformats.org/officeDocument/2006/relationships/comments" Target="../comments36.xml"/><Relationship Id="rId4" Type="http://schemas.openxmlformats.org/officeDocument/2006/relationships/ctrlProp" Target="../ctrlProps/ctrlProp180.xml"/></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181.xml"/><Relationship Id="rId2" Type="http://schemas.openxmlformats.org/officeDocument/2006/relationships/vmlDrawing" Target="../drawings/vmlDrawing44.vml"/><Relationship Id="rId1" Type="http://schemas.openxmlformats.org/officeDocument/2006/relationships/drawing" Target="../drawings/drawing44.xml"/><Relationship Id="rId4" Type="http://schemas.openxmlformats.org/officeDocument/2006/relationships/ctrlProp" Target="../ctrlProps/ctrlProp182.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5.xml"/><Relationship Id="rId1" Type="http://schemas.openxmlformats.org/officeDocument/2006/relationships/printerSettings" Target="../printerSettings/printerSettings38.bin"/><Relationship Id="rId6" Type="http://schemas.openxmlformats.org/officeDocument/2006/relationships/comments" Target="../comments37.xml"/><Relationship Id="rId5" Type="http://schemas.openxmlformats.org/officeDocument/2006/relationships/ctrlProp" Target="../ctrlProps/ctrlProp184.xml"/><Relationship Id="rId4" Type="http://schemas.openxmlformats.org/officeDocument/2006/relationships/ctrlProp" Target="../ctrlProps/ctrlProp183.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185.xml"/><Relationship Id="rId2" Type="http://schemas.openxmlformats.org/officeDocument/2006/relationships/vmlDrawing" Target="../drawings/vmlDrawing46.vml"/><Relationship Id="rId1" Type="http://schemas.openxmlformats.org/officeDocument/2006/relationships/drawing" Target="../drawings/drawing46.xml"/><Relationship Id="rId5" Type="http://schemas.openxmlformats.org/officeDocument/2006/relationships/comments" Target="../comments38.xml"/><Relationship Id="rId4" Type="http://schemas.openxmlformats.org/officeDocument/2006/relationships/ctrlProp" Target="../ctrlProps/ctrlProp186.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7.xml"/><Relationship Id="rId1" Type="http://schemas.openxmlformats.org/officeDocument/2006/relationships/printerSettings" Target="../printerSettings/printerSettings39.bin"/><Relationship Id="rId6" Type="http://schemas.openxmlformats.org/officeDocument/2006/relationships/comments" Target="../comments39.xml"/><Relationship Id="rId5" Type="http://schemas.openxmlformats.org/officeDocument/2006/relationships/ctrlProp" Target="../ctrlProps/ctrlProp188.xml"/><Relationship Id="rId4" Type="http://schemas.openxmlformats.org/officeDocument/2006/relationships/ctrlProp" Target="../ctrlProps/ctrlProp187.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8.xml"/><Relationship Id="rId1" Type="http://schemas.openxmlformats.org/officeDocument/2006/relationships/printerSettings" Target="../printerSettings/printerSettings40.bin"/><Relationship Id="rId6" Type="http://schemas.openxmlformats.org/officeDocument/2006/relationships/comments" Target="../comments40.xml"/><Relationship Id="rId5" Type="http://schemas.openxmlformats.org/officeDocument/2006/relationships/ctrlProp" Target="../ctrlProps/ctrlProp190.xml"/><Relationship Id="rId4" Type="http://schemas.openxmlformats.org/officeDocument/2006/relationships/ctrlProp" Target="../ctrlProps/ctrlProp189.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9.xml"/><Relationship Id="rId1" Type="http://schemas.openxmlformats.org/officeDocument/2006/relationships/printerSettings" Target="../printerSettings/printerSettings41.bin"/><Relationship Id="rId6" Type="http://schemas.openxmlformats.org/officeDocument/2006/relationships/comments" Target="../comments41.xml"/><Relationship Id="rId5" Type="http://schemas.openxmlformats.org/officeDocument/2006/relationships/ctrlProp" Target="../ctrlProps/ctrlProp192.xml"/><Relationship Id="rId4" Type="http://schemas.openxmlformats.org/officeDocument/2006/relationships/ctrlProp" Target="../ctrlProps/ctrlProp191.xml"/></Relationships>
</file>

<file path=xl/worksheets/_rels/sheet50.xml.rels><?xml version="1.0" encoding="UTF-8" standalone="yes"?>
<Relationships xmlns="http://schemas.openxmlformats.org/package/2006/relationships"><Relationship Id="rId3" Type="http://schemas.openxmlformats.org/officeDocument/2006/relationships/ctrlProp" Target="../ctrlProps/ctrlProp193.xml"/><Relationship Id="rId2" Type="http://schemas.openxmlformats.org/officeDocument/2006/relationships/vmlDrawing" Target="../drawings/vmlDrawing50.vml"/><Relationship Id="rId1" Type="http://schemas.openxmlformats.org/officeDocument/2006/relationships/drawing" Target="../drawings/drawing50.xml"/><Relationship Id="rId5" Type="http://schemas.openxmlformats.org/officeDocument/2006/relationships/comments" Target="../comments42.xml"/><Relationship Id="rId4" Type="http://schemas.openxmlformats.org/officeDocument/2006/relationships/ctrlProp" Target="../ctrlProps/ctrlProp194.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1.xml"/><Relationship Id="rId1" Type="http://schemas.openxmlformats.org/officeDocument/2006/relationships/printerSettings" Target="../printerSettings/printerSettings42.bin"/><Relationship Id="rId6" Type="http://schemas.openxmlformats.org/officeDocument/2006/relationships/comments" Target="../comments43.xml"/><Relationship Id="rId5" Type="http://schemas.openxmlformats.org/officeDocument/2006/relationships/ctrlProp" Target="../ctrlProps/ctrlProp196.xml"/><Relationship Id="rId4" Type="http://schemas.openxmlformats.org/officeDocument/2006/relationships/ctrlProp" Target="../ctrlProps/ctrlProp195.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2.xml"/><Relationship Id="rId1" Type="http://schemas.openxmlformats.org/officeDocument/2006/relationships/printerSettings" Target="../printerSettings/printerSettings43.bin"/><Relationship Id="rId6" Type="http://schemas.openxmlformats.org/officeDocument/2006/relationships/comments" Target="../comments44.xml"/><Relationship Id="rId5" Type="http://schemas.openxmlformats.org/officeDocument/2006/relationships/ctrlProp" Target="../ctrlProps/ctrlProp198.xml"/><Relationship Id="rId4" Type="http://schemas.openxmlformats.org/officeDocument/2006/relationships/ctrlProp" Target="../ctrlProps/ctrlProp197.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3.xml"/><Relationship Id="rId1" Type="http://schemas.openxmlformats.org/officeDocument/2006/relationships/printerSettings" Target="../printerSettings/printerSettings44.bin"/><Relationship Id="rId6" Type="http://schemas.openxmlformats.org/officeDocument/2006/relationships/comments" Target="../comments45.xml"/><Relationship Id="rId5" Type="http://schemas.openxmlformats.org/officeDocument/2006/relationships/ctrlProp" Target="../ctrlProps/ctrlProp200.xml"/><Relationship Id="rId4" Type="http://schemas.openxmlformats.org/officeDocument/2006/relationships/ctrlProp" Target="../ctrlProps/ctrlProp199.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4.xml"/><Relationship Id="rId1" Type="http://schemas.openxmlformats.org/officeDocument/2006/relationships/printerSettings" Target="../printerSettings/printerSettings45.bin"/><Relationship Id="rId6" Type="http://schemas.openxmlformats.org/officeDocument/2006/relationships/comments" Target="../comments46.xml"/><Relationship Id="rId5" Type="http://schemas.openxmlformats.org/officeDocument/2006/relationships/ctrlProp" Target="../ctrlProps/ctrlProp202.xml"/><Relationship Id="rId4" Type="http://schemas.openxmlformats.org/officeDocument/2006/relationships/ctrlProp" Target="../ctrlProps/ctrlProp201.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55.xml"/><Relationship Id="rId1" Type="http://schemas.openxmlformats.org/officeDocument/2006/relationships/printerSettings" Target="../printerSettings/printerSettings46.bin"/><Relationship Id="rId5" Type="http://schemas.openxmlformats.org/officeDocument/2006/relationships/ctrlProp" Target="../ctrlProps/ctrlProp204.xml"/><Relationship Id="rId4" Type="http://schemas.openxmlformats.org/officeDocument/2006/relationships/ctrlProp" Target="../ctrlProps/ctrlProp203.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56.xml"/><Relationship Id="rId1" Type="http://schemas.openxmlformats.org/officeDocument/2006/relationships/printerSettings" Target="../printerSettings/printerSettings47.bin"/><Relationship Id="rId6" Type="http://schemas.openxmlformats.org/officeDocument/2006/relationships/comments" Target="../comments47.xml"/><Relationship Id="rId5" Type="http://schemas.openxmlformats.org/officeDocument/2006/relationships/ctrlProp" Target="../ctrlProps/ctrlProp206.xml"/><Relationship Id="rId4" Type="http://schemas.openxmlformats.org/officeDocument/2006/relationships/ctrlProp" Target="../ctrlProps/ctrlProp205.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57.xml"/><Relationship Id="rId1" Type="http://schemas.openxmlformats.org/officeDocument/2006/relationships/printerSettings" Target="../printerSettings/printerSettings48.bin"/><Relationship Id="rId6" Type="http://schemas.openxmlformats.org/officeDocument/2006/relationships/comments" Target="../comments48.xml"/><Relationship Id="rId5" Type="http://schemas.openxmlformats.org/officeDocument/2006/relationships/ctrlProp" Target="../ctrlProps/ctrlProp208.xml"/><Relationship Id="rId4" Type="http://schemas.openxmlformats.org/officeDocument/2006/relationships/ctrlProp" Target="../ctrlProps/ctrlProp207.xml"/></Relationships>
</file>

<file path=xl/worksheets/_rels/sheet58.xml.rels><?xml version="1.0" encoding="UTF-8" standalone="yes"?>
<Relationships xmlns="http://schemas.openxmlformats.org/package/2006/relationships"><Relationship Id="rId3" Type="http://schemas.openxmlformats.org/officeDocument/2006/relationships/ctrlProp" Target="../ctrlProps/ctrlProp209.xml"/><Relationship Id="rId2" Type="http://schemas.openxmlformats.org/officeDocument/2006/relationships/vmlDrawing" Target="../drawings/vmlDrawing58.vml"/><Relationship Id="rId1" Type="http://schemas.openxmlformats.org/officeDocument/2006/relationships/drawing" Target="../drawings/drawing58.xml"/><Relationship Id="rId4" Type="http://schemas.openxmlformats.org/officeDocument/2006/relationships/ctrlProp" Target="../ctrlProps/ctrlProp210.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59.xml"/><Relationship Id="rId1" Type="http://schemas.openxmlformats.org/officeDocument/2006/relationships/printerSettings" Target="../printerSettings/printerSettings49.bin"/><Relationship Id="rId6" Type="http://schemas.openxmlformats.org/officeDocument/2006/relationships/comments" Target="../comments49.xml"/><Relationship Id="rId5" Type="http://schemas.openxmlformats.org/officeDocument/2006/relationships/ctrlProp" Target="../ctrlProps/ctrlProp212.xml"/><Relationship Id="rId4" Type="http://schemas.openxmlformats.org/officeDocument/2006/relationships/ctrlProp" Target="../ctrlProps/ctrlProp211.xml"/></Relationships>
</file>

<file path=xl/worksheets/_rels/sheet60.xml.rels><?xml version="1.0" encoding="UTF-8" standalone="yes"?>
<Relationships xmlns="http://schemas.openxmlformats.org/package/2006/relationships"><Relationship Id="rId3" Type="http://schemas.openxmlformats.org/officeDocument/2006/relationships/ctrlProp" Target="../ctrlProps/ctrlProp213.xml"/><Relationship Id="rId2" Type="http://schemas.openxmlformats.org/officeDocument/2006/relationships/vmlDrawing" Target="../drawings/vmlDrawing60.vml"/><Relationship Id="rId1" Type="http://schemas.openxmlformats.org/officeDocument/2006/relationships/drawing" Target="../drawings/drawing60.xml"/><Relationship Id="rId5" Type="http://schemas.openxmlformats.org/officeDocument/2006/relationships/comments" Target="../comments50.xml"/><Relationship Id="rId4" Type="http://schemas.openxmlformats.org/officeDocument/2006/relationships/ctrlProp" Target="../ctrlProps/ctrlProp214.xml"/></Relationships>
</file>

<file path=xl/worksheets/_rels/sheet61.xml.rels><?xml version="1.0" encoding="UTF-8" standalone="yes"?>
<Relationships xmlns="http://schemas.openxmlformats.org/package/2006/relationships"><Relationship Id="rId3" Type="http://schemas.openxmlformats.org/officeDocument/2006/relationships/ctrlProp" Target="../ctrlProps/ctrlProp215.xml"/><Relationship Id="rId2" Type="http://schemas.openxmlformats.org/officeDocument/2006/relationships/vmlDrawing" Target="../drawings/vmlDrawing61.vml"/><Relationship Id="rId1" Type="http://schemas.openxmlformats.org/officeDocument/2006/relationships/drawing" Target="../drawings/drawing61.xml"/><Relationship Id="rId4" Type="http://schemas.openxmlformats.org/officeDocument/2006/relationships/ctrlProp" Target="../ctrlProps/ctrlProp216.xml"/></Relationships>
</file>

<file path=xl/worksheets/_rels/sheet62.xml.rels><?xml version="1.0" encoding="UTF-8" standalone="yes"?>
<Relationships xmlns="http://schemas.openxmlformats.org/package/2006/relationships"><Relationship Id="rId3" Type="http://schemas.openxmlformats.org/officeDocument/2006/relationships/ctrlProp" Target="../ctrlProps/ctrlProp217.xml"/><Relationship Id="rId2" Type="http://schemas.openxmlformats.org/officeDocument/2006/relationships/vmlDrawing" Target="../drawings/vmlDrawing62.vml"/><Relationship Id="rId1" Type="http://schemas.openxmlformats.org/officeDocument/2006/relationships/drawing" Target="../drawings/drawing62.xml"/><Relationship Id="rId5" Type="http://schemas.openxmlformats.org/officeDocument/2006/relationships/comments" Target="../comments51.xml"/><Relationship Id="rId4" Type="http://schemas.openxmlformats.org/officeDocument/2006/relationships/ctrlProp" Target="../ctrlProps/ctrlProp218.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63.vml"/><Relationship Id="rId2" Type="http://schemas.openxmlformats.org/officeDocument/2006/relationships/drawing" Target="../drawings/drawing63.xml"/><Relationship Id="rId1" Type="http://schemas.openxmlformats.org/officeDocument/2006/relationships/printerSettings" Target="../printerSettings/printerSettings50.bin"/><Relationship Id="rId6" Type="http://schemas.openxmlformats.org/officeDocument/2006/relationships/comments" Target="../comments52.xml"/><Relationship Id="rId5" Type="http://schemas.openxmlformats.org/officeDocument/2006/relationships/ctrlProp" Target="../ctrlProps/ctrlProp220.xml"/><Relationship Id="rId4" Type="http://schemas.openxmlformats.org/officeDocument/2006/relationships/ctrlProp" Target="../ctrlProps/ctrlProp219.xml"/></Relationships>
</file>

<file path=xl/worksheets/_rels/sheet64.xml.rels><?xml version="1.0" encoding="UTF-8" standalone="yes"?>
<Relationships xmlns="http://schemas.openxmlformats.org/package/2006/relationships"><Relationship Id="rId3" Type="http://schemas.openxmlformats.org/officeDocument/2006/relationships/ctrlProp" Target="../ctrlProps/ctrlProp221.xml"/><Relationship Id="rId2" Type="http://schemas.openxmlformats.org/officeDocument/2006/relationships/vmlDrawing" Target="../drawings/vmlDrawing64.vml"/><Relationship Id="rId1" Type="http://schemas.openxmlformats.org/officeDocument/2006/relationships/drawing" Target="../drawings/drawing64.xml"/><Relationship Id="rId5" Type="http://schemas.openxmlformats.org/officeDocument/2006/relationships/comments" Target="../comments53.xml"/><Relationship Id="rId4" Type="http://schemas.openxmlformats.org/officeDocument/2006/relationships/ctrlProp" Target="../ctrlProps/ctrlProp222.xml"/></Relationships>
</file>

<file path=xl/worksheets/_rels/sheet65.xml.rels><?xml version="1.0" encoding="UTF-8" standalone="yes"?>
<Relationships xmlns="http://schemas.openxmlformats.org/package/2006/relationships"><Relationship Id="rId3" Type="http://schemas.openxmlformats.org/officeDocument/2006/relationships/ctrlProp" Target="../ctrlProps/ctrlProp223.xml"/><Relationship Id="rId2" Type="http://schemas.openxmlformats.org/officeDocument/2006/relationships/vmlDrawing" Target="../drawings/vmlDrawing65.vml"/><Relationship Id="rId1" Type="http://schemas.openxmlformats.org/officeDocument/2006/relationships/drawing" Target="../drawings/drawing65.xml"/><Relationship Id="rId4" Type="http://schemas.openxmlformats.org/officeDocument/2006/relationships/ctrlProp" Target="../ctrlProps/ctrlProp224.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66.vml"/><Relationship Id="rId2" Type="http://schemas.openxmlformats.org/officeDocument/2006/relationships/drawing" Target="../drawings/drawing66.xml"/><Relationship Id="rId1" Type="http://schemas.openxmlformats.org/officeDocument/2006/relationships/printerSettings" Target="../printerSettings/printerSettings51.bin"/><Relationship Id="rId6" Type="http://schemas.openxmlformats.org/officeDocument/2006/relationships/comments" Target="../comments54.xml"/><Relationship Id="rId5" Type="http://schemas.openxmlformats.org/officeDocument/2006/relationships/ctrlProp" Target="../ctrlProps/ctrlProp226.xml"/><Relationship Id="rId4" Type="http://schemas.openxmlformats.org/officeDocument/2006/relationships/ctrlProp" Target="../ctrlProps/ctrlProp225.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67.vml"/><Relationship Id="rId2" Type="http://schemas.openxmlformats.org/officeDocument/2006/relationships/drawing" Target="../drawings/drawing67.xml"/><Relationship Id="rId1" Type="http://schemas.openxmlformats.org/officeDocument/2006/relationships/printerSettings" Target="../printerSettings/printerSettings52.bin"/><Relationship Id="rId6" Type="http://schemas.openxmlformats.org/officeDocument/2006/relationships/comments" Target="../comments55.xml"/><Relationship Id="rId5" Type="http://schemas.openxmlformats.org/officeDocument/2006/relationships/ctrlProp" Target="../ctrlProps/ctrlProp228.xml"/><Relationship Id="rId4" Type="http://schemas.openxmlformats.org/officeDocument/2006/relationships/ctrlProp" Target="../ctrlProps/ctrlProp227.xml"/></Relationships>
</file>

<file path=xl/worksheets/_rels/sheet68.xml.rels><?xml version="1.0" encoding="UTF-8" standalone="yes"?>
<Relationships xmlns="http://schemas.openxmlformats.org/package/2006/relationships"><Relationship Id="rId3" Type="http://schemas.openxmlformats.org/officeDocument/2006/relationships/ctrlProp" Target="../ctrlProps/ctrlProp229.xml"/><Relationship Id="rId2" Type="http://schemas.openxmlformats.org/officeDocument/2006/relationships/vmlDrawing" Target="../drawings/vmlDrawing68.vml"/><Relationship Id="rId1" Type="http://schemas.openxmlformats.org/officeDocument/2006/relationships/drawing" Target="../drawings/drawing68.xml"/><Relationship Id="rId5" Type="http://schemas.openxmlformats.org/officeDocument/2006/relationships/comments" Target="../comments56.xml"/><Relationship Id="rId4" Type="http://schemas.openxmlformats.org/officeDocument/2006/relationships/ctrlProp" Target="../ctrlProps/ctrlProp230.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69.vml"/><Relationship Id="rId2" Type="http://schemas.openxmlformats.org/officeDocument/2006/relationships/drawing" Target="../drawings/drawing69.xml"/><Relationship Id="rId1" Type="http://schemas.openxmlformats.org/officeDocument/2006/relationships/printerSettings" Target="../printerSettings/printerSettings53.bin"/><Relationship Id="rId5" Type="http://schemas.openxmlformats.org/officeDocument/2006/relationships/ctrlProp" Target="../ctrlProps/ctrlProp232.xml"/><Relationship Id="rId4" Type="http://schemas.openxmlformats.org/officeDocument/2006/relationships/ctrlProp" Target="../ctrlProps/ctrlProp231.xml"/></Relationships>
</file>

<file path=xl/worksheets/_rels/sheet70.xml.rels><?xml version="1.0" encoding="UTF-8" standalone="yes"?>
<Relationships xmlns="http://schemas.openxmlformats.org/package/2006/relationships"><Relationship Id="rId3" Type="http://schemas.openxmlformats.org/officeDocument/2006/relationships/ctrlProp" Target="../ctrlProps/ctrlProp233.xml"/><Relationship Id="rId2" Type="http://schemas.openxmlformats.org/officeDocument/2006/relationships/vmlDrawing" Target="../drawings/vmlDrawing70.vml"/><Relationship Id="rId1" Type="http://schemas.openxmlformats.org/officeDocument/2006/relationships/drawing" Target="../drawings/drawing70.xml"/><Relationship Id="rId5" Type="http://schemas.openxmlformats.org/officeDocument/2006/relationships/comments" Target="../comments57.xml"/><Relationship Id="rId4" Type="http://schemas.openxmlformats.org/officeDocument/2006/relationships/ctrlProp" Target="../ctrlProps/ctrlProp234.xml"/></Relationships>
</file>

<file path=xl/worksheets/_rels/sheet71.xml.rels><?xml version="1.0" encoding="UTF-8" standalone="yes"?>
<Relationships xmlns="http://schemas.openxmlformats.org/package/2006/relationships"><Relationship Id="rId3" Type="http://schemas.openxmlformats.org/officeDocument/2006/relationships/ctrlProp" Target="../ctrlProps/ctrlProp235.xml"/><Relationship Id="rId2" Type="http://schemas.openxmlformats.org/officeDocument/2006/relationships/vmlDrawing" Target="../drawings/vmlDrawing71.vml"/><Relationship Id="rId1" Type="http://schemas.openxmlformats.org/officeDocument/2006/relationships/drawing" Target="../drawings/drawing71.xml"/><Relationship Id="rId5" Type="http://schemas.openxmlformats.org/officeDocument/2006/relationships/comments" Target="../comments58.xml"/><Relationship Id="rId4" Type="http://schemas.openxmlformats.org/officeDocument/2006/relationships/ctrlProp" Target="../ctrlProps/ctrlProp236.xml"/></Relationships>
</file>

<file path=xl/worksheets/_rels/sheet72.xml.rels><?xml version="1.0" encoding="UTF-8" standalone="yes"?>
<Relationships xmlns="http://schemas.openxmlformats.org/package/2006/relationships"><Relationship Id="rId3" Type="http://schemas.openxmlformats.org/officeDocument/2006/relationships/ctrlProp" Target="../ctrlProps/ctrlProp237.xml"/><Relationship Id="rId2" Type="http://schemas.openxmlformats.org/officeDocument/2006/relationships/vmlDrawing" Target="../drawings/vmlDrawing72.vml"/><Relationship Id="rId1" Type="http://schemas.openxmlformats.org/officeDocument/2006/relationships/drawing" Target="../drawings/drawing72.xml"/><Relationship Id="rId4" Type="http://schemas.openxmlformats.org/officeDocument/2006/relationships/ctrlProp" Target="../ctrlProps/ctrlProp238.xml"/></Relationships>
</file>

<file path=xl/worksheets/_rels/sheet73.xml.rels><?xml version="1.0" encoding="UTF-8" standalone="yes"?>
<Relationships xmlns="http://schemas.openxmlformats.org/package/2006/relationships"><Relationship Id="rId3" Type="http://schemas.openxmlformats.org/officeDocument/2006/relationships/ctrlProp" Target="../ctrlProps/ctrlProp239.xml"/><Relationship Id="rId2" Type="http://schemas.openxmlformats.org/officeDocument/2006/relationships/vmlDrawing" Target="../drawings/vmlDrawing73.vml"/><Relationship Id="rId1" Type="http://schemas.openxmlformats.org/officeDocument/2006/relationships/drawing" Target="../drawings/drawing73.xml"/><Relationship Id="rId4" Type="http://schemas.openxmlformats.org/officeDocument/2006/relationships/ctrlProp" Target="../ctrlProps/ctrlProp240.xml"/></Relationships>
</file>

<file path=xl/worksheets/_rels/sheet74.xml.rels><?xml version="1.0" encoding="UTF-8" standalone="yes"?>
<Relationships xmlns="http://schemas.openxmlformats.org/package/2006/relationships"><Relationship Id="rId3" Type="http://schemas.openxmlformats.org/officeDocument/2006/relationships/ctrlProp" Target="../ctrlProps/ctrlProp241.xml"/><Relationship Id="rId2" Type="http://schemas.openxmlformats.org/officeDocument/2006/relationships/vmlDrawing" Target="../drawings/vmlDrawing74.vml"/><Relationship Id="rId1" Type="http://schemas.openxmlformats.org/officeDocument/2006/relationships/drawing" Target="../drawings/drawing74.xml"/><Relationship Id="rId5" Type="http://schemas.openxmlformats.org/officeDocument/2006/relationships/comments" Target="../comments59.xml"/><Relationship Id="rId4" Type="http://schemas.openxmlformats.org/officeDocument/2006/relationships/ctrlProp" Target="../ctrlProps/ctrlProp242.xml"/></Relationships>
</file>

<file path=xl/worksheets/_rels/sheet75.xml.rels><?xml version="1.0" encoding="UTF-8" standalone="yes"?>
<Relationships xmlns="http://schemas.openxmlformats.org/package/2006/relationships"><Relationship Id="rId3" Type="http://schemas.openxmlformats.org/officeDocument/2006/relationships/ctrlProp" Target="../ctrlProps/ctrlProp243.xml"/><Relationship Id="rId2" Type="http://schemas.openxmlformats.org/officeDocument/2006/relationships/vmlDrawing" Target="../drawings/vmlDrawing75.vml"/><Relationship Id="rId1" Type="http://schemas.openxmlformats.org/officeDocument/2006/relationships/drawing" Target="../drawings/drawing75.xml"/><Relationship Id="rId5" Type="http://schemas.openxmlformats.org/officeDocument/2006/relationships/comments" Target="../comments60.xml"/><Relationship Id="rId4" Type="http://schemas.openxmlformats.org/officeDocument/2006/relationships/ctrlProp" Target="../ctrlProps/ctrlProp244.xml"/></Relationships>
</file>

<file path=xl/worksheets/_rels/sheet76.xml.rels><?xml version="1.0" encoding="UTF-8" standalone="yes"?>
<Relationships xmlns="http://schemas.openxmlformats.org/package/2006/relationships"><Relationship Id="rId3" Type="http://schemas.openxmlformats.org/officeDocument/2006/relationships/ctrlProp" Target="../ctrlProps/ctrlProp245.xml"/><Relationship Id="rId2" Type="http://schemas.openxmlformats.org/officeDocument/2006/relationships/vmlDrawing" Target="../drawings/vmlDrawing76.vml"/><Relationship Id="rId1" Type="http://schemas.openxmlformats.org/officeDocument/2006/relationships/drawing" Target="../drawings/drawing76.xml"/><Relationship Id="rId5" Type="http://schemas.openxmlformats.org/officeDocument/2006/relationships/comments" Target="../comments61.xml"/><Relationship Id="rId4" Type="http://schemas.openxmlformats.org/officeDocument/2006/relationships/ctrlProp" Target="../ctrlProps/ctrlProp246.xm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77.vml"/><Relationship Id="rId2" Type="http://schemas.openxmlformats.org/officeDocument/2006/relationships/drawing" Target="../drawings/drawing77.xml"/><Relationship Id="rId1" Type="http://schemas.openxmlformats.org/officeDocument/2006/relationships/printerSettings" Target="../printerSettings/printerSettings54.bin"/><Relationship Id="rId6" Type="http://schemas.openxmlformats.org/officeDocument/2006/relationships/comments" Target="../comments62.xml"/><Relationship Id="rId5" Type="http://schemas.openxmlformats.org/officeDocument/2006/relationships/ctrlProp" Target="../ctrlProps/ctrlProp248.xml"/><Relationship Id="rId4" Type="http://schemas.openxmlformats.org/officeDocument/2006/relationships/ctrlProp" Target="../ctrlProps/ctrlProp247.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78.vml"/><Relationship Id="rId2" Type="http://schemas.openxmlformats.org/officeDocument/2006/relationships/drawing" Target="../drawings/drawing78.xml"/><Relationship Id="rId1" Type="http://schemas.openxmlformats.org/officeDocument/2006/relationships/printerSettings" Target="../printerSettings/printerSettings55.bin"/><Relationship Id="rId6" Type="http://schemas.openxmlformats.org/officeDocument/2006/relationships/comments" Target="../comments63.xml"/><Relationship Id="rId5" Type="http://schemas.openxmlformats.org/officeDocument/2006/relationships/ctrlProp" Target="../ctrlProps/ctrlProp250.xml"/><Relationship Id="rId4" Type="http://schemas.openxmlformats.org/officeDocument/2006/relationships/ctrlProp" Target="../ctrlProps/ctrlProp249.xml"/></Relationships>
</file>

<file path=xl/worksheets/_rels/sheet79.xml.rels><?xml version="1.0" encoding="UTF-8" standalone="yes"?>
<Relationships xmlns="http://schemas.openxmlformats.org/package/2006/relationships"><Relationship Id="rId3" Type="http://schemas.openxmlformats.org/officeDocument/2006/relationships/vmlDrawing" Target="../drawings/vmlDrawing79.vml"/><Relationship Id="rId2" Type="http://schemas.openxmlformats.org/officeDocument/2006/relationships/drawing" Target="../drawings/drawing79.xml"/><Relationship Id="rId1" Type="http://schemas.openxmlformats.org/officeDocument/2006/relationships/printerSettings" Target="../printerSettings/printerSettings56.bin"/><Relationship Id="rId5" Type="http://schemas.openxmlformats.org/officeDocument/2006/relationships/ctrlProp" Target="../ctrlProps/ctrlProp252.xml"/><Relationship Id="rId4" Type="http://schemas.openxmlformats.org/officeDocument/2006/relationships/ctrlProp" Target="../ctrlProps/ctrlProp251.xml"/></Relationships>
</file>

<file path=xl/worksheets/_rels/sheet80.xml.rels><?xml version="1.0" encoding="UTF-8" standalone="yes"?>
<Relationships xmlns="http://schemas.openxmlformats.org/package/2006/relationships"><Relationship Id="rId3" Type="http://schemas.openxmlformats.org/officeDocument/2006/relationships/ctrlProp" Target="../ctrlProps/ctrlProp253.xml"/><Relationship Id="rId2" Type="http://schemas.openxmlformats.org/officeDocument/2006/relationships/vmlDrawing" Target="../drawings/vmlDrawing80.vml"/><Relationship Id="rId1" Type="http://schemas.openxmlformats.org/officeDocument/2006/relationships/drawing" Target="../drawings/drawing80.xml"/><Relationship Id="rId4" Type="http://schemas.openxmlformats.org/officeDocument/2006/relationships/ctrlProp" Target="../ctrlProps/ctrlProp254.xml"/></Relationships>
</file>

<file path=xl/worksheets/_rels/sheet81.xml.rels><?xml version="1.0" encoding="UTF-8" standalone="yes"?>
<Relationships xmlns="http://schemas.openxmlformats.org/package/2006/relationships"><Relationship Id="rId3" Type="http://schemas.openxmlformats.org/officeDocument/2006/relationships/ctrlProp" Target="../ctrlProps/ctrlProp255.xml"/><Relationship Id="rId2" Type="http://schemas.openxmlformats.org/officeDocument/2006/relationships/vmlDrawing" Target="../drawings/vmlDrawing81.vml"/><Relationship Id="rId1" Type="http://schemas.openxmlformats.org/officeDocument/2006/relationships/drawing" Target="../drawings/drawing81.xml"/><Relationship Id="rId5" Type="http://schemas.openxmlformats.org/officeDocument/2006/relationships/comments" Target="../comments64.xml"/><Relationship Id="rId4" Type="http://schemas.openxmlformats.org/officeDocument/2006/relationships/ctrlProp" Target="../ctrlProps/ctrlProp256.xml"/></Relationships>
</file>

<file path=xl/worksheets/_rels/sheet82.xml.rels><?xml version="1.0" encoding="UTF-8" standalone="yes"?>
<Relationships xmlns="http://schemas.openxmlformats.org/package/2006/relationships"><Relationship Id="rId3" Type="http://schemas.openxmlformats.org/officeDocument/2006/relationships/ctrlProp" Target="../ctrlProps/ctrlProp257.xml"/><Relationship Id="rId2" Type="http://schemas.openxmlformats.org/officeDocument/2006/relationships/vmlDrawing" Target="../drawings/vmlDrawing82.vml"/><Relationship Id="rId1" Type="http://schemas.openxmlformats.org/officeDocument/2006/relationships/drawing" Target="../drawings/drawing82.xml"/><Relationship Id="rId5" Type="http://schemas.openxmlformats.org/officeDocument/2006/relationships/comments" Target="../comments65.xml"/><Relationship Id="rId4" Type="http://schemas.openxmlformats.org/officeDocument/2006/relationships/ctrlProp" Target="../ctrlProps/ctrlProp258.xml"/></Relationships>
</file>

<file path=xl/worksheets/_rels/sheet83.xml.rels><?xml version="1.0" encoding="UTF-8" standalone="yes"?>
<Relationships xmlns="http://schemas.openxmlformats.org/package/2006/relationships"><Relationship Id="rId3" Type="http://schemas.openxmlformats.org/officeDocument/2006/relationships/ctrlProp" Target="../ctrlProps/ctrlProp259.xml"/><Relationship Id="rId2" Type="http://schemas.openxmlformats.org/officeDocument/2006/relationships/vmlDrawing" Target="../drawings/vmlDrawing83.vml"/><Relationship Id="rId1" Type="http://schemas.openxmlformats.org/officeDocument/2006/relationships/drawing" Target="../drawings/drawing83.xml"/><Relationship Id="rId4" Type="http://schemas.openxmlformats.org/officeDocument/2006/relationships/ctrlProp" Target="../ctrlProps/ctrlProp260.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84.vml"/><Relationship Id="rId2" Type="http://schemas.openxmlformats.org/officeDocument/2006/relationships/drawing" Target="../drawings/drawing84.xml"/><Relationship Id="rId1" Type="http://schemas.openxmlformats.org/officeDocument/2006/relationships/printerSettings" Target="../printerSettings/printerSettings57.bin"/><Relationship Id="rId5" Type="http://schemas.openxmlformats.org/officeDocument/2006/relationships/ctrlProp" Target="../ctrlProps/ctrlProp262.xml"/><Relationship Id="rId4" Type="http://schemas.openxmlformats.org/officeDocument/2006/relationships/ctrlProp" Target="../ctrlProps/ctrlProp261.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85.vml"/><Relationship Id="rId2" Type="http://schemas.openxmlformats.org/officeDocument/2006/relationships/drawing" Target="../drawings/drawing85.xml"/><Relationship Id="rId1" Type="http://schemas.openxmlformats.org/officeDocument/2006/relationships/printerSettings" Target="../printerSettings/printerSettings58.bin"/><Relationship Id="rId5" Type="http://schemas.openxmlformats.org/officeDocument/2006/relationships/ctrlProp" Target="../ctrlProps/ctrlProp264.xml"/><Relationship Id="rId4" Type="http://schemas.openxmlformats.org/officeDocument/2006/relationships/ctrlProp" Target="../ctrlProps/ctrlProp263.xml"/></Relationships>
</file>

<file path=xl/worksheets/_rels/sheet86.xml.rels><?xml version="1.0" encoding="UTF-8" standalone="yes"?>
<Relationships xmlns="http://schemas.openxmlformats.org/package/2006/relationships"><Relationship Id="rId3" Type="http://schemas.openxmlformats.org/officeDocument/2006/relationships/vmlDrawing" Target="../drawings/vmlDrawing86.vml"/><Relationship Id="rId2" Type="http://schemas.openxmlformats.org/officeDocument/2006/relationships/drawing" Target="../drawings/drawing86.xml"/><Relationship Id="rId1" Type="http://schemas.openxmlformats.org/officeDocument/2006/relationships/printerSettings" Target="../printerSettings/printerSettings59.bin"/><Relationship Id="rId5" Type="http://schemas.openxmlformats.org/officeDocument/2006/relationships/ctrlProp" Target="../ctrlProps/ctrlProp266.xml"/><Relationship Id="rId4" Type="http://schemas.openxmlformats.org/officeDocument/2006/relationships/ctrlProp" Target="../ctrlProps/ctrlProp265.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87.vml"/><Relationship Id="rId2" Type="http://schemas.openxmlformats.org/officeDocument/2006/relationships/drawing" Target="../drawings/drawing87.xml"/><Relationship Id="rId1" Type="http://schemas.openxmlformats.org/officeDocument/2006/relationships/printerSettings" Target="../printerSettings/printerSettings60.bin"/><Relationship Id="rId5" Type="http://schemas.openxmlformats.org/officeDocument/2006/relationships/ctrlProp" Target="../ctrlProps/ctrlProp268.xml"/><Relationship Id="rId4" Type="http://schemas.openxmlformats.org/officeDocument/2006/relationships/ctrlProp" Target="../ctrlProps/ctrlProp267.xml"/></Relationships>
</file>

<file path=xl/worksheets/_rels/sheet88.xml.rels><?xml version="1.0" encoding="UTF-8" standalone="yes"?>
<Relationships xmlns="http://schemas.openxmlformats.org/package/2006/relationships"><Relationship Id="rId3" Type="http://schemas.openxmlformats.org/officeDocument/2006/relationships/vmlDrawing" Target="../drawings/vmlDrawing88.vml"/><Relationship Id="rId2" Type="http://schemas.openxmlformats.org/officeDocument/2006/relationships/drawing" Target="../drawings/drawing88.xml"/><Relationship Id="rId1" Type="http://schemas.openxmlformats.org/officeDocument/2006/relationships/printerSettings" Target="../printerSettings/printerSettings61.bin"/><Relationship Id="rId5" Type="http://schemas.openxmlformats.org/officeDocument/2006/relationships/comments" Target="../comments66.xml"/><Relationship Id="rId4" Type="http://schemas.openxmlformats.org/officeDocument/2006/relationships/ctrlProp" Target="../ctrlProps/ctrlProp269.xml"/></Relationships>
</file>

<file path=xl/worksheets/_rels/sheet89.xml.rels><?xml version="1.0" encoding="UTF-8" standalone="yes"?>
<Relationships xmlns="http://schemas.openxmlformats.org/package/2006/relationships"><Relationship Id="rId3" Type="http://schemas.openxmlformats.org/officeDocument/2006/relationships/vmlDrawing" Target="../drawings/vmlDrawing89.vml"/><Relationship Id="rId2" Type="http://schemas.openxmlformats.org/officeDocument/2006/relationships/drawing" Target="../drawings/drawing89.xml"/><Relationship Id="rId1" Type="http://schemas.openxmlformats.org/officeDocument/2006/relationships/printerSettings" Target="../printerSettings/printerSettings62.bin"/><Relationship Id="rId5" Type="http://schemas.openxmlformats.org/officeDocument/2006/relationships/comments" Target="../comments67.xml"/><Relationship Id="rId4" Type="http://schemas.openxmlformats.org/officeDocument/2006/relationships/ctrlProp" Target="../ctrlProps/ctrlProp270.xml"/></Relationships>
</file>

<file path=xl/worksheets/_rels/sheet90.xml.rels><?xml version="1.0" encoding="UTF-8" standalone="yes"?>
<Relationships xmlns="http://schemas.openxmlformats.org/package/2006/relationships"><Relationship Id="rId3" Type="http://schemas.openxmlformats.org/officeDocument/2006/relationships/vmlDrawing" Target="../drawings/vmlDrawing90.vml"/><Relationship Id="rId2" Type="http://schemas.openxmlformats.org/officeDocument/2006/relationships/drawing" Target="../drawings/drawing90.xml"/><Relationship Id="rId1" Type="http://schemas.openxmlformats.org/officeDocument/2006/relationships/printerSettings" Target="../printerSettings/printerSettings63.bin"/><Relationship Id="rId5" Type="http://schemas.openxmlformats.org/officeDocument/2006/relationships/comments" Target="../comments68.xml"/><Relationship Id="rId4" Type="http://schemas.openxmlformats.org/officeDocument/2006/relationships/ctrlProp" Target="../ctrlProps/ctrlProp271.xml"/></Relationships>
</file>

<file path=xl/worksheets/_rels/sheet91.xml.rels><?xml version="1.0" encoding="UTF-8" standalone="yes"?>
<Relationships xmlns="http://schemas.openxmlformats.org/package/2006/relationships"><Relationship Id="rId3" Type="http://schemas.openxmlformats.org/officeDocument/2006/relationships/vmlDrawing" Target="../drawings/vmlDrawing91.vml"/><Relationship Id="rId2" Type="http://schemas.openxmlformats.org/officeDocument/2006/relationships/drawing" Target="../drawings/drawing91.xml"/><Relationship Id="rId1" Type="http://schemas.openxmlformats.org/officeDocument/2006/relationships/printerSettings" Target="../printerSettings/printerSettings64.bin"/><Relationship Id="rId5" Type="http://schemas.openxmlformats.org/officeDocument/2006/relationships/comments" Target="../comments69.xml"/><Relationship Id="rId4" Type="http://schemas.openxmlformats.org/officeDocument/2006/relationships/ctrlProp" Target="../ctrlProps/ctrlProp272.xml"/></Relationships>
</file>

<file path=xl/worksheets/_rels/sheet92.xml.rels><?xml version="1.0" encoding="UTF-8" standalone="yes"?>
<Relationships xmlns="http://schemas.openxmlformats.org/package/2006/relationships"><Relationship Id="rId2" Type="http://schemas.openxmlformats.org/officeDocument/2006/relationships/comments" Target="../comments70.xml"/><Relationship Id="rId1" Type="http://schemas.openxmlformats.org/officeDocument/2006/relationships/vmlDrawing" Target="../drawings/vmlDrawing9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2:Q94"/>
  <sheetViews>
    <sheetView topLeftCell="A18" zoomScaleNormal="100" workbookViewId="0">
      <selection activeCell="C32" sqref="C32"/>
    </sheetView>
  </sheetViews>
  <sheetFormatPr baseColWidth="10" defaultColWidth="10.85546875" defaultRowHeight="15" x14ac:dyDescent="0.25"/>
  <cols>
    <col min="1" max="1" width="4.85546875" customWidth="1"/>
    <col min="2" max="2" width="50" customWidth="1"/>
    <col min="3" max="3" width="16.5703125" style="100" customWidth="1"/>
    <col min="4" max="4" width="12.42578125" style="100" customWidth="1"/>
    <col min="5" max="5" width="14" customWidth="1"/>
    <col min="6" max="6" width="13" style="88" bestFit="1" customWidth="1"/>
    <col min="7" max="7" width="28.5703125" style="32" customWidth="1"/>
    <col min="8" max="8" width="17.28515625" style="32" customWidth="1"/>
    <col min="9" max="9" width="17.28515625" customWidth="1"/>
    <col min="10" max="11" width="13.5703125" bestFit="1" customWidth="1"/>
    <col min="12" max="12" width="15.5703125" customWidth="1"/>
    <col min="17" max="17" width="10.85546875" style="32"/>
  </cols>
  <sheetData>
    <row r="2" spans="2:17" s="25" customFormat="1" x14ac:dyDescent="0.25">
      <c r="B2" s="28" t="s">
        <v>606</v>
      </c>
      <c r="C2" s="444" t="s">
        <v>6</v>
      </c>
      <c r="D2" s="444" t="s">
        <v>7</v>
      </c>
      <c r="F2" s="445"/>
      <c r="G2" s="1157"/>
      <c r="H2" s="60"/>
      <c r="Q2" s="60"/>
    </row>
    <row r="4" spans="2:17" ht="15" customHeight="1" x14ac:dyDescent="0.25">
      <c r="B4" t="s">
        <v>1671</v>
      </c>
      <c r="C4" s="100">
        <f>+'1. ALFA VIAJES'!I53</f>
        <v>0</v>
      </c>
      <c r="D4" s="100">
        <v>0</v>
      </c>
    </row>
    <row r="5" spans="2:17" ht="15" customHeight="1" x14ac:dyDescent="0.25">
      <c r="B5" s="10" t="s">
        <v>1672</v>
      </c>
      <c r="C5" s="446">
        <f>+'2. ESSALUD ANDAHUAYLAS'!I8</f>
        <v>32410</v>
      </c>
      <c r="D5" s="100">
        <v>0</v>
      </c>
    </row>
    <row r="6" spans="2:17" ht="15" customHeight="1" x14ac:dyDescent="0.25">
      <c r="B6" t="s">
        <v>1673</v>
      </c>
      <c r="C6" s="1012">
        <f>+'3. ESSALUD AREQUIPA'!H54</f>
        <v>167900</v>
      </c>
      <c r="D6" s="100">
        <v>0</v>
      </c>
    </row>
    <row r="7" spans="2:17" ht="15" customHeight="1" x14ac:dyDescent="0.25">
      <c r="B7" t="s">
        <v>1674</v>
      </c>
      <c r="C7" s="100">
        <f>+'4. ESSALUD AYP'!I137</f>
        <v>57800</v>
      </c>
      <c r="D7" s="100">
        <v>0</v>
      </c>
      <c r="G7"/>
      <c r="H7" s="360"/>
    </row>
    <row r="8" spans="2:17" ht="15" customHeight="1" x14ac:dyDescent="0.25">
      <c r="B8" s="10" t="s">
        <v>1675</v>
      </c>
      <c r="C8" s="446">
        <f>+'5. ESSALUD CAJAMARCA'!I18</f>
        <v>34500</v>
      </c>
      <c r="D8" s="100">
        <v>0</v>
      </c>
      <c r="G8" s="88"/>
      <c r="H8" s="236"/>
    </row>
    <row r="9" spans="2:17" ht="15" customHeight="1" x14ac:dyDescent="0.25">
      <c r="B9" t="s">
        <v>1676</v>
      </c>
      <c r="C9" s="74">
        <f>+'6. ESSALUD CHACHAPOYAS'!H51</f>
        <v>142684</v>
      </c>
      <c r="D9" s="100">
        <v>0</v>
      </c>
    </row>
    <row r="10" spans="2:17" ht="15" customHeight="1" x14ac:dyDescent="0.25">
      <c r="B10" t="s">
        <v>1677</v>
      </c>
      <c r="C10" s="1455">
        <f>+'7. ESSALUD CIX'!I82</f>
        <v>351862.56</v>
      </c>
      <c r="D10" s="100">
        <v>0</v>
      </c>
    </row>
    <row r="11" spans="2:17" ht="15" customHeight="1" x14ac:dyDescent="0.25">
      <c r="B11" s="10" t="s">
        <v>1678</v>
      </c>
      <c r="C11" s="100">
        <f>+'8. ESSALUD CHIMBOTE'!I8</f>
        <v>0</v>
      </c>
      <c r="D11" s="100">
        <v>0</v>
      </c>
      <c r="F11"/>
    </row>
    <row r="12" spans="2:17" ht="15" customHeight="1" x14ac:dyDescent="0.25">
      <c r="B12" t="s">
        <v>1679</v>
      </c>
      <c r="C12" s="100">
        <f>+'9. ESSALUD CUSCO'!I162</f>
        <v>0</v>
      </c>
      <c r="D12" s="100">
        <v>0</v>
      </c>
      <c r="E12" s="21"/>
      <c r="H12"/>
    </row>
    <row r="13" spans="2:17" ht="15" customHeight="1" x14ac:dyDescent="0.25">
      <c r="B13" s="10" t="s">
        <v>1680</v>
      </c>
      <c r="C13" s="446">
        <f>+'10. ESSALUD HCO'!I23</f>
        <v>0</v>
      </c>
      <c r="D13" s="100">
        <v>0</v>
      </c>
      <c r="E13" s="21"/>
      <c r="H13"/>
    </row>
    <row r="14" spans="2:17" ht="15" customHeight="1" x14ac:dyDescent="0.25">
      <c r="B14" s="10" t="s">
        <v>1681</v>
      </c>
      <c r="C14" s="1013">
        <f>+'11. ESSALUD JULIACA'!I13</f>
        <v>47860.800000000003</v>
      </c>
      <c r="D14" s="100">
        <v>0</v>
      </c>
      <c r="H14"/>
    </row>
    <row r="15" spans="2:17" x14ac:dyDescent="0.25">
      <c r="B15" t="s">
        <v>5893</v>
      </c>
      <c r="C15" s="100">
        <f>+'12. ESSALUD TINGO MARIA'!I7</f>
        <v>0</v>
      </c>
      <c r="D15" s="100">
        <v>0</v>
      </c>
      <c r="H15"/>
    </row>
    <row r="16" spans="2:17" ht="15" customHeight="1" x14ac:dyDescent="0.25">
      <c r="B16" t="s">
        <v>5472</v>
      </c>
      <c r="C16" s="100">
        <f>+'13. ESSALUD LORETO NVO CONTRATO'!I195</f>
        <v>877044</v>
      </c>
      <c r="D16" s="100">
        <v>0</v>
      </c>
      <c r="E16" s="1349"/>
    </row>
    <row r="17" spans="2:17" s="10" customFormat="1" ht="15" customHeight="1" x14ac:dyDescent="0.25">
      <c r="B17" s="10" t="s">
        <v>1682</v>
      </c>
      <c r="C17" s="446">
        <f>+'14. ESSALUD MOYOBAMBA'!I23</f>
        <v>0</v>
      </c>
      <c r="D17" s="100">
        <v>0</v>
      </c>
      <c r="F17" s="88"/>
      <c r="G17" s="97"/>
      <c r="I17" s="997"/>
      <c r="Q17" s="97"/>
    </row>
    <row r="18" spans="2:17" s="10" customFormat="1" ht="15" customHeight="1" x14ac:dyDescent="0.25">
      <c r="B18" t="s">
        <v>7537</v>
      </c>
      <c r="C18" s="100">
        <f>+'15. ESSALUD ORGANOS'!I29</f>
        <v>0</v>
      </c>
      <c r="D18" s="100">
        <v>0</v>
      </c>
      <c r="F18" s="88"/>
      <c r="G18" s="97"/>
      <c r="Q18" s="97"/>
    </row>
    <row r="19" spans="2:17" s="10" customFormat="1" ht="15" customHeight="1" x14ac:dyDescent="0.25">
      <c r="B19" t="s">
        <v>1683</v>
      </c>
      <c r="C19" s="1222">
        <f>+'16. ESSALUD PIURA'!I61</f>
        <v>133100</v>
      </c>
      <c r="D19" s="100">
        <v>0</v>
      </c>
      <c r="F19" s="88"/>
      <c r="G19" s="97"/>
      <c r="H19" s="32"/>
      <c r="Q19" s="97"/>
    </row>
    <row r="20" spans="2:17" s="10" customFormat="1" ht="15" customHeight="1" x14ac:dyDescent="0.25">
      <c r="B20" t="s">
        <v>1730</v>
      </c>
      <c r="C20" s="100">
        <f>+'17. ESSALUD PUCALLPA'!J27</f>
        <v>0</v>
      </c>
      <c r="D20" s="100">
        <v>0</v>
      </c>
      <c r="F20" s="88"/>
      <c r="G20" s="97"/>
      <c r="H20" s="97"/>
      <c r="Q20" s="97"/>
    </row>
    <row r="21" spans="2:17" s="10" customFormat="1" ht="15" customHeight="1" x14ac:dyDescent="0.25">
      <c r="B21" t="s">
        <v>3178</v>
      </c>
      <c r="C21" s="100">
        <f>+'18. ESSALUD TARAPOTO'!I301</f>
        <v>660288.4</v>
      </c>
      <c r="D21" s="100">
        <v>0</v>
      </c>
      <c r="F21" s="88"/>
      <c r="G21" s="1378"/>
      <c r="Q21" s="97"/>
    </row>
    <row r="22" spans="2:17" s="10" customFormat="1" ht="15" customHeight="1" x14ac:dyDescent="0.25">
      <c r="B22" t="s">
        <v>1684</v>
      </c>
      <c r="C22" s="1012">
        <f>+'19. ESSALUD TRU'!H12</f>
        <v>30491</v>
      </c>
      <c r="D22" s="100">
        <v>0</v>
      </c>
      <c r="F22" s="88"/>
      <c r="G22" s="97"/>
      <c r="H22" s="97"/>
      <c r="Q22" s="97"/>
    </row>
    <row r="23" spans="2:17" s="10" customFormat="1" ht="15" customHeight="1" x14ac:dyDescent="0.25">
      <c r="B23" s="10" t="s">
        <v>3117</v>
      </c>
      <c r="C23" s="1223">
        <f>+'20. ESSALUD YURIMAGUAS'!I26</f>
        <v>92230</v>
      </c>
      <c r="D23" s="100">
        <v>0</v>
      </c>
      <c r="F23" s="88"/>
      <c r="G23" s="97"/>
      <c r="H23" s="97"/>
      <c r="Q23" s="97"/>
    </row>
    <row r="24" spans="2:17" ht="15" customHeight="1" x14ac:dyDescent="0.25">
      <c r="B24" t="s">
        <v>2287</v>
      </c>
      <c r="C24" s="100">
        <f>+'21. FENIX-'!I10</f>
        <v>0</v>
      </c>
      <c r="D24" s="100">
        <v>0</v>
      </c>
    </row>
    <row r="25" spans="2:17" ht="15" customHeight="1" x14ac:dyDescent="0.25">
      <c r="B25" t="s">
        <v>1692</v>
      </c>
      <c r="C25" s="100">
        <f>+'22.HOSP.EMERGENCIAS PEDIATRICAS'!I8</f>
        <v>0</v>
      </c>
      <c r="D25" s="100">
        <v>0</v>
      </c>
    </row>
    <row r="26" spans="2:17" ht="15" customHeight="1" x14ac:dyDescent="0.25">
      <c r="B26" s="169" t="s">
        <v>1693</v>
      </c>
      <c r="C26" s="100">
        <f>+'23. HOSP. REG AREQUIPA'!I25</f>
        <v>0</v>
      </c>
      <c r="D26" s="100">
        <v>0</v>
      </c>
      <c r="J26" s="32"/>
    </row>
    <row r="27" spans="2:17" ht="15" customHeight="1" x14ac:dyDescent="0.25">
      <c r="B27" s="169" t="s">
        <v>3265</v>
      </c>
      <c r="C27" s="100">
        <f>+'24. HOSP.HUNANUE TACNA'!I50</f>
        <v>0</v>
      </c>
      <c r="D27" s="100">
        <v>0</v>
      </c>
      <c r="H27" s="97"/>
    </row>
    <row r="28" spans="2:17" ht="15" customHeight="1" x14ac:dyDescent="0.25">
      <c r="B28" t="s">
        <v>1685</v>
      </c>
      <c r="C28" s="100">
        <f>+'25. HOSP. REG AYACUCHO'!I105</f>
        <v>0</v>
      </c>
      <c r="D28" s="100">
        <v>0</v>
      </c>
      <c r="H28" s="97"/>
    </row>
    <row r="29" spans="2:17" ht="15" customHeight="1" x14ac:dyDescent="0.25">
      <c r="B29" s="169" t="s">
        <v>1686</v>
      </c>
      <c r="C29" s="100">
        <f>+'26. HOSP. REG. EL CARMEN-HYO'!I14</f>
        <v>0</v>
      </c>
      <c r="D29" s="100">
        <v>0</v>
      </c>
    </row>
    <row r="30" spans="2:17" ht="15" customHeight="1" x14ac:dyDescent="0.25">
      <c r="B30" t="s">
        <v>1687</v>
      </c>
      <c r="C30" s="100">
        <f>+'27. HOSP. REG HCVCA'!I7</f>
        <v>0</v>
      </c>
      <c r="D30" s="100">
        <v>0</v>
      </c>
    </row>
    <row r="31" spans="2:17" ht="15" customHeight="1" x14ac:dyDescent="0.25">
      <c r="B31" t="s">
        <v>1688</v>
      </c>
      <c r="C31" s="100">
        <f>+'28. HOSP. REG LAMBAYEQUE'!I45</f>
        <v>43010</v>
      </c>
      <c r="D31" s="100">
        <v>0</v>
      </c>
    </row>
    <row r="32" spans="2:17" ht="15" customHeight="1" x14ac:dyDescent="0.25">
      <c r="B32" t="s">
        <v>1689</v>
      </c>
      <c r="C32" s="100">
        <f>+'29. HOSP LORETO'!H166</f>
        <v>125275</v>
      </c>
      <c r="D32" s="100">
        <v>0</v>
      </c>
    </row>
    <row r="33" spans="2:9" ht="15" customHeight="1" x14ac:dyDescent="0.25">
      <c r="B33" s="169" t="s">
        <v>1690</v>
      </c>
      <c r="C33" s="100">
        <f>+'30. HOSP.  PUNO MANUEL NB'!I47</f>
        <v>50000</v>
      </c>
      <c r="D33" s="100">
        <v>0</v>
      </c>
    </row>
    <row r="34" spans="2:9" ht="15" customHeight="1" x14ac:dyDescent="0.25">
      <c r="B34" s="169" t="s">
        <v>1691</v>
      </c>
      <c r="C34" s="100">
        <f>+'31. HOSP.REG. MOQUEGUA'!I31</f>
        <v>54480</v>
      </c>
      <c r="D34" s="100">
        <v>0</v>
      </c>
    </row>
    <row r="35" spans="2:9" ht="15" customHeight="1" x14ac:dyDescent="0.25">
      <c r="B35" s="169" t="s">
        <v>1705</v>
      </c>
      <c r="C35" s="100">
        <f>+'32. HOSP. REG TUMBES'!I109</f>
        <v>281795</v>
      </c>
      <c r="D35" s="100">
        <v>0</v>
      </c>
    </row>
    <row r="36" spans="2:9" ht="15" customHeight="1" x14ac:dyDescent="0.25">
      <c r="B36" t="s">
        <v>1706</v>
      </c>
      <c r="C36" s="100">
        <f>+'33. HOSP. REG PUCALLPA'!H5</f>
        <v>0</v>
      </c>
      <c r="D36" s="100">
        <v>0</v>
      </c>
      <c r="H36" s="97"/>
    </row>
    <row r="37" spans="2:9" ht="15" customHeight="1" x14ac:dyDescent="0.25">
      <c r="B37" t="s">
        <v>3677</v>
      </c>
      <c r="C37" s="100">
        <f>+'34. HOSP. REG TARAPOTO'!I68</f>
        <v>72700</v>
      </c>
      <c r="D37" s="100">
        <v>0</v>
      </c>
      <c r="E37" s="32"/>
      <c r="H37" s="97"/>
    </row>
    <row r="38" spans="2:9" ht="15" customHeight="1" x14ac:dyDescent="0.25">
      <c r="B38" s="169" t="s">
        <v>2324</v>
      </c>
      <c r="C38" s="100">
        <f>+'35. HOSP. SANTA ROSA PTO MALD'!I44</f>
        <v>109000</v>
      </c>
      <c r="D38" s="100">
        <v>0</v>
      </c>
      <c r="E38" s="30"/>
    </row>
    <row r="39" spans="2:9" ht="15" customHeight="1" x14ac:dyDescent="0.25">
      <c r="B39" t="s">
        <v>1707</v>
      </c>
      <c r="C39" s="100">
        <f>+'36. HOSP. S REG ANDAHUAYLAS'!I33</f>
        <v>0</v>
      </c>
      <c r="D39" s="100">
        <v>0</v>
      </c>
      <c r="H39" s="96"/>
    </row>
    <row r="40" spans="2:9" ht="15" customHeight="1" x14ac:dyDescent="0.25">
      <c r="B40" t="s">
        <v>1694</v>
      </c>
      <c r="C40" s="100">
        <f>+'37. HOSP CHACHAPOYAS'!I30</f>
        <v>0</v>
      </c>
      <c r="D40" s="100">
        <v>0</v>
      </c>
      <c r="H40" s="96"/>
    </row>
    <row r="41" spans="2:9" ht="15" customHeight="1" x14ac:dyDescent="0.25">
      <c r="B41" t="s">
        <v>1695</v>
      </c>
      <c r="C41" s="100">
        <v>0</v>
      </c>
      <c r="D41" s="100">
        <v>0</v>
      </c>
      <c r="H41" s="96"/>
    </row>
    <row r="42" spans="2:9" ht="15" customHeight="1" x14ac:dyDescent="0.25">
      <c r="B42" t="s">
        <v>1696</v>
      </c>
      <c r="C42" s="100">
        <f>+'39. INSN'!I8</f>
        <v>0</v>
      </c>
      <c r="D42" s="100">
        <v>0</v>
      </c>
      <c r="H42" s="96"/>
      <c r="I42" s="29"/>
    </row>
    <row r="43" spans="2:9" ht="15" customHeight="1" x14ac:dyDescent="0.25">
      <c r="B43" t="s">
        <v>1697</v>
      </c>
      <c r="C43" s="100">
        <v>0</v>
      </c>
      <c r="D43" s="100">
        <v>0</v>
      </c>
      <c r="H43" s="96"/>
    </row>
    <row r="44" spans="2:9" ht="15" customHeight="1" x14ac:dyDescent="0.25">
      <c r="B44" t="s">
        <v>1698</v>
      </c>
      <c r="C44" s="100">
        <f>+'41. OGESS ALTOMAYO'!I165</f>
        <v>0</v>
      </c>
      <c r="D44" s="100">
        <v>0</v>
      </c>
    </row>
    <row r="45" spans="2:9" ht="15" customHeight="1" x14ac:dyDescent="0.25">
      <c r="B45" t="s">
        <v>1699</v>
      </c>
      <c r="C45" s="100">
        <v>0</v>
      </c>
      <c r="D45" s="100">
        <v>0</v>
      </c>
      <c r="H45" s="96"/>
    </row>
    <row r="46" spans="2:9" ht="15" customHeight="1" x14ac:dyDescent="0.25">
      <c r="B46" t="s">
        <v>1700</v>
      </c>
      <c r="C46" s="100">
        <f>+'43. REDESS EL COLLAO'!I7</f>
        <v>50415</v>
      </c>
      <c r="D46" s="100">
        <v>0</v>
      </c>
      <c r="H46" s="96"/>
    </row>
    <row r="47" spans="2:9" ht="15" customHeight="1" x14ac:dyDescent="0.25">
      <c r="B47" t="s">
        <v>1701</v>
      </c>
      <c r="C47" s="100">
        <f>+'44. SALUDPOL'!J517</f>
        <v>1874601.2000000002</v>
      </c>
      <c r="D47" s="100">
        <v>0</v>
      </c>
      <c r="E47" s="32"/>
    </row>
    <row r="48" spans="2:9" ht="15" customHeight="1" x14ac:dyDescent="0.25">
      <c r="B48" t="s">
        <v>1702</v>
      </c>
      <c r="C48" s="100">
        <f>+'45. ZARO'!I65</f>
        <v>125680</v>
      </c>
      <c r="D48" s="100">
        <v>0</v>
      </c>
    </row>
    <row r="49" spans="2:10" ht="15" customHeight="1" x14ac:dyDescent="0.25">
      <c r="B49" s="169" t="s">
        <v>1703</v>
      </c>
      <c r="C49" s="100">
        <v>0</v>
      </c>
      <c r="D49" s="100">
        <v>0</v>
      </c>
    </row>
    <row r="50" spans="2:10" ht="15" customHeight="1" x14ac:dyDescent="0.25">
      <c r="B50" t="s">
        <v>1704</v>
      </c>
      <c r="C50" s="100">
        <f>+'47. VIAJES PUCALLPA'!I81</f>
        <v>46620</v>
      </c>
      <c r="D50" s="100">
        <v>0</v>
      </c>
      <c r="J50" s="32"/>
    </row>
    <row r="51" spans="2:10" ht="15" customHeight="1" x14ac:dyDescent="0.25">
      <c r="B51" t="s">
        <v>5471</v>
      </c>
      <c r="C51" s="100">
        <f>+'48. ESSALUD PCL'!I431+25016</f>
        <v>102500</v>
      </c>
      <c r="D51" s="100">
        <v>0</v>
      </c>
      <c r="J51" s="32"/>
    </row>
    <row r="52" spans="2:10" ht="15" customHeight="1" x14ac:dyDescent="0.25">
      <c r="B52" t="s">
        <v>3418</v>
      </c>
      <c r="C52" s="100">
        <v>0</v>
      </c>
      <c r="D52" s="100">
        <v>0</v>
      </c>
      <c r="J52" s="17"/>
    </row>
    <row r="53" spans="2:10" ht="15" customHeight="1" x14ac:dyDescent="0.25">
      <c r="B53" t="s">
        <v>2030</v>
      </c>
      <c r="C53" s="100">
        <f>+'50.ESSALUD HUARAZ'!I5</f>
        <v>0</v>
      </c>
      <c r="D53" s="100">
        <v>0</v>
      </c>
    </row>
    <row r="54" spans="2:10" ht="15" customHeight="1" x14ac:dyDescent="0.25">
      <c r="B54" t="s">
        <v>2255</v>
      </c>
      <c r="C54" s="100">
        <f>+'51.HOSP. ABANCAY'!I6</f>
        <v>0</v>
      </c>
      <c r="D54" s="100">
        <v>0</v>
      </c>
    </row>
    <row r="55" spans="2:10" ht="15" customHeight="1" x14ac:dyDescent="0.25">
      <c r="B55" t="s">
        <v>2384</v>
      </c>
      <c r="C55" s="100">
        <f>+'52. ESSALUD PUNO'!I8</f>
        <v>0</v>
      </c>
      <c r="D55" s="100">
        <v>0</v>
      </c>
    </row>
    <row r="56" spans="2:10" ht="15" customHeight="1" x14ac:dyDescent="0.25">
      <c r="B56" t="s">
        <v>2436</v>
      </c>
      <c r="C56" s="100">
        <f>+'53. HOSP REG HONORIOD '!I68</f>
        <v>47700</v>
      </c>
      <c r="D56" s="100">
        <v>0</v>
      </c>
    </row>
    <row r="57" spans="2:10" ht="15" customHeight="1" x14ac:dyDescent="0.25">
      <c r="B57" t="s">
        <v>2440</v>
      </c>
      <c r="C57" s="100">
        <f>+'54. SALUD TARMA '!I12</f>
        <v>0</v>
      </c>
      <c r="D57" s="100">
        <v>0</v>
      </c>
    </row>
    <row r="58" spans="2:10" ht="15" customHeight="1" x14ac:dyDescent="0.25">
      <c r="B58" t="s">
        <v>2532</v>
      </c>
      <c r="C58" s="100">
        <f>+'55.HOSP. STA. ROSA PIURA'!I56</f>
        <v>0</v>
      </c>
      <c r="D58" s="100">
        <v>0</v>
      </c>
    </row>
    <row r="59" spans="2:10" ht="15" customHeight="1" x14ac:dyDescent="0.25">
      <c r="B59" t="s">
        <v>2995</v>
      </c>
      <c r="C59" s="100">
        <f>+'56.HOSP. LAS MERCEDES'!I35</f>
        <v>37170</v>
      </c>
      <c r="D59" s="100">
        <v>0</v>
      </c>
    </row>
    <row r="60" spans="2:10" ht="15" customHeight="1" x14ac:dyDescent="0.25">
      <c r="B60" t="s">
        <v>2996</v>
      </c>
      <c r="C60" s="100">
        <f>+'57.OGESS HUALLAGA'!I23</f>
        <v>72333</v>
      </c>
      <c r="D60" s="100">
        <v>0</v>
      </c>
    </row>
    <row r="61" spans="2:10" ht="15" customHeight="1" x14ac:dyDescent="0.25">
      <c r="B61" t="s">
        <v>2997</v>
      </c>
      <c r="C61" s="100">
        <f>+'58.REPRESENTACIONES LACHO'!I8</f>
        <v>0</v>
      </c>
      <c r="D61" s="100">
        <v>0</v>
      </c>
      <c r="F61" s="561"/>
    </row>
    <row r="62" spans="2:10" ht="15" customHeight="1" x14ac:dyDescent="0.25">
      <c r="B62" t="s">
        <v>5084</v>
      </c>
      <c r="C62" s="100">
        <f>+'59.HOSP. GEN. JAEN'!I41</f>
        <v>41600</v>
      </c>
      <c r="D62" s="100">
        <v>0</v>
      </c>
      <c r="F62" s="561"/>
    </row>
    <row r="63" spans="2:10" ht="15" customHeight="1" x14ac:dyDescent="0.25">
      <c r="B63" t="s">
        <v>6586</v>
      </c>
      <c r="C63" s="1012">
        <f>+'60.HOSP. REG. HUANUCO'!I8</f>
        <v>54000</v>
      </c>
      <c r="D63" s="100">
        <v>0</v>
      </c>
      <c r="F63" s="169"/>
    </row>
    <row r="64" spans="2:10" ht="15" customHeight="1" x14ac:dyDescent="0.25">
      <c r="B64" t="s">
        <v>3197</v>
      </c>
      <c r="C64" s="100">
        <f>+'61.HOSP. BELEN LAMBAYEQUE'!I11</f>
        <v>0</v>
      </c>
      <c r="D64" s="100">
        <v>0</v>
      </c>
      <c r="F64" s="169"/>
    </row>
    <row r="65" spans="1:15" ht="15" customHeight="1" x14ac:dyDescent="0.25">
      <c r="B65" t="s">
        <v>3196</v>
      </c>
      <c r="C65" s="100">
        <f>+'62.HOSP. DE APOYO II SULLANA'!I29</f>
        <v>0</v>
      </c>
      <c r="D65" s="100">
        <v>0</v>
      </c>
      <c r="I65" s="32"/>
      <c r="J65" s="32"/>
      <c r="K65" s="32"/>
    </row>
    <row r="66" spans="1:15" ht="15" customHeight="1" x14ac:dyDescent="0.25">
      <c r="B66" t="s">
        <v>3207</v>
      </c>
      <c r="C66" s="100">
        <f>+'63.ESSALUD TACNA'!I11</f>
        <v>121030</v>
      </c>
      <c r="D66" s="100">
        <v>0</v>
      </c>
      <c r="F66" s="169"/>
      <c r="I66" s="32"/>
      <c r="J66" s="32"/>
      <c r="K66" s="32"/>
    </row>
    <row r="67" spans="1:15" ht="15" customHeight="1" x14ac:dyDescent="0.25">
      <c r="B67" t="s">
        <v>3237</v>
      </c>
      <c r="C67" s="100">
        <v>0</v>
      </c>
      <c r="D67" s="100">
        <v>0</v>
      </c>
      <c r="F67" s="169"/>
      <c r="I67" s="32"/>
      <c r="J67" s="32"/>
      <c r="K67" s="32"/>
    </row>
    <row r="68" spans="1:15" ht="14.45" customHeight="1" x14ac:dyDescent="0.25">
      <c r="B68" t="s">
        <v>3262</v>
      </c>
      <c r="C68" s="100">
        <v>0</v>
      </c>
      <c r="D68" s="100">
        <f>+'65. SANITAS'!I12</f>
        <v>0</v>
      </c>
      <c r="F68" s="169"/>
      <c r="I68" s="32"/>
      <c r="J68" s="32"/>
      <c r="K68" s="32"/>
    </row>
    <row r="69" spans="1:15" ht="15" customHeight="1" x14ac:dyDescent="0.25">
      <c r="B69" t="s">
        <v>4023</v>
      </c>
      <c r="C69" s="100">
        <f>+'66.HOSP. REG. CAJAMARCA'!I34</f>
        <v>0</v>
      </c>
      <c r="D69" s="100">
        <v>0</v>
      </c>
      <c r="F69" s="169"/>
      <c r="I69" s="32"/>
      <c r="J69" s="32"/>
      <c r="K69" s="32"/>
    </row>
    <row r="70" spans="1:15" ht="15" customHeight="1" x14ac:dyDescent="0.25">
      <c r="B70" t="s">
        <v>3574</v>
      </c>
      <c r="C70" s="1012">
        <f>+'67.HOSP. BELEN TRUJILLO'!I18</f>
        <v>68600</v>
      </c>
      <c r="D70" s="100">
        <v>0</v>
      </c>
      <c r="F70" s="169"/>
      <c r="I70" s="32"/>
      <c r="J70" s="32"/>
      <c r="K70" s="32"/>
    </row>
    <row r="71" spans="1:15" ht="15" customHeight="1" x14ac:dyDescent="0.25">
      <c r="B71" t="s">
        <v>3977</v>
      </c>
      <c r="C71" s="100">
        <f>+'68.UE SALUD UTCUBAMBA'!I9</f>
        <v>0</v>
      </c>
      <c r="D71" s="100">
        <v>0</v>
      </c>
      <c r="I71" s="32"/>
      <c r="J71" s="32"/>
      <c r="K71" s="32"/>
    </row>
    <row r="72" spans="1:15" ht="15" customHeight="1" x14ac:dyDescent="0.25">
      <c r="B72" t="s">
        <v>3793</v>
      </c>
      <c r="C72" s="100">
        <f>+'69.HOSP. CHULUCANAS'!I16</f>
        <v>8590</v>
      </c>
      <c r="D72" s="100">
        <v>0</v>
      </c>
      <c r="F72" s="169"/>
      <c r="I72" s="32"/>
      <c r="J72" s="32"/>
      <c r="K72" s="32"/>
    </row>
    <row r="73" spans="1:15" ht="15" customHeight="1" x14ac:dyDescent="0.25">
      <c r="B73" t="s">
        <v>5065</v>
      </c>
      <c r="C73" s="1012">
        <f>+'70.HOSP. BAGUA'!I19</f>
        <v>41200</v>
      </c>
      <c r="D73" s="100">
        <v>0</v>
      </c>
      <c r="F73" s="561"/>
    </row>
    <row r="74" spans="1:15" ht="15" customHeight="1" x14ac:dyDescent="0.25">
      <c r="B74" t="s">
        <v>3919</v>
      </c>
      <c r="C74" s="100">
        <f>+'71.ESSALUD HUANCAVELICA'!I9</f>
        <v>24250</v>
      </c>
      <c r="D74" s="100">
        <v>0</v>
      </c>
      <c r="F74" s="169"/>
    </row>
    <row r="75" spans="1:15" ht="15" customHeight="1" x14ac:dyDescent="0.25">
      <c r="B75" t="s">
        <v>4188</v>
      </c>
      <c r="C75" s="100">
        <f>+'72.HOSP SANTA GEMA'!I12</f>
        <v>0</v>
      </c>
      <c r="D75" s="100">
        <v>0</v>
      </c>
      <c r="F75" s="748"/>
    </row>
    <row r="76" spans="1:15" ht="15" customHeight="1" x14ac:dyDescent="0.25">
      <c r="B76" t="s">
        <v>4194</v>
      </c>
      <c r="C76" s="100">
        <f>+'73.IAFAS MGP'!I20</f>
        <v>61810</v>
      </c>
      <c r="D76" s="100">
        <v>0</v>
      </c>
      <c r="F76" s="169"/>
    </row>
    <row r="77" spans="1:15" ht="15" customHeight="1" x14ac:dyDescent="0.25">
      <c r="B77" t="s">
        <v>4222</v>
      </c>
      <c r="C77" s="100">
        <f>+'74.HOSP. TINGO MARIA'!I31</f>
        <v>60350</v>
      </c>
      <c r="D77" s="100">
        <v>0</v>
      </c>
    </row>
    <row r="78" spans="1:15" x14ac:dyDescent="0.25">
      <c r="A78" s="509"/>
      <c r="B78" t="s">
        <v>4267</v>
      </c>
      <c r="C78" s="131">
        <f>+'75.ESSALUD TUMBES'!I12</f>
        <v>0</v>
      </c>
      <c r="D78" s="100">
        <v>0</v>
      </c>
      <c r="F78"/>
      <c r="G78" s="61"/>
      <c r="M78" s="14"/>
      <c r="N78" s="360"/>
      <c r="O78" s="360"/>
    </row>
    <row r="79" spans="1:15" ht="15" customHeight="1" x14ac:dyDescent="0.25">
      <c r="B79" t="s">
        <v>4500</v>
      </c>
      <c r="C79" s="100">
        <f>+'76.HOSP. DOMINGO OLAVEGOYA JJA'!I6</f>
        <v>0</v>
      </c>
      <c r="D79" s="100">
        <v>0</v>
      </c>
      <c r="F79" s="1185"/>
    </row>
    <row r="80" spans="1:15" ht="15" customHeight="1" x14ac:dyDescent="0.25">
      <c r="B80" t="s">
        <v>5161</v>
      </c>
      <c r="C80" s="100">
        <f>+'77.HOSP. ELEAZAR GUZMAN BARRON'!I6</f>
        <v>0</v>
      </c>
      <c r="D80" s="100">
        <v>0</v>
      </c>
      <c r="F80" s="1185"/>
    </row>
    <row r="81" spans="2:17" ht="15" customHeight="1" x14ac:dyDescent="0.25">
      <c r="B81" t="s">
        <v>5017</v>
      </c>
      <c r="C81" s="100">
        <f>+'78.HOSP. REGIONAL CUSCO'!I32</f>
        <v>72700</v>
      </c>
      <c r="D81" s="100">
        <v>0</v>
      </c>
      <c r="F81" s="1185"/>
    </row>
    <row r="82" spans="2:17" ht="15" customHeight="1" x14ac:dyDescent="0.25">
      <c r="B82" t="s">
        <v>5075</v>
      </c>
      <c r="C82" s="100">
        <f>+'79.ESSALUD PTO. MALDONADO '!I8</f>
        <v>0</v>
      </c>
      <c r="D82" s="100">
        <v>0</v>
      </c>
      <c r="F82" s="1185"/>
    </row>
    <row r="83" spans="2:17" ht="15" customHeight="1" x14ac:dyDescent="0.25">
      <c r="B83" t="s">
        <v>5258</v>
      </c>
      <c r="C83" s="1012">
        <f>+'80.DIRESA LORETO'!I6</f>
        <v>6145</v>
      </c>
      <c r="D83" s="100">
        <v>0</v>
      </c>
      <c r="F83" s="1185"/>
      <c r="H83" s="87"/>
    </row>
    <row r="84" spans="2:17" ht="15" customHeight="1" x14ac:dyDescent="0.25">
      <c r="B84" t="s">
        <v>7543</v>
      </c>
      <c r="C84" s="100">
        <f>+'81.ESSALUD MOQUEGUA'!I6</f>
        <v>47790</v>
      </c>
      <c r="D84" s="100">
        <v>0</v>
      </c>
      <c r="F84" s="1185"/>
      <c r="H84" s="87"/>
    </row>
    <row r="85" spans="2:17" ht="15" customHeight="1" x14ac:dyDescent="0.25">
      <c r="B85" t="s">
        <v>7985</v>
      </c>
      <c r="C85" s="100">
        <f>+'82.HOSP. APOYO IQUITOS'!I7</f>
        <v>0</v>
      </c>
      <c r="D85" s="100">
        <v>0</v>
      </c>
      <c r="F85" s="1185"/>
      <c r="H85" s="87"/>
    </row>
    <row r="86" spans="2:17" ht="15" customHeight="1" x14ac:dyDescent="0.25">
      <c r="B86" t="s">
        <v>8487</v>
      </c>
      <c r="C86" s="100">
        <f>+'83.HOSP. MED TROPICAL-CHANCHAMA'!I7</f>
        <v>0</v>
      </c>
      <c r="D86" s="100">
        <v>0</v>
      </c>
      <c r="F86" s="1185"/>
      <c r="H86" s="87"/>
    </row>
    <row r="87" spans="2:17" ht="15" customHeight="1" x14ac:dyDescent="0.25">
      <c r="B87" t="s">
        <v>8661</v>
      </c>
      <c r="C87" s="100">
        <v>37500</v>
      </c>
      <c r="D87" s="100">
        <v>0</v>
      </c>
      <c r="F87" s="1185"/>
      <c r="H87" s="87"/>
    </row>
    <row r="88" spans="2:17" ht="15" customHeight="1" thickBot="1" x14ac:dyDescent="0.3">
      <c r="F88" s="465"/>
      <c r="H88" s="87"/>
    </row>
    <row r="89" spans="2:17" s="1" customFormat="1" ht="15" customHeight="1" thickBot="1" x14ac:dyDescent="0.3">
      <c r="B89" s="25" t="s">
        <v>3193</v>
      </c>
      <c r="C89" s="837">
        <f>SUM(C4:C88)</f>
        <v>6367014.9600000009</v>
      </c>
      <c r="D89" s="837">
        <f>SUM(D4:D88)</f>
        <v>0</v>
      </c>
      <c r="G89" s="87"/>
      <c r="H89" s="87"/>
      <c r="Q89" s="87"/>
    </row>
    <row r="90" spans="2:17" s="28" customFormat="1" x14ac:dyDescent="0.25">
      <c r="C90" s="131"/>
      <c r="D90" s="131"/>
      <c r="E90" s="29"/>
      <c r="F90" s="322"/>
      <c r="G90" s="61"/>
      <c r="H90" s="176"/>
      <c r="I90" s="176"/>
      <c r="J90" s="176"/>
      <c r="K90" s="176"/>
      <c r="Q90" s="61"/>
    </row>
    <row r="91" spans="2:17" x14ac:dyDescent="0.25">
      <c r="B91" s="1484"/>
      <c r="C91" s="180"/>
      <c r="I91" s="149"/>
    </row>
    <row r="92" spans="2:17" x14ac:dyDescent="0.25">
      <c r="B92" s="1484"/>
    </row>
    <row r="93" spans="2:17" x14ac:dyDescent="0.25">
      <c r="C93" s="1100"/>
      <c r="H93" s="149"/>
      <c r="I93" s="32"/>
    </row>
    <row r="94" spans="2:17" x14ac:dyDescent="0.25">
      <c r="E94" s="87"/>
    </row>
  </sheetData>
  <sortState xmlns:xlrd2="http://schemas.microsoft.com/office/spreadsheetml/2017/richdata2" ref="B24:D50">
    <sortCondition ref="B24:B50"/>
  </sortState>
  <mergeCells count="1">
    <mergeCell ref="B91:B9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12" r:id="rId4" name="Botón 4">
              <controlPr defaultSize="0" print="0" autoFill="0" autoPict="0" macro="[0]!IR_ALFA_VIAJES">
                <anchor moveWithCells="1">
                  <from>
                    <xdr:col>1</xdr:col>
                    <xdr:colOff>914400</xdr:colOff>
                    <xdr:row>3</xdr:row>
                    <xdr:rowOff>38100</xdr:rowOff>
                  </from>
                  <to>
                    <xdr:col>1</xdr:col>
                    <xdr:colOff>1162050</xdr:colOff>
                    <xdr:row>3</xdr:row>
                    <xdr:rowOff>161925</xdr:rowOff>
                  </to>
                </anchor>
              </controlPr>
            </control>
          </mc:Choice>
        </mc:AlternateContent>
        <mc:AlternateContent xmlns:mc="http://schemas.openxmlformats.org/markup-compatibility/2006">
          <mc:Choice Requires="x14">
            <control shapeId="401413" r:id="rId5" name="Botón 5">
              <controlPr defaultSize="0" print="0" autoFill="0" autoPict="0" macro="[0]!IR_ESSALUD_ANDAHUAYLAS">
                <anchor moveWithCells="1">
                  <from>
                    <xdr:col>1</xdr:col>
                    <xdr:colOff>1590675</xdr:colOff>
                    <xdr:row>4</xdr:row>
                    <xdr:rowOff>19050</xdr:rowOff>
                  </from>
                  <to>
                    <xdr:col>1</xdr:col>
                    <xdr:colOff>1866900</xdr:colOff>
                    <xdr:row>4</xdr:row>
                    <xdr:rowOff>142875</xdr:rowOff>
                  </to>
                </anchor>
              </controlPr>
            </control>
          </mc:Choice>
        </mc:AlternateContent>
        <mc:AlternateContent xmlns:mc="http://schemas.openxmlformats.org/markup-compatibility/2006">
          <mc:Choice Requires="x14">
            <control shapeId="401417" r:id="rId6" name="Botón 9">
              <controlPr defaultSize="0" print="0" autoFill="0" autoPict="0" macro="[0]!IR_ESSALUD_AREQUIPA">
                <anchor moveWithCells="1" sizeWithCells="1">
                  <from>
                    <xdr:col>1</xdr:col>
                    <xdr:colOff>1362075</xdr:colOff>
                    <xdr:row>5</xdr:row>
                    <xdr:rowOff>9525</xdr:rowOff>
                  </from>
                  <to>
                    <xdr:col>1</xdr:col>
                    <xdr:colOff>1619250</xdr:colOff>
                    <xdr:row>5</xdr:row>
                    <xdr:rowOff>161925</xdr:rowOff>
                  </to>
                </anchor>
              </controlPr>
            </control>
          </mc:Choice>
        </mc:AlternateContent>
        <mc:AlternateContent xmlns:mc="http://schemas.openxmlformats.org/markup-compatibility/2006">
          <mc:Choice Requires="x14">
            <control shapeId="401418" r:id="rId7" name="Botón 10">
              <controlPr defaultSize="0" print="0" autoFill="0" autoPict="0" macro="[0]!IR_ESSALUD_AYACUCHO">
                <anchor moveWithCells="1" sizeWithCells="1">
                  <from>
                    <xdr:col>1</xdr:col>
                    <xdr:colOff>1381125</xdr:colOff>
                    <xdr:row>6</xdr:row>
                    <xdr:rowOff>28575</xdr:rowOff>
                  </from>
                  <to>
                    <xdr:col>1</xdr:col>
                    <xdr:colOff>1619250</xdr:colOff>
                    <xdr:row>6</xdr:row>
                    <xdr:rowOff>161925</xdr:rowOff>
                  </to>
                </anchor>
              </controlPr>
            </control>
          </mc:Choice>
        </mc:AlternateContent>
        <mc:AlternateContent xmlns:mc="http://schemas.openxmlformats.org/markup-compatibility/2006">
          <mc:Choice Requires="x14">
            <control shapeId="401419" r:id="rId8" name="Botón 11">
              <controlPr defaultSize="0" print="0" autoFill="0" autoPict="0" macro="[0]!IR_ESSALUD_CAJAMARCA">
                <anchor moveWithCells="1" sizeWithCells="1">
                  <from>
                    <xdr:col>1</xdr:col>
                    <xdr:colOff>1476375</xdr:colOff>
                    <xdr:row>7</xdr:row>
                    <xdr:rowOff>28575</xdr:rowOff>
                  </from>
                  <to>
                    <xdr:col>1</xdr:col>
                    <xdr:colOff>1752600</xdr:colOff>
                    <xdr:row>7</xdr:row>
                    <xdr:rowOff>161925</xdr:rowOff>
                  </to>
                </anchor>
              </controlPr>
            </control>
          </mc:Choice>
        </mc:AlternateContent>
        <mc:AlternateContent xmlns:mc="http://schemas.openxmlformats.org/markup-compatibility/2006">
          <mc:Choice Requires="x14">
            <control shapeId="401425" r:id="rId9" name="Botón 17">
              <controlPr defaultSize="0" print="0" autoFill="0" autoPict="0" macro="[0]!IR_ESSALUD_CHICLAYO">
                <anchor moveWithCells="1" sizeWithCells="1">
                  <from>
                    <xdr:col>1</xdr:col>
                    <xdr:colOff>1343025</xdr:colOff>
                    <xdr:row>9</xdr:row>
                    <xdr:rowOff>28575</xdr:rowOff>
                  </from>
                  <to>
                    <xdr:col>1</xdr:col>
                    <xdr:colOff>1628775</xdr:colOff>
                    <xdr:row>9</xdr:row>
                    <xdr:rowOff>171450</xdr:rowOff>
                  </to>
                </anchor>
              </controlPr>
            </control>
          </mc:Choice>
        </mc:AlternateContent>
        <mc:AlternateContent xmlns:mc="http://schemas.openxmlformats.org/markup-compatibility/2006">
          <mc:Choice Requires="x14">
            <control shapeId="401426" r:id="rId10" name="Botón 18">
              <controlPr defaultSize="0" print="0" autoFill="0" autoPict="0" macro="[0]!IR_ESSALUD_CHIMBOTE">
                <anchor moveWithCells="1" sizeWithCells="1">
                  <from>
                    <xdr:col>1</xdr:col>
                    <xdr:colOff>1400175</xdr:colOff>
                    <xdr:row>10</xdr:row>
                    <xdr:rowOff>19050</xdr:rowOff>
                  </from>
                  <to>
                    <xdr:col>1</xdr:col>
                    <xdr:colOff>1704975</xdr:colOff>
                    <xdr:row>10</xdr:row>
                    <xdr:rowOff>161925</xdr:rowOff>
                  </to>
                </anchor>
              </controlPr>
            </control>
          </mc:Choice>
        </mc:AlternateContent>
        <mc:AlternateContent xmlns:mc="http://schemas.openxmlformats.org/markup-compatibility/2006">
          <mc:Choice Requires="x14">
            <control shapeId="401427" r:id="rId11" name="Botón 19">
              <controlPr defaultSize="0" print="0" autoFill="0" autoPict="0" macro="[0]!IR_ESSALUD_CUSCO">
                <anchor moveWithCells="1" sizeWithCells="1">
                  <from>
                    <xdr:col>1</xdr:col>
                    <xdr:colOff>1171575</xdr:colOff>
                    <xdr:row>11</xdr:row>
                    <xdr:rowOff>28575</xdr:rowOff>
                  </from>
                  <to>
                    <xdr:col>1</xdr:col>
                    <xdr:colOff>1476375</xdr:colOff>
                    <xdr:row>11</xdr:row>
                    <xdr:rowOff>161925</xdr:rowOff>
                  </to>
                </anchor>
              </controlPr>
            </control>
          </mc:Choice>
        </mc:AlternateContent>
        <mc:AlternateContent xmlns:mc="http://schemas.openxmlformats.org/markup-compatibility/2006">
          <mc:Choice Requires="x14">
            <control shapeId="401429" r:id="rId12" name="Botón 21">
              <controlPr defaultSize="0" print="0" autoFill="0" autoPict="0" macro="[0]!IR_ESSALUD_HUANUCO">
                <anchor moveWithCells="1" sizeWithCells="1">
                  <from>
                    <xdr:col>1</xdr:col>
                    <xdr:colOff>1466850</xdr:colOff>
                    <xdr:row>12</xdr:row>
                    <xdr:rowOff>38100</xdr:rowOff>
                  </from>
                  <to>
                    <xdr:col>1</xdr:col>
                    <xdr:colOff>1781175</xdr:colOff>
                    <xdr:row>12</xdr:row>
                    <xdr:rowOff>161925</xdr:rowOff>
                  </to>
                </anchor>
              </controlPr>
            </control>
          </mc:Choice>
        </mc:AlternateContent>
        <mc:AlternateContent xmlns:mc="http://schemas.openxmlformats.org/markup-compatibility/2006">
          <mc:Choice Requires="x14">
            <control shapeId="401430" r:id="rId13" name="Botón 22">
              <controlPr defaultSize="0" print="0" autoFill="0" autoPict="0" macro="[0]!IR_ESSALUD_JULIACA">
                <anchor moveWithCells="1" sizeWithCells="1">
                  <from>
                    <xdr:col>1</xdr:col>
                    <xdr:colOff>1333500</xdr:colOff>
                    <xdr:row>13</xdr:row>
                    <xdr:rowOff>9525</xdr:rowOff>
                  </from>
                  <to>
                    <xdr:col>1</xdr:col>
                    <xdr:colOff>1638300</xdr:colOff>
                    <xdr:row>13</xdr:row>
                    <xdr:rowOff>161925</xdr:rowOff>
                  </to>
                </anchor>
              </controlPr>
            </control>
          </mc:Choice>
        </mc:AlternateContent>
        <mc:AlternateContent xmlns:mc="http://schemas.openxmlformats.org/markup-compatibility/2006">
          <mc:Choice Requires="x14">
            <control shapeId="401433" r:id="rId14" name="Botón 25">
              <controlPr defaultSize="0" print="0" autoFill="0" autoPict="0" macro="[0]!IR_ESSALUD_LORETO_CONTRATO_2022_23">
                <anchor moveWithCells="1" sizeWithCells="1">
                  <from>
                    <xdr:col>1</xdr:col>
                    <xdr:colOff>1285875</xdr:colOff>
                    <xdr:row>15</xdr:row>
                    <xdr:rowOff>19050</xdr:rowOff>
                  </from>
                  <to>
                    <xdr:col>1</xdr:col>
                    <xdr:colOff>1590675</xdr:colOff>
                    <xdr:row>15</xdr:row>
                    <xdr:rowOff>171450</xdr:rowOff>
                  </to>
                </anchor>
              </controlPr>
            </control>
          </mc:Choice>
        </mc:AlternateContent>
        <mc:AlternateContent xmlns:mc="http://schemas.openxmlformats.org/markup-compatibility/2006">
          <mc:Choice Requires="x14">
            <control shapeId="401434" r:id="rId15" name="Botón 26">
              <controlPr defaultSize="0" print="0" autoFill="0" autoPict="0" macro="[0]!IR_ESSALUD_MOYOBAMBA">
                <anchor moveWithCells="1" sizeWithCells="1">
                  <from>
                    <xdr:col>1</xdr:col>
                    <xdr:colOff>1666875</xdr:colOff>
                    <xdr:row>16</xdr:row>
                    <xdr:rowOff>9525</xdr:rowOff>
                  </from>
                  <to>
                    <xdr:col>1</xdr:col>
                    <xdr:colOff>1952625</xdr:colOff>
                    <xdr:row>16</xdr:row>
                    <xdr:rowOff>180975</xdr:rowOff>
                  </to>
                </anchor>
              </controlPr>
            </control>
          </mc:Choice>
        </mc:AlternateContent>
        <mc:AlternateContent xmlns:mc="http://schemas.openxmlformats.org/markup-compatibility/2006">
          <mc:Choice Requires="x14">
            <control shapeId="401435" r:id="rId16" name="Botón 27">
              <controlPr defaultSize="0" print="0" autoFill="0" autoPict="0" macro="[0]!IR_ESSALUD_ORGANOS">
                <anchor moveWithCells="1" sizeWithCells="1">
                  <from>
                    <xdr:col>1</xdr:col>
                    <xdr:colOff>1438275</xdr:colOff>
                    <xdr:row>17</xdr:row>
                    <xdr:rowOff>9525</xdr:rowOff>
                  </from>
                  <to>
                    <xdr:col>1</xdr:col>
                    <xdr:colOff>1685925</xdr:colOff>
                    <xdr:row>17</xdr:row>
                    <xdr:rowOff>180975</xdr:rowOff>
                  </to>
                </anchor>
              </controlPr>
            </control>
          </mc:Choice>
        </mc:AlternateContent>
        <mc:AlternateContent xmlns:mc="http://schemas.openxmlformats.org/markup-compatibility/2006">
          <mc:Choice Requires="x14">
            <control shapeId="401436" r:id="rId17" name="Botón 28">
              <controlPr defaultSize="0" print="0" autoFill="0" autoPict="0" macro="[0]!IR_ESSALUD_PIURA">
                <anchor moveWithCells="1" sizeWithCells="1">
                  <from>
                    <xdr:col>1</xdr:col>
                    <xdr:colOff>1228725</xdr:colOff>
                    <xdr:row>18</xdr:row>
                    <xdr:rowOff>47625</xdr:rowOff>
                  </from>
                  <to>
                    <xdr:col>1</xdr:col>
                    <xdr:colOff>1514475</xdr:colOff>
                    <xdr:row>18</xdr:row>
                    <xdr:rowOff>171450</xdr:rowOff>
                  </to>
                </anchor>
              </controlPr>
            </control>
          </mc:Choice>
        </mc:AlternateContent>
        <mc:AlternateContent xmlns:mc="http://schemas.openxmlformats.org/markup-compatibility/2006">
          <mc:Choice Requires="x14">
            <control shapeId="401439" r:id="rId18" name="Botón 31">
              <controlPr defaultSize="0" print="0" autoFill="0" autoPict="0" macro="[0]!IR_ESSALUD_PCL_DEUDA_ANTERIOR">
                <anchor moveWithCells="1" sizeWithCells="1">
                  <from>
                    <xdr:col>1</xdr:col>
                    <xdr:colOff>2457450</xdr:colOff>
                    <xdr:row>19</xdr:row>
                    <xdr:rowOff>28575</xdr:rowOff>
                  </from>
                  <to>
                    <xdr:col>1</xdr:col>
                    <xdr:colOff>2752725</xdr:colOff>
                    <xdr:row>19</xdr:row>
                    <xdr:rowOff>142875</xdr:rowOff>
                  </to>
                </anchor>
              </controlPr>
            </control>
          </mc:Choice>
        </mc:AlternateContent>
        <mc:AlternateContent xmlns:mc="http://schemas.openxmlformats.org/markup-compatibility/2006">
          <mc:Choice Requires="x14">
            <control shapeId="401442" r:id="rId19" name="Botón 34">
              <controlPr defaultSize="0" print="0" autoFill="0" autoPict="0" macro="[0]!IR_ESSALUD_TRUJILLO">
                <anchor moveWithCells="1" sizeWithCells="1">
                  <from>
                    <xdr:col>1</xdr:col>
                    <xdr:colOff>1409700</xdr:colOff>
                    <xdr:row>21</xdr:row>
                    <xdr:rowOff>28575</xdr:rowOff>
                  </from>
                  <to>
                    <xdr:col>1</xdr:col>
                    <xdr:colOff>1657350</xdr:colOff>
                    <xdr:row>22</xdr:row>
                    <xdr:rowOff>0</xdr:rowOff>
                  </to>
                </anchor>
              </controlPr>
            </control>
          </mc:Choice>
        </mc:AlternateContent>
        <mc:AlternateContent xmlns:mc="http://schemas.openxmlformats.org/markup-compatibility/2006">
          <mc:Choice Requires="x14">
            <control shapeId="401446" r:id="rId20" name="Botón 38">
              <controlPr defaultSize="0" print="0" autoFill="0" autoPict="0" macro="[0]!IR_FENIX">
                <anchor moveWithCells="1" sizeWithCells="1">
                  <from>
                    <xdr:col>1</xdr:col>
                    <xdr:colOff>676275</xdr:colOff>
                    <xdr:row>23</xdr:row>
                    <xdr:rowOff>28575</xdr:rowOff>
                  </from>
                  <to>
                    <xdr:col>1</xdr:col>
                    <xdr:colOff>923925</xdr:colOff>
                    <xdr:row>23</xdr:row>
                    <xdr:rowOff>180975</xdr:rowOff>
                  </to>
                </anchor>
              </controlPr>
            </control>
          </mc:Choice>
        </mc:AlternateContent>
        <mc:AlternateContent xmlns:mc="http://schemas.openxmlformats.org/markup-compatibility/2006">
          <mc:Choice Requires="x14">
            <control shapeId="401448" r:id="rId21" name="Botón 40">
              <controlPr defaultSize="0" print="0" autoFill="0" autoPict="0" macro="[0]!IR_HOSP_EMERGENCIAS_PEDIATRICAS">
                <anchor moveWithCells="1" sizeWithCells="1">
                  <from>
                    <xdr:col>1</xdr:col>
                    <xdr:colOff>2295525</xdr:colOff>
                    <xdr:row>24</xdr:row>
                    <xdr:rowOff>19050</xdr:rowOff>
                  </from>
                  <to>
                    <xdr:col>1</xdr:col>
                    <xdr:colOff>2562225</xdr:colOff>
                    <xdr:row>24</xdr:row>
                    <xdr:rowOff>171450</xdr:rowOff>
                  </to>
                </anchor>
              </controlPr>
            </control>
          </mc:Choice>
        </mc:AlternateContent>
        <mc:AlternateContent xmlns:mc="http://schemas.openxmlformats.org/markup-compatibility/2006">
          <mc:Choice Requires="x14">
            <control shapeId="401450" r:id="rId22" name="Botón 42">
              <controlPr defaultSize="0" print="0" autoFill="0" autoPict="0" macro="[0]!IR_HOSP_GOYENECHE_AREQUIPA">
                <anchor moveWithCells="1" sizeWithCells="1">
                  <from>
                    <xdr:col>1</xdr:col>
                    <xdr:colOff>2057400</xdr:colOff>
                    <xdr:row>25</xdr:row>
                    <xdr:rowOff>19050</xdr:rowOff>
                  </from>
                  <to>
                    <xdr:col>1</xdr:col>
                    <xdr:colOff>2362200</xdr:colOff>
                    <xdr:row>25</xdr:row>
                    <xdr:rowOff>161925</xdr:rowOff>
                  </to>
                </anchor>
              </controlPr>
            </control>
          </mc:Choice>
        </mc:AlternateContent>
        <mc:AlternateContent xmlns:mc="http://schemas.openxmlformats.org/markup-compatibility/2006">
          <mc:Choice Requires="x14">
            <control shapeId="401474" r:id="rId23" name="Botón 66">
              <controlPr defaultSize="0" print="0" autoFill="0" autoPict="0" macro="[0]!IR_HOSP_HIPOLITO_UNANUE_TACNA">
                <anchor moveWithCells="1" sizeWithCells="1">
                  <from>
                    <xdr:col>1</xdr:col>
                    <xdr:colOff>2257425</xdr:colOff>
                    <xdr:row>26</xdr:row>
                    <xdr:rowOff>28575</xdr:rowOff>
                  </from>
                  <to>
                    <xdr:col>1</xdr:col>
                    <xdr:colOff>2543175</xdr:colOff>
                    <xdr:row>26</xdr:row>
                    <xdr:rowOff>180975</xdr:rowOff>
                  </to>
                </anchor>
              </controlPr>
            </control>
          </mc:Choice>
        </mc:AlternateContent>
        <mc:AlternateContent xmlns:mc="http://schemas.openxmlformats.org/markup-compatibility/2006">
          <mc:Choice Requires="x14">
            <control shapeId="401476" r:id="rId24" name="Botón 68">
              <controlPr defaultSize="0" print="0" autoFill="0" autoPict="0" macro="[0]!IR_HOSP_REG_AYACUCHO">
                <anchor moveWithCells="1" sizeWithCells="1">
                  <from>
                    <xdr:col>1</xdr:col>
                    <xdr:colOff>1666875</xdr:colOff>
                    <xdr:row>27</xdr:row>
                    <xdr:rowOff>19050</xdr:rowOff>
                  </from>
                  <to>
                    <xdr:col>1</xdr:col>
                    <xdr:colOff>1914525</xdr:colOff>
                    <xdr:row>27</xdr:row>
                    <xdr:rowOff>180975</xdr:rowOff>
                  </to>
                </anchor>
              </controlPr>
            </control>
          </mc:Choice>
        </mc:AlternateContent>
        <mc:AlternateContent xmlns:mc="http://schemas.openxmlformats.org/markup-compatibility/2006">
          <mc:Choice Requires="x14">
            <control shapeId="401477" r:id="rId25" name="Botón 69">
              <controlPr defaultSize="0" print="0" autoFill="0" autoPict="0" macro="[0]!IR_HOSP_REG_EL_CARMEN_HUANCAYO">
                <anchor moveWithCells="1" sizeWithCells="1">
                  <from>
                    <xdr:col>1</xdr:col>
                    <xdr:colOff>1933575</xdr:colOff>
                    <xdr:row>28</xdr:row>
                    <xdr:rowOff>38100</xdr:rowOff>
                  </from>
                  <to>
                    <xdr:col>1</xdr:col>
                    <xdr:colOff>2200275</xdr:colOff>
                    <xdr:row>28</xdr:row>
                    <xdr:rowOff>161925</xdr:rowOff>
                  </to>
                </anchor>
              </controlPr>
            </control>
          </mc:Choice>
        </mc:AlternateContent>
        <mc:AlternateContent xmlns:mc="http://schemas.openxmlformats.org/markup-compatibility/2006">
          <mc:Choice Requires="x14">
            <control shapeId="401478" r:id="rId26" name="Botón 70">
              <controlPr defaultSize="0" print="0" autoFill="0" autoPict="0" macro="[0]!IR_HOSP_REG_HUANCAVELICA">
                <anchor moveWithCells="1" sizeWithCells="1">
                  <from>
                    <xdr:col>1</xdr:col>
                    <xdr:colOff>1876425</xdr:colOff>
                    <xdr:row>29</xdr:row>
                    <xdr:rowOff>28575</xdr:rowOff>
                  </from>
                  <to>
                    <xdr:col>1</xdr:col>
                    <xdr:colOff>2152650</xdr:colOff>
                    <xdr:row>29</xdr:row>
                    <xdr:rowOff>161925</xdr:rowOff>
                  </to>
                </anchor>
              </controlPr>
            </control>
          </mc:Choice>
        </mc:AlternateContent>
        <mc:AlternateContent xmlns:mc="http://schemas.openxmlformats.org/markup-compatibility/2006">
          <mc:Choice Requires="x14">
            <control shapeId="401479" r:id="rId27" name="Botón 71">
              <controlPr defaultSize="0" print="0" autoFill="0" autoPict="0" macro="[0]!IR_HOSP_REG_LAMBAYEQUE">
                <anchor moveWithCells="1" sizeWithCells="1">
                  <from>
                    <xdr:col>1</xdr:col>
                    <xdr:colOff>1781175</xdr:colOff>
                    <xdr:row>30</xdr:row>
                    <xdr:rowOff>28575</xdr:rowOff>
                  </from>
                  <to>
                    <xdr:col>1</xdr:col>
                    <xdr:colOff>2047875</xdr:colOff>
                    <xdr:row>30</xdr:row>
                    <xdr:rowOff>161925</xdr:rowOff>
                  </to>
                </anchor>
              </controlPr>
            </control>
          </mc:Choice>
        </mc:AlternateContent>
        <mc:AlternateContent xmlns:mc="http://schemas.openxmlformats.org/markup-compatibility/2006">
          <mc:Choice Requires="x14">
            <control shapeId="401480" r:id="rId28" name="Botón 72">
              <controlPr defaultSize="0" print="0" autoFill="0" autoPict="0" macro="[0]!IR_HOSP_REG_LORETO">
                <anchor moveWithCells="1" sizeWithCells="1">
                  <from>
                    <xdr:col>1</xdr:col>
                    <xdr:colOff>1485900</xdr:colOff>
                    <xdr:row>31</xdr:row>
                    <xdr:rowOff>9525</xdr:rowOff>
                  </from>
                  <to>
                    <xdr:col>1</xdr:col>
                    <xdr:colOff>1724025</xdr:colOff>
                    <xdr:row>31</xdr:row>
                    <xdr:rowOff>161925</xdr:rowOff>
                  </to>
                </anchor>
              </controlPr>
            </control>
          </mc:Choice>
        </mc:AlternateContent>
        <mc:AlternateContent xmlns:mc="http://schemas.openxmlformats.org/markup-compatibility/2006">
          <mc:Choice Requires="x14">
            <control shapeId="401481" r:id="rId29" name="Botón 73">
              <controlPr defaultSize="0" print="0" autoFill="0" autoPict="0" macro="[0]!IR_HOSP_REG_MANUEL_NUÑEZ_BUTRON_PUNO">
                <anchor moveWithCells="1" sizeWithCells="1">
                  <from>
                    <xdr:col>1</xdr:col>
                    <xdr:colOff>2447925</xdr:colOff>
                    <xdr:row>32</xdr:row>
                    <xdr:rowOff>9525</xdr:rowOff>
                  </from>
                  <to>
                    <xdr:col>1</xdr:col>
                    <xdr:colOff>2686050</xdr:colOff>
                    <xdr:row>32</xdr:row>
                    <xdr:rowOff>161925</xdr:rowOff>
                  </to>
                </anchor>
              </controlPr>
            </control>
          </mc:Choice>
        </mc:AlternateContent>
        <mc:AlternateContent xmlns:mc="http://schemas.openxmlformats.org/markup-compatibility/2006">
          <mc:Choice Requires="x14">
            <control shapeId="401482" r:id="rId30" name="Botón 74">
              <controlPr defaultSize="0" print="0" autoFill="0" autoPict="0" macro="[0]!IR_HOSP_REG_MOQUEGUA">
                <anchor moveWithCells="1" sizeWithCells="1">
                  <from>
                    <xdr:col>1</xdr:col>
                    <xdr:colOff>1752600</xdr:colOff>
                    <xdr:row>33</xdr:row>
                    <xdr:rowOff>47625</xdr:rowOff>
                  </from>
                  <to>
                    <xdr:col>1</xdr:col>
                    <xdr:colOff>2028825</xdr:colOff>
                    <xdr:row>33</xdr:row>
                    <xdr:rowOff>171450</xdr:rowOff>
                  </to>
                </anchor>
              </controlPr>
            </control>
          </mc:Choice>
        </mc:AlternateContent>
        <mc:AlternateContent xmlns:mc="http://schemas.openxmlformats.org/markup-compatibility/2006">
          <mc:Choice Requires="x14">
            <control shapeId="401484" r:id="rId31" name="Botón 76">
              <controlPr defaultSize="0" print="0" autoFill="0" autoPict="0" macro="[0]!IR_HOSP_REG_JAMO_TUMBES">
                <anchor moveWithCells="1" sizeWithCells="1">
                  <from>
                    <xdr:col>1</xdr:col>
                    <xdr:colOff>1476375</xdr:colOff>
                    <xdr:row>34</xdr:row>
                    <xdr:rowOff>38100</xdr:rowOff>
                  </from>
                  <to>
                    <xdr:col>1</xdr:col>
                    <xdr:colOff>1752600</xdr:colOff>
                    <xdr:row>34</xdr:row>
                    <xdr:rowOff>180975</xdr:rowOff>
                  </to>
                </anchor>
              </controlPr>
            </control>
          </mc:Choice>
        </mc:AlternateContent>
        <mc:AlternateContent xmlns:mc="http://schemas.openxmlformats.org/markup-compatibility/2006">
          <mc:Choice Requires="x14">
            <control shapeId="401485" r:id="rId32" name="Botón 77">
              <controlPr defaultSize="0" print="0" autoFill="0" autoPict="0" macro="[0]!IR_HOSP_REG_PUCALLPA">
                <anchor moveWithCells="1" sizeWithCells="1">
                  <from>
                    <xdr:col>1</xdr:col>
                    <xdr:colOff>1600200</xdr:colOff>
                    <xdr:row>35</xdr:row>
                    <xdr:rowOff>38100</xdr:rowOff>
                  </from>
                  <to>
                    <xdr:col>1</xdr:col>
                    <xdr:colOff>1895475</xdr:colOff>
                    <xdr:row>35</xdr:row>
                    <xdr:rowOff>152400</xdr:rowOff>
                  </to>
                </anchor>
              </controlPr>
            </control>
          </mc:Choice>
        </mc:AlternateContent>
        <mc:AlternateContent xmlns:mc="http://schemas.openxmlformats.org/markup-compatibility/2006">
          <mc:Choice Requires="x14">
            <control shapeId="401486" r:id="rId33" name="Botón 78">
              <controlPr defaultSize="0" print="0" autoFill="0" autoPict="0" macro="[0]!IR_OGESS_ESPECIALIZADA">
                <anchor moveWithCells="1" sizeWithCells="1">
                  <from>
                    <xdr:col>1</xdr:col>
                    <xdr:colOff>2019300</xdr:colOff>
                    <xdr:row>36</xdr:row>
                    <xdr:rowOff>19050</xdr:rowOff>
                  </from>
                  <to>
                    <xdr:col>1</xdr:col>
                    <xdr:colOff>2343150</xdr:colOff>
                    <xdr:row>36</xdr:row>
                    <xdr:rowOff>142875</xdr:rowOff>
                  </to>
                </anchor>
              </controlPr>
            </control>
          </mc:Choice>
        </mc:AlternateContent>
        <mc:AlternateContent xmlns:mc="http://schemas.openxmlformats.org/markup-compatibility/2006">
          <mc:Choice Requires="x14">
            <control shapeId="401489" r:id="rId34" name="Botón 81">
              <controlPr defaultSize="0" print="0" autoFill="0" autoPict="0" macro="[0]!IR_HOSP_SUBREG_ANDAHUAYLAS">
                <anchor moveWithCells="1" sizeWithCells="1">
                  <from>
                    <xdr:col>1</xdr:col>
                    <xdr:colOff>2009775</xdr:colOff>
                    <xdr:row>38</xdr:row>
                    <xdr:rowOff>38100</xdr:rowOff>
                  </from>
                  <to>
                    <xdr:col>1</xdr:col>
                    <xdr:colOff>2314575</xdr:colOff>
                    <xdr:row>38</xdr:row>
                    <xdr:rowOff>161925</xdr:rowOff>
                  </to>
                </anchor>
              </controlPr>
            </control>
          </mc:Choice>
        </mc:AlternateContent>
        <mc:AlternateContent xmlns:mc="http://schemas.openxmlformats.org/markup-compatibility/2006">
          <mc:Choice Requires="x14">
            <control shapeId="401490" r:id="rId35" name="Botón 82">
              <controlPr defaultSize="0" print="0" autoFill="0" autoPict="0" macro="[0]!IR_HOSP_REG_VIRGEN_DE_FATIMA_CHACHAPOYAS">
                <anchor moveWithCells="1" sizeWithCells="1">
                  <from>
                    <xdr:col>1</xdr:col>
                    <xdr:colOff>2647950</xdr:colOff>
                    <xdr:row>39</xdr:row>
                    <xdr:rowOff>9525</xdr:rowOff>
                  </from>
                  <to>
                    <xdr:col>1</xdr:col>
                    <xdr:colOff>2962275</xdr:colOff>
                    <xdr:row>39</xdr:row>
                    <xdr:rowOff>180975</xdr:rowOff>
                  </to>
                </anchor>
              </controlPr>
            </control>
          </mc:Choice>
        </mc:AlternateContent>
        <mc:AlternateContent xmlns:mc="http://schemas.openxmlformats.org/markup-compatibility/2006">
          <mc:Choice Requires="x14">
            <control shapeId="401491" r:id="rId36" name="Botón 83">
              <controlPr defaultSize="0" print="0" autoFill="0" autoPict="0" macro="[0]!IR_CLINICA_INCA_AIR">
                <anchor moveWithCells="1" sizeWithCells="1">
                  <from>
                    <xdr:col>1</xdr:col>
                    <xdr:colOff>828675</xdr:colOff>
                    <xdr:row>40</xdr:row>
                    <xdr:rowOff>47625</xdr:rowOff>
                  </from>
                  <to>
                    <xdr:col>1</xdr:col>
                    <xdr:colOff>1181100</xdr:colOff>
                    <xdr:row>40</xdr:row>
                    <xdr:rowOff>180975</xdr:rowOff>
                  </to>
                </anchor>
              </controlPr>
            </control>
          </mc:Choice>
        </mc:AlternateContent>
        <mc:AlternateContent xmlns:mc="http://schemas.openxmlformats.org/markup-compatibility/2006">
          <mc:Choice Requires="x14">
            <control shapeId="401492" r:id="rId37" name="Botón 84">
              <controlPr defaultSize="0" print="0" autoFill="0" autoPict="0" macro="[0]!IR_INS_NIÑO">
                <anchor moveWithCells="1" sizeWithCells="1">
                  <from>
                    <xdr:col>1</xdr:col>
                    <xdr:colOff>2705100</xdr:colOff>
                    <xdr:row>41</xdr:row>
                    <xdr:rowOff>28575</xdr:rowOff>
                  </from>
                  <to>
                    <xdr:col>1</xdr:col>
                    <xdr:colOff>3019425</xdr:colOff>
                    <xdr:row>41</xdr:row>
                    <xdr:rowOff>180975</xdr:rowOff>
                  </to>
                </anchor>
              </controlPr>
            </control>
          </mc:Choice>
        </mc:AlternateContent>
        <mc:AlternateContent xmlns:mc="http://schemas.openxmlformats.org/markup-compatibility/2006">
          <mc:Choice Requires="x14">
            <control shapeId="401493" r:id="rId38" name="Botón 85">
              <controlPr defaultSize="0" print="0" autoFill="0" autoPict="0" macro="[0]!IR_MAPFRE">
                <anchor moveWithCells="1" sizeWithCells="1">
                  <from>
                    <xdr:col>1</xdr:col>
                    <xdr:colOff>781050</xdr:colOff>
                    <xdr:row>42</xdr:row>
                    <xdr:rowOff>38100</xdr:rowOff>
                  </from>
                  <to>
                    <xdr:col>1</xdr:col>
                    <xdr:colOff>1038225</xdr:colOff>
                    <xdr:row>42</xdr:row>
                    <xdr:rowOff>171450</xdr:rowOff>
                  </to>
                </anchor>
              </controlPr>
            </control>
          </mc:Choice>
        </mc:AlternateContent>
        <mc:AlternateContent xmlns:mc="http://schemas.openxmlformats.org/markup-compatibility/2006">
          <mc:Choice Requires="x14">
            <control shapeId="401494" r:id="rId39" name="Botón 86">
              <controlPr defaultSize="0" print="0" autoFill="0" autoPict="0" macro="[0]!IR_OGESS_ALTOMAYO">
                <anchor moveWithCells="1" sizeWithCells="1">
                  <from>
                    <xdr:col>1</xdr:col>
                    <xdr:colOff>1343025</xdr:colOff>
                    <xdr:row>43</xdr:row>
                    <xdr:rowOff>19050</xdr:rowOff>
                  </from>
                  <to>
                    <xdr:col>1</xdr:col>
                    <xdr:colOff>1609725</xdr:colOff>
                    <xdr:row>43</xdr:row>
                    <xdr:rowOff>161925</xdr:rowOff>
                  </to>
                </anchor>
              </controlPr>
            </control>
          </mc:Choice>
        </mc:AlternateContent>
        <mc:AlternateContent xmlns:mc="http://schemas.openxmlformats.org/markup-compatibility/2006">
          <mc:Choice Requires="x14">
            <control shapeId="401495" r:id="rId40" name="Botón 87">
              <controlPr defaultSize="0" print="0" autoFill="0" autoPict="0" macro="[0]!IR_PROSEGUR">
                <anchor moveWithCells="1" sizeWithCells="1">
                  <from>
                    <xdr:col>1</xdr:col>
                    <xdr:colOff>942975</xdr:colOff>
                    <xdr:row>44</xdr:row>
                    <xdr:rowOff>9525</xdr:rowOff>
                  </from>
                  <to>
                    <xdr:col>1</xdr:col>
                    <xdr:colOff>1190625</xdr:colOff>
                    <xdr:row>44</xdr:row>
                    <xdr:rowOff>152400</xdr:rowOff>
                  </to>
                </anchor>
              </controlPr>
            </control>
          </mc:Choice>
        </mc:AlternateContent>
        <mc:AlternateContent xmlns:mc="http://schemas.openxmlformats.org/markup-compatibility/2006">
          <mc:Choice Requires="x14">
            <control shapeId="401496" r:id="rId41" name="Botón 88">
              <controlPr defaultSize="0" print="0" autoFill="0" autoPict="0" macro="[0]!IR_REDESS_COLLAO">
                <anchor moveWithCells="1" sizeWithCells="1">
                  <from>
                    <xdr:col>1</xdr:col>
                    <xdr:colOff>1381125</xdr:colOff>
                    <xdr:row>45</xdr:row>
                    <xdr:rowOff>9525</xdr:rowOff>
                  </from>
                  <to>
                    <xdr:col>1</xdr:col>
                    <xdr:colOff>1647825</xdr:colOff>
                    <xdr:row>45</xdr:row>
                    <xdr:rowOff>161925</xdr:rowOff>
                  </to>
                </anchor>
              </controlPr>
            </control>
          </mc:Choice>
        </mc:AlternateContent>
        <mc:AlternateContent xmlns:mc="http://schemas.openxmlformats.org/markup-compatibility/2006">
          <mc:Choice Requires="x14">
            <control shapeId="401497" r:id="rId42" name="Botón 89">
              <controlPr defaultSize="0" print="0" autoFill="0" autoPict="0" macro="[0]!IR_SALUDPOL">
                <anchor moveWithCells="1" sizeWithCells="1">
                  <from>
                    <xdr:col>1</xdr:col>
                    <xdr:colOff>904875</xdr:colOff>
                    <xdr:row>46</xdr:row>
                    <xdr:rowOff>38100</xdr:rowOff>
                  </from>
                  <to>
                    <xdr:col>1</xdr:col>
                    <xdr:colOff>1152525</xdr:colOff>
                    <xdr:row>46</xdr:row>
                    <xdr:rowOff>161925</xdr:rowOff>
                  </to>
                </anchor>
              </controlPr>
            </control>
          </mc:Choice>
        </mc:AlternateContent>
        <mc:AlternateContent xmlns:mc="http://schemas.openxmlformats.org/markup-compatibility/2006">
          <mc:Choice Requires="x14">
            <control shapeId="401498" r:id="rId43" name="Botón 90">
              <controlPr defaultSize="0" print="0" autoFill="0" autoPict="0" macro="[0]!IR_ZARO">
                <anchor moveWithCells="1" sizeWithCells="1">
                  <from>
                    <xdr:col>1</xdr:col>
                    <xdr:colOff>1885950</xdr:colOff>
                    <xdr:row>47</xdr:row>
                    <xdr:rowOff>47625</xdr:rowOff>
                  </from>
                  <to>
                    <xdr:col>1</xdr:col>
                    <xdr:colOff>2133600</xdr:colOff>
                    <xdr:row>47</xdr:row>
                    <xdr:rowOff>190500</xdr:rowOff>
                  </to>
                </anchor>
              </controlPr>
            </control>
          </mc:Choice>
        </mc:AlternateContent>
        <mc:AlternateContent xmlns:mc="http://schemas.openxmlformats.org/markup-compatibility/2006">
          <mc:Choice Requires="x14">
            <control shapeId="401506" r:id="rId44" name="Botón 98">
              <controlPr defaultSize="0" print="0" autoFill="0" autoPict="0" macro="[0]!IR_SERV_AEREOS_SERV_GENERALES">
                <anchor moveWithCells="1" sizeWithCells="1">
                  <from>
                    <xdr:col>1</xdr:col>
                    <xdr:colOff>3352800</xdr:colOff>
                    <xdr:row>48</xdr:row>
                    <xdr:rowOff>28575</xdr:rowOff>
                  </from>
                  <to>
                    <xdr:col>1</xdr:col>
                    <xdr:colOff>3629025</xdr:colOff>
                    <xdr:row>48</xdr:row>
                    <xdr:rowOff>161925</xdr:rowOff>
                  </to>
                </anchor>
              </controlPr>
            </control>
          </mc:Choice>
        </mc:AlternateContent>
        <mc:AlternateContent xmlns:mc="http://schemas.openxmlformats.org/markup-compatibility/2006">
          <mc:Choice Requires="x14">
            <control shapeId="401507" r:id="rId45" name="Botón 99">
              <controlPr defaultSize="0" print="0" autoFill="0" autoPict="0" macro="[0]!IR_VIAJES_PUCALLPA">
                <anchor moveWithCells="1" sizeWithCells="1">
                  <from>
                    <xdr:col>1</xdr:col>
                    <xdr:colOff>1333500</xdr:colOff>
                    <xdr:row>49</xdr:row>
                    <xdr:rowOff>9525</xdr:rowOff>
                  </from>
                  <to>
                    <xdr:col>1</xdr:col>
                    <xdr:colOff>1571625</xdr:colOff>
                    <xdr:row>49</xdr:row>
                    <xdr:rowOff>171450</xdr:rowOff>
                  </to>
                </anchor>
              </controlPr>
            </control>
          </mc:Choice>
        </mc:AlternateContent>
        <mc:AlternateContent xmlns:mc="http://schemas.openxmlformats.org/markup-compatibility/2006">
          <mc:Choice Requires="x14">
            <control shapeId="401508" r:id="rId46" name="Botón 100">
              <controlPr defaultSize="0" print="0" autoFill="0" autoPict="0" macro="[0]!IR_ESSALUD_PUCALLPA">
                <anchor moveWithCells="1" sizeWithCells="1">
                  <from>
                    <xdr:col>1</xdr:col>
                    <xdr:colOff>1609725</xdr:colOff>
                    <xdr:row>50</xdr:row>
                    <xdr:rowOff>28575</xdr:rowOff>
                  </from>
                  <to>
                    <xdr:col>1</xdr:col>
                    <xdr:colOff>1914525</xdr:colOff>
                    <xdr:row>50</xdr:row>
                    <xdr:rowOff>171450</xdr:rowOff>
                  </to>
                </anchor>
              </controlPr>
            </control>
          </mc:Choice>
        </mc:AlternateContent>
        <mc:AlternateContent xmlns:mc="http://schemas.openxmlformats.org/markup-compatibility/2006">
          <mc:Choice Requires="x14">
            <control shapeId="401512" r:id="rId47" name="Botón 104">
              <controlPr defaultSize="0" print="0" autoFill="0" autoPict="0" macro="[0]!IR_RIMAC">
                <anchor moveWithCells="1" sizeWithCells="1">
                  <from>
                    <xdr:col>1</xdr:col>
                    <xdr:colOff>1200150</xdr:colOff>
                    <xdr:row>51</xdr:row>
                    <xdr:rowOff>19050</xdr:rowOff>
                  </from>
                  <to>
                    <xdr:col>1</xdr:col>
                    <xdr:colOff>1552575</xdr:colOff>
                    <xdr:row>51</xdr:row>
                    <xdr:rowOff>171450</xdr:rowOff>
                  </to>
                </anchor>
              </controlPr>
            </control>
          </mc:Choice>
        </mc:AlternateContent>
        <mc:AlternateContent xmlns:mc="http://schemas.openxmlformats.org/markup-compatibility/2006">
          <mc:Choice Requires="x14">
            <control shapeId="401513" r:id="rId48" name="Botón 105">
              <controlPr defaultSize="0" print="0" autoFill="0" autoPict="0" macro="[0]!IR_ESSALUD_HUARAZ">
                <anchor moveWithCells="1" sizeWithCells="1">
                  <from>
                    <xdr:col>1</xdr:col>
                    <xdr:colOff>1343025</xdr:colOff>
                    <xdr:row>52</xdr:row>
                    <xdr:rowOff>19050</xdr:rowOff>
                  </from>
                  <to>
                    <xdr:col>1</xdr:col>
                    <xdr:colOff>1600200</xdr:colOff>
                    <xdr:row>52</xdr:row>
                    <xdr:rowOff>161925</xdr:rowOff>
                  </to>
                </anchor>
              </controlPr>
            </control>
          </mc:Choice>
        </mc:AlternateContent>
        <mc:AlternateContent xmlns:mc="http://schemas.openxmlformats.org/markup-compatibility/2006">
          <mc:Choice Requires="x14">
            <control shapeId="401514" r:id="rId49" name="Botón 106">
              <controlPr defaultSize="0" print="0" autoFill="0" autoPict="0" macro="[0]!IR_HOSP_ABANCAY">
                <anchor moveWithCells="1" sizeWithCells="1">
                  <from>
                    <xdr:col>1</xdr:col>
                    <xdr:colOff>1228725</xdr:colOff>
                    <xdr:row>53</xdr:row>
                    <xdr:rowOff>38100</xdr:rowOff>
                  </from>
                  <to>
                    <xdr:col>1</xdr:col>
                    <xdr:colOff>1504950</xdr:colOff>
                    <xdr:row>53</xdr:row>
                    <xdr:rowOff>190500</xdr:rowOff>
                  </to>
                </anchor>
              </controlPr>
            </control>
          </mc:Choice>
        </mc:AlternateContent>
        <mc:AlternateContent xmlns:mc="http://schemas.openxmlformats.org/markup-compatibility/2006">
          <mc:Choice Requires="x14">
            <control shapeId="401526" r:id="rId50" name="Botón 118">
              <controlPr defaultSize="0" print="0" autoFill="0" autoPict="0" macro="[0]!IR_ESSALUD_YURIMAGUAS">
                <anchor moveWithCells="1" sizeWithCells="1">
                  <from>
                    <xdr:col>1</xdr:col>
                    <xdr:colOff>1695450</xdr:colOff>
                    <xdr:row>22</xdr:row>
                    <xdr:rowOff>28575</xdr:rowOff>
                  </from>
                  <to>
                    <xdr:col>1</xdr:col>
                    <xdr:colOff>1933575</xdr:colOff>
                    <xdr:row>22</xdr:row>
                    <xdr:rowOff>161925</xdr:rowOff>
                  </to>
                </anchor>
              </controlPr>
            </control>
          </mc:Choice>
        </mc:AlternateContent>
        <mc:AlternateContent xmlns:mc="http://schemas.openxmlformats.org/markup-compatibility/2006">
          <mc:Choice Requires="x14">
            <control shapeId="401538" r:id="rId51" name="Botón 130">
              <controlPr defaultSize="0" print="0" autoFill="0" autoPict="0" macro="[0]!ESSALUD_PUNO">
                <anchor moveWithCells="1" sizeWithCells="1">
                  <from>
                    <xdr:col>1</xdr:col>
                    <xdr:colOff>1238250</xdr:colOff>
                    <xdr:row>54</xdr:row>
                    <xdr:rowOff>28575</xdr:rowOff>
                  </from>
                  <to>
                    <xdr:col>1</xdr:col>
                    <xdr:colOff>1514475</xdr:colOff>
                    <xdr:row>54</xdr:row>
                    <xdr:rowOff>171450</xdr:rowOff>
                  </to>
                </anchor>
              </controlPr>
            </control>
          </mc:Choice>
        </mc:AlternateContent>
        <mc:AlternateContent xmlns:mc="http://schemas.openxmlformats.org/markup-compatibility/2006">
          <mc:Choice Requires="x14">
            <control shapeId="401539" r:id="rId52" name="Botón 131">
              <controlPr defaultSize="0" print="0" autoFill="0" autoPict="0" macro="[0]!HOSP_HONORIO_DELGADO">
                <anchor moveWithCells="1" sizeWithCells="1">
                  <from>
                    <xdr:col>1</xdr:col>
                    <xdr:colOff>2428875</xdr:colOff>
                    <xdr:row>55</xdr:row>
                    <xdr:rowOff>28575</xdr:rowOff>
                  </from>
                  <to>
                    <xdr:col>1</xdr:col>
                    <xdr:colOff>2676525</xdr:colOff>
                    <xdr:row>55</xdr:row>
                    <xdr:rowOff>180975</xdr:rowOff>
                  </to>
                </anchor>
              </controlPr>
            </control>
          </mc:Choice>
        </mc:AlternateContent>
        <mc:AlternateContent xmlns:mc="http://schemas.openxmlformats.org/markup-compatibility/2006">
          <mc:Choice Requires="x14">
            <control shapeId="401540" r:id="rId53" name="Botón 132">
              <controlPr defaultSize="0" print="0" autoFill="0" autoPict="0" macro="[0]!REGIÓN_JUNIN_SALUD_TARMA">
                <anchor moveWithCells="1" sizeWithCells="1">
                  <from>
                    <xdr:col>1</xdr:col>
                    <xdr:colOff>2105025</xdr:colOff>
                    <xdr:row>56</xdr:row>
                    <xdr:rowOff>28575</xdr:rowOff>
                  </from>
                  <to>
                    <xdr:col>1</xdr:col>
                    <xdr:colOff>2352675</xdr:colOff>
                    <xdr:row>56</xdr:row>
                    <xdr:rowOff>180975</xdr:rowOff>
                  </to>
                </anchor>
              </controlPr>
            </control>
          </mc:Choice>
        </mc:AlternateContent>
        <mc:AlternateContent xmlns:mc="http://schemas.openxmlformats.org/markup-compatibility/2006">
          <mc:Choice Requires="x14">
            <control shapeId="401545" r:id="rId54" name="Botón 137">
              <controlPr defaultSize="0" print="0" autoFill="0" autoPict="0" macro="[0]!IR_HOSP_SANTA_ROSA_PIURA">
                <anchor moveWithCells="1" sizeWithCells="1">
                  <from>
                    <xdr:col>1</xdr:col>
                    <xdr:colOff>1838325</xdr:colOff>
                    <xdr:row>57</xdr:row>
                    <xdr:rowOff>47625</xdr:rowOff>
                  </from>
                  <to>
                    <xdr:col>1</xdr:col>
                    <xdr:colOff>2047875</xdr:colOff>
                    <xdr:row>57</xdr:row>
                    <xdr:rowOff>171450</xdr:rowOff>
                  </to>
                </anchor>
              </controlPr>
            </control>
          </mc:Choice>
        </mc:AlternateContent>
        <mc:AlternateContent xmlns:mc="http://schemas.openxmlformats.org/markup-compatibility/2006">
          <mc:Choice Requires="x14">
            <control shapeId="401547" r:id="rId55" name="Botón 139">
              <controlPr defaultSize="0" print="0" autoFill="0" autoPict="0" macro="[0]!HOSP_LAS_MERCEDES_CHICLAYO">
                <anchor moveWithCells="1" sizeWithCells="1">
                  <from>
                    <xdr:col>1</xdr:col>
                    <xdr:colOff>2124075</xdr:colOff>
                    <xdr:row>58</xdr:row>
                    <xdr:rowOff>28575</xdr:rowOff>
                  </from>
                  <to>
                    <xdr:col>1</xdr:col>
                    <xdr:colOff>2371725</xdr:colOff>
                    <xdr:row>58</xdr:row>
                    <xdr:rowOff>161925</xdr:rowOff>
                  </to>
                </anchor>
              </controlPr>
            </control>
          </mc:Choice>
        </mc:AlternateContent>
        <mc:AlternateContent xmlns:mc="http://schemas.openxmlformats.org/markup-compatibility/2006">
          <mc:Choice Requires="x14">
            <control shapeId="401549" r:id="rId56" name="Botón 141">
              <controlPr defaultSize="0" print="0" autoFill="0" autoPict="0" macro="[0]!IR_OGESS_HUALLAGA">
                <anchor moveWithCells="1" sizeWithCells="1">
                  <from>
                    <xdr:col>1</xdr:col>
                    <xdr:colOff>1590675</xdr:colOff>
                    <xdr:row>59</xdr:row>
                    <xdr:rowOff>19050</xdr:rowOff>
                  </from>
                  <to>
                    <xdr:col>1</xdr:col>
                    <xdr:colOff>1800225</xdr:colOff>
                    <xdr:row>59</xdr:row>
                    <xdr:rowOff>142875</xdr:rowOff>
                  </to>
                </anchor>
              </controlPr>
            </control>
          </mc:Choice>
        </mc:AlternateContent>
        <mc:AlternateContent xmlns:mc="http://schemas.openxmlformats.org/markup-compatibility/2006">
          <mc:Choice Requires="x14">
            <control shapeId="401550" r:id="rId57" name="Botón 142">
              <controlPr defaultSize="0" print="0" autoFill="0" autoPict="0" macro="[0]!IR_REPRESENTACIONES_LACHO">
                <anchor moveWithCells="1" sizeWithCells="1">
                  <from>
                    <xdr:col>1</xdr:col>
                    <xdr:colOff>1914525</xdr:colOff>
                    <xdr:row>60</xdr:row>
                    <xdr:rowOff>38100</xdr:rowOff>
                  </from>
                  <to>
                    <xdr:col>1</xdr:col>
                    <xdr:colOff>2133600</xdr:colOff>
                    <xdr:row>60</xdr:row>
                    <xdr:rowOff>180975</xdr:rowOff>
                  </to>
                </anchor>
              </controlPr>
            </control>
          </mc:Choice>
        </mc:AlternateContent>
        <mc:AlternateContent xmlns:mc="http://schemas.openxmlformats.org/markup-compatibility/2006">
          <mc:Choice Requires="x14">
            <control shapeId="401553" r:id="rId58" name="Botón 145">
              <controlPr defaultSize="0" print="0" autoFill="0" autoPict="0" macro="[0]!IR_HOSP_BELEN_CHICLAYO">
                <anchor moveWithCells="1" sizeWithCells="1">
                  <from>
                    <xdr:col>1</xdr:col>
                    <xdr:colOff>1876425</xdr:colOff>
                    <xdr:row>63</xdr:row>
                    <xdr:rowOff>0</xdr:rowOff>
                  </from>
                  <to>
                    <xdr:col>1</xdr:col>
                    <xdr:colOff>2143125</xdr:colOff>
                    <xdr:row>63</xdr:row>
                    <xdr:rowOff>180975</xdr:rowOff>
                  </to>
                </anchor>
              </controlPr>
            </control>
          </mc:Choice>
        </mc:AlternateContent>
        <mc:AlternateContent xmlns:mc="http://schemas.openxmlformats.org/markup-compatibility/2006">
          <mc:Choice Requires="x14">
            <control shapeId="401555" r:id="rId59" name="Botón 147">
              <controlPr defaultSize="0" print="0" autoFill="0" autoPict="0" macro="[0]!IR_HOSP_GEN_JAEN">
                <anchor moveWithCells="1" sizeWithCells="1">
                  <from>
                    <xdr:col>1</xdr:col>
                    <xdr:colOff>1381125</xdr:colOff>
                    <xdr:row>61</xdr:row>
                    <xdr:rowOff>19050</xdr:rowOff>
                  </from>
                  <to>
                    <xdr:col>1</xdr:col>
                    <xdr:colOff>1704975</xdr:colOff>
                    <xdr:row>61</xdr:row>
                    <xdr:rowOff>180975</xdr:rowOff>
                  </to>
                </anchor>
              </controlPr>
            </control>
          </mc:Choice>
        </mc:AlternateContent>
        <mc:AlternateContent xmlns:mc="http://schemas.openxmlformats.org/markup-compatibility/2006">
          <mc:Choice Requires="x14">
            <control shapeId="401556" r:id="rId60" name="Botón 148">
              <controlPr defaultSize="0" print="0" autoFill="0" autoPict="0" macro="[0]!IR_ESSALUD_TARAPOTO">
                <anchor moveWithCells="1" sizeWithCells="1">
                  <from>
                    <xdr:col>1</xdr:col>
                    <xdr:colOff>1676400</xdr:colOff>
                    <xdr:row>19</xdr:row>
                    <xdr:rowOff>180975</xdr:rowOff>
                  </from>
                  <to>
                    <xdr:col>1</xdr:col>
                    <xdr:colOff>1895475</xdr:colOff>
                    <xdr:row>21</xdr:row>
                    <xdr:rowOff>0</xdr:rowOff>
                  </to>
                </anchor>
              </controlPr>
            </control>
          </mc:Choice>
        </mc:AlternateContent>
        <mc:AlternateContent xmlns:mc="http://schemas.openxmlformats.org/markup-compatibility/2006">
          <mc:Choice Requires="x14">
            <control shapeId="401557" r:id="rId61" name="Botón 149">
              <controlPr defaultSize="0" print="0" autoFill="0" autoPict="0" macro="[0]!IR_HOSP_REG_HUANUCO">
                <anchor moveWithCells="1" sizeWithCells="1">
                  <from>
                    <xdr:col>1</xdr:col>
                    <xdr:colOff>1733550</xdr:colOff>
                    <xdr:row>62</xdr:row>
                    <xdr:rowOff>9525</xdr:rowOff>
                  </from>
                  <to>
                    <xdr:col>1</xdr:col>
                    <xdr:colOff>2000250</xdr:colOff>
                    <xdr:row>62</xdr:row>
                    <xdr:rowOff>180975</xdr:rowOff>
                  </to>
                </anchor>
              </controlPr>
            </control>
          </mc:Choice>
        </mc:AlternateContent>
        <mc:AlternateContent xmlns:mc="http://schemas.openxmlformats.org/markup-compatibility/2006">
          <mc:Choice Requires="x14">
            <control shapeId="401559" r:id="rId62" name="Botón 151">
              <controlPr defaultSize="0" print="0" autoFill="0" autoPict="0" macro="[0]!IR_HOSP_APOYO_II_SULLANA">
                <anchor moveWithCells="1" sizeWithCells="1">
                  <from>
                    <xdr:col>1</xdr:col>
                    <xdr:colOff>1990725</xdr:colOff>
                    <xdr:row>64</xdr:row>
                    <xdr:rowOff>38100</xdr:rowOff>
                  </from>
                  <to>
                    <xdr:col>1</xdr:col>
                    <xdr:colOff>2181225</xdr:colOff>
                    <xdr:row>64</xdr:row>
                    <xdr:rowOff>180975</xdr:rowOff>
                  </to>
                </anchor>
              </controlPr>
            </control>
          </mc:Choice>
        </mc:AlternateContent>
        <mc:AlternateContent xmlns:mc="http://schemas.openxmlformats.org/markup-compatibility/2006">
          <mc:Choice Requires="x14">
            <control shapeId="401563" r:id="rId63" name="Botón 155">
              <controlPr defaultSize="0" print="0" autoFill="0" autoPict="0" macro="[0]!IR_ESSALUD_TACNA">
                <anchor moveWithCells="1" sizeWithCells="1">
                  <from>
                    <xdr:col>1</xdr:col>
                    <xdr:colOff>1457325</xdr:colOff>
                    <xdr:row>65</xdr:row>
                    <xdr:rowOff>9525</xdr:rowOff>
                  </from>
                  <to>
                    <xdr:col>1</xdr:col>
                    <xdr:colOff>1666875</xdr:colOff>
                    <xdr:row>65</xdr:row>
                    <xdr:rowOff>161925</xdr:rowOff>
                  </to>
                </anchor>
              </controlPr>
            </control>
          </mc:Choice>
        </mc:AlternateContent>
        <mc:AlternateContent xmlns:mc="http://schemas.openxmlformats.org/markup-compatibility/2006">
          <mc:Choice Requires="x14">
            <control shapeId="401564" r:id="rId64" name="Botón 156">
              <controlPr defaultSize="0" print="0" autoFill="0" autoPict="0" macro="[0]!IR_LA_POSITIVA_SEGUROS">
                <anchor moveWithCells="1" sizeWithCells="1">
                  <from>
                    <xdr:col>1</xdr:col>
                    <xdr:colOff>1657350</xdr:colOff>
                    <xdr:row>66</xdr:row>
                    <xdr:rowOff>28575</xdr:rowOff>
                  </from>
                  <to>
                    <xdr:col>1</xdr:col>
                    <xdr:colOff>1876425</xdr:colOff>
                    <xdr:row>66</xdr:row>
                    <xdr:rowOff>161925</xdr:rowOff>
                  </to>
                </anchor>
              </controlPr>
            </control>
          </mc:Choice>
        </mc:AlternateContent>
        <mc:AlternateContent xmlns:mc="http://schemas.openxmlformats.org/markup-compatibility/2006">
          <mc:Choice Requires="x14">
            <control shapeId="401565" r:id="rId65" name="Botón 157">
              <controlPr defaultSize="0" print="0" autoFill="0" autoPict="0" macro="[0]!IR_SANITAS_PERU_SA">
                <anchor moveWithCells="1" sizeWithCells="1">
                  <from>
                    <xdr:col>1</xdr:col>
                    <xdr:colOff>1543050</xdr:colOff>
                    <xdr:row>67</xdr:row>
                    <xdr:rowOff>28575</xdr:rowOff>
                  </from>
                  <to>
                    <xdr:col>1</xdr:col>
                    <xdr:colOff>1771650</xdr:colOff>
                    <xdr:row>67</xdr:row>
                    <xdr:rowOff>161925</xdr:rowOff>
                  </to>
                </anchor>
              </controlPr>
            </control>
          </mc:Choice>
        </mc:AlternateContent>
        <mc:AlternateContent xmlns:mc="http://schemas.openxmlformats.org/markup-compatibility/2006">
          <mc:Choice Requires="x14">
            <control shapeId="401566" r:id="rId66" name="Botón 158">
              <controlPr defaultSize="0" print="0" autoFill="0" autoPict="0" macro="[0]!IR_HOSP_SANTA_ROSA_PTO_MALDONADO">
                <anchor moveWithCells="1" sizeWithCells="1">
                  <from>
                    <xdr:col>1</xdr:col>
                    <xdr:colOff>2914650</xdr:colOff>
                    <xdr:row>37</xdr:row>
                    <xdr:rowOff>9525</xdr:rowOff>
                  </from>
                  <to>
                    <xdr:col>1</xdr:col>
                    <xdr:colOff>3133725</xdr:colOff>
                    <xdr:row>37</xdr:row>
                    <xdr:rowOff>161925</xdr:rowOff>
                  </to>
                </anchor>
              </controlPr>
            </control>
          </mc:Choice>
        </mc:AlternateContent>
        <mc:AlternateContent xmlns:mc="http://schemas.openxmlformats.org/markup-compatibility/2006">
          <mc:Choice Requires="x14">
            <control shapeId="401568" r:id="rId67" name="Botón 160">
              <controlPr defaultSize="0" print="0" autoFill="0" autoPict="0" macro="[0]!IR_HOSP_REG_CAJAMARCA">
                <anchor moveWithCells="1" sizeWithCells="1">
                  <from>
                    <xdr:col>1</xdr:col>
                    <xdr:colOff>1781175</xdr:colOff>
                    <xdr:row>68</xdr:row>
                    <xdr:rowOff>47625</xdr:rowOff>
                  </from>
                  <to>
                    <xdr:col>1</xdr:col>
                    <xdr:colOff>2000250</xdr:colOff>
                    <xdr:row>68</xdr:row>
                    <xdr:rowOff>171450</xdr:rowOff>
                  </to>
                </anchor>
              </controlPr>
            </control>
          </mc:Choice>
        </mc:AlternateContent>
        <mc:AlternateContent xmlns:mc="http://schemas.openxmlformats.org/markup-compatibility/2006">
          <mc:Choice Requires="x14">
            <control shapeId="401569" r:id="rId68" name="Botón 161">
              <controlPr defaultSize="0" print="0" autoFill="0" autoPict="0" macro="[0]!IR_HOSP_BELEN_TRUJILLO">
                <anchor moveWithCells="1" sizeWithCells="1">
                  <from>
                    <xdr:col>1</xdr:col>
                    <xdr:colOff>1724025</xdr:colOff>
                    <xdr:row>69</xdr:row>
                    <xdr:rowOff>57150</xdr:rowOff>
                  </from>
                  <to>
                    <xdr:col>1</xdr:col>
                    <xdr:colOff>1990725</xdr:colOff>
                    <xdr:row>69</xdr:row>
                    <xdr:rowOff>171450</xdr:rowOff>
                  </to>
                </anchor>
              </controlPr>
            </control>
          </mc:Choice>
        </mc:AlternateContent>
        <mc:AlternateContent xmlns:mc="http://schemas.openxmlformats.org/markup-compatibility/2006">
          <mc:Choice Requires="x14">
            <control shapeId="401571" r:id="rId69" name="Botón 163">
              <controlPr defaultSize="0" print="0" autoFill="0" autoPict="0" macro="[0]!IR_HOSP_CHULUCANAS">
                <anchor moveWithCells="1" sizeWithCells="1">
                  <from>
                    <xdr:col>1</xdr:col>
                    <xdr:colOff>1495425</xdr:colOff>
                    <xdr:row>71</xdr:row>
                    <xdr:rowOff>28575</xdr:rowOff>
                  </from>
                  <to>
                    <xdr:col>1</xdr:col>
                    <xdr:colOff>1695450</xdr:colOff>
                    <xdr:row>71</xdr:row>
                    <xdr:rowOff>152400</xdr:rowOff>
                  </to>
                </anchor>
              </controlPr>
            </control>
          </mc:Choice>
        </mc:AlternateContent>
        <mc:AlternateContent xmlns:mc="http://schemas.openxmlformats.org/markup-compatibility/2006">
          <mc:Choice Requires="x14">
            <control shapeId="401572" r:id="rId70" name="Botón 164">
              <controlPr defaultSize="0" print="0" autoFill="0" autoPict="0" macro="[0]!IR_HOSP_BAGUA">
                <anchor moveWithCells="1" sizeWithCells="1">
                  <from>
                    <xdr:col>1</xdr:col>
                    <xdr:colOff>1933575</xdr:colOff>
                    <xdr:row>72</xdr:row>
                    <xdr:rowOff>28575</xdr:rowOff>
                  </from>
                  <to>
                    <xdr:col>1</xdr:col>
                    <xdr:colOff>2124075</xdr:colOff>
                    <xdr:row>72</xdr:row>
                    <xdr:rowOff>161925</xdr:rowOff>
                  </to>
                </anchor>
              </controlPr>
            </control>
          </mc:Choice>
        </mc:AlternateContent>
        <mc:AlternateContent xmlns:mc="http://schemas.openxmlformats.org/markup-compatibility/2006">
          <mc:Choice Requires="x14">
            <control shapeId="401573" r:id="rId71" name="Botón 165">
              <controlPr defaultSize="0" print="0" autoFill="0" autoPict="0" macro="[0]!IR_ESSLAUD_HUANCAVELICA">
                <anchor moveWithCells="1" sizeWithCells="1">
                  <from>
                    <xdr:col>1</xdr:col>
                    <xdr:colOff>1800225</xdr:colOff>
                    <xdr:row>73</xdr:row>
                    <xdr:rowOff>47625</xdr:rowOff>
                  </from>
                  <to>
                    <xdr:col>1</xdr:col>
                    <xdr:colOff>2000250</xdr:colOff>
                    <xdr:row>74</xdr:row>
                    <xdr:rowOff>0</xdr:rowOff>
                  </to>
                </anchor>
              </controlPr>
            </control>
          </mc:Choice>
        </mc:AlternateContent>
        <mc:AlternateContent xmlns:mc="http://schemas.openxmlformats.org/markup-compatibility/2006">
          <mc:Choice Requires="x14">
            <control shapeId="401574" r:id="rId72" name="Botón 166">
              <controlPr defaultSize="0" print="0" autoFill="0" autoPict="0" macro="[0]!IR_UE_SALUD_UTCUBAMBA">
                <anchor moveWithCells="1" sizeWithCells="1">
                  <from>
                    <xdr:col>1</xdr:col>
                    <xdr:colOff>2981325</xdr:colOff>
                    <xdr:row>70</xdr:row>
                    <xdr:rowOff>28575</xdr:rowOff>
                  </from>
                  <to>
                    <xdr:col>1</xdr:col>
                    <xdr:colOff>3200400</xdr:colOff>
                    <xdr:row>71</xdr:row>
                    <xdr:rowOff>9525</xdr:rowOff>
                  </to>
                </anchor>
              </controlPr>
            </control>
          </mc:Choice>
        </mc:AlternateContent>
        <mc:AlternateContent xmlns:mc="http://schemas.openxmlformats.org/markup-compatibility/2006">
          <mc:Choice Requires="x14">
            <control shapeId="401575" r:id="rId73" name="Botón 167">
              <controlPr defaultSize="0" print="0" autoFill="0" autoPict="0" macro="[0]!IR_HOSP_SANTA_GEMA">
                <anchor moveWithCells="1" sizeWithCells="1">
                  <from>
                    <xdr:col>1</xdr:col>
                    <xdr:colOff>1552575</xdr:colOff>
                    <xdr:row>74</xdr:row>
                    <xdr:rowOff>38100</xdr:rowOff>
                  </from>
                  <to>
                    <xdr:col>1</xdr:col>
                    <xdr:colOff>1771650</xdr:colOff>
                    <xdr:row>74</xdr:row>
                    <xdr:rowOff>161925</xdr:rowOff>
                  </to>
                </anchor>
              </controlPr>
            </control>
          </mc:Choice>
        </mc:AlternateContent>
        <mc:AlternateContent xmlns:mc="http://schemas.openxmlformats.org/markup-compatibility/2006">
          <mc:Choice Requires="x14">
            <control shapeId="401576" r:id="rId74" name="Botón 168">
              <controlPr defaultSize="0" print="0" autoFill="0" autoPict="0" macro="[0]!IR_IAFAS_MGP">
                <anchor moveWithCells="1" sizeWithCells="1">
                  <from>
                    <xdr:col>1</xdr:col>
                    <xdr:colOff>2771775</xdr:colOff>
                    <xdr:row>75</xdr:row>
                    <xdr:rowOff>28575</xdr:rowOff>
                  </from>
                  <to>
                    <xdr:col>1</xdr:col>
                    <xdr:colOff>2981325</xdr:colOff>
                    <xdr:row>75</xdr:row>
                    <xdr:rowOff>171450</xdr:rowOff>
                  </to>
                </anchor>
              </controlPr>
            </control>
          </mc:Choice>
        </mc:AlternateContent>
        <mc:AlternateContent xmlns:mc="http://schemas.openxmlformats.org/markup-compatibility/2006">
          <mc:Choice Requires="x14">
            <control shapeId="401578" r:id="rId75" name="Botón 170">
              <controlPr defaultSize="0" print="0" autoFill="0" autoPict="0" macro="[0]!IR_HOSP_REG_TINGO_MARIA">
                <anchor moveWithCells="1" sizeWithCells="1">
                  <from>
                    <xdr:col>1</xdr:col>
                    <xdr:colOff>2305050</xdr:colOff>
                    <xdr:row>76</xdr:row>
                    <xdr:rowOff>28575</xdr:rowOff>
                  </from>
                  <to>
                    <xdr:col>1</xdr:col>
                    <xdr:colOff>2533650</xdr:colOff>
                    <xdr:row>77</xdr:row>
                    <xdr:rowOff>0</xdr:rowOff>
                  </to>
                </anchor>
              </controlPr>
            </control>
          </mc:Choice>
        </mc:AlternateContent>
        <mc:AlternateContent xmlns:mc="http://schemas.openxmlformats.org/markup-compatibility/2006">
          <mc:Choice Requires="x14">
            <control shapeId="401579" r:id="rId76" name="Botón 171">
              <controlPr defaultSize="0" print="0" autoFill="0" autoPict="0" macro="[0]!IR_ESSALUD_TUMBES">
                <anchor moveWithCells="1" sizeWithCells="1">
                  <from>
                    <xdr:col>1</xdr:col>
                    <xdr:colOff>1466850</xdr:colOff>
                    <xdr:row>77</xdr:row>
                    <xdr:rowOff>28575</xdr:rowOff>
                  </from>
                  <to>
                    <xdr:col>1</xdr:col>
                    <xdr:colOff>1676400</xdr:colOff>
                    <xdr:row>77</xdr:row>
                    <xdr:rowOff>161925</xdr:rowOff>
                  </to>
                </anchor>
              </controlPr>
            </control>
          </mc:Choice>
        </mc:AlternateContent>
        <mc:AlternateContent xmlns:mc="http://schemas.openxmlformats.org/markup-compatibility/2006">
          <mc:Choice Requires="x14">
            <control shapeId="401580" r:id="rId77" name="Botón 172">
              <controlPr defaultSize="0" print="0" autoFill="0" autoPict="0" macro="[0]!IR_HOSP_DOMINGO_OLAVEGOYA">
                <anchor moveWithCells="1" sizeWithCells="1">
                  <from>
                    <xdr:col>1</xdr:col>
                    <xdr:colOff>2200275</xdr:colOff>
                    <xdr:row>78</xdr:row>
                    <xdr:rowOff>38100</xdr:rowOff>
                  </from>
                  <to>
                    <xdr:col>1</xdr:col>
                    <xdr:colOff>2400300</xdr:colOff>
                    <xdr:row>79</xdr:row>
                    <xdr:rowOff>0</xdr:rowOff>
                  </to>
                </anchor>
              </controlPr>
            </control>
          </mc:Choice>
        </mc:AlternateContent>
        <mc:AlternateContent xmlns:mc="http://schemas.openxmlformats.org/markup-compatibility/2006">
          <mc:Choice Requires="x14">
            <control shapeId="401584" r:id="rId78" name="Botón 176">
              <controlPr defaultSize="0" print="0" autoFill="0" autoPict="0" macro="[0]!IR_HOSP_REG_CUSCO">
                <anchor moveWithCells="1" sizeWithCells="1">
                  <from>
                    <xdr:col>1</xdr:col>
                    <xdr:colOff>1933575</xdr:colOff>
                    <xdr:row>80</xdr:row>
                    <xdr:rowOff>47625</xdr:rowOff>
                  </from>
                  <to>
                    <xdr:col>1</xdr:col>
                    <xdr:colOff>2200275</xdr:colOff>
                    <xdr:row>80</xdr:row>
                    <xdr:rowOff>180975</xdr:rowOff>
                  </to>
                </anchor>
              </controlPr>
            </control>
          </mc:Choice>
        </mc:AlternateContent>
        <mc:AlternateContent xmlns:mc="http://schemas.openxmlformats.org/markup-compatibility/2006">
          <mc:Choice Requires="x14">
            <control shapeId="401586" r:id="rId79" name="Botón 178">
              <controlPr defaultSize="0" print="0" autoFill="0" autoPict="0" macro="[0]!IR_ESSALUD_PTO_MALDONADO">
                <anchor moveWithCells="1" sizeWithCells="1">
                  <from>
                    <xdr:col>1</xdr:col>
                    <xdr:colOff>2314575</xdr:colOff>
                    <xdr:row>81</xdr:row>
                    <xdr:rowOff>47625</xdr:rowOff>
                  </from>
                  <to>
                    <xdr:col>1</xdr:col>
                    <xdr:colOff>2533650</xdr:colOff>
                    <xdr:row>81</xdr:row>
                    <xdr:rowOff>171450</xdr:rowOff>
                  </to>
                </anchor>
              </controlPr>
            </control>
          </mc:Choice>
        </mc:AlternateContent>
        <mc:AlternateContent xmlns:mc="http://schemas.openxmlformats.org/markup-compatibility/2006">
          <mc:Choice Requires="x14">
            <control shapeId="401587" r:id="rId80" name="Botón 179">
              <controlPr defaultSize="0" print="0" autoFill="0" autoPict="0" macro="[0]!IR_EGB_CHIMBOTE">
                <anchor moveWithCells="1" sizeWithCells="1">
                  <from>
                    <xdr:col>1</xdr:col>
                    <xdr:colOff>1609725</xdr:colOff>
                    <xdr:row>79</xdr:row>
                    <xdr:rowOff>38100</xdr:rowOff>
                  </from>
                  <to>
                    <xdr:col>1</xdr:col>
                    <xdr:colOff>1819275</xdr:colOff>
                    <xdr:row>79</xdr:row>
                    <xdr:rowOff>171450</xdr:rowOff>
                  </to>
                </anchor>
              </controlPr>
            </control>
          </mc:Choice>
        </mc:AlternateContent>
        <mc:AlternateContent xmlns:mc="http://schemas.openxmlformats.org/markup-compatibility/2006">
          <mc:Choice Requires="x14">
            <control shapeId="401588" r:id="rId81" name="Botón 14">
              <controlPr defaultSize="0" print="0" autoFill="0" autoPict="0" macro="[0]!IR_ESSALUD_CHACHAPOYAS">
                <anchor moveWithCells="1" sizeWithCells="1">
                  <from>
                    <xdr:col>1</xdr:col>
                    <xdr:colOff>1600200</xdr:colOff>
                    <xdr:row>8</xdr:row>
                    <xdr:rowOff>38100</xdr:rowOff>
                  </from>
                  <to>
                    <xdr:col>1</xdr:col>
                    <xdr:colOff>1885950</xdr:colOff>
                    <xdr:row>8</xdr:row>
                    <xdr:rowOff>161925</xdr:rowOff>
                  </to>
                </anchor>
              </controlPr>
            </control>
          </mc:Choice>
        </mc:AlternateContent>
        <mc:AlternateContent xmlns:mc="http://schemas.openxmlformats.org/markup-compatibility/2006">
          <mc:Choice Requires="x14">
            <control shapeId="401589" r:id="rId82" name="Botón 181">
              <controlPr defaultSize="0" print="0" autoFill="0" autoPict="0" macro="[0]!IR_DIRESA_LORETO">
                <anchor moveWithCells="1" sizeWithCells="1">
                  <from>
                    <xdr:col>1</xdr:col>
                    <xdr:colOff>2628900</xdr:colOff>
                    <xdr:row>82</xdr:row>
                    <xdr:rowOff>9525</xdr:rowOff>
                  </from>
                  <to>
                    <xdr:col>1</xdr:col>
                    <xdr:colOff>2905125</xdr:colOff>
                    <xdr:row>82</xdr:row>
                    <xdr:rowOff>161925</xdr:rowOff>
                  </to>
                </anchor>
              </controlPr>
            </control>
          </mc:Choice>
        </mc:AlternateContent>
        <mc:AlternateContent xmlns:mc="http://schemas.openxmlformats.org/markup-compatibility/2006">
          <mc:Choice Requires="x14">
            <control shapeId="401590" r:id="rId83" name="Botón 182">
              <controlPr defaultSize="0" print="0" autoFill="0" autoPict="0" macro="[0]!IR_ESSALUD_TINGO_MARIA">
                <anchor moveWithCells="1" sizeWithCells="1">
                  <from>
                    <xdr:col>1</xdr:col>
                    <xdr:colOff>1676400</xdr:colOff>
                    <xdr:row>14</xdr:row>
                    <xdr:rowOff>19050</xdr:rowOff>
                  </from>
                  <to>
                    <xdr:col>1</xdr:col>
                    <xdr:colOff>1895475</xdr:colOff>
                    <xdr:row>14</xdr:row>
                    <xdr:rowOff>161925</xdr:rowOff>
                  </to>
                </anchor>
              </controlPr>
            </control>
          </mc:Choice>
        </mc:AlternateContent>
        <mc:AlternateContent xmlns:mc="http://schemas.openxmlformats.org/markup-compatibility/2006">
          <mc:Choice Requires="x14">
            <control shapeId="401592" r:id="rId84" name="Botón 184">
              <controlPr defaultSize="0" print="0" autoFill="0" autoPict="0" macro="[0]!IR_VENTAS_B200_2026">
                <anchor moveWithCells="1" sizeWithCells="1">
                  <from>
                    <xdr:col>4</xdr:col>
                    <xdr:colOff>19050</xdr:colOff>
                    <xdr:row>9</xdr:row>
                    <xdr:rowOff>180975</xdr:rowOff>
                  </from>
                  <to>
                    <xdr:col>5</xdr:col>
                    <xdr:colOff>457200</xdr:colOff>
                    <xdr:row>12</xdr:row>
                    <xdr:rowOff>190500</xdr:rowOff>
                  </to>
                </anchor>
              </controlPr>
            </control>
          </mc:Choice>
        </mc:AlternateContent>
        <mc:AlternateContent xmlns:mc="http://schemas.openxmlformats.org/markup-compatibility/2006">
          <mc:Choice Requires="x14">
            <control shapeId="401594" r:id="rId85" name="Botón 186">
              <controlPr defaultSize="0" print="0" autoFill="0" autoPict="0" macro="[0]!IR_ESSALUD_MOQUEGUA">
                <anchor moveWithCells="1" sizeWithCells="1">
                  <from>
                    <xdr:col>1</xdr:col>
                    <xdr:colOff>1704975</xdr:colOff>
                    <xdr:row>83</xdr:row>
                    <xdr:rowOff>9525</xdr:rowOff>
                  </from>
                  <to>
                    <xdr:col>1</xdr:col>
                    <xdr:colOff>1933575</xdr:colOff>
                    <xdr:row>83</xdr:row>
                    <xdr:rowOff>180975</xdr:rowOff>
                  </to>
                </anchor>
              </controlPr>
            </control>
          </mc:Choice>
        </mc:AlternateContent>
        <mc:AlternateContent xmlns:mc="http://schemas.openxmlformats.org/markup-compatibility/2006">
          <mc:Choice Requires="x14">
            <control shapeId="401597" r:id="rId86" name="Botón 189">
              <controlPr defaultSize="0" print="0" autoFill="0" autoPict="0" macro="[0]!IR_HOSP_APOYO_IQUITOS">
                <anchor moveWithCells="1" sizeWithCells="1">
                  <from>
                    <xdr:col>1</xdr:col>
                    <xdr:colOff>2019300</xdr:colOff>
                    <xdr:row>84</xdr:row>
                    <xdr:rowOff>28575</xdr:rowOff>
                  </from>
                  <to>
                    <xdr:col>1</xdr:col>
                    <xdr:colOff>2238375</xdr:colOff>
                    <xdr:row>84</xdr:row>
                    <xdr:rowOff>180975</xdr:rowOff>
                  </to>
                </anchor>
              </controlPr>
            </control>
          </mc:Choice>
        </mc:AlternateContent>
        <mc:AlternateContent xmlns:mc="http://schemas.openxmlformats.org/markup-compatibility/2006">
          <mc:Choice Requires="x14">
            <control shapeId="401599" r:id="rId87" name="Botón 191">
              <controlPr defaultSize="0" print="0" autoFill="0" autoPict="0" macro="[0]!IR_HOSP_MEDICINA_TROPICAL_CHANCHAMAYO">
                <anchor moveWithCells="1" sizeWithCells="1">
                  <from>
                    <xdr:col>1</xdr:col>
                    <xdr:colOff>2409825</xdr:colOff>
                    <xdr:row>85</xdr:row>
                    <xdr:rowOff>9525</xdr:rowOff>
                  </from>
                  <to>
                    <xdr:col>1</xdr:col>
                    <xdr:colOff>2638425</xdr:colOff>
                    <xdr:row>85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2"/>
  <dimension ref="B3:H20"/>
  <sheetViews>
    <sheetView zoomScaleNormal="100" workbookViewId="0">
      <selection activeCell="D14" sqref="D14"/>
    </sheetView>
  </sheetViews>
  <sheetFormatPr baseColWidth="10" defaultColWidth="10.85546875" defaultRowHeight="15" x14ac:dyDescent="0.25"/>
  <cols>
    <col min="2" max="2" width="64.140625" customWidth="1"/>
    <col min="3" max="3" width="16.42578125" style="32" customWidth="1"/>
    <col min="4" max="4" width="25.7109375" style="28" bestFit="1" customWidth="1"/>
    <col min="5" max="5" width="9.42578125" hidden="1" customWidth="1"/>
    <col min="6" max="6" width="1.140625" customWidth="1"/>
    <col min="7" max="7" width="58.140625" customWidth="1"/>
  </cols>
  <sheetData>
    <row r="3" spans="2:7" x14ac:dyDescent="0.25">
      <c r="B3" s="1485" t="s">
        <v>5446</v>
      </c>
      <c r="C3" s="1486"/>
      <c r="D3" s="782">
        <v>46218</v>
      </c>
      <c r="E3" s="721">
        <f ca="1">TODAY()</f>
        <v>46293</v>
      </c>
      <c r="F3" s="102"/>
    </row>
    <row r="4" spans="2:7" s="25" customFormat="1" ht="15" customHeight="1" x14ac:dyDescent="0.25">
      <c r="B4" s="723" t="s">
        <v>1075</v>
      </c>
      <c r="C4" s="790" t="s">
        <v>2319</v>
      </c>
      <c r="D4" s="724" t="s">
        <v>2320</v>
      </c>
      <c r="E4" s="724"/>
      <c r="F4" s="724"/>
      <c r="G4" s="722" t="s">
        <v>5394</v>
      </c>
    </row>
    <row r="5" spans="2:7" x14ac:dyDescent="0.25">
      <c r="B5" s="102" t="s">
        <v>7272</v>
      </c>
      <c r="C5" s="792">
        <f>+'6. ESSALUD CHACHAPOYAS'!P62</f>
        <v>1035276</v>
      </c>
      <c r="D5" s="726" t="s">
        <v>7859</v>
      </c>
      <c r="E5" s="102"/>
      <c r="F5" s="102"/>
      <c r="G5" s="727">
        <v>46334</v>
      </c>
    </row>
    <row r="6" spans="2:7" x14ac:dyDescent="0.25">
      <c r="B6" s="102" t="s">
        <v>7273</v>
      </c>
      <c r="C6" s="792">
        <f>+'6. ESSALUD CHACHAPOYAS'!U62</f>
        <v>643731</v>
      </c>
      <c r="D6" s="726" t="s">
        <v>7859</v>
      </c>
      <c r="E6" s="102"/>
      <c r="F6" s="102"/>
      <c r="G6" s="727">
        <v>46334</v>
      </c>
    </row>
    <row r="7" spans="2:7" hidden="1" x14ac:dyDescent="0.25">
      <c r="B7" s="102" t="s">
        <v>7251</v>
      </c>
      <c r="C7" s="792">
        <f>+'36. HOSP. S REG ANDAHUAYLAS'!K38</f>
        <v>0</v>
      </c>
      <c r="D7" s="726">
        <f>+'36. HOSP. S REG ANDAHUAYLAS'!L38</f>
        <v>0</v>
      </c>
      <c r="E7" s="102"/>
      <c r="F7" s="102"/>
      <c r="G7" s="727">
        <v>46333</v>
      </c>
    </row>
    <row r="8" spans="2:7" x14ac:dyDescent="0.25">
      <c r="B8" s="102" t="s">
        <v>614</v>
      </c>
      <c r="C8" s="792">
        <f>+'44. SALUDPOL'!L515</f>
        <v>4847133.799999997</v>
      </c>
      <c r="D8" s="726" t="s">
        <v>7859</v>
      </c>
      <c r="E8" s="102"/>
      <c r="F8" s="102"/>
      <c r="G8" s="727">
        <v>46346</v>
      </c>
    </row>
    <row r="9" spans="2:7" hidden="1" x14ac:dyDescent="0.25">
      <c r="B9" s="102" t="s">
        <v>2497</v>
      </c>
      <c r="C9" s="792">
        <f>+'28. HOSP. REG LAMBAYEQUE'!K50</f>
        <v>0</v>
      </c>
      <c r="D9" s="726">
        <f>+'28. HOSP. REG LAMBAYEQUE'!L50</f>
        <v>0</v>
      </c>
      <c r="E9" s="102"/>
      <c r="F9" s="102"/>
      <c r="G9" s="727">
        <v>46542</v>
      </c>
    </row>
    <row r="10" spans="2:7" x14ac:dyDescent="0.25">
      <c r="B10" s="102" t="s">
        <v>7758</v>
      </c>
      <c r="C10" s="792">
        <f>+'78.HOSP. REGIONAL CUSCO'!K36</f>
        <v>181750</v>
      </c>
      <c r="D10" s="726">
        <f>+'78.HOSP. REGIONAL CUSCO'!L36</f>
        <v>5</v>
      </c>
      <c r="E10" s="102"/>
      <c r="F10" s="102"/>
      <c r="G10" s="727">
        <v>46444</v>
      </c>
    </row>
    <row r="11" spans="2:7" x14ac:dyDescent="0.25">
      <c r="B11" s="102" t="s">
        <v>8024</v>
      </c>
      <c r="C11" s="792">
        <f>+'53. HOSP REG HONORIOD '!J73</f>
        <v>95400</v>
      </c>
      <c r="D11" s="726">
        <f>+'53. HOSP REG HONORIOD '!K73</f>
        <v>2</v>
      </c>
      <c r="E11" s="102"/>
      <c r="F11" s="102"/>
      <c r="G11" s="727">
        <v>46410</v>
      </c>
    </row>
    <row r="12" spans="2:7" x14ac:dyDescent="0.25">
      <c r="B12" s="102" t="s">
        <v>8026</v>
      </c>
      <c r="C12" s="792">
        <f>+'30. HOSP.  PUNO MANUEL NB'!K52</f>
        <v>150000</v>
      </c>
      <c r="D12" s="726">
        <f>+'30. HOSP.  PUNO MANUEL NB'!L52</f>
        <v>3</v>
      </c>
      <c r="E12" s="102"/>
      <c r="F12" s="102"/>
      <c r="G12" s="727">
        <v>46513</v>
      </c>
    </row>
    <row r="13" spans="2:7" x14ac:dyDescent="0.25">
      <c r="B13" s="102" t="s">
        <v>610</v>
      </c>
      <c r="C13" s="792">
        <f>+'4. ESSALUD AYP'!K142</f>
        <v>433500</v>
      </c>
      <c r="D13" s="726">
        <f>+'4. ESSALUD AYP'!L142</f>
        <v>15</v>
      </c>
      <c r="E13" s="102"/>
      <c r="F13" s="102"/>
      <c r="G13" s="727">
        <v>46894</v>
      </c>
    </row>
    <row r="14" spans="2:7" x14ac:dyDescent="0.25">
      <c r="B14" s="102" t="s">
        <v>1374</v>
      </c>
      <c r="C14" s="792">
        <f>+'24. HOSP.HUNANUE TACNA'!J55</f>
        <v>177795</v>
      </c>
      <c r="D14" s="726">
        <f>+'24. HOSP.HUNANUE TACNA'!K55</f>
        <v>3</v>
      </c>
      <c r="E14" s="102"/>
      <c r="F14" s="102"/>
      <c r="G14" s="727">
        <v>46362</v>
      </c>
    </row>
    <row r="15" spans="2:7" x14ac:dyDescent="0.25">
      <c r="B15" s="102" t="s">
        <v>8427</v>
      </c>
      <c r="C15" s="792">
        <f>+'59.HOSP. GEN. JAEN'!J46</f>
        <v>350984</v>
      </c>
      <c r="D15" s="726">
        <f>+'59.HOSP. GEN. JAEN'!K45</f>
        <v>2</v>
      </c>
      <c r="E15" s="102"/>
      <c r="F15" s="102"/>
      <c r="G15" s="727">
        <v>46358</v>
      </c>
    </row>
    <row r="16" spans="2:7" x14ac:dyDescent="0.25">
      <c r="B16" s="102" t="s">
        <v>608</v>
      </c>
      <c r="C16" s="792">
        <f>+'13. ESSALUD LORETO NVO CONTRATO'!J314</f>
        <v>4938360</v>
      </c>
      <c r="D16" s="726">
        <f>+'13. ESSALUD LORETO NVO CONTRATO'!K314</f>
        <v>83.99040030224451</v>
      </c>
      <c r="E16" s="102"/>
      <c r="F16" s="102"/>
      <c r="G16" s="727">
        <v>46632</v>
      </c>
    </row>
    <row r="17" spans="2:8" x14ac:dyDescent="0.25">
      <c r="B17" s="728" t="s">
        <v>2321</v>
      </c>
      <c r="C17" s="1218">
        <f>SUM(C5:C16)</f>
        <v>12853929.799999997</v>
      </c>
      <c r="D17" s="1155"/>
      <c r="E17" s="102"/>
      <c r="F17" s="102"/>
      <c r="G17" s="102"/>
    </row>
    <row r="18" spans="2:8" x14ac:dyDescent="0.25">
      <c r="H18" s="2"/>
    </row>
    <row r="19" spans="2:8" x14ac:dyDescent="0.25">
      <c r="H19" s="2"/>
    </row>
    <row r="20" spans="2:8" x14ac:dyDescent="0.25">
      <c r="D20" s="61"/>
    </row>
  </sheetData>
  <mergeCells count="1">
    <mergeCell ref="B3:C3"/>
  </mergeCells>
  <pageMargins left="0.7" right="0.7" top="0.75" bottom="0.75" header="0.3" footer="0.3"/>
  <pageSetup paperSize="9" scale="86"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62561" r:id="rId4" name="Botón 33">
              <controlPr defaultSize="0" print="0" autoFill="0" autoPict="0" macro="[0]!IR_VENTAS_B200_2026">
                <anchor moveWithCells="1" sizeWithCells="1">
                  <from>
                    <xdr:col>1</xdr:col>
                    <xdr:colOff>1438275</xdr:colOff>
                    <xdr:row>21</xdr:row>
                    <xdr:rowOff>28575</xdr:rowOff>
                  </from>
                  <to>
                    <xdr:col>1</xdr:col>
                    <xdr:colOff>2733675</xdr:colOff>
                    <xdr:row>24</xdr:row>
                    <xdr:rowOff>57150</xdr:rowOff>
                  </to>
                </anchor>
              </controlPr>
            </control>
          </mc:Choice>
        </mc:AlternateContent>
        <mc:AlternateContent xmlns:mc="http://schemas.openxmlformats.org/markup-compatibility/2006">
          <mc:Choice Requires="x14">
            <control shapeId="662562" r:id="rId5" name="Botón 81">
              <controlPr defaultSize="0" print="0" autoFill="0" autoPict="0" macro="[0]!IR_HOSP_SUBREG_ANDAHUAYLAS">
                <anchor moveWithCells="1" sizeWithCells="1">
                  <from>
                    <xdr:col>1</xdr:col>
                    <xdr:colOff>2076450</xdr:colOff>
                    <xdr:row>6</xdr:row>
                    <xdr:rowOff>47625</xdr:rowOff>
                  </from>
                  <to>
                    <xdr:col>1</xdr:col>
                    <xdr:colOff>2381250</xdr:colOff>
                    <xdr:row>6</xdr:row>
                    <xdr:rowOff>171450</xdr:rowOff>
                  </to>
                </anchor>
              </controlPr>
            </control>
          </mc:Choice>
        </mc:AlternateContent>
        <mc:AlternateContent xmlns:mc="http://schemas.openxmlformats.org/markup-compatibility/2006">
          <mc:Choice Requires="x14">
            <control shapeId="662563" r:id="rId6" name="Botón 89">
              <controlPr defaultSize="0" print="0" autoFill="0" autoPict="0" macro="[0]!IR_SALUDPOL">
                <anchor moveWithCells="1" sizeWithCells="1">
                  <from>
                    <xdr:col>1</xdr:col>
                    <xdr:colOff>981075</xdr:colOff>
                    <xdr:row>7</xdr:row>
                    <xdr:rowOff>28575</xdr:rowOff>
                  </from>
                  <to>
                    <xdr:col>1</xdr:col>
                    <xdr:colOff>1228725</xdr:colOff>
                    <xdr:row>7</xdr:row>
                    <xdr:rowOff>161925</xdr:rowOff>
                  </to>
                </anchor>
              </controlPr>
            </control>
          </mc:Choice>
        </mc:AlternateContent>
        <mc:AlternateContent xmlns:mc="http://schemas.openxmlformats.org/markup-compatibility/2006">
          <mc:Choice Requires="x14">
            <control shapeId="662568" r:id="rId7" name="Botón 14">
              <controlPr defaultSize="0" print="0" autoFill="0" autoPict="0" macro="[0]!IR_ESSALUD_CHACHAPOYAS">
                <anchor moveWithCells="1" sizeWithCells="1">
                  <from>
                    <xdr:col>1</xdr:col>
                    <xdr:colOff>3705225</xdr:colOff>
                    <xdr:row>4</xdr:row>
                    <xdr:rowOff>28575</xdr:rowOff>
                  </from>
                  <to>
                    <xdr:col>1</xdr:col>
                    <xdr:colOff>3990975</xdr:colOff>
                    <xdr:row>4</xdr:row>
                    <xdr:rowOff>152400</xdr:rowOff>
                  </to>
                </anchor>
              </controlPr>
            </control>
          </mc:Choice>
        </mc:AlternateContent>
        <mc:AlternateContent xmlns:mc="http://schemas.openxmlformats.org/markup-compatibility/2006">
          <mc:Choice Requires="x14">
            <control shapeId="662569" r:id="rId8" name="Button 41">
              <controlPr defaultSize="0" print="0" autoFill="0" autoPict="0" macro="[0]!IR_ESSALUD_CHACHAPOYAS">
                <anchor moveWithCells="1" sizeWithCells="1">
                  <from>
                    <xdr:col>1</xdr:col>
                    <xdr:colOff>3857625</xdr:colOff>
                    <xdr:row>5</xdr:row>
                    <xdr:rowOff>9525</xdr:rowOff>
                  </from>
                  <to>
                    <xdr:col>1</xdr:col>
                    <xdr:colOff>4143375</xdr:colOff>
                    <xdr:row>5</xdr:row>
                    <xdr:rowOff>142875</xdr:rowOff>
                  </to>
                </anchor>
              </controlPr>
            </control>
          </mc:Choice>
        </mc:AlternateContent>
        <mc:AlternateContent xmlns:mc="http://schemas.openxmlformats.org/markup-compatibility/2006">
          <mc:Choice Requires="x14">
            <control shapeId="662570" r:id="rId9" name="Botón 148">
              <controlPr defaultSize="0" print="0" autoFill="0" autoPict="0" macro="[0]!IR_ESSALUD_TARAPOTO">
                <anchor moveWithCells="1" sizeWithCells="1">
                  <from>
                    <xdr:col>1</xdr:col>
                    <xdr:colOff>2790825</xdr:colOff>
                    <xdr:row>3</xdr:row>
                    <xdr:rowOff>180975</xdr:rowOff>
                  </from>
                  <to>
                    <xdr:col>1</xdr:col>
                    <xdr:colOff>3009900</xdr:colOff>
                    <xdr:row>4</xdr:row>
                    <xdr:rowOff>0</xdr:rowOff>
                  </to>
                </anchor>
              </controlPr>
            </control>
          </mc:Choice>
        </mc:AlternateContent>
        <mc:AlternateContent xmlns:mc="http://schemas.openxmlformats.org/markup-compatibility/2006">
          <mc:Choice Requires="x14">
            <control shapeId="662573" r:id="rId10" name="Botón 176">
              <controlPr defaultSize="0" print="0" autoFill="0" autoPict="0" macro="[0]!IR_HOSP_REG_CUSCO">
                <anchor moveWithCells="1" sizeWithCells="1">
                  <from>
                    <xdr:col>1</xdr:col>
                    <xdr:colOff>1724025</xdr:colOff>
                    <xdr:row>9</xdr:row>
                    <xdr:rowOff>38100</xdr:rowOff>
                  </from>
                  <to>
                    <xdr:col>1</xdr:col>
                    <xdr:colOff>1990725</xdr:colOff>
                    <xdr:row>9</xdr:row>
                    <xdr:rowOff>171450</xdr:rowOff>
                  </to>
                </anchor>
              </controlPr>
            </control>
          </mc:Choice>
        </mc:AlternateContent>
        <mc:AlternateContent xmlns:mc="http://schemas.openxmlformats.org/markup-compatibility/2006">
          <mc:Choice Requires="x14">
            <control shapeId="662574" r:id="rId11" name="Botón 71">
              <controlPr defaultSize="0" print="0" autoFill="0" autoPict="0" macro="[0]!IR_HOSP_REG_LAMBAYEQUE">
                <anchor moveWithCells="1" sizeWithCells="1">
                  <from>
                    <xdr:col>1</xdr:col>
                    <xdr:colOff>1581150</xdr:colOff>
                    <xdr:row>8</xdr:row>
                    <xdr:rowOff>19050</xdr:rowOff>
                  </from>
                  <to>
                    <xdr:col>1</xdr:col>
                    <xdr:colOff>1847850</xdr:colOff>
                    <xdr:row>8</xdr:row>
                    <xdr:rowOff>152400</xdr:rowOff>
                  </to>
                </anchor>
              </controlPr>
            </control>
          </mc:Choice>
        </mc:AlternateContent>
        <mc:AlternateContent xmlns:mc="http://schemas.openxmlformats.org/markup-compatibility/2006">
          <mc:Choice Requires="x14">
            <control shapeId="662575" r:id="rId12" name="Botón 131">
              <controlPr defaultSize="0" print="0" autoFill="0" autoPict="0" macro="[0]!HOSP_HONORIO_DELGADO">
                <anchor moveWithCells="1" sizeWithCells="1">
                  <from>
                    <xdr:col>1</xdr:col>
                    <xdr:colOff>2533650</xdr:colOff>
                    <xdr:row>10</xdr:row>
                    <xdr:rowOff>9525</xdr:rowOff>
                  </from>
                  <to>
                    <xdr:col>1</xdr:col>
                    <xdr:colOff>2781300</xdr:colOff>
                    <xdr:row>10</xdr:row>
                    <xdr:rowOff>161925</xdr:rowOff>
                  </to>
                </anchor>
              </controlPr>
            </control>
          </mc:Choice>
        </mc:AlternateContent>
        <mc:AlternateContent xmlns:mc="http://schemas.openxmlformats.org/markup-compatibility/2006">
          <mc:Choice Requires="x14">
            <control shapeId="662576" r:id="rId13" name="Botón 73">
              <controlPr defaultSize="0" print="0" autoFill="0" autoPict="0" macro="[0]!IR_HOSP_REG_MANUEL_NUÑEZ_BUTRON_PUNO">
                <anchor moveWithCells="1" sizeWithCells="1">
                  <from>
                    <xdr:col>1</xdr:col>
                    <xdr:colOff>2743200</xdr:colOff>
                    <xdr:row>11</xdr:row>
                    <xdr:rowOff>9525</xdr:rowOff>
                  </from>
                  <to>
                    <xdr:col>1</xdr:col>
                    <xdr:colOff>2981325</xdr:colOff>
                    <xdr:row>11</xdr:row>
                    <xdr:rowOff>161925</xdr:rowOff>
                  </to>
                </anchor>
              </controlPr>
            </control>
          </mc:Choice>
        </mc:AlternateContent>
        <mc:AlternateContent xmlns:mc="http://schemas.openxmlformats.org/markup-compatibility/2006">
          <mc:Choice Requires="x14">
            <control shapeId="662577" r:id="rId14" name="Botón 10">
              <controlPr defaultSize="0" print="0" autoFill="0" autoPict="0" macro="[0]!IR_ESSALUD_AYACUCHO">
                <anchor moveWithCells="1" sizeWithCells="1">
                  <from>
                    <xdr:col>1</xdr:col>
                    <xdr:colOff>1562100</xdr:colOff>
                    <xdr:row>12</xdr:row>
                    <xdr:rowOff>38100</xdr:rowOff>
                  </from>
                  <to>
                    <xdr:col>1</xdr:col>
                    <xdr:colOff>1800225</xdr:colOff>
                    <xdr:row>12</xdr:row>
                    <xdr:rowOff>171450</xdr:rowOff>
                  </to>
                </anchor>
              </controlPr>
            </control>
          </mc:Choice>
        </mc:AlternateContent>
        <mc:AlternateContent xmlns:mc="http://schemas.openxmlformats.org/markup-compatibility/2006">
          <mc:Choice Requires="x14">
            <control shapeId="662578" r:id="rId15" name="Botón 66">
              <controlPr defaultSize="0" print="0" autoFill="0" autoPict="0" macro="[0]!IR_HOSP_HIPOLITO_UNANUE_TACNA">
                <anchor moveWithCells="1" sizeWithCells="1">
                  <from>
                    <xdr:col>1</xdr:col>
                    <xdr:colOff>2276475</xdr:colOff>
                    <xdr:row>13</xdr:row>
                    <xdr:rowOff>9525</xdr:rowOff>
                  </from>
                  <to>
                    <xdr:col>1</xdr:col>
                    <xdr:colOff>2562225</xdr:colOff>
                    <xdr:row>13</xdr:row>
                    <xdr:rowOff>161925</xdr:rowOff>
                  </to>
                </anchor>
              </controlPr>
            </control>
          </mc:Choice>
        </mc:AlternateContent>
        <mc:AlternateContent xmlns:mc="http://schemas.openxmlformats.org/markup-compatibility/2006">
          <mc:Choice Requires="x14">
            <control shapeId="662580" r:id="rId16" name="Botón 147">
              <controlPr defaultSize="0" print="0" autoFill="0" autoPict="0" macro="[0]!IR_HOSP_GEN_JAEN">
                <anchor moveWithCells="1" sizeWithCells="1">
                  <from>
                    <xdr:col>1</xdr:col>
                    <xdr:colOff>1628775</xdr:colOff>
                    <xdr:row>14</xdr:row>
                    <xdr:rowOff>0</xdr:rowOff>
                  </from>
                  <to>
                    <xdr:col>1</xdr:col>
                    <xdr:colOff>1952625</xdr:colOff>
                    <xdr:row>14</xdr:row>
                    <xdr:rowOff>161925</xdr:rowOff>
                  </to>
                </anchor>
              </controlPr>
            </control>
          </mc:Choice>
        </mc:AlternateContent>
        <mc:AlternateContent xmlns:mc="http://schemas.openxmlformats.org/markup-compatibility/2006">
          <mc:Choice Requires="x14">
            <control shapeId="662581" r:id="rId17" name="Botón 25">
              <controlPr defaultSize="0" print="0" autoFill="0" autoPict="0" macro="[0]!IR_ESSALUD_LORETO_CONTRATO_2022_23">
                <anchor moveWithCells="1" sizeWithCells="1">
                  <from>
                    <xdr:col>1</xdr:col>
                    <xdr:colOff>1162050</xdr:colOff>
                    <xdr:row>15</xdr:row>
                    <xdr:rowOff>28575</xdr:rowOff>
                  </from>
                  <to>
                    <xdr:col>1</xdr:col>
                    <xdr:colOff>1466850</xdr:colOff>
                    <xdr:row>15</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4"/>
  <dimension ref="A4:R50"/>
  <sheetViews>
    <sheetView workbookViewId="0">
      <selection activeCell="F25" sqref="F25"/>
    </sheetView>
  </sheetViews>
  <sheetFormatPr baseColWidth="10" defaultColWidth="10.85546875" defaultRowHeight="15" x14ac:dyDescent="0.25"/>
  <cols>
    <col min="2" max="2" width="24.28515625" bestFit="1" customWidth="1"/>
    <col min="3" max="3" width="33.5703125" customWidth="1"/>
    <col min="4" max="4" width="19.7109375" bestFit="1" customWidth="1"/>
    <col min="6" max="6" width="35.140625" bestFit="1" customWidth="1"/>
    <col min="7" max="7" width="15.5703125" bestFit="1" customWidth="1"/>
    <col min="8" max="8" width="19.7109375" bestFit="1" customWidth="1"/>
    <col min="9" max="9" width="10" bestFit="1" customWidth="1"/>
    <col min="10" max="10" width="29.140625" bestFit="1" customWidth="1"/>
    <col min="11" max="11" width="14.140625" bestFit="1" customWidth="1"/>
    <col min="12" max="12" width="19.7109375" bestFit="1" customWidth="1"/>
    <col min="15" max="15" width="18.42578125" customWidth="1"/>
  </cols>
  <sheetData>
    <row r="4" spans="1:18" s="25" customFormat="1" x14ac:dyDescent="0.25">
      <c r="A4" s="25" t="s">
        <v>931</v>
      </c>
      <c r="B4" s="25" t="s">
        <v>932</v>
      </c>
      <c r="C4" s="25" t="s">
        <v>933</v>
      </c>
      <c r="D4" s="25" t="s">
        <v>934</v>
      </c>
      <c r="E4" s="25" t="s">
        <v>935</v>
      </c>
      <c r="F4" s="25" t="s">
        <v>936</v>
      </c>
      <c r="G4" s="25" t="s">
        <v>937</v>
      </c>
      <c r="H4" s="25" t="s">
        <v>934</v>
      </c>
      <c r="I4" s="25" t="s">
        <v>935</v>
      </c>
      <c r="J4" s="25" t="s">
        <v>936</v>
      </c>
      <c r="K4" s="25" t="s">
        <v>980</v>
      </c>
      <c r="L4" s="25" t="s">
        <v>934</v>
      </c>
      <c r="M4" s="25" t="s">
        <v>935</v>
      </c>
      <c r="N4" s="25" t="s">
        <v>936</v>
      </c>
      <c r="O4" s="25" t="s">
        <v>2080</v>
      </c>
      <c r="P4" s="25" t="s">
        <v>934</v>
      </c>
      <c r="Q4" s="25" t="s">
        <v>935</v>
      </c>
      <c r="R4" s="25" t="s">
        <v>936</v>
      </c>
    </row>
    <row r="5" spans="1:18" s="28" customFormat="1" x14ac:dyDescent="0.25">
      <c r="B5" s="30" t="s">
        <v>607</v>
      </c>
      <c r="C5" s="28" t="s">
        <v>938</v>
      </c>
      <c r="D5" s="28" t="s">
        <v>939</v>
      </c>
      <c r="E5" s="28">
        <v>982119994</v>
      </c>
      <c r="F5" s="173" t="s">
        <v>940</v>
      </c>
    </row>
    <row r="6" spans="1:18" s="241" customFormat="1" x14ac:dyDescent="0.25">
      <c r="B6" s="199" t="s">
        <v>609</v>
      </c>
      <c r="C6" s="241" t="s">
        <v>941</v>
      </c>
      <c r="D6" s="241" t="s">
        <v>939</v>
      </c>
      <c r="E6" s="241">
        <v>995801166</v>
      </c>
      <c r="F6" s="516" t="s">
        <v>942</v>
      </c>
    </row>
    <row r="7" spans="1:18" s="28" customFormat="1" x14ac:dyDescent="0.25">
      <c r="B7" s="30" t="s">
        <v>943</v>
      </c>
      <c r="C7" s="28" t="s">
        <v>944</v>
      </c>
      <c r="D7" s="28" t="s">
        <v>939</v>
      </c>
      <c r="E7" s="28">
        <v>995652515</v>
      </c>
      <c r="F7" s="173" t="s">
        <v>945</v>
      </c>
      <c r="G7" s="28" t="s">
        <v>3628</v>
      </c>
      <c r="H7" s="28" t="s">
        <v>763</v>
      </c>
      <c r="I7" s="28">
        <v>965989134</v>
      </c>
      <c r="J7" s="173"/>
      <c r="K7" s="28" t="s">
        <v>3629</v>
      </c>
      <c r="L7" s="28" t="s">
        <v>981</v>
      </c>
      <c r="M7" s="28">
        <v>977181171</v>
      </c>
    </row>
    <row r="8" spans="1:18" s="28" customFormat="1" x14ac:dyDescent="0.25">
      <c r="B8" s="30" t="s">
        <v>611</v>
      </c>
      <c r="C8" s="28" t="s">
        <v>2078</v>
      </c>
      <c r="D8" s="28" t="s">
        <v>2077</v>
      </c>
      <c r="E8" s="28" t="s">
        <v>2076</v>
      </c>
      <c r="F8" s="173" t="s">
        <v>2075</v>
      </c>
      <c r="G8" s="28" t="s">
        <v>3630</v>
      </c>
      <c r="H8" s="28" t="s">
        <v>981</v>
      </c>
      <c r="I8" s="28">
        <v>938487369</v>
      </c>
      <c r="J8" s="517" t="s">
        <v>3631</v>
      </c>
      <c r="N8" s="173" t="s">
        <v>3632</v>
      </c>
      <c r="R8" s="173"/>
    </row>
    <row r="9" spans="1:18" s="28" customFormat="1" x14ac:dyDescent="0.25">
      <c r="B9" s="30" t="s">
        <v>576</v>
      </c>
      <c r="C9" s="28" t="s">
        <v>2072</v>
      </c>
      <c r="D9" s="28" t="s">
        <v>2074</v>
      </c>
      <c r="E9" s="28">
        <v>971791960</v>
      </c>
      <c r="F9" s="173" t="s">
        <v>2073</v>
      </c>
      <c r="G9" s="28" t="s">
        <v>946</v>
      </c>
      <c r="H9" s="28" t="s">
        <v>939</v>
      </c>
      <c r="I9" s="28">
        <v>971866295</v>
      </c>
      <c r="J9" s="173" t="s">
        <v>2079</v>
      </c>
    </row>
    <row r="10" spans="1:18" s="28" customFormat="1" x14ac:dyDescent="0.25">
      <c r="B10" s="30" t="s">
        <v>930</v>
      </c>
      <c r="C10" s="28" t="s">
        <v>2081</v>
      </c>
      <c r="D10" s="28" t="s">
        <v>939</v>
      </c>
      <c r="F10" s="173" t="s">
        <v>2082</v>
      </c>
      <c r="G10" s="28" t="s">
        <v>948</v>
      </c>
      <c r="H10" s="28" t="s">
        <v>949</v>
      </c>
      <c r="I10" s="28">
        <v>986527556</v>
      </c>
      <c r="J10" s="173" t="s">
        <v>950</v>
      </c>
      <c r="K10" s="28" t="s">
        <v>3636</v>
      </c>
      <c r="L10" s="28" t="s">
        <v>3635</v>
      </c>
      <c r="M10" s="28">
        <v>906524254</v>
      </c>
      <c r="N10" s="517" t="s">
        <v>3637</v>
      </c>
      <c r="R10" s="173" t="s">
        <v>2085</v>
      </c>
    </row>
    <row r="11" spans="1:18" s="28" customFormat="1" x14ac:dyDescent="0.25">
      <c r="B11" s="30" t="s">
        <v>610</v>
      </c>
      <c r="C11" s="28" t="s">
        <v>3634</v>
      </c>
      <c r="D11" s="28" t="s">
        <v>939</v>
      </c>
      <c r="E11" s="28">
        <v>955642377</v>
      </c>
      <c r="F11" s="173" t="s">
        <v>3633</v>
      </c>
      <c r="G11" s="28" t="s">
        <v>3638</v>
      </c>
      <c r="H11" s="28" t="s">
        <v>939</v>
      </c>
      <c r="I11" s="28">
        <v>961102441</v>
      </c>
    </row>
    <row r="12" spans="1:18" s="28" customFormat="1" ht="45" x14ac:dyDescent="0.25">
      <c r="B12" s="30" t="s">
        <v>859</v>
      </c>
      <c r="C12" s="28" t="s">
        <v>3626</v>
      </c>
      <c r="D12" s="28" t="s">
        <v>981</v>
      </c>
      <c r="E12" s="28">
        <v>976559531</v>
      </c>
      <c r="F12" s="515" t="s">
        <v>3627</v>
      </c>
      <c r="G12" s="28" t="s">
        <v>3624</v>
      </c>
      <c r="H12" s="28" t="s">
        <v>939</v>
      </c>
      <c r="I12" s="28">
        <v>976372567</v>
      </c>
      <c r="J12" s="173" t="s">
        <v>3625</v>
      </c>
    </row>
    <row r="13" spans="1:18" s="28" customFormat="1" x14ac:dyDescent="0.25">
      <c r="B13" s="30" t="s">
        <v>951</v>
      </c>
      <c r="C13" s="28" t="s">
        <v>952</v>
      </c>
      <c r="D13" s="28" t="s">
        <v>939</v>
      </c>
      <c r="E13" s="28">
        <v>962134483</v>
      </c>
      <c r="F13" s="173" t="s">
        <v>953</v>
      </c>
    </row>
    <row r="14" spans="1:18" s="28" customFormat="1" ht="45" x14ac:dyDescent="0.25">
      <c r="B14" s="30" t="s">
        <v>2088</v>
      </c>
      <c r="G14" s="28" t="s">
        <v>2086</v>
      </c>
      <c r="H14" s="28" t="s">
        <v>2087</v>
      </c>
      <c r="I14" s="28">
        <v>970050503</v>
      </c>
      <c r="J14" s="515" t="s">
        <v>3623</v>
      </c>
      <c r="L14" s="28" t="s">
        <v>1150</v>
      </c>
      <c r="M14" s="28">
        <v>970050503</v>
      </c>
    </row>
    <row r="15" spans="1:18" s="28" customFormat="1" x14ac:dyDescent="0.25">
      <c r="B15" s="30" t="s">
        <v>1038</v>
      </c>
      <c r="C15" s="28" t="s">
        <v>3622</v>
      </c>
      <c r="D15" s="28" t="s">
        <v>981</v>
      </c>
      <c r="E15" s="28">
        <v>938285256</v>
      </c>
      <c r="F15" s="173" t="s">
        <v>3621</v>
      </c>
      <c r="G15" s="28" t="s">
        <v>955</v>
      </c>
      <c r="H15" s="28" t="s">
        <v>939</v>
      </c>
      <c r="I15" s="28">
        <v>956061546</v>
      </c>
      <c r="J15" s="173" t="s">
        <v>956</v>
      </c>
    </row>
    <row r="16" spans="1:18" s="28" customFormat="1" x14ac:dyDescent="0.25">
      <c r="B16" s="30" t="s">
        <v>957</v>
      </c>
      <c r="C16" s="174"/>
      <c r="D16" s="28" t="s">
        <v>939</v>
      </c>
      <c r="E16" s="28">
        <v>967692391</v>
      </c>
      <c r="F16" s="173" t="s">
        <v>958</v>
      </c>
      <c r="J16" s="173" t="s">
        <v>959</v>
      </c>
    </row>
    <row r="17" spans="2:10" s="28" customFormat="1" x14ac:dyDescent="0.25">
      <c r="B17" s="30" t="s">
        <v>762</v>
      </c>
      <c r="C17" s="28" t="s">
        <v>960</v>
      </c>
      <c r="D17" s="28" t="s">
        <v>961</v>
      </c>
      <c r="E17" s="28">
        <v>942655701</v>
      </c>
      <c r="F17" s="173" t="s">
        <v>962</v>
      </c>
    </row>
    <row r="18" spans="2:10" s="28" customFormat="1" x14ac:dyDescent="0.25">
      <c r="B18" s="30" t="s">
        <v>1164</v>
      </c>
      <c r="C18" s="28" t="s">
        <v>2067</v>
      </c>
      <c r="D18" s="28" t="s">
        <v>961</v>
      </c>
      <c r="F18" s="173" t="s">
        <v>2068</v>
      </c>
    </row>
    <row r="19" spans="2:10" s="28" customFormat="1" ht="47.1" customHeight="1" x14ac:dyDescent="0.25">
      <c r="B19" s="30" t="s">
        <v>613</v>
      </c>
      <c r="C19" s="28" t="s">
        <v>3619</v>
      </c>
      <c r="D19" s="28" t="s">
        <v>981</v>
      </c>
      <c r="E19" s="28">
        <v>947009822</v>
      </c>
      <c r="F19" s="515" t="s">
        <v>3620</v>
      </c>
      <c r="G19" s="28" t="s">
        <v>947</v>
      </c>
      <c r="H19" s="28" t="s">
        <v>2084</v>
      </c>
      <c r="I19" s="28">
        <v>942911246</v>
      </c>
      <c r="J19" s="173" t="s">
        <v>2083</v>
      </c>
    </row>
    <row r="20" spans="2:10" s="28" customFormat="1" x14ac:dyDescent="0.25">
      <c r="B20" s="30" t="s">
        <v>2471</v>
      </c>
      <c r="C20" s="28" t="s">
        <v>2588</v>
      </c>
      <c r="D20" s="28" t="s">
        <v>939</v>
      </c>
      <c r="E20" s="28">
        <v>951921578</v>
      </c>
      <c r="F20" s="173"/>
      <c r="G20" s="173"/>
    </row>
    <row r="21" spans="2:10" s="28" customFormat="1" x14ac:dyDescent="0.25">
      <c r="B21" s="30" t="s">
        <v>842</v>
      </c>
      <c r="C21" s="28" t="s">
        <v>3641</v>
      </c>
      <c r="D21" s="28" t="s">
        <v>939</v>
      </c>
      <c r="E21" s="28">
        <v>981322190</v>
      </c>
      <c r="F21" s="173" t="s">
        <v>3642</v>
      </c>
      <c r="G21" s="173"/>
    </row>
    <row r="22" spans="2:10" s="28" customFormat="1" x14ac:dyDescent="0.25">
      <c r="B22" s="30" t="s">
        <v>3640</v>
      </c>
      <c r="C22" s="28" t="s">
        <v>3643</v>
      </c>
      <c r="D22" s="28" t="s">
        <v>3644</v>
      </c>
      <c r="E22" s="28">
        <v>986614410</v>
      </c>
      <c r="F22" s="173"/>
      <c r="G22" s="173"/>
    </row>
    <row r="23" spans="2:10" s="28" customFormat="1" x14ac:dyDescent="0.25">
      <c r="B23" s="30" t="s">
        <v>3794</v>
      </c>
      <c r="C23" s="28" t="s">
        <v>3795</v>
      </c>
      <c r="D23" s="28" t="s">
        <v>939</v>
      </c>
      <c r="E23" s="28">
        <v>976500153</v>
      </c>
      <c r="F23" s="173"/>
      <c r="G23" s="173"/>
    </row>
    <row r="24" spans="2:10" s="28" customFormat="1" x14ac:dyDescent="0.25">
      <c r="B24" s="30" t="s">
        <v>3409</v>
      </c>
      <c r="C24" s="28" t="s">
        <v>4024</v>
      </c>
      <c r="D24" s="28" t="s">
        <v>4025</v>
      </c>
      <c r="E24" s="28">
        <v>902130563</v>
      </c>
      <c r="F24" s="173"/>
      <c r="G24" s="28" t="s">
        <v>4026</v>
      </c>
      <c r="H24" s="28" t="s">
        <v>939</v>
      </c>
      <c r="I24" s="28">
        <v>943917858</v>
      </c>
    </row>
    <row r="25" spans="2:10" s="28" customFormat="1" x14ac:dyDescent="0.25">
      <c r="B25" s="30"/>
      <c r="F25" s="30"/>
    </row>
    <row r="26" spans="2:10" s="28" customFormat="1" x14ac:dyDescent="0.25">
      <c r="B26" s="30"/>
      <c r="F26" s="173"/>
    </row>
    <row r="27" spans="2:10" s="28" customFormat="1" x14ac:dyDescent="0.25">
      <c r="F27" s="173"/>
    </row>
    <row r="28" spans="2:10" s="28" customFormat="1" x14ac:dyDescent="0.25">
      <c r="F28" s="173"/>
    </row>
    <row r="29" spans="2:10" s="28" customFormat="1" x14ac:dyDescent="0.25">
      <c r="F29" s="173"/>
    </row>
    <row r="30" spans="2:10" s="28" customFormat="1" x14ac:dyDescent="0.25">
      <c r="F30" s="173"/>
    </row>
    <row r="31" spans="2:10" s="28" customFormat="1" x14ac:dyDescent="0.25">
      <c r="F31" s="173"/>
    </row>
    <row r="32" spans="2:10" s="28" customFormat="1" x14ac:dyDescent="0.25">
      <c r="F32" s="173"/>
    </row>
    <row r="33" spans="6:6" s="28" customFormat="1" x14ac:dyDescent="0.25">
      <c r="F33" s="173"/>
    </row>
    <row r="34" spans="6:6" s="28" customFormat="1" x14ac:dyDescent="0.25">
      <c r="F34" s="173"/>
    </row>
    <row r="35" spans="6:6" s="28" customFormat="1" x14ac:dyDescent="0.25">
      <c r="F35" s="173"/>
    </row>
    <row r="36" spans="6:6" s="28" customFormat="1" x14ac:dyDescent="0.25">
      <c r="F36" s="173"/>
    </row>
    <row r="37" spans="6:6" s="28" customFormat="1" x14ac:dyDescent="0.25">
      <c r="F37" s="173"/>
    </row>
    <row r="38" spans="6:6" s="28" customFormat="1" x14ac:dyDescent="0.25">
      <c r="F38" s="173"/>
    </row>
    <row r="39" spans="6:6" s="28" customFormat="1" x14ac:dyDescent="0.25">
      <c r="F39" s="173"/>
    </row>
    <row r="40" spans="6:6" s="28" customFormat="1" x14ac:dyDescent="0.25">
      <c r="F40" s="173"/>
    </row>
    <row r="41" spans="6:6" s="28" customFormat="1" x14ac:dyDescent="0.25">
      <c r="F41" s="173"/>
    </row>
    <row r="42" spans="6:6" s="28" customFormat="1" x14ac:dyDescent="0.25">
      <c r="F42" s="173"/>
    </row>
    <row r="43" spans="6:6" s="28" customFormat="1" x14ac:dyDescent="0.25">
      <c r="F43" s="173"/>
    </row>
    <row r="44" spans="6:6" s="28" customFormat="1" x14ac:dyDescent="0.25">
      <c r="F44" s="173"/>
    </row>
    <row r="45" spans="6:6" s="28" customFormat="1" x14ac:dyDescent="0.25">
      <c r="F45" s="173"/>
    </row>
    <row r="46" spans="6:6" s="28" customFormat="1" x14ac:dyDescent="0.25">
      <c r="F46" s="173"/>
    </row>
    <row r="47" spans="6:6" s="28" customFormat="1" x14ac:dyDescent="0.25">
      <c r="F47" s="173"/>
    </row>
    <row r="48" spans="6:6" s="28" customFormat="1" x14ac:dyDescent="0.25">
      <c r="F48" s="173"/>
    </row>
    <row r="49" spans="6:6" s="28" customFormat="1" x14ac:dyDescent="0.25">
      <c r="F49" s="173"/>
    </row>
    <row r="50" spans="6:6" s="28" customFormat="1" x14ac:dyDescent="0.25">
      <c r="F50" s="173"/>
    </row>
  </sheetData>
  <hyperlinks>
    <hyperlink ref="F5" r:id="rId1" xr:uid="{00000000-0004-0000-0200-000000000000}"/>
    <hyperlink ref="F7" r:id="rId2" xr:uid="{00000000-0004-0000-0200-000001000000}"/>
    <hyperlink ref="J15" r:id="rId3" xr:uid="{00000000-0004-0000-0200-000002000000}"/>
    <hyperlink ref="J10" r:id="rId4" xr:uid="{00000000-0004-0000-0200-000003000000}"/>
    <hyperlink ref="F17" r:id="rId5" xr:uid="{00000000-0004-0000-0200-000004000000}"/>
    <hyperlink ref="F16" r:id="rId6" xr:uid="{00000000-0004-0000-0200-000005000000}"/>
    <hyperlink ref="J16" r:id="rId7" xr:uid="{00000000-0004-0000-0200-000006000000}"/>
    <hyperlink ref="F6" r:id="rId8" xr:uid="{00000000-0004-0000-0200-000007000000}"/>
    <hyperlink ref="F13" r:id="rId9" xr:uid="{00000000-0004-0000-0200-000008000000}"/>
    <hyperlink ref="F18" r:id="rId10" xr:uid="{00000000-0004-0000-0200-000009000000}"/>
    <hyperlink ref="F8" r:id="rId11" xr:uid="{00000000-0004-0000-0200-00000A000000}"/>
    <hyperlink ref="F9" r:id="rId12" xr:uid="{00000000-0004-0000-0200-00000B000000}"/>
    <hyperlink ref="J9" r:id="rId13" xr:uid="{00000000-0004-0000-0200-00000C000000}"/>
    <hyperlink ref="F10" r:id="rId14" xr:uid="{00000000-0004-0000-0200-00000D000000}"/>
    <hyperlink ref="J19" r:id="rId15" xr:uid="{00000000-0004-0000-0200-00000E000000}"/>
    <hyperlink ref="R10" r:id="rId16" xr:uid="{00000000-0004-0000-0200-00000F000000}"/>
    <hyperlink ref="J14" r:id="rId17" display="zulygch@hotmail.com" xr:uid="{00000000-0004-0000-0200-000010000000}"/>
    <hyperlink ref="F19" r:id="rId18" display="geancarlo.casamayor@essalud.gob.pe_x000a_" xr:uid="{00000000-0004-0000-0200-000011000000}"/>
    <hyperlink ref="F15" r:id="rId19" xr:uid="{00000000-0004-0000-0200-000012000000}"/>
    <hyperlink ref="J12" r:id="rId20" xr:uid="{00000000-0004-0000-0200-000013000000}"/>
    <hyperlink ref="F12" r:id="rId21" display="carlos.lopeza@essalud.gob.pe" xr:uid="{00000000-0004-0000-0200-000014000000}"/>
    <hyperlink ref="J8" r:id="rId22" xr:uid="{00000000-0004-0000-0200-000015000000}"/>
    <hyperlink ref="N8" r:id="rId23" xr:uid="{00000000-0004-0000-0200-000016000000}"/>
    <hyperlink ref="F11" r:id="rId24" xr:uid="{00000000-0004-0000-0200-000017000000}"/>
    <hyperlink ref="N10" r:id="rId25" xr:uid="{00000000-0004-0000-0200-000018000000}"/>
    <hyperlink ref="F21" r:id="rId26" xr:uid="{00000000-0004-0000-0200-000019000000}"/>
  </hyperlinks>
  <pageMargins left="0.7" right="0.7" top="0.75" bottom="0.75" header="0.3" footer="0.3"/>
  <pageSetup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663556" r:id="rId30" name="Botón 4">
              <controlPr defaultSize="0" print="0" autoFill="0" autoPict="0" macro="[0]!IR_VENTAS_B200_2026">
                <anchor moveWithCells="1" sizeWithCells="1">
                  <from>
                    <xdr:col>1</xdr:col>
                    <xdr:colOff>390525</xdr:colOff>
                    <xdr:row>25</xdr:row>
                    <xdr:rowOff>152400</xdr:rowOff>
                  </from>
                  <to>
                    <xdr:col>1</xdr:col>
                    <xdr:colOff>1685925</xdr:colOff>
                    <xdr:row>29</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0" filterMode="1"/>
  <dimension ref="A1:W79"/>
  <sheetViews>
    <sheetView workbookViewId="0">
      <selection activeCell="G54" sqref="G54"/>
    </sheetView>
  </sheetViews>
  <sheetFormatPr baseColWidth="10" defaultColWidth="10.85546875" defaultRowHeight="15" x14ac:dyDescent="0.25"/>
  <cols>
    <col min="2" max="2" width="33.7109375" customWidth="1"/>
    <col min="7" max="7" width="26.85546875" customWidth="1"/>
    <col min="8" max="8" width="18.42578125" customWidth="1"/>
    <col min="9" max="9" width="12.5703125" style="32" bestFit="1" customWidth="1"/>
  </cols>
  <sheetData>
    <row r="1" spans="1:23" ht="23.1" customHeight="1" x14ac:dyDescent="0.25"/>
    <row r="2" spans="1:23" x14ac:dyDescent="0.25">
      <c r="B2" s="1" t="s">
        <v>0</v>
      </c>
      <c r="C2" s="1" t="s">
        <v>1</v>
      </c>
      <c r="D2" s="1" t="s">
        <v>2</v>
      </c>
      <c r="E2" s="1"/>
      <c r="F2" s="1" t="s">
        <v>3</v>
      </c>
      <c r="G2" s="1" t="s">
        <v>4</v>
      </c>
      <c r="H2" s="1" t="s">
        <v>5</v>
      </c>
      <c r="I2" s="87" t="s">
        <v>6</v>
      </c>
      <c r="J2" s="1" t="s">
        <v>1780</v>
      </c>
      <c r="K2" s="1" t="s">
        <v>8</v>
      </c>
      <c r="L2" s="94" t="s">
        <v>3998</v>
      </c>
      <c r="M2" s="1" t="s">
        <v>10</v>
      </c>
      <c r="N2" s="1480" t="s">
        <v>11</v>
      </c>
      <c r="O2" s="1480"/>
      <c r="P2" s="1480"/>
      <c r="Q2" s="1480"/>
    </row>
    <row r="3" spans="1:23" ht="15" hidden="1" customHeight="1" x14ac:dyDescent="0.25">
      <c r="B3" t="s">
        <v>565</v>
      </c>
      <c r="C3" t="s">
        <v>27</v>
      </c>
      <c r="D3" s="2">
        <v>44595</v>
      </c>
      <c r="E3">
        <v>2.6</v>
      </c>
      <c r="F3" t="s">
        <v>545</v>
      </c>
      <c r="G3" t="s">
        <v>277</v>
      </c>
      <c r="I3" s="3">
        <v>21890</v>
      </c>
      <c r="K3" t="s">
        <v>297</v>
      </c>
    </row>
    <row r="4" spans="1:23" ht="15" hidden="1" customHeight="1" x14ac:dyDescent="0.25">
      <c r="B4" t="s">
        <v>565</v>
      </c>
      <c r="C4" t="s">
        <v>27</v>
      </c>
      <c r="D4" s="2">
        <v>44604</v>
      </c>
      <c r="E4">
        <v>2.6</v>
      </c>
      <c r="F4" t="s">
        <v>545</v>
      </c>
      <c r="G4" t="s">
        <v>566</v>
      </c>
      <c r="I4" s="3">
        <v>21890</v>
      </c>
      <c r="K4" t="s">
        <v>297</v>
      </c>
    </row>
    <row r="5" spans="1:23" ht="15" hidden="1" customHeight="1" x14ac:dyDescent="0.25">
      <c r="B5" t="s">
        <v>575</v>
      </c>
      <c r="C5" t="s">
        <v>27</v>
      </c>
      <c r="D5" s="2">
        <v>44608</v>
      </c>
      <c r="E5">
        <v>2.6</v>
      </c>
      <c r="F5" t="s">
        <v>545</v>
      </c>
      <c r="I5" s="3">
        <v>21890</v>
      </c>
      <c r="K5" t="s">
        <v>297</v>
      </c>
    </row>
    <row r="6" spans="1:23" hidden="1" x14ac:dyDescent="0.25">
      <c r="B6" t="s">
        <v>575</v>
      </c>
      <c r="C6" t="s">
        <v>67</v>
      </c>
      <c r="D6" s="2">
        <v>44615</v>
      </c>
      <c r="E6">
        <v>2.6</v>
      </c>
      <c r="F6" t="s">
        <v>545</v>
      </c>
      <c r="G6" t="s">
        <v>587</v>
      </c>
      <c r="H6" t="s">
        <v>593</v>
      </c>
      <c r="I6" s="32">
        <v>21890</v>
      </c>
      <c r="K6" t="s">
        <v>297</v>
      </c>
      <c r="L6" s="2">
        <v>44624</v>
      </c>
      <c r="M6" t="s">
        <v>18</v>
      </c>
    </row>
    <row r="7" spans="1:23" hidden="1" x14ac:dyDescent="0.25">
      <c r="B7" t="s">
        <v>565</v>
      </c>
      <c r="C7" t="s">
        <v>27</v>
      </c>
      <c r="D7" s="2">
        <v>44624</v>
      </c>
      <c r="E7">
        <v>2.6</v>
      </c>
      <c r="F7" t="s">
        <v>594</v>
      </c>
      <c r="G7" t="s">
        <v>277</v>
      </c>
      <c r="H7" t="s">
        <v>633</v>
      </c>
      <c r="I7" s="32">
        <v>21890</v>
      </c>
      <c r="K7" t="s">
        <v>297</v>
      </c>
      <c r="L7" s="2">
        <v>44630</v>
      </c>
      <c r="M7" t="s">
        <v>719</v>
      </c>
    </row>
    <row r="8" spans="1:23" hidden="1" x14ac:dyDescent="0.25">
      <c r="B8" t="s">
        <v>565</v>
      </c>
      <c r="C8" t="s">
        <v>67</v>
      </c>
      <c r="D8" s="2">
        <v>44639</v>
      </c>
      <c r="E8" s="32">
        <v>2.6</v>
      </c>
      <c r="F8" t="s">
        <v>545</v>
      </c>
      <c r="G8" t="s">
        <v>666</v>
      </c>
      <c r="H8" t="s">
        <v>665</v>
      </c>
      <c r="I8" s="32">
        <v>21890</v>
      </c>
      <c r="K8" t="s">
        <v>297</v>
      </c>
      <c r="L8" s="2">
        <v>44644</v>
      </c>
      <c r="M8" t="s">
        <v>719</v>
      </c>
      <c r="N8" t="s">
        <v>659</v>
      </c>
      <c r="O8" s="14">
        <v>0.52152777777777781</v>
      </c>
      <c r="P8" s="14">
        <v>0.18124999999999999</v>
      </c>
      <c r="R8" t="s">
        <v>657</v>
      </c>
    </row>
    <row r="9" spans="1:23" hidden="1" x14ac:dyDescent="0.25">
      <c r="B9" t="s">
        <v>565</v>
      </c>
      <c r="C9" t="s">
        <v>660</v>
      </c>
      <c r="D9" s="2">
        <v>44644</v>
      </c>
      <c r="E9" s="32">
        <v>2.6</v>
      </c>
      <c r="F9" t="s">
        <v>674</v>
      </c>
      <c r="G9" t="s">
        <v>716</v>
      </c>
      <c r="H9" t="s">
        <v>682</v>
      </c>
      <c r="I9" s="32">
        <v>21890</v>
      </c>
      <c r="K9" t="s">
        <v>297</v>
      </c>
      <c r="L9" s="2">
        <v>44646</v>
      </c>
      <c r="M9" t="s">
        <v>719</v>
      </c>
      <c r="N9" t="s">
        <v>653</v>
      </c>
    </row>
    <row r="10" spans="1:23" hidden="1" x14ac:dyDescent="0.25">
      <c r="B10" t="s">
        <v>565</v>
      </c>
      <c r="C10" t="s">
        <v>27</v>
      </c>
      <c r="D10" s="2">
        <v>44645</v>
      </c>
      <c r="E10" s="32">
        <v>2.6</v>
      </c>
      <c r="F10" t="s">
        <v>545</v>
      </c>
      <c r="G10" t="s">
        <v>715</v>
      </c>
      <c r="H10" t="s">
        <v>741</v>
      </c>
      <c r="I10" s="32">
        <v>21890</v>
      </c>
      <c r="K10" t="s">
        <v>297</v>
      </c>
      <c r="L10" s="2">
        <v>44656</v>
      </c>
      <c r="N10" t="s">
        <v>683</v>
      </c>
    </row>
    <row r="11" spans="1:23" hidden="1" x14ac:dyDescent="0.25">
      <c r="B11" t="s">
        <v>565</v>
      </c>
      <c r="C11" t="s">
        <v>27</v>
      </c>
      <c r="D11" s="2">
        <v>44646</v>
      </c>
      <c r="E11" s="32">
        <v>2.6</v>
      </c>
      <c r="F11" t="s">
        <v>545</v>
      </c>
      <c r="G11" t="s">
        <v>689</v>
      </c>
      <c r="H11" t="s">
        <v>740</v>
      </c>
      <c r="I11" s="32">
        <v>21890</v>
      </c>
      <c r="K11" t="s">
        <v>297</v>
      </c>
      <c r="L11" s="2">
        <v>44656</v>
      </c>
      <c r="N11" t="s">
        <v>653</v>
      </c>
      <c r="O11" s="14">
        <v>0.5180555555555556</v>
      </c>
      <c r="P11" s="14">
        <v>0.65416666666666667</v>
      </c>
    </row>
    <row r="12" spans="1:23" hidden="1" x14ac:dyDescent="0.25">
      <c r="A12" s="116" t="s">
        <v>709</v>
      </c>
      <c r="B12" t="s">
        <v>565</v>
      </c>
      <c r="C12" t="s">
        <v>693</v>
      </c>
      <c r="D12" s="2">
        <v>44656</v>
      </c>
      <c r="E12" s="32">
        <v>2.6</v>
      </c>
      <c r="F12" t="s">
        <v>545</v>
      </c>
      <c r="G12" t="s">
        <v>723</v>
      </c>
      <c r="H12" t="s">
        <v>739</v>
      </c>
      <c r="I12" s="32">
        <v>30200</v>
      </c>
      <c r="J12" s="32"/>
      <c r="K12" t="s">
        <v>297</v>
      </c>
      <c r="L12" s="2">
        <v>44659</v>
      </c>
      <c r="N12" t="s">
        <v>694</v>
      </c>
      <c r="P12" s="32"/>
      <c r="T12" t="s">
        <v>712</v>
      </c>
    </row>
    <row r="13" spans="1:23" hidden="1" x14ac:dyDescent="0.25">
      <c r="A13" s="116" t="s">
        <v>732</v>
      </c>
      <c r="B13" t="s">
        <v>565</v>
      </c>
      <c r="C13" t="s">
        <v>693</v>
      </c>
      <c r="D13" s="2">
        <v>44659</v>
      </c>
      <c r="E13" s="32">
        <v>2.6</v>
      </c>
      <c r="F13" t="s">
        <v>545</v>
      </c>
      <c r="G13" t="s">
        <v>789</v>
      </c>
      <c r="H13" t="s">
        <v>738</v>
      </c>
      <c r="I13" s="32">
        <v>21890</v>
      </c>
      <c r="J13" s="32"/>
      <c r="K13" s="32" t="s">
        <v>297</v>
      </c>
      <c r="L13" s="2">
        <v>44670</v>
      </c>
      <c r="O13" t="s">
        <v>652</v>
      </c>
      <c r="P13" s="14">
        <v>0.64444444444444449</v>
      </c>
    </row>
    <row r="14" spans="1:23" hidden="1" x14ac:dyDescent="0.25">
      <c r="A14" s="115">
        <v>14042022</v>
      </c>
      <c r="B14" t="s">
        <v>565</v>
      </c>
      <c r="C14" t="s">
        <v>410</v>
      </c>
      <c r="D14" s="2">
        <v>44665</v>
      </c>
      <c r="E14" s="32">
        <v>2.6</v>
      </c>
      <c r="F14" t="s">
        <v>545</v>
      </c>
      <c r="G14" t="s">
        <v>761</v>
      </c>
      <c r="H14" t="s">
        <v>788</v>
      </c>
      <c r="I14" s="32">
        <v>21890</v>
      </c>
      <c r="J14" s="32"/>
      <c r="K14" t="s">
        <v>297</v>
      </c>
      <c r="L14" s="2">
        <v>44679</v>
      </c>
      <c r="O14" t="s">
        <v>652</v>
      </c>
      <c r="P14" s="14">
        <v>0.60138888888888886</v>
      </c>
      <c r="Q14" s="14">
        <v>0.71250000000000002</v>
      </c>
      <c r="W14" t="s">
        <v>768</v>
      </c>
    </row>
    <row r="15" spans="1:23" hidden="1" x14ac:dyDescent="0.25">
      <c r="A15" s="115">
        <v>21042022</v>
      </c>
      <c r="B15" t="s">
        <v>565</v>
      </c>
      <c r="C15" t="s">
        <v>410</v>
      </c>
      <c r="D15" s="2">
        <v>44672</v>
      </c>
      <c r="E15" s="32">
        <v>2.6</v>
      </c>
      <c r="F15" t="s">
        <v>545</v>
      </c>
      <c r="G15" t="s">
        <v>794</v>
      </c>
      <c r="H15" t="s">
        <v>792</v>
      </c>
      <c r="I15" s="32">
        <v>30500</v>
      </c>
      <c r="J15" s="32"/>
      <c r="K15" t="s">
        <v>297</v>
      </c>
      <c r="L15" s="2">
        <v>44687</v>
      </c>
    </row>
    <row r="16" spans="1:23" hidden="1" x14ac:dyDescent="0.25">
      <c r="A16" s="116" t="s">
        <v>824</v>
      </c>
      <c r="B16" t="s">
        <v>565</v>
      </c>
      <c r="C16" t="s">
        <v>410</v>
      </c>
      <c r="D16" s="122">
        <v>44687</v>
      </c>
      <c r="E16" s="32">
        <v>2.6</v>
      </c>
      <c r="F16" t="s">
        <v>545</v>
      </c>
      <c r="G16" t="s">
        <v>841</v>
      </c>
      <c r="H16" t="s">
        <v>840</v>
      </c>
      <c r="I16" s="32">
        <v>30500</v>
      </c>
      <c r="J16" s="32"/>
      <c r="K16" s="32" t="s">
        <v>297</v>
      </c>
      <c r="L16" s="2">
        <v>44710</v>
      </c>
      <c r="O16" t="s">
        <v>825</v>
      </c>
      <c r="P16" s="14">
        <v>0.54791666666666672</v>
      </c>
      <c r="Q16" s="14">
        <v>0.70763888888888893</v>
      </c>
      <c r="S16" t="s">
        <v>823</v>
      </c>
    </row>
    <row r="17" spans="1:23" hidden="1" x14ac:dyDescent="0.25">
      <c r="A17" s="116" t="s">
        <v>827</v>
      </c>
      <c r="B17" t="s">
        <v>565</v>
      </c>
      <c r="C17" t="s">
        <v>693</v>
      </c>
      <c r="D17" s="122">
        <v>44690</v>
      </c>
      <c r="E17" s="32">
        <v>2.6</v>
      </c>
      <c r="F17" t="s">
        <v>545</v>
      </c>
      <c r="G17" t="s">
        <v>844</v>
      </c>
      <c r="H17" t="s">
        <v>845</v>
      </c>
      <c r="I17" s="32">
        <v>30500</v>
      </c>
      <c r="J17" s="32"/>
      <c r="K17" s="32" t="s">
        <v>297</v>
      </c>
      <c r="L17" s="2">
        <v>44710</v>
      </c>
      <c r="O17" t="s">
        <v>690</v>
      </c>
      <c r="P17" s="14">
        <v>0.34652777777777777</v>
      </c>
      <c r="Q17" s="14">
        <v>0.51597222222222217</v>
      </c>
    </row>
    <row r="18" spans="1:23" hidden="1" x14ac:dyDescent="0.25">
      <c r="A18" s="115">
        <v>14042022</v>
      </c>
      <c r="B18" t="s">
        <v>565</v>
      </c>
      <c r="C18" t="s">
        <v>410</v>
      </c>
      <c r="D18" s="2">
        <v>44710</v>
      </c>
      <c r="E18" s="32">
        <v>2.6</v>
      </c>
      <c r="F18" t="s">
        <v>545</v>
      </c>
      <c r="G18" t="s">
        <v>900</v>
      </c>
      <c r="H18" t="s">
        <v>899</v>
      </c>
      <c r="I18" s="32">
        <v>21890</v>
      </c>
      <c r="J18" s="32"/>
      <c r="K18" s="32" t="s">
        <v>297</v>
      </c>
      <c r="L18" s="2">
        <v>44712</v>
      </c>
      <c r="O18" t="s">
        <v>652</v>
      </c>
      <c r="P18" s="14">
        <v>0.60138888888888886</v>
      </c>
      <c r="Q18" s="14">
        <v>0.71250000000000002</v>
      </c>
      <c r="W18" t="s">
        <v>768</v>
      </c>
    </row>
    <row r="19" spans="1:23" s="21" customFormat="1" hidden="1" x14ac:dyDescent="0.25">
      <c r="A19" s="168" t="s">
        <v>890</v>
      </c>
      <c r="B19" s="169" t="s">
        <v>565</v>
      </c>
      <c r="C19" s="21" t="s">
        <v>809</v>
      </c>
      <c r="D19" s="165">
        <v>44721</v>
      </c>
      <c r="E19" s="155">
        <v>2.6</v>
      </c>
      <c r="F19" s="21" t="s">
        <v>545</v>
      </c>
      <c r="G19" s="163" t="s">
        <v>277</v>
      </c>
      <c r="H19" s="163" t="s">
        <v>917</v>
      </c>
      <c r="I19" s="159">
        <v>21890</v>
      </c>
      <c r="J19" s="155"/>
      <c r="K19" s="32" t="s">
        <v>17</v>
      </c>
      <c r="L19" s="2">
        <v>44723</v>
      </c>
      <c r="O19" s="21" t="s">
        <v>894</v>
      </c>
      <c r="P19" s="157">
        <v>0.13055555555555556</v>
      </c>
    </row>
    <row r="20" spans="1:23" hidden="1" x14ac:dyDescent="0.25">
      <c r="A20" s="115">
        <v>10062022</v>
      </c>
      <c r="B20" s="169" t="s">
        <v>565</v>
      </c>
      <c r="C20" s="21" t="s">
        <v>809</v>
      </c>
      <c r="D20" s="122">
        <v>44723</v>
      </c>
      <c r="E20" s="32">
        <v>2.6</v>
      </c>
      <c r="F20" s="163" t="s">
        <v>545</v>
      </c>
      <c r="G20" s="163" t="s">
        <v>277</v>
      </c>
      <c r="H20" t="s">
        <v>918</v>
      </c>
      <c r="I20" s="159">
        <v>21890</v>
      </c>
      <c r="J20" s="159"/>
      <c r="K20" s="32" t="s">
        <v>17</v>
      </c>
      <c r="L20" s="2">
        <v>44727</v>
      </c>
      <c r="O20" s="163"/>
      <c r="P20" s="157">
        <v>0.42708333333333331</v>
      </c>
      <c r="Q20" s="14"/>
    </row>
    <row r="21" spans="1:23" hidden="1" x14ac:dyDescent="0.25">
      <c r="A21" s="115">
        <v>15062022</v>
      </c>
      <c r="B21" s="169" t="s">
        <v>565</v>
      </c>
      <c r="C21" s="21" t="s">
        <v>809</v>
      </c>
      <c r="D21" s="122">
        <v>44727</v>
      </c>
      <c r="E21" s="32"/>
      <c r="F21" s="163" t="s">
        <v>545</v>
      </c>
      <c r="G21" s="163" t="s">
        <v>277</v>
      </c>
      <c r="H21" t="s">
        <v>927</v>
      </c>
      <c r="I21" s="159">
        <v>21890</v>
      </c>
      <c r="J21" s="159"/>
      <c r="K21" s="32" t="s">
        <v>17</v>
      </c>
      <c r="L21" s="2">
        <v>44728</v>
      </c>
      <c r="O21" s="163" t="s">
        <v>923</v>
      </c>
      <c r="P21" s="14">
        <v>0.52638888888888891</v>
      </c>
    </row>
    <row r="22" spans="1:23" hidden="1" x14ac:dyDescent="0.25">
      <c r="A22" s="115">
        <v>16062022</v>
      </c>
      <c r="B22" s="169" t="s">
        <v>565</v>
      </c>
      <c r="C22" s="21" t="s">
        <v>693</v>
      </c>
      <c r="D22" s="122">
        <v>44728</v>
      </c>
      <c r="E22" s="32"/>
      <c r="F22" s="163" t="s">
        <v>545</v>
      </c>
      <c r="G22" s="163" t="s">
        <v>966</v>
      </c>
      <c r="H22" t="s">
        <v>976</v>
      </c>
      <c r="I22" s="159">
        <v>32000</v>
      </c>
      <c r="J22" s="159"/>
      <c r="K22" s="32" t="s">
        <v>17</v>
      </c>
      <c r="L22" s="2">
        <v>44730</v>
      </c>
      <c r="O22" s="163" t="s">
        <v>929</v>
      </c>
      <c r="P22" s="14">
        <v>0.90763888888888899</v>
      </c>
      <c r="Q22" s="14">
        <v>0.42777777777777781</v>
      </c>
    </row>
    <row r="23" spans="1:23" hidden="1" x14ac:dyDescent="0.25">
      <c r="A23" s="115">
        <v>16062022</v>
      </c>
      <c r="B23" s="169" t="s">
        <v>565</v>
      </c>
      <c r="C23" s="21" t="s">
        <v>693</v>
      </c>
      <c r="D23" s="122">
        <v>44728</v>
      </c>
      <c r="E23" s="32"/>
      <c r="F23" s="163" t="s">
        <v>545</v>
      </c>
      <c r="G23" s="163" t="s">
        <v>965</v>
      </c>
      <c r="H23" t="s">
        <v>967</v>
      </c>
      <c r="I23" s="159">
        <v>21890</v>
      </c>
      <c r="J23" s="159"/>
      <c r="K23" s="32" t="s">
        <v>17</v>
      </c>
      <c r="L23" s="2">
        <v>44730</v>
      </c>
      <c r="O23" s="163" t="s">
        <v>653</v>
      </c>
      <c r="P23" s="14">
        <v>0.46111111111111108</v>
      </c>
    </row>
    <row r="24" spans="1:23" hidden="1" x14ac:dyDescent="0.25">
      <c r="A24" s="115">
        <v>18062022</v>
      </c>
      <c r="B24" s="169" t="s">
        <v>565</v>
      </c>
      <c r="C24" s="21" t="s">
        <v>693</v>
      </c>
      <c r="D24" s="122">
        <v>44730</v>
      </c>
      <c r="E24" s="32"/>
      <c r="F24" s="163" t="s">
        <v>545</v>
      </c>
      <c r="G24" s="163" t="s">
        <v>974</v>
      </c>
      <c r="H24" t="s">
        <v>975</v>
      </c>
      <c r="I24" s="159">
        <v>21890</v>
      </c>
      <c r="K24" s="32" t="s">
        <v>17</v>
      </c>
      <c r="L24" s="2">
        <v>44734</v>
      </c>
      <c r="O24" s="163" t="s">
        <v>916</v>
      </c>
      <c r="P24" s="14">
        <v>0.34722222222222227</v>
      </c>
      <c r="Q24" s="14">
        <v>0.52152777777777781</v>
      </c>
    </row>
    <row r="25" spans="1:23" hidden="1" x14ac:dyDescent="0.25">
      <c r="A25" s="115">
        <v>23062022</v>
      </c>
      <c r="B25" s="169" t="s">
        <v>565</v>
      </c>
      <c r="C25" t="s">
        <v>410</v>
      </c>
      <c r="D25" s="122">
        <v>44735</v>
      </c>
      <c r="E25" s="32"/>
      <c r="F25" s="163" t="s">
        <v>545</v>
      </c>
      <c r="G25" s="163" t="s">
        <v>279</v>
      </c>
      <c r="H25" t="s">
        <v>998</v>
      </c>
      <c r="I25" s="159">
        <v>21890</v>
      </c>
      <c r="J25" s="159"/>
      <c r="K25" s="32" t="s">
        <v>17</v>
      </c>
      <c r="L25" s="2">
        <v>44747</v>
      </c>
      <c r="O25" s="163" t="s">
        <v>653</v>
      </c>
      <c r="P25" s="14">
        <v>0.38055555555555554</v>
      </c>
    </row>
    <row r="26" spans="1:23" hidden="1" x14ac:dyDescent="0.25">
      <c r="A26" s="115">
        <v>4072022</v>
      </c>
      <c r="B26" s="169" t="s">
        <v>565</v>
      </c>
      <c r="C26" s="21" t="s">
        <v>693</v>
      </c>
      <c r="D26" s="122">
        <v>44746</v>
      </c>
      <c r="E26" s="32"/>
      <c r="F26" s="163" t="s">
        <v>545</v>
      </c>
      <c r="G26" s="163" t="s">
        <v>1015</v>
      </c>
      <c r="H26" t="s">
        <v>1016</v>
      </c>
      <c r="I26" s="160">
        <v>21890</v>
      </c>
      <c r="J26" s="159"/>
      <c r="K26" s="32" t="s">
        <v>17</v>
      </c>
      <c r="L26" s="2">
        <v>44763</v>
      </c>
      <c r="M26" t="s">
        <v>719</v>
      </c>
      <c r="O26" s="163" t="s">
        <v>989</v>
      </c>
      <c r="P26" s="14">
        <v>0.72916666666666663</v>
      </c>
      <c r="Q26" s="14">
        <v>0.8652777777777777</v>
      </c>
    </row>
    <row r="27" spans="1:23" hidden="1" x14ac:dyDescent="0.25">
      <c r="A27" s="115">
        <v>26072022</v>
      </c>
      <c r="B27" s="169" t="s">
        <v>565</v>
      </c>
      <c r="C27" s="21" t="s">
        <v>410</v>
      </c>
      <c r="D27" s="122">
        <v>44768</v>
      </c>
      <c r="E27" s="32"/>
      <c r="F27" s="163" t="s">
        <v>545</v>
      </c>
      <c r="G27" s="163" t="s">
        <v>1057</v>
      </c>
      <c r="H27" t="s">
        <v>1058</v>
      </c>
      <c r="I27" s="159">
        <v>21890</v>
      </c>
      <c r="J27" s="159"/>
      <c r="K27" s="32" t="s">
        <v>17</v>
      </c>
      <c r="L27" s="2">
        <v>44772</v>
      </c>
      <c r="O27" s="163"/>
      <c r="P27" s="14"/>
      <c r="Q27" s="14"/>
    </row>
    <row r="28" spans="1:23" hidden="1" x14ac:dyDescent="0.25">
      <c r="A28" s="115">
        <v>27072022</v>
      </c>
      <c r="B28" s="169" t="s">
        <v>565</v>
      </c>
      <c r="C28" s="21" t="s">
        <v>693</v>
      </c>
      <c r="D28" s="122">
        <v>44769</v>
      </c>
      <c r="E28" s="32"/>
      <c r="F28" s="163" t="s">
        <v>545</v>
      </c>
      <c r="G28" s="163" t="s">
        <v>1056</v>
      </c>
      <c r="H28" t="s">
        <v>1059</v>
      </c>
      <c r="I28" s="159">
        <v>21890</v>
      </c>
      <c r="J28" s="159"/>
      <c r="K28" s="159" t="s">
        <v>17</v>
      </c>
      <c r="L28" s="2">
        <v>44771</v>
      </c>
      <c r="O28" s="163" t="s">
        <v>655</v>
      </c>
      <c r="P28" s="14">
        <v>0.38125000000000003</v>
      </c>
      <c r="Q28" s="14">
        <v>0.60138888888888886</v>
      </c>
    </row>
    <row r="29" spans="1:23" hidden="1" x14ac:dyDescent="0.25">
      <c r="A29" s="115">
        <v>29072022</v>
      </c>
      <c r="B29" s="169" t="s">
        <v>565</v>
      </c>
      <c r="C29" s="21" t="s">
        <v>410</v>
      </c>
      <c r="D29" s="122">
        <v>44771</v>
      </c>
      <c r="E29" s="32"/>
      <c r="F29" s="163" t="s">
        <v>545</v>
      </c>
      <c r="G29" s="163" t="s">
        <v>1063</v>
      </c>
      <c r="H29" t="s">
        <v>1062</v>
      </c>
      <c r="I29" s="159">
        <v>21890</v>
      </c>
      <c r="J29" s="159"/>
      <c r="K29" s="159" t="s">
        <v>17</v>
      </c>
      <c r="L29" s="2">
        <v>44772</v>
      </c>
      <c r="O29" s="163" t="s">
        <v>817</v>
      </c>
      <c r="P29" s="14">
        <v>0.45347222222222222</v>
      </c>
      <c r="Q29" s="14">
        <v>0.56597222222222221</v>
      </c>
    </row>
    <row r="30" spans="1:23" hidden="1" x14ac:dyDescent="0.25">
      <c r="A30" s="115">
        <v>31072022</v>
      </c>
      <c r="B30" s="169" t="s">
        <v>565</v>
      </c>
      <c r="C30" s="21" t="s">
        <v>693</v>
      </c>
      <c r="D30" s="122">
        <v>44773</v>
      </c>
      <c r="E30" s="32"/>
      <c r="F30" s="163" t="s">
        <v>545</v>
      </c>
      <c r="G30" s="163" t="s">
        <v>279</v>
      </c>
      <c r="H30" t="s">
        <v>1088</v>
      </c>
      <c r="I30" s="159">
        <v>32000</v>
      </c>
      <c r="J30" s="159"/>
      <c r="K30" s="159" t="s">
        <v>17</v>
      </c>
      <c r="L30" s="2">
        <v>44788</v>
      </c>
      <c r="O30" s="163" t="s">
        <v>817</v>
      </c>
      <c r="P30" s="14">
        <v>0.4770833333333333</v>
      </c>
      <c r="Q30" s="14">
        <v>0.72222222222222221</v>
      </c>
    </row>
    <row r="31" spans="1:23" x14ac:dyDescent="0.25">
      <c r="A31" s="116" t="s">
        <v>1052</v>
      </c>
      <c r="B31" s="169" t="s">
        <v>565</v>
      </c>
      <c r="C31" s="21" t="s">
        <v>693</v>
      </c>
      <c r="D31" s="122">
        <v>44774</v>
      </c>
      <c r="E31" s="32"/>
      <c r="F31" s="163" t="s">
        <v>545</v>
      </c>
      <c r="G31" s="163" t="s">
        <v>1868</v>
      </c>
      <c r="H31" t="s">
        <v>1867</v>
      </c>
      <c r="I31" s="159">
        <v>0</v>
      </c>
      <c r="J31" s="32"/>
      <c r="O31" s="163" t="s">
        <v>655</v>
      </c>
      <c r="P31" s="14">
        <v>0.39930555555555558</v>
      </c>
      <c r="Q31" s="14"/>
    </row>
    <row r="32" spans="1:23" hidden="1" x14ac:dyDescent="0.25">
      <c r="A32" s="116">
        <v>17082022</v>
      </c>
      <c r="B32" s="169" t="s">
        <v>1138</v>
      </c>
      <c r="C32" s="21" t="s">
        <v>693</v>
      </c>
      <c r="D32" s="123">
        <v>44790</v>
      </c>
      <c r="E32" s="88"/>
      <c r="F32" s="21" t="s">
        <v>545</v>
      </c>
      <c r="G32" s="21" t="s">
        <v>279</v>
      </c>
      <c r="H32" s="21" t="s">
        <v>1139</v>
      </c>
      <c r="I32" s="160">
        <v>33000</v>
      </c>
      <c r="J32" s="160"/>
      <c r="K32" s="88" t="s">
        <v>17</v>
      </c>
      <c r="L32" s="2">
        <v>44793</v>
      </c>
      <c r="O32" s="163" t="s">
        <v>653</v>
      </c>
      <c r="P32" s="157">
        <v>0.50763888888888886</v>
      </c>
      <c r="Q32" s="157">
        <v>0.72222222222222221</v>
      </c>
    </row>
    <row r="33" spans="1:22" hidden="1" x14ac:dyDescent="0.25">
      <c r="A33" s="116">
        <v>25082022</v>
      </c>
      <c r="B33" s="169" t="s">
        <v>565</v>
      </c>
      <c r="C33" s="169" t="s">
        <v>410</v>
      </c>
      <c r="D33" s="123">
        <v>44798</v>
      </c>
      <c r="E33" s="88"/>
      <c r="F33" s="21" t="s">
        <v>545</v>
      </c>
      <c r="G33" s="21" t="s">
        <v>279</v>
      </c>
      <c r="H33" t="s">
        <v>1184</v>
      </c>
      <c r="I33" s="160">
        <v>33000</v>
      </c>
      <c r="J33" s="160"/>
      <c r="K33" s="160" t="s">
        <v>17</v>
      </c>
      <c r="L33" s="2">
        <v>44805</v>
      </c>
      <c r="O33" s="163" t="s">
        <v>1161</v>
      </c>
      <c r="P33" s="157">
        <v>0.76666666666666661</v>
      </c>
      <c r="Q33" s="157">
        <v>0.93819444444444444</v>
      </c>
    </row>
    <row r="34" spans="1:22" hidden="1" x14ac:dyDescent="0.25">
      <c r="A34" s="115">
        <v>14092022</v>
      </c>
      <c r="B34" s="169" t="s">
        <v>565</v>
      </c>
      <c r="C34" s="169" t="s">
        <v>693</v>
      </c>
      <c r="D34" s="122">
        <v>44818</v>
      </c>
      <c r="E34" s="88"/>
      <c r="F34" t="s">
        <v>545</v>
      </c>
      <c r="G34" s="21" t="s">
        <v>279</v>
      </c>
      <c r="H34" t="s">
        <v>1230</v>
      </c>
      <c r="I34" s="160">
        <v>33000</v>
      </c>
      <c r="J34" s="160"/>
      <c r="K34" s="160" t="s">
        <v>17</v>
      </c>
      <c r="L34" s="2">
        <v>44820</v>
      </c>
      <c r="O34" s="21" t="s">
        <v>1029</v>
      </c>
      <c r="P34" s="157">
        <v>0.43194444444444446</v>
      </c>
      <c r="Q34" s="21"/>
    </row>
    <row r="35" spans="1:22" hidden="1" x14ac:dyDescent="0.25">
      <c r="A35" s="115">
        <v>16092022</v>
      </c>
      <c r="B35" s="169" t="s">
        <v>565</v>
      </c>
      <c r="C35" s="169" t="s">
        <v>693</v>
      </c>
      <c r="D35" s="122">
        <v>44820</v>
      </c>
      <c r="E35" s="88"/>
      <c r="F35" t="s">
        <v>545</v>
      </c>
      <c r="G35" s="21" t="s">
        <v>1275</v>
      </c>
      <c r="H35" t="s">
        <v>1245</v>
      </c>
      <c r="I35" s="160">
        <v>33000</v>
      </c>
      <c r="J35" s="160"/>
      <c r="K35" s="88" t="s">
        <v>17</v>
      </c>
      <c r="L35" s="2">
        <v>44827</v>
      </c>
      <c r="O35" s="21" t="s">
        <v>1225</v>
      </c>
      <c r="P35" s="157">
        <v>0.60833333333333328</v>
      </c>
      <c r="Q35" s="157">
        <v>0.84305555555555556</v>
      </c>
    </row>
    <row r="36" spans="1:22" hidden="1" x14ac:dyDescent="0.25">
      <c r="A36" s="115">
        <v>23092022</v>
      </c>
      <c r="B36" s="169" t="s">
        <v>565</v>
      </c>
      <c r="C36" s="30" t="s">
        <v>410</v>
      </c>
      <c r="D36" s="122">
        <v>44827</v>
      </c>
      <c r="E36" s="88"/>
      <c r="F36" t="s">
        <v>545</v>
      </c>
      <c r="G36" s="21" t="s">
        <v>1276</v>
      </c>
      <c r="H36" t="s">
        <v>1277</v>
      </c>
      <c r="I36" s="160">
        <v>22890</v>
      </c>
      <c r="J36" s="160"/>
      <c r="K36" s="88" t="s">
        <v>297</v>
      </c>
      <c r="L36" s="2">
        <v>44833</v>
      </c>
      <c r="O36" s="21" t="s">
        <v>1042</v>
      </c>
      <c r="P36" s="157">
        <v>0.33194444444444443</v>
      </c>
      <c r="Q36" s="157">
        <v>0.45902777777777781</v>
      </c>
    </row>
    <row r="37" spans="1:22" hidden="1" x14ac:dyDescent="0.25">
      <c r="A37" s="115">
        <v>28092022</v>
      </c>
      <c r="B37" s="169" t="s">
        <v>565</v>
      </c>
      <c r="C37" s="169" t="s">
        <v>693</v>
      </c>
      <c r="D37" s="122">
        <v>44832</v>
      </c>
      <c r="E37" s="88"/>
      <c r="F37" t="s">
        <v>545</v>
      </c>
      <c r="G37" s="21" t="s">
        <v>1290</v>
      </c>
      <c r="H37" t="s">
        <v>1289</v>
      </c>
      <c r="I37" s="160">
        <v>33000</v>
      </c>
      <c r="J37" s="160"/>
      <c r="K37" s="88" t="s">
        <v>17</v>
      </c>
      <c r="L37" s="2">
        <v>44839</v>
      </c>
      <c r="O37" s="21" t="s">
        <v>916</v>
      </c>
      <c r="P37" s="157">
        <v>0.76527777777777783</v>
      </c>
      <c r="Q37" s="157">
        <v>0.96736111111111101</v>
      </c>
    </row>
    <row r="38" spans="1:22" hidden="1" x14ac:dyDescent="0.25">
      <c r="A38" s="115">
        <v>29092022</v>
      </c>
      <c r="B38" s="169" t="s">
        <v>565</v>
      </c>
      <c r="C38" s="169">
        <v>2221</v>
      </c>
      <c r="D38" s="122">
        <v>44833</v>
      </c>
      <c r="E38" s="88"/>
      <c r="F38" t="s">
        <v>545</v>
      </c>
      <c r="G38" s="21" t="s">
        <v>1337</v>
      </c>
      <c r="H38" t="s">
        <v>1338</v>
      </c>
      <c r="I38" s="160">
        <v>22890</v>
      </c>
      <c r="J38" s="160"/>
      <c r="K38" s="88" t="s">
        <v>17</v>
      </c>
      <c r="L38" s="2">
        <v>44844</v>
      </c>
      <c r="O38" s="21" t="s">
        <v>1041</v>
      </c>
      <c r="P38" s="157">
        <v>0.69652777777777775</v>
      </c>
      <c r="Q38" s="21"/>
    </row>
    <row r="39" spans="1:22" hidden="1" x14ac:dyDescent="0.25">
      <c r="A39" s="116" t="s">
        <v>1304</v>
      </c>
      <c r="B39" s="169" t="s">
        <v>1336</v>
      </c>
      <c r="C39" s="169" t="s">
        <v>693</v>
      </c>
      <c r="D39" s="122">
        <v>44836</v>
      </c>
      <c r="E39" s="88"/>
      <c r="F39" t="s">
        <v>545</v>
      </c>
      <c r="G39" s="21" t="s">
        <v>1314</v>
      </c>
      <c r="H39" t="s">
        <v>1313</v>
      </c>
      <c r="I39" s="160">
        <v>33000</v>
      </c>
      <c r="J39" s="160"/>
      <c r="K39" s="88" t="s">
        <v>17</v>
      </c>
      <c r="L39" s="2">
        <v>44844</v>
      </c>
      <c r="O39" s="21" t="s">
        <v>989</v>
      </c>
      <c r="P39" s="157">
        <v>0.54027777777777775</v>
      </c>
      <c r="Q39" s="157">
        <v>0.72083333333333333</v>
      </c>
    </row>
    <row r="40" spans="1:22" hidden="1" x14ac:dyDescent="0.25">
      <c r="A40" s="116">
        <v>13102022</v>
      </c>
      <c r="B40" s="30" t="s">
        <v>565</v>
      </c>
      <c r="C40" s="30">
        <v>2221</v>
      </c>
      <c r="D40" s="122">
        <v>44840</v>
      </c>
      <c r="E40" s="88"/>
      <c r="F40" t="s">
        <v>545</v>
      </c>
      <c r="G40" t="s">
        <v>1403</v>
      </c>
      <c r="H40" t="s">
        <v>1375</v>
      </c>
      <c r="I40" s="88">
        <v>22890</v>
      </c>
      <c r="J40" s="88"/>
      <c r="K40" s="88" t="s">
        <v>17</v>
      </c>
      <c r="L40" s="2">
        <v>44851</v>
      </c>
      <c r="O40" t="s">
        <v>923</v>
      </c>
      <c r="P40" s="14">
        <v>0.65625</v>
      </c>
    </row>
    <row r="41" spans="1:22" hidden="1" x14ac:dyDescent="0.25">
      <c r="A41" s="483">
        <v>27062025</v>
      </c>
      <c r="B41" t="s">
        <v>565</v>
      </c>
      <c r="C41" s="28" t="s">
        <v>278</v>
      </c>
      <c r="D41" s="233">
        <v>45835</v>
      </c>
      <c r="E41" s="28"/>
      <c r="F41" s="28" t="s">
        <v>545</v>
      </c>
      <c r="G41" t="s">
        <v>7473</v>
      </c>
      <c r="H41" s="28" t="s">
        <v>7474</v>
      </c>
      <c r="I41" s="798">
        <v>32285</v>
      </c>
      <c r="K41" t="s">
        <v>17</v>
      </c>
      <c r="L41" s="233">
        <v>45835</v>
      </c>
      <c r="T41" t="s">
        <v>5020</v>
      </c>
      <c r="U41" s="360">
        <v>0.55763888888888891</v>
      </c>
      <c r="V41" s="360">
        <v>0.72986111111111107</v>
      </c>
    </row>
    <row r="42" spans="1:22" hidden="1" x14ac:dyDescent="0.25">
      <c r="A42" s="483" t="s">
        <v>6515</v>
      </c>
      <c r="B42" t="s">
        <v>565</v>
      </c>
      <c r="C42" s="28" t="s">
        <v>278</v>
      </c>
      <c r="D42" s="233">
        <v>45839</v>
      </c>
      <c r="E42" s="28"/>
      <c r="F42" s="28" t="s">
        <v>6522</v>
      </c>
      <c r="G42" t="s">
        <v>7475</v>
      </c>
      <c r="H42" s="28" t="s">
        <v>7476</v>
      </c>
      <c r="I42" s="798">
        <v>30500</v>
      </c>
      <c r="K42" t="s">
        <v>17</v>
      </c>
      <c r="L42" s="798"/>
      <c r="T42" t="s">
        <v>4140</v>
      </c>
      <c r="U42" s="360">
        <v>0.5854166666666667</v>
      </c>
      <c r="V42" s="360">
        <v>0.86527777777777781</v>
      </c>
    </row>
    <row r="43" spans="1:22" hidden="1" x14ac:dyDescent="0.25">
      <c r="A43" s="483" t="s">
        <v>6515</v>
      </c>
      <c r="B43" t="s">
        <v>565</v>
      </c>
      <c r="C43" s="28" t="s">
        <v>278</v>
      </c>
      <c r="D43" s="233">
        <v>45839</v>
      </c>
      <c r="E43" s="28"/>
      <c r="F43" s="28" t="s">
        <v>545</v>
      </c>
      <c r="G43" t="s">
        <v>7471</v>
      </c>
      <c r="H43" s="28" t="s">
        <v>7472</v>
      </c>
      <c r="I43" s="798">
        <v>32285</v>
      </c>
      <c r="K43" t="s">
        <v>17</v>
      </c>
      <c r="L43" s="798"/>
      <c r="T43" t="s">
        <v>6282</v>
      </c>
      <c r="U43" s="360">
        <v>0.95972222222222225</v>
      </c>
      <c r="V43" s="360">
        <v>0.11944444444444445</v>
      </c>
    </row>
    <row r="44" spans="1:22" hidden="1" x14ac:dyDescent="0.25">
      <c r="A44" s="483">
        <v>28082025</v>
      </c>
      <c r="B44" t="s">
        <v>565</v>
      </c>
      <c r="C44" s="28" t="s">
        <v>13</v>
      </c>
      <c r="D44" s="233">
        <v>45897</v>
      </c>
      <c r="E44" s="28"/>
      <c r="F44" s="28" t="s">
        <v>545</v>
      </c>
      <c r="G44" s="1067" t="s">
        <v>7469</v>
      </c>
      <c r="H44" s="28" t="s">
        <v>7470</v>
      </c>
      <c r="I44" s="313">
        <v>23650</v>
      </c>
      <c r="J44" s="88"/>
      <c r="K44" t="s">
        <v>17</v>
      </c>
      <c r="L44" s="233">
        <v>45897</v>
      </c>
      <c r="M44" s="32"/>
      <c r="T44" t="s">
        <v>4138</v>
      </c>
      <c r="U44" s="360"/>
      <c r="V44" s="360"/>
    </row>
    <row r="45" spans="1:22" hidden="1" x14ac:dyDescent="0.25">
      <c r="A45" s="483">
        <v>28082025</v>
      </c>
      <c r="B45" t="s">
        <v>565</v>
      </c>
      <c r="C45" s="28" t="s">
        <v>13</v>
      </c>
      <c r="D45" s="233">
        <v>45897</v>
      </c>
      <c r="E45" s="28"/>
      <c r="F45" s="28" t="s">
        <v>545</v>
      </c>
      <c r="G45" s="1067" t="s">
        <v>7467</v>
      </c>
      <c r="H45" s="28" t="s">
        <v>7468</v>
      </c>
      <c r="I45" s="313">
        <v>32285</v>
      </c>
      <c r="J45" s="88"/>
      <c r="K45" t="s">
        <v>17</v>
      </c>
      <c r="L45" s="233">
        <v>45897</v>
      </c>
      <c r="M45" s="32"/>
      <c r="T45" t="s">
        <v>4853</v>
      </c>
      <c r="U45" s="360"/>
      <c r="V45" s="360"/>
    </row>
    <row r="46" spans="1:22" hidden="1" x14ac:dyDescent="0.25">
      <c r="A46" s="483">
        <v>20122025</v>
      </c>
      <c r="B46" t="s">
        <v>565</v>
      </c>
      <c r="C46" s="28" t="s">
        <v>4218</v>
      </c>
      <c r="D46" s="233">
        <v>46011</v>
      </c>
      <c r="E46" s="28"/>
      <c r="F46" s="28" t="s">
        <v>545</v>
      </c>
      <c r="G46" s="1067" t="s">
        <v>7477</v>
      </c>
      <c r="H46" s="28" t="s">
        <v>7465</v>
      </c>
      <c r="I46" s="240">
        <v>23650</v>
      </c>
      <c r="J46" s="180"/>
      <c r="K46" s="88" t="s">
        <v>17</v>
      </c>
      <c r="L46" s="233">
        <v>46012</v>
      </c>
      <c r="M46" s="88"/>
      <c r="T46" s="5" t="s">
        <v>4867</v>
      </c>
      <c r="U46" s="360">
        <v>0.48194444444444445</v>
      </c>
      <c r="V46" s="360">
        <v>0.60902777777777783</v>
      </c>
    </row>
    <row r="47" spans="1:22" hidden="1" x14ac:dyDescent="0.25">
      <c r="A47" s="483">
        <v>21122025</v>
      </c>
      <c r="B47" t="s">
        <v>565</v>
      </c>
      <c r="C47" s="28" t="s">
        <v>4218</v>
      </c>
      <c r="D47" s="233">
        <v>46012</v>
      </c>
      <c r="E47" s="28"/>
      <c r="F47" s="28" t="s">
        <v>545</v>
      </c>
      <c r="G47" s="1067" t="s">
        <v>7478</v>
      </c>
      <c r="H47" s="28" t="s">
        <v>7466</v>
      </c>
      <c r="I47" s="240">
        <v>31500</v>
      </c>
      <c r="J47" s="180"/>
      <c r="K47" s="88" t="s">
        <v>17</v>
      </c>
      <c r="L47" s="233">
        <v>46012</v>
      </c>
      <c r="M47" s="88"/>
      <c r="T47" s="5" t="s">
        <v>5393</v>
      </c>
      <c r="U47" s="360">
        <v>0.56388888888888888</v>
      </c>
      <c r="V47" s="360">
        <v>0.72152777777777777</v>
      </c>
    </row>
    <row r="48" spans="1:22" hidden="1" x14ac:dyDescent="0.25">
      <c r="A48" s="483" t="s">
        <v>7446</v>
      </c>
      <c r="B48" t="s">
        <v>565</v>
      </c>
      <c r="C48" s="233" t="s">
        <v>4218</v>
      </c>
      <c r="D48" s="233">
        <v>46027</v>
      </c>
      <c r="E48" s="28"/>
      <c r="F48" s="28" t="s">
        <v>545</v>
      </c>
      <c r="G48" t="s">
        <v>7479</v>
      </c>
      <c r="H48" s="28" t="s">
        <v>7480</v>
      </c>
      <c r="I48" s="313">
        <v>31500</v>
      </c>
      <c r="K48" s="88" t="s">
        <v>17</v>
      </c>
      <c r="L48" s="233">
        <v>46027</v>
      </c>
      <c r="T48" t="s">
        <v>6349</v>
      </c>
      <c r="U48" s="30"/>
      <c r="V48" s="30"/>
    </row>
    <row r="49" spans="1:22" hidden="1" x14ac:dyDescent="0.25">
      <c r="A49" s="690" t="s">
        <v>7653</v>
      </c>
      <c r="B49" s="19" t="s">
        <v>565</v>
      </c>
      <c r="C49" s="472" t="s">
        <v>4218</v>
      </c>
      <c r="D49" s="691">
        <v>46068</v>
      </c>
      <c r="E49" s="472"/>
      <c r="F49" s="472" t="s">
        <v>545</v>
      </c>
      <c r="G49" s="1084" t="s">
        <v>7726</v>
      </c>
      <c r="H49" s="28" t="s">
        <v>7657</v>
      </c>
      <c r="I49" s="1101">
        <v>31500</v>
      </c>
      <c r="J49" s="149"/>
      <c r="K49" t="s">
        <v>17</v>
      </c>
      <c r="L49" s="233">
        <v>46068</v>
      </c>
      <c r="M49" s="88"/>
      <c r="T49" t="s">
        <v>7417</v>
      </c>
      <c r="U49" s="693">
        <v>0.29583333333333334</v>
      </c>
      <c r="V49" s="360">
        <v>11.15</v>
      </c>
    </row>
    <row r="50" spans="1:22" ht="15" hidden="1" customHeight="1" x14ac:dyDescent="0.25">
      <c r="A50" s="483">
        <v>25022026</v>
      </c>
      <c r="B50" t="s">
        <v>565</v>
      </c>
      <c r="C50" s="28" t="s">
        <v>410</v>
      </c>
      <c r="D50" s="233">
        <v>46078</v>
      </c>
      <c r="E50" s="28"/>
      <c r="F50" s="28" t="s">
        <v>545</v>
      </c>
      <c r="G50" s="1067" t="s">
        <v>7724</v>
      </c>
      <c r="H50" s="28" t="s">
        <v>7725</v>
      </c>
      <c r="I50" s="798">
        <v>31500</v>
      </c>
      <c r="J50" s="1067"/>
      <c r="K50" s="88" t="s">
        <v>17</v>
      </c>
      <c r="L50" s="233">
        <v>46078</v>
      </c>
      <c r="M50" s="88"/>
      <c r="T50" t="s">
        <v>4867</v>
      </c>
      <c r="U50" s="360"/>
      <c r="V50" s="360"/>
    </row>
    <row r="51" spans="1:22" ht="15" hidden="1" customHeight="1" x14ac:dyDescent="0.25">
      <c r="A51" s="483" t="s">
        <v>7915</v>
      </c>
      <c r="B51" t="s">
        <v>565</v>
      </c>
      <c r="C51" s="28" t="s">
        <v>410</v>
      </c>
      <c r="D51" s="233">
        <v>46116</v>
      </c>
      <c r="E51" s="28"/>
      <c r="F51" s="28" t="s">
        <v>545</v>
      </c>
      <c r="G51" s="1276" t="s">
        <v>8098</v>
      </c>
      <c r="I51" s="798">
        <v>36500</v>
      </c>
      <c r="K51" s="1067" t="s">
        <v>17</v>
      </c>
      <c r="L51" s="122">
        <v>46116</v>
      </c>
      <c r="M51" s="558"/>
      <c r="N51" s="88"/>
      <c r="S51" t="s">
        <v>7092</v>
      </c>
      <c r="T51" s="360">
        <v>0.90972222222222221</v>
      </c>
      <c r="U51" s="360">
        <v>9.375E-2</v>
      </c>
    </row>
    <row r="52" spans="1:22" ht="15.75" thickBot="1" x14ac:dyDescent="0.3">
      <c r="A52" s="115"/>
      <c r="B52" s="169"/>
      <c r="C52" s="21"/>
      <c r="D52" s="122"/>
      <c r="E52" s="32"/>
      <c r="F52" s="163"/>
      <c r="G52" s="163"/>
      <c r="I52" s="159"/>
      <c r="J52" s="159"/>
      <c r="K52" s="159"/>
      <c r="O52" s="163"/>
      <c r="P52" s="14"/>
      <c r="Q52" s="14"/>
    </row>
    <row r="53" spans="1:22" ht="15.75" thickBot="1" x14ac:dyDescent="0.3">
      <c r="H53" t="s">
        <v>423</v>
      </c>
      <c r="I53" s="172">
        <f>SUBTOTAL(9,I3:I52)</f>
        <v>0</v>
      </c>
      <c r="L53" s="2"/>
    </row>
    <row r="54" spans="1:22" x14ac:dyDescent="0.25">
      <c r="L54" s="2"/>
    </row>
    <row r="55" spans="1:22" x14ac:dyDescent="0.25">
      <c r="L55" s="2"/>
    </row>
    <row r="56" spans="1:22" ht="15.75" thickBot="1" x14ac:dyDescent="0.3">
      <c r="L56" s="2"/>
    </row>
    <row r="57" spans="1:22" ht="15.75" thickBot="1" x14ac:dyDescent="0.3">
      <c r="A57" s="1487" t="s">
        <v>1406</v>
      </c>
      <c r="B57" s="1488"/>
      <c r="C57" s="1488"/>
      <c r="D57" s="1488"/>
      <c r="E57" s="1488"/>
      <c r="F57" s="1488"/>
      <c r="G57" s="1488"/>
      <c r="H57" s="1489"/>
    </row>
    <row r="58" spans="1:22" hidden="1" x14ac:dyDescent="0.25">
      <c r="A58" s="116">
        <v>13102022</v>
      </c>
      <c r="B58" s="30" t="s">
        <v>565</v>
      </c>
      <c r="C58" s="30">
        <v>2221</v>
      </c>
      <c r="D58" s="122">
        <v>44847</v>
      </c>
      <c r="E58" s="88"/>
      <c r="F58" t="s">
        <v>545</v>
      </c>
      <c r="G58" t="s">
        <v>1402</v>
      </c>
      <c r="H58" t="s">
        <v>1404</v>
      </c>
      <c r="I58" s="88">
        <v>22890</v>
      </c>
      <c r="J58" s="88"/>
      <c r="K58" s="88" t="s">
        <v>17</v>
      </c>
      <c r="L58" s="2">
        <v>44860</v>
      </c>
      <c r="O58" t="s">
        <v>923</v>
      </c>
      <c r="P58" s="14">
        <v>0.65625</v>
      </c>
    </row>
    <row r="59" spans="1:22" hidden="1" x14ac:dyDescent="0.25">
      <c r="A59" s="116">
        <v>18102022</v>
      </c>
      <c r="B59" s="169" t="s">
        <v>565</v>
      </c>
      <c r="C59" s="30" t="s">
        <v>410</v>
      </c>
      <c r="D59" s="122">
        <v>44852</v>
      </c>
      <c r="E59" s="88"/>
      <c r="F59" t="s">
        <v>545</v>
      </c>
      <c r="G59" s="21" t="s">
        <v>1405</v>
      </c>
      <c r="H59" t="s">
        <v>1401</v>
      </c>
      <c r="I59" s="160">
        <v>22890</v>
      </c>
      <c r="J59" s="160"/>
      <c r="K59" s="88" t="s">
        <v>17</v>
      </c>
      <c r="L59" s="2">
        <v>44860</v>
      </c>
      <c r="O59" s="21" t="s">
        <v>1029</v>
      </c>
      <c r="P59" s="157">
        <v>0.34791666666666665</v>
      </c>
      <c r="Q59" s="157">
        <v>0.50208333333333333</v>
      </c>
    </row>
    <row r="60" spans="1:22" hidden="1" x14ac:dyDescent="0.25">
      <c r="A60" s="116">
        <v>26102022</v>
      </c>
      <c r="B60" s="169" t="s">
        <v>565</v>
      </c>
      <c r="C60" s="169" t="s">
        <v>693</v>
      </c>
      <c r="D60" s="122">
        <v>44860</v>
      </c>
      <c r="E60" s="88"/>
      <c r="F60" t="s">
        <v>545</v>
      </c>
      <c r="G60" s="21" t="s">
        <v>1422</v>
      </c>
      <c r="H60" t="s">
        <v>1421</v>
      </c>
      <c r="I60" s="160">
        <v>32000</v>
      </c>
      <c r="J60" s="160"/>
      <c r="K60" s="88" t="s">
        <v>17</v>
      </c>
      <c r="L60" s="2">
        <v>44865</v>
      </c>
      <c r="O60" s="21" t="s">
        <v>929</v>
      </c>
      <c r="P60" s="157">
        <v>0.64097222222222217</v>
      </c>
      <c r="Q60" s="21"/>
    </row>
    <row r="61" spans="1:22" hidden="1" x14ac:dyDescent="0.25">
      <c r="A61" s="116">
        <v>26102022</v>
      </c>
      <c r="B61" s="169" t="s">
        <v>565</v>
      </c>
      <c r="C61" s="169">
        <v>2221</v>
      </c>
      <c r="D61" s="122">
        <v>44860</v>
      </c>
      <c r="E61" s="88"/>
      <c r="F61" t="s">
        <v>545</v>
      </c>
      <c r="G61" s="21" t="s">
        <v>1423</v>
      </c>
      <c r="H61" t="s">
        <v>1420</v>
      </c>
      <c r="I61" s="160">
        <v>20890</v>
      </c>
      <c r="J61" s="160"/>
      <c r="K61" s="88" t="s">
        <v>17</v>
      </c>
      <c r="L61" s="2">
        <v>44863</v>
      </c>
      <c r="O61" s="21"/>
      <c r="P61" s="157">
        <v>0.69513888888888886</v>
      </c>
      <c r="Q61" s="21"/>
    </row>
    <row r="62" spans="1:22" hidden="1" x14ac:dyDescent="0.25">
      <c r="A62" s="116">
        <v>27102022</v>
      </c>
      <c r="B62" s="169" t="s">
        <v>565</v>
      </c>
      <c r="C62" s="30">
        <v>2221</v>
      </c>
      <c r="D62" s="122">
        <v>44861</v>
      </c>
      <c r="E62" s="88"/>
      <c r="F62" t="s">
        <v>545</v>
      </c>
      <c r="G62" s="21" t="s">
        <v>597</v>
      </c>
      <c r="H62" t="s">
        <v>1433</v>
      </c>
      <c r="I62" s="160">
        <v>21890</v>
      </c>
      <c r="J62" s="160"/>
      <c r="K62" s="88" t="s">
        <v>17</v>
      </c>
      <c r="L62" s="2">
        <v>44865</v>
      </c>
      <c r="O62" s="21"/>
      <c r="P62" s="157">
        <v>0.72361111111111109</v>
      </c>
      <c r="Q62" s="157">
        <v>0.78541666666666676</v>
      </c>
    </row>
    <row r="63" spans="1:22" hidden="1" x14ac:dyDescent="0.25">
      <c r="A63" s="116">
        <v>29102022</v>
      </c>
      <c r="B63" s="169" t="s">
        <v>565</v>
      </c>
      <c r="C63" s="30">
        <v>2221</v>
      </c>
      <c r="D63" s="122">
        <v>44863</v>
      </c>
      <c r="E63" s="88"/>
      <c r="F63" t="s">
        <v>545</v>
      </c>
      <c r="G63" s="21" t="s">
        <v>277</v>
      </c>
      <c r="H63" t="s">
        <v>1434</v>
      </c>
      <c r="I63" s="160">
        <v>21890</v>
      </c>
      <c r="J63" s="160"/>
      <c r="K63" s="88" t="s">
        <v>17</v>
      </c>
      <c r="L63" s="2">
        <v>44867</v>
      </c>
      <c r="O63" s="21" t="s">
        <v>978</v>
      </c>
      <c r="P63" s="157">
        <v>0.68888888888888899</v>
      </c>
      <c r="Q63" s="157">
        <v>0.74791666666666667</v>
      </c>
    </row>
    <row r="64" spans="1:22" hidden="1" x14ac:dyDescent="0.25">
      <c r="A64" s="116" t="s">
        <v>1431</v>
      </c>
      <c r="B64" t="s">
        <v>565</v>
      </c>
      <c r="C64" s="169" t="s">
        <v>693</v>
      </c>
      <c r="D64" s="122">
        <v>44867</v>
      </c>
      <c r="E64" s="88"/>
      <c r="F64" t="s">
        <v>545</v>
      </c>
      <c r="G64" s="21" t="s">
        <v>279</v>
      </c>
      <c r="H64" t="s">
        <v>1631</v>
      </c>
      <c r="I64" s="160">
        <v>32000</v>
      </c>
      <c r="J64" s="160"/>
      <c r="K64" s="88" t="s">
        <v>17</v>
      </c>
      <c r="L64" s="2" t="s">
        <v>1635</v>
      </c>
      <c r="O64" s="21" t="s">
        <v>922</v>
      </c>
      <c r="P64" s="157">
        <v>0.66736111111111107</v>
      </c>
      <c r="Q64" s="157">
        <v>0.85555555555555562</v>
      </c>
    </row>
    <row r="65" spans="1:22" hidden="1" x14ac:dyDescent="0.25">
      <c r="A65" s="116" t="s">
        <v>1432</v>
      </c>
      <c r="B65" t="s">
        <v>565</v>
      </c>
      <c r="C65" s="30">
        <v>2221</v>
      </c>
      <c r="D65" s="122">
        <v>44868</v>
      </c>
      <c r="E65" s="88"/>
      <c r="F65" t="s">
        <v>545</v>
      </c>
      <c r="G65" s="21" t="s">
        <v>277</v>
      </c>
      <c r="H65" t="s">
        <v>1632</v>
      </c>
      <c r="I65" s="160">
        <v>21890</v>
      </c>
      <c r="J65" s="160"/>
      <c r="K65" s="88" t="s">
        <v>17</v>
      </c>
      <c r="L65" s="2">
        <v>44872</v>
      </c>
      <c r="O65" s="21" t="s">
        <v>894</v>
      </c>
      <c r="P65" s="157"/>
      <c r="Q65" s="157"/>
    </row>
    <row r="66" spans="1:22" hidden="1" x14ac:dyDescent="0.25">
      <c r="A66" s="116">
        <v>15112022</v>
      </c>
      <c r="B66" s="169" t="s">
        <v>565</v>
      </c>
      <c r="C66" s="30" t="s">
        <v>410</v>
      </c>
      <c r="D66" s="122">
        <v>44880</v>
      </c>
      <c r="E66" s="88"/>
      <c r="F66" t="s">
        <v>545</v>
      </c>
      <c r="G66" s="21" t="s">
        <v>279</v>
      </c>
      <c r="H66" t="s">
        <v>1633</v>
      </c>
      <c r="I66" s="160">
        <v>32000</v>
      </c>
      <c r="J66" s="160"/>
      <c r="K66" s="88" t="s">
        <v>17</v>
      </c>
      <c r="L66" s="2">
        <v>44881</v>
      </c>
      <c r="O66" s="21" t="s">
        <v>1485</v>
      </c>
      <c r="P66" s="157">
        <v>0.57777777777777783</v>
      </c>
      <c r="Q66" s="21"/>
    </row>
    <row r="67" spans="1:22" hidden="1" x14ac:dyDescent="0.25">
      <c r="A67" s="116">
        <v>22112022</v>
      </c>
      <c r="B67" s="30" t="s">
        <v>565</v>
      </c>
      <c r="C67" s="169" t="s">
        <v>1469</v>
      </c>
      <c r="D67" s="122">
        <v>44887</v>
      </c>
      <c r="E67" s="88"/>
      <c r="F67" t="s">
        <v>545</v>
      </c>
      <c r="G67" s="21" t="s">
        <v>277</v>
      </c>
      <c r="H67" t="s">
        <v>1634</v>
      </c>
      <c r="I67" s="160">
        <v>21890</v>
      </c>
      <c r="J67" s="88"/>
      <c r="K67" s="88" t="s">
        <v>17</v>
      </c>
      <c r="L67" s="2">
        <v>44894</v>
      </c>
      <c r="O67" s="21" t="s">
        <v>1159</v>
      </c>
      <c r="P67" s="157">
        <v>0.66249999999999998</v>
      </c>
      <c r="Q67" s="157">
        <v>0.72152777777777777</v>
      </c>
    </row>
    <row r="68" spans="1:22" hidden="1" x14ac:dyDescent="0.25">
      <c r="A68" s="116">
        <v>23112022</v>
      </c>
      <c r="B68" s="30" t="s">
        <v>565</v>
      </c>
      <c r="C68" s="169" t="s">
        <v>693</v>
      </c>
      <c r="D68" s="122">
        <v>44888</v>
      </c>
      <c r="E68" s="88"/>
      <c r="F68" t="s">
        <v>545</v>
      </c>
      <c r="G68" s="21" t="s">
        <v>279</v>
      </c>
      <c r="H68" t="s">
        <v>1578</v>
      </c>
      <c r="I68" s="160">
        <v>32000</v>
      </c>
      <c r="J68" s="160"/>
      <c r="K68" s="88" t="s">
        <v>17</v>
      </c>
      <c r="L68" s="2">
        <v>44902</v>
      </c>
      <c r="O68" s="21" t="s">
        <v>922</v>
      </c>
      <c r="P68" s="157">
        <v>0.29652777777777778</v>
      </c>
      <c r="Q68" s="157">
        <v>0.49791666666666662</v>
      </c>
    </row>
    <row r="69" spans="1:22" hidden="1" x14ac:dyDescent="0.25">
      <c r="A69" s="116" t="s">
        <v>1552</v>
      </c>
      <c r="B69" t="s">
        <v>565</v>
      </c>
      <c r="C69" s="30" t="s">
        <v>27</v>
      </c>
      <c r="D69" s="122">
        <v>44901</v>
      </c>
      <c r="E69" s="88"/>
      <c r="F69" t="s">
        <v>1499</v>
      </c>
      <c r="G69" s="21" t="s">
        <v>277</v>
      </c>
      <c r="H69" t="s">
        <v>1579</v>
      </c>
      <c r="I69" s="160">
        <v>21890</v>
      </c>
      <c r="J69" s="160"/>
      <c r="K69" s="88" t="s">
        <v>17</v>
      </c>
      <c r="L69" s="2">
        <v>44909</v>
      </c>
      <c r="O69" t="s">
        <v>989</v>
      </c>
      <c r="P69" s="157">
        <v>0.58611111111111114</v>
      </c>
      <c r="Q69" s="157">
        <v>0.71250000000000002</v>
      </c>
    </row>
    <row r="70" spans="1:22" hidden="1" x14ac:dyDescent="0.25">
      <c r="A70" s="115">
        <v>26122022</v>
      </c>
      <c r="B70" t="s">
        <v>565</v>
      </c>
      <c r="C70" s="30" t="s">
        <v>809</v>
      </c>
      <c r="D70" s="122">
        <v>44921</v>
      </c>
      <c r="E70" s="88"/>
      <c r="F70" t="s">
        <v>545</v>
      </c>
      <c r="G70" s="21" t="s">
        <v>277</v>
      </c>
      <c r="H70" t="s">
        <v>1658</v>
      </c>
      <c r="I70" s="160">
        <v>21980</v>
      </c>
      <c r="J70" s="160"/>
      <c r="K70" s="160" t="s">
        <v>17</v>
      </c>
      <c r="L70" s="2">
        <v>45289</v>
      </c>
      <c r="S70" s="2" t="s">
        <v>978</v>
      </c>
      <c r="T70" s="157">
        <v>0.70208333333333339</v>
      </c>
      <c r="U70" s="157">
        <v>0.86736111111111114</v>
      </c>
    </row>
    <row r="71" spans="1:22" hidden="1" x14ac:dyDescent="0.25">
      <c r="A71" s="115">
        <v>26122022</v>
      </c>
      <c r="B71" t="s">
        <v>565</v>
      </c>
      <c r="C71" s="30" t="s">
        <v>27</v>
      </c>
      <c r="D71" s="122">
        <v>44921</v>
      </c>
      <c r="E71" s="88"/>
      <c r="F71" t="s">
        <v>545</v>
      </c>
      <c r="G71" s="21" t="s">
        <v>279</v>
      </c>
      <c r="H71" t="s">
        <v>1657</v>
      </c>
      <c r="I71" s="160">
        <v>32000</v>
      </c>
      <c r="J71" s="160"/>
      <c r="K71" s="160" t="s">
        <v>17</v>
      </c>
      <c r="L71" s="2">
        <v>45289</v>
      </c>
      <c r="S71" s="2" t="s">
        <v>929</v>
      </c>
      <c r="T71" s="157">
        <v>0.74305555555555547</v>
      </c>
      <c r="U71" s="157">
        <v>0.91666666666666663</v>
      </c>
    </row>
    <row r="72" spans="1:22" hidden="1" x14ac:dyDescent="0.25">
      <c r="A72" s="256">
        <v>22112023</v>
      </c>
      <c r="B72" t="s">
        <v>565</v>
      </c>
      <c r="C72" t="s">
        <v>13</v>
      </c>
      <c r="D72" s="122">
        <v>45252</v>
      </c>
      <c r="F72" s="30" t="s">
        <v>545</v>
      </c>
      <c r="G72" s="30" t="s">
        <v>279</v>
      </c>
      <c r="H72" s="30"/>
      <c r="I72" s="236">
        <v>33135</v>
      </c>
      <c r="K72" t="s">
        <v>17</v>
      </c>
      <c r="L72" s="88"/>
      <c r="T72" s="14" t="s">
        <v>922</v>
      </c>
      <c r="U72" s="14">
        <v>0.47916666666666669</v>
      </c>
      <c r="V72" s="14">
        <v>0.65486111111111112</v>
      </c>
    </row>
    <row r="73" spans="1:22" x14ac:dyDescent="0.25">
      <c r="A73" s="483"/>
      <c r="C73" s="28"/>
      <c r="D73" s="233"/>
      <c r="E73" s="28"/>
      <c r="F73" s="28"/>
      <c r="G73" s="1067"/>
      <c r="I73" s="313"/>
      <c r="J73" s="88"/>
      <c r="L73" s="233"/>
      <c r="M73" s="32"/>
      <c r="U73" s="360"/>
      <c r="V73" s="360"/>
    </row>
    <row r="74" spans="1:22" x14ac:dyDescent="0.25">
      <c r="A74" s="483"/>
      <c r="C74" s="28"/>
      <c r="D74" s="233"/>
      <c r="E74" s="28"/>
      <c r="F74" s="28"/>
      <c r="G74" s="1067"/>
      <c r="I74" s="313"/>
      <c r="J74" s="88"/>
      <c r="L74" s="233"/>
      <c r="M74" s="32"/>
      <c r="U74" s="360"/>
      <c r="V74" s="360"/>
    </row>
    <row r="76" spans="1:22" x14ac:dyDescent="0.25">
      <c r="H76" s="32"/>
    </row>
    <row r="77" spans="1:22" ht="15.75" thickBot="1" x14ac:dyDescent="0.3"/>
    <row r="78" spans="1:22" ht="15.75" thickBot="1" x14ac:dyDescent="0.3">
      <c r="I78" s="172">
        <f>SUBTOTAL(9,I58:I77)</f>
        <v>0</v>
      </c>
    </row>
    <row r="79" spans="1:22" x14ac:dyDescent="0.25">
      <c r="L79" s="13"/>
    </row>
  </sheetData>
  <autoFilter ref="A2:W79" xr:uid="{00000000-0009-0000-0000-000003000000}">
    <filterColumn colId="10">
      <filters blank="1"/>
    </filterColumn>
    <filterColumn colId="13" showButton="0"/>
    <filterColumn colId="14" showButton="0"/>
    <filterColumn colId="15" showButton="0"/>
  </autoFilter>
  <mergeCells count="2">
    <mergeCell ref="N2:Q2"/>
    <mergeCell ref="A57:H5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6754" r:id="rId4" name="Button 1">
              <controlPr defaultSize="0" print="0" autoFill="0" autoPict="0" macro="[0]!RETORNAR">
                <anchor moveWithCells="1" sizeWithCells="1">
                  <from>
                    <xdr:col>0</xdr:col>
                    <xdr:colOff>28575</xdr:colOff>
                    <xdr:row>0</xdr:row>
                    <xdr:rowOff>0</xdr:rowOff>
                  </from>
                  <to>
                    <xdr:col>1</xdr:col>
                    <xdr:colOff>1076325</xdr:colOff>
                    <xdr:row>0</xdr:row>
                    <xdr:rowOff>257175</xdr:rowOff>
                  </to>
                </anchor>
              </controlPr>
            </control>
          </mc:Choice>
        </mc:AlternateContent>
        <mc:AlternateContent xmlns:mc="http://schemas.openxmlformats.org/markup-compatibility/2006">
          <mc:Choice Requires="x14">
            <control shapeId="116762" r:id="rId5" name="Botón 26">
              <controlPr defaultSize="0" print="0" autoFill="0" autoPict="0" macro="[0]!IR_VENTAS_B200_2026">
                <anchor moveWithCells="1" sizeWithCells="1">
                  <from>
                    <xdr:col>1</xdr:col>
                    <xdr:colOff>390525</xdr:colOff>
                    <xdr:row>77</xdr:row>
                    <xdr:rowOff>47625</xdr:rowOff>
                  </from>
                  <to>
                    <xdr:col>1</xdr:col>
                    <xdr:colOff>1685925</xdr:colOff>
                    <xdr:row>80</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filterMode="1"/>
  <dimension ref="A1:V8"/>
  <sheetViews>
    <sheetView workbookViewId="0">
      <selection activeCell="C11" sqref="C11"/>
    </sheetView>
  </sheetViews>
  <sheetFormatPr baseColWidth="10" defaultColWidth="10.85546875" defaultRowHeight="15" x14ac:dyDescent="0.25"/>
  <cols>
    <col min="1" max="1" width="14.7109375" customWidth="1"/>
    <col min="7" max="7" width="36.42578125" customWidth="1"/>
    <col min="10" max="10" width="12" bestFit="1" customWidth="1"/>
  </cols>
  <sheetData>
    <row r="1" spans="1:22" ht="19.5" customHeight="1" x14ac:dyDescent="0.25"/>
    <row r="2" spans="1:22" x14ac:dyDescent="0.25">
      <c r="A2" t="s">
        <v>706</v>
      </c>
      <c r="B2" s="1" t="s">
        <v>0</v>
      </c>
      <c r="C2" s="1" t="s">
        <v>1</v>
      </c>
      <c r="D2" s="1" t="s">
        <v>2</v>
      </c>
      <c r="E2" s="1"/>
      <c r="F2" s="1" t="s">
        <v>3</v>
      </c>
      <c r="G2" s="1" t="s">
        <v>4</v>
      </c>
      <c r="H2" s="1" t="s">
        <v>5</v>
      </c>
      <c r="I2" s="1" t="s">
        <v>6</v>
      </c>
      <c r="J2" s="1" t="s">
        <v>1780</v>
      </c>
      <c r="K2" s="1" t="s">
        <v>8</v>
      </c>
      <c r="L2" s="94" t="s">
        <v>3998</v>
      </c>
      <c r="M2" s="1" t="s">
        <v>10</v>
      </c>
      <c r="N2" s="1480" t="s">
        <v>11</v>
      </c>
      <c r="O2" s="1480"/>
      <c r="P2" s="1480"/>
      <c r="Q2" s="1480"/>
    </row>
    <row r="3" spans="1:22" hidden="1" x14ac:dyDescent="0.25">
      <c r="A3" s="116">
        <v>30102022</v>
      </c>
      <c r="B3" s="169" t="s">
        <v>1424</v>
      </c>
      <c r="C3" s="30" t="s">
        <v>410</v>
      </c>
      <c r="D3" s="232">
        <v>44864</v>
      </c>
      <c r="E3" s="88"/>
      <c r="F3" s="1490" t="s">
        <v>563</v>
      </c>
      <c r="G3" s="21" t="s">
        <v>1566</v>
      </c>
      <c r="H3" t="s">
        <v>1588</v>
      </c>
      <c r="I3" s="237">
        <v>31900</v>
      </c>
      <c r="J3" s="160">
        <f>+I3*0.9</f>
        <v>28710</v>
      </c>
      <c r="K3" s="160" t="s">
        <v>17</v>
      </c>
      <c r="L3" s="2">
        <v>44932</v>
      </c>
      <c r="O3" s="21" t="s">
        <v>929</v>
      </c>
      <c r="P3" s="157">
        <v>0.35486111111111113</v>
      </c>
      <c r="Q3" s="157">
        <v>0.52430555555555558</v>
      </c>
    </row>
    <row r="4" spans="1:22" hidden="1" x14ac:dyDescent="0.25">
      <c r="A4" s="483">
        <v>21012023</v>
      </c>
      <c r="B4" s="28" t="s">
        <v>1424</v>
      </c>
      <c r="C4" s="28" t="s">
        <v>3546</v>
      </c>
      <c r="D4" s="233">
        <v>45312</v>
      </c>
      <c r="F4" s="1490"/>
      <c r="G4" s="30" t="s">
        <v>3615</v>
      </c>
      <c r="H4" s="30" t="s">
        <v>3790</v>
      </c>
      <c r="I4" s="237">
        <v>29075</v>
      </c>
      <c r="J4" s="17">
        <f>+I4-2908</f>
        <v>26167</v>
      </c>
      <c r="K4" s="313" t="s">
        <v>17</v>
      </c>
      <c r="L4" s="233">
        <v>45348</v>
      </c>
      <c r="T4" s="14"/>
      <c r="U4" s="360">
        <v>0.44513888888888892</v>
      </c>
      <c r="V4" s="360">
        <v>0.55694444444444446</v>
      </c>
    </row>
    <row r="5" spans="1:22" hidden="1" x14ac:dyDescent="0.25">
      <c r="A5" s="483">
        <v>28012023</v>
      </c>
      <c r="B5" s="28" t="s">
        <v>1424</v>
      </c>
      <c r="C5" s="28" t="s">
        <v>3414</v>
      </c>
      <c r="D5" s="233">
        <v>45319</v>
      </c>
      <c r="F5" s="28" t="s">
        <v>563</v>
      </c>
      <c r="G5" s="30" t="s">
        <v>3658</v>
      </c>
      <c r="H5" s="30" t="s">
        <v>3791</v>
      </c>
      <c r="I5" s="237">
        <v>29075</v>
      </c>
      <c r="J5" s="17">
        <f>+I5-2908</f>
        <v>26167</v>
      </c>
      <c r="K5" s="313" t="s">
        <v>17</v>
      </c>
      <c r="L5" s="233">
        <v>45348</v>
      </c>
      <c r="T5" s="14" t="s">
        <v>1506</v>
      </c>
      <c r="U5" s="360">
        <v>0.28541666666666665</v>
      </c>
      <c r="V5" s="360">
        <v>0.47430555555555554</v>
      </c>
    </row>
    <row r="6" spans="1:22" x14ac:dyDescent="0.25">
      <c r="A6" s="483" t="s">
        <v>8604</v>
      </c>
      <c r="B6" s="28" t="s">
        <v>1424</v>
      </c>
      <c r="C6" s="28" t="s">
        <v>3414</v>
      </c>
      <c r="D6" s="233">
        <v>46274</v>
      </c>
      <c r="F6" s="28" t="s">
        <v>563</v>
      </c>
      <c r="G6" s="30" t="s">
        <v>8606</v>
      </c>
      <c r="H6" s="30"/>
      <c r="I6" s="237">
        <v>32410</v>
      </c>
      <c r="J6" s="17">
        <f>+I6-2908</f>
        <v>29502</v>
      </c>
      <c r="K6" s="313"/>
      <c r="L6" s="233"/>
      <c r="T6" s="14"/>
      <c r="U6" s="360"/>
      <c r="V6" s="360"/>
    </row>
    <row r="7" spans="1:22" x14ac:dyDescent="0.25">
      <c r="A7" s="116"/>
      <c r="B7" s="169"/>
      <c r="C7" s="21"/>
      <c r="D7" s="123"/>
      <c r="E7" s="88"/>
      <c r="F7" s="21"/>
      <c r="G7" s="21"/>
      <c r="I7" s="160"/>
      <c r="J7" s="160"/>
      <c r="K7" s="160"/>
      <c r="O7" s="163"/>
      <c r="P7" s="157"/>
      <c r="Q7" s="157"/>
    </row>
    <row r="8" spans="1:22" x14ac:dyDescent="0.25">
      <c r="H8" s="5" t="s">
        <v>423</v>
      </c>
      <c r="I8" s="9">
        <f>SUBTOTAL(9,I3:I7)</f>
        <v>32410</v>
      </c>
    </row>
  </sheetData>
  <autoFilter ref="A2:Q7" xr:uid="{00000000-0009-0000-0000-000004000000}">
    <filterColumn colId="10">
      <filters blank="1"/>
    </filterColumn>
    <filterColumn colId="13" showButton="0"/>
    <filterColumn colId="14" showButton="0"/>
    <filterColumn colId="15" showButton="0"/>
  </autoFilter>
  <mergeCells count="2">
    <mergeCell ref="N2:Q2"/>
    <mergeCell ref="F3:F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0980" r:id="rId3" name="Button 1">
              <controlPr defaultSize="0" print="0" autoFill="0" autoPict="0" macro="[0]!RETORNAR">
                <anchor moveWithCells="1" sizeWithCells="1">
                  <from>
                    <xdr:col>0</xdr:col>
                    <xdr:colOff>28575</xdr:colOff>
                    <xdr:row>0</xdr:row>
                    <xdr:rowOff>0</xdr:rowOff>
                  </from>
                  <to>
                    <xdr:col>2</xdr:col>
                    <xdr:colOff>47625</xdr:colOff>
                    <xdr:row>1</xdr:row>
                    <xdr:rowOff>9525</xdr:rowOff>
                  </to>
                </anchor>
              </controlPr>
            </control>
          </mc:Choice>
        </mc:AlternateContent>
        <mc:AlternateContent xmlns:mc="http://schemas.openxmlformats.org/markup-compatibility/2006">
          <mc:Choice Requires="x14">
            <control shapeId="510984" r:id="rId4" name="Botón 8">
              <controlPr defaultSize="0" print="0" autoFill="0" autoPict="0" macro="[0]!IR_VENTAS_B200_2026">
                <anchor moveWithCells="1" sizeWithCells="1">
                  <from>
                    <xdr:col>0</xdr:col>
                    <xdr:colOff>714375</xdr:colOff>
                    <xdr:row>9</xdr:row>
                    <xdr:rowOff>123825</xdr:rowOff>
                  </from>
                  <to>
                    <xdr:col>2</xdr:col>
                    <xdr:colOff>228600</xdr:colOff>
                    <xdr:row>12</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filterMode="1"/>
  <dimension ref="A1:S56"/>
  <sheetViews>
    <sheetView zoomScaleNormal="100" zoomScaleSheetLayoutView="98" workbookViewId="0">
      <selection activeCell="A62" sqref="A62"/>
    </sheetView>
  </sheetViews>
  <sheetFormatPr baseColWidth="10" defaultColWidth="10.85546875" defaultRowHeight="15" x14ac:dyDescent="0.25"/>
  <cols>
    <col min="4" max="5" width="11.42578125" customWidth="1"/>
    <col min="6" max="6" width="51.85546875" customWidth="1"/>
    <col min="7" max="7" width="22.5703125" customWidth="1"/>
    <col min="8" max="8" width="14.5703125" customWidth="1"/>
    <col min="11" max="11" width="11.42578125" style="122"/>
    <col min="12" max="12" width="11.7109375" bestFit="1" customWidth="1"/>
    <col min="13" max="13" width="7.42578125" bestFit="1" customWidth="1"/>
    <col min="14" max="14" width="5.85546875" bestFit="1" customWidth="1"/>
    <col min="15" max="15" width="11.7109375" customWidth="1"/>
  </cols>
  <sheetData>
    <row r="1" spans="1:19" ht="20.100000000000001" customHeight="1" x14ac:dyDescent="0.25"/>
    <row r="2" spans="1:19" ht="15.75" thickBot="1" x14ac:dyDescent="0.3">
      <c r="A2" s="1" t="s">
        <v>0</v>
      </c>
      <c r="B2" s="1" t="s">
        <v>1</v>
      </c>
      <c r="C2" s="1" t="s">
        <v>2</v>
      </c>
      <c r="D2" s="1"/>
      <c r="E2" s="1" t="s">
        <v>3</v>
      </c>
      <c r="F2" s="1" t="s">
        <v>4</v>
      </c>
      <c r="G2" s="1" t="s">
        <v>5</v>
      </c>
      <c r="H2" s="1" t="s">
        <v>6</v>
      </c>
      <c r="I2" s="1" t="s">
        <v>1780</v>
      </c>
      <c r="J2" s="1" t="s">
        <v>8</v>
      </c>
      <c r="K2" s="94" t="s">
        <v>3998</v>
      </c>
      <c r="L2" s="1" t="s">
        <v>10</v>
      </c>
      <c r="M2" s="1"/>
      <c r="N2" s="1"/>
      <c r="O2" s="128" t="s">
        <v>1601</v>
      </c>
      <c r="P2" s="1480" t="s">
        <v>11</v>
      </c>
      <c r="Q2" s="1480"/>
      <c r="R2" s="1480"/>
      <c r="S2" s="1480"/>
    </row>
    <row r="3" spans="1:19" ht="15.75" thickBot="1" x14ac:dyDescent="0.3">
      <c r="A3" s="1487">
        <v>2020</v>
      </c>
      <c r="B3" s="1488"/>
      <c r="C3" s="1488"/>
      <c r="D3" s="1488"/>
      <c r="E3" s="1488"/>
      <c r="F3" s="1488"/>
      <c r="G3" s="1488"/>
      <c r="H3" s="1488"/>
      <c r="I3" s="1489"/>
      <c r="J3" s="1"/>
      <c r="K3" s="121"/>
      <c r="M3" s="129"/>
      <c r="N3" s="129"/>
      <c r="O3" s="129"/>
    </row>
    <row r="4" spans="1:19" ht="15" customHeight="1" x14ac:dyDescent="0.25">
      <c r="A4" t="s">
        <v>12</v>
      </c>
      <c r="C4" s="122">
        <v>44011</v>
      </c>
      <c r="D4" s="2"/>
      <c r="E4" t="s">
        <v>14</v>
      </c>
      <c r="F4" t="s">
        <v>345</v>
      </c>
      <c r="G4" t="s">
        <v>330</v>
      </c>
      <c r="H4" s="3">
        <v>24434.880000000001</v>
      </c>
      <c r="I4" s="3">
        <f t="shared" ref="I4:I9" si="0">+H4-ROUND(H4*0.12,0)</f>
        <v>21502.880000000001</v>
      </c>
      <c r="J4" t="s">
        <v>71</v>
      </c>
      <c r="K4" s="2"/>
      <c r="L4" s="3"/>
      <c r="M4" s="129">
        <f>IF(J4="PAGADA",K4-C4,0)</f>
        <v>0</v>
      </c>
      <c r="N4" s="129" t="s">
        <v>1600</v>
      </c>
      <c r="O4" s="129" t="str">
        <f>CONCATENATE(M4,N4)</f>
        <v>0 dias</v>
      </c>
      <c r="S4" t="s">
        <v>555</v>
      </c>
    </row>
    <row r="5" spans="1:19" ht="15" customHeight="1" x14ac:dyDescent="0.25">
      <c r="A5" t="s">
        <v>12</v>
      </c>
      <c r="C5" s="122">
        <v>44011</v>
      </c>
      <c r="D5" s="2"/>
      <c r="F5" t="s">
        <v>338</v>
      </c>
      <c r="G5" t="s">
        <v>331</v>
      </c>
      <c r="H5" s="3">
        <v>19215.12</v>
      </c>
      <c r="I5" s="3">
        <f t="shared" si="0"/>
        <v>16909.12</v>
      </c>
      <c r="J5" t="s">
        <v>71</v>
      </c>
      <c r="K5" s="32"/>
      <c r="M5" s="129">
        <f t="shared" ref="M5:M11" si="1">IF(J5="PAGADA",K5-C5,0)</f>
        <v>0</v>
      </c>
      <c r="N5" s="129" t="s">
        <v>1600</v>
      </c>
      <c r="O5" s="129" t="str">
        <f t="shared" ref="O5:O11" si="2">CONCATENATE(M5,N5)</f>
        <v>0 dias</v>
      </c>
      <c r="S5" t="s">
        <v>555</v>
      </c>
    </row>
    <row r="6" spans="1:19" x14ac:dyDescent="0.25">
      <c r="A6" t="s">
        <v>12</v>
      </c>
      <c r="C6" s="122">
        <v>44058</v>
      </c>
      <c r="D6" s="2"/>
      <c r="E6" t="s">
        <v>14</v>
      </c>
      <c r="F6" t="s">
        <v>344</v>
      </c>
      <c r="G6" t="s">
        <v>332</v>
      </c>
      <c r="H6" s="3">
        <v>24434.880000000001</v>
      </c>
      <c r="I6" s="3">
        <f t="shared" si="0"/>
        <v>21502.880000000001</v>
      </c>
      <c r="J6" t="s">
        <v>71</v>
      </c>
      <c r="K6" s="2"/>
      <c r="M6" s="129">
        <f t="shared" si="1"/>
        <v>0</v>
      </c>
      <c r="N6" s="129" t="s">
        <v>1600</v>
      </c>
      <c r="O6" s="129" t="str">
        <f t="shared" si="2"/>
        <v>0 dias</v>
      </c>
      <c r="S6" t="s">
        <v>555</v>
      </c>
    </row>
    <row r="7" spans="1:19" x14ac:dyDescent="0.25">
      <c r="A7" t="s">
        <v>12</v>
      </c>
      <c r="C7" s="122">
        <v>44058</v>
      </c>
      <c r="D7" s="2"/>
      <c r="F7" t="s">
        <v>339</v>
      </c>
      <c r="G7" t="s">
        <v>333</v>
      </c>
      <c r="H7" s="3">
        <v>19215.12</v>
      </c>
      <c r="I7" s="3">
        <f t="shared" si="0"/>
        <v>16909.12</v>
      </c>
      <c r="J7" t="s">
        <v>71</v>
      </c>
      <c r="K7" s="2"/>
      <c r="M7" s="129">
        <f t="shared" si="1"/>
        <v>0</v>
      </c>
      <c r="N7" s="129" t="s">
        <v>1600</v>
      </c>
      <c r="O7" s="129" t="str">
        <f t="shared" si="2"/>
        <v>0 dias</v>
      </c>
      <c r="S7" t="s">
        <v>555</v>
      </c>
    </row>
    <row r="8" spans="1:19" x14ac:dyDescent="0.25">
      <c r="A8" t="s">
        <v>12</v>
      </c>
      <c r="C8" s="122">
        <v>44071</v>
      </c>
      <c r="D8" s="2"/>
      <c r="E8" t="s">
        <v>14</v>
      </c>
      <c r="F8" t="s">
        <v>340</v>
      </c>
      <c r="G8" t="s">
        <v>334</v>
      </c>
      <c r="H8" s="3">
        <v>24434.880000000001</v>
      </c>
      <c r="I8" s="3">
        <f t="shared" si="0"/>
        <v>21502.880000000001</v>
      </c>
      <c r="J8" t="s">
        <v>71</v>
      </c>
      <c r="K8" s="2"/>
      <c r="M8" s="129">
        <f t="shared" si="1"/>
        <v>0</v>
      </c>
      <c r="N8" s="129" t="s">
        <v>1600</v>
      </c>
      <c r="O8" s="129" t="str">
        <f t="shared" si="2"/>
        <v>0 dias</v>
      </c>
      <c r="S8" t="s">
        <v>555</v>
      </c>
    </row>
    <row r="9" spans="1:19" x14ac:dyDescent="0.25">
      <c r="A9" t="s">
        <v>12</v>
      </c>
      <c r="C9" s="122">
        <v>44071</v>
      </c>
      <c r="D9" s="2"/>
      <c r="F9" t="s">
        <v>341</v>
      </c>
      <c r="G9" t="s">
        <v>335</v>
      </c>
      <c r="H9" s="3">
        <v>19215.12</v>
      </c>
      <c r="I9" s="3">
        <f t="shared" si="0"/>
        <v>16909.12</v>
      </c>
      <c r="J9" t="s">
        <v>71</v>
      </c>
      <c r="K9" s="2"/>
      <c r="M9" s="129">
        <f t="shared" si="1"/>
        <v>0</v>
      </c>
      <c r="N9" s="129" t="s">
        <v>1600</v>
      </c>
      <c r="O9" s="129" t="str">
        <f t="shared" si="2"/>
        <v>0 dias</v>
      </c>
      <c r="S9" t="s">
        <v>555</v>
      </c>
    </row>
    <row r="10" spans="1:19" hidden="1" x14ac:dyDescent="0.25">
      <c r="A10" t="s">
        <v>12</v>
      </c>
      <c r="C10" s="122">
        <v>44171</v>
      </c>
      <c r="D10" s="2"/>
      <c r="E10" t="s">
        <v>14</v>
      </c>
      <c r="F10" t="s">
        <v>342</v>
      </c>
      <c r="G10" t="s">
        <v>336</v>
      </c>
      <c r="H10" s="3">
        <v>24434.880000000001</v>
      </c>
      <c r="J10" t="s">
        <v>17</v>
      </c>
      <c r="K10" s="126">
        <v>44550</v>
      </c>
      <c r="M10" s="129">
        <f t="shared" si="1"/>
        <v>379</v>
      </c>
      <c r="N10" s="129" t="s">
        <v>1600</v>
      </c>
      <c r="O10" s="129" t="str">
        <f t="shared" si="2"/>
        <v>379 dias</v>
      </c>
    </row>
    <row r="11" spans="1:19" hidden="1" x14ac:dyDescent="0.25">
      <c r="A11" t="s">
        <v>12</v>
      </c>
      <c r="C11" s="122">
        <v>44171</v>
      </c>
      <c r="D11" s="2"/>
      <c r="F11" t="s">
        <v>343</v>
      </c>
      <c r="G11" t="s">
        <v>337</v>
      </c>
      <c r="H11" s="3">
        <v>19215.12</v>
      </c>
      <c r="J11" t="s">
        <v>17</v>
      </c>
      <c r="K11" s="126">
        <v>44550</v>
      </c>
      <c r="M11" s="129">
        <f t="shared" si="1"/>
        <v>379</v>
      </c>
      <c r="N11" s="129" t="s">
        <v>1600</v>
      </c>
      <c r="O11" s="129" t="str">
        <f t="shared" si="2"/>
        <v>379 dias</v>
      </c>
    </row>
    <row r="12" spans="1:19" ht="15.75" thickBot="1" x14ac:dyDescent="0.3">
      <c r="G12" t="s">
        <v>346</v>
      </c>
      <c r="H12" s="9">
        <f>SUBTOTAL(9,H4:H11)</f>
        <v>130950</v>
      </c>
      <c r="I12" s="3"/>
    </row>
    <row r="13" spans="1:19" ht="15.75" thickBot="1" x14ac:dyDescent="0.3">
      <c r="A13" s="1487">
        <v>2021</v>
      </c>
      <c r="B13" s="1488"/>
      <c r="C13" s="1488"/>
      <c r="D13" s="1488"/>
      <c r="E13" s="1488"/>
      <c r="F13" s="1488"/>
      <c r="G13" s="1488"/>
      <c r="H13" s="1488"/>
      <c r="I13" s="1489"/>
      <c r="J13" s="1"/>
      <c r="K13" s="121"/>
      <c r="M13" s="129"/>
      <c r="N13" s="129"/>
      <c r="O13" s="129"/>
    </row>
    <row r="14" spans="1:19" ht="15" hidden="1" customHeight="1" x14ac:dyDescent="0.25">
      <c r="A14" t="s">
        <v>12</v>
      </c>
      <c r="B14" t="s">
        <v>13</v>
      </c>
      <c r="C14" s="122">
        <v>44239</v>
      </c>
      <c r="D14" s="2"/>
      <c r="E14" t="s">
        <v>14</v>
      </c>
      <c r="F14" t="s">
        <v>15</v>
      </c>
      <c r="G14" t="s">
        <v>16</v>
      </c>
      <c r="H14" s="3">
        <v>24434.880000000001</v>
      </c>
      <c r="J14" t="s">
        <v>17</v>
      </c>
      <c r="K14" s="122">
        <v>44377</v>
      </c>
      <c r="L14" t="s">
        <v>18</v>
      </c>
      <c r="M14" s="129">
        <f>IF(J14="PAGADA",K14-C14,0)</f>
        <v>138</v>
      </c>
      <c r="N14" s="129" t="s">
        <v>1600</v>
      </c>
      <c r="O14" s="129" t="str">
        <f>CONCATENATE(M14,N14)</f>
        <v>138 dias</v>
      </c>
    </row>
    <row r="15" spans="1:19" ht="15" hidden="1" customHeight="1" x14ac:dyDescent="0.25">
      <c r="A15" t="s">
        <v>12</v>
      </c>
      <c r="C15" s="122">
        <v>44239</v>
      </c>
      <c r="D15" s="2"/>
      <c r="E15" t="s">
        <v>14</v>
      </c>
      <c r="F15" t="s">
        <v>19</v>
      </c>
      <c r="G15" t="s">
        <v>20</v>
      </c>
      <c r="H15" s="3">
        <v>19215.12</v>
      </c>
      <c r="J15" t="s">
        <v>17</v>
      </c>
      <c r="K15" s="122">
        <v>44377</v>
      </c>
      <c r="L15" t="s">
        <v>18</v>
      </c>
      <c r="M15" s="129">
        <f t="shared" ref="M15:M46" si="3">IF(J15="PAGADA",K15-C15,0)</f>
        <v>138</v>
      </c>
      <c r="N15" s="129" t="s">
        <v>1600</v>
      </c>
      <c r="O15" s="129" t="str">
        <f t="shared" ref="O15:O46" si="4">CONCATENATE(M15,N15)</f>
        <v>138 dias</v>
      </c>
    </row>
    <row r="16" spans="1:19" hidden="1" x14ac:dyDescent="0.25">
      <c r="A16" t="s">
        <v>12</v>
      </c>
      <c r="B16" t="s">
        <v>21</v>
      </c>
      <c r="C16" s="122">
        <v>44260</v>
      </c>
      <c r="D16" s="2"/>
      <c r="E16" t="s">
        <v>14</v>
      </c>
      <c r="F16" t="s">
        <v>22</v>
      </c>
      <c r="G16" t="s">
        <v>23</v>
      </c>
      <c r="H16" s="3">
        <v>24434.880000000001</v>
      </c>
      <c r="J16" t="s">
        <v>17</v>
      </c>
      <c r="K16" s="122">
        <v>44310</v>
      </c>
      <c r="L16" t="s">
        <v>18</v>
      </c>
      <c r="M16" s="129">
        <f t="shared" si="3"/>
        <v>50</v>
      </c>
      <c r="N16" s="129" t="s">
        <v>1600</v>
      </c>
      <c r="O16" s="129" t="str">
        <f t="shared" si="4"/>
        <v>50 dias</v>
      </c>
      <c r="Q16" t="s">
        <v>24</v>
      </c>
    </row>
    <row r="17" spans="1:17" hidden="1" x14ac:dyDescent="0.25">
      <c r="A17" t="s">
        <v>12</v>
      </c>
      <c r="C17" s="122">
        <v>44260</v>
      </c>
      <c r="D17" s="2"/>
      <c r="F17" t="s">
        <v>25</v>
      </c>
      <c r="G17" t="s">
        <v>26</v>
      </c>
      <c r="H17" s="3">
        <v>19215.12</v>
      </c>
      <c r="J17" t="s">
        <v>17</v>
      </c>
      <c r="K17" s="122">
        <v>44310</v>
      </c>
      <c r="L17" t="s">
        <v>18</v>
      </c>
      <c r="M17" s="129">
        <f t="shared" si="3"/>
        <v>50</v>
      </c>
      <c r="N17" s="129" t="s">
        <v>1600</v>
      </c>
      <c r="O17" s="129" t="str">
        <f t="shared" si="4"/>
        <v>50 dias</v>
      </c>
    </row>
    <row r="18" spans="1:17" hidden="1" x14ac:dyDescent="0.25">
      <c r="A18" t="s">
        <v>12</v>
      </c>
      <c r="B18" t="s">
        <v>27</v>
      </c>
      <c r="C18" s="122">
        <v>44261</v>
      </c>
      <c r="D18" s="2"/>
      <c r="E18" t="s">
        <v>14</v>
      </c>
      <c r="F18" t="s">
        <v>28</v>
      </c>
      <c r="G18" t="s">
        <v>29</v>
      </c>
      <c r="H18" s="3">
        <v>24434.880000000001</v>
      </c>
      <c r="J18" t="s">
        <v>17</v>
      </c>
      <c r="K18" s="122">
        <v>44310</v>
      </c>
      <c r="L18" t="s">
        <v>18</v>
      </c>
      <c r="M18" s="129">
        <f t="shared" si="3"/>
        <v>49</v>
      </c>
      <c r="N18" s="129" t="s">
        <v>1600</v>
      </c>
      <c r="O18" s="129" t="str">
        <f t="shared" si="4"/>
        <v>49 dias</v>
      </c>
    </row>
    <row r="19" spans="1:17" hidden="1" x14ac:dyDescent="0.25">
      <c r="A19" t="s">
        <v>12</v>
      </c>
      <c r="C19" s="122">
        <v>44261</v>
      </c>
      <c r="D19" s="2"/>
      <c r="E19" t="s">
        <v>14</v>
      </c>
      <c r="F19" t="s">
        <v>25</v>
      </c>
      <c r="G19" t="s">
        <v>30</v>
      </c>
      <c r="H19" s="3">
        <v>19215.12</v>
      </c>
      <c r="J19" t="s">
        <v>17</v>
      </c>
      <c r="K19" s="122">
        <v>44310</v>
      </c>
      <c r="L19" t="s">
        <v>18</v>
      </c>
      <c r="M19" s="129">
        <f t="shared" si="3"/>
        <v>49</v>
      </c>
      <c r="N19" s="129" t="s">
        <v>1600</v>
      </c>
      <c r="O19" s="129" t="str">
        <f t="shared" si="4"/>
        <v>49 dias</v>
      </c>
    </row>
    <row r="20" spans="1:17" hidden="1" x14ac:dyDescent="0.25">
      <c r="A20" t="s">
        <v>12</v>
      </c>
      <c r="B20" t="s">
        <v>31</v>
      </c>
      <c r="C20" s="122">
        <v>44263</v>
      </c>
      <c r="D20" s="2"/>
      <c r="E20" t="s">
        <v>14</v>
      </c>
      <c r="F20" t="s">
        <v>32</v>
      </c>
      <c r="G20" t="s">
        <v>33</v>
      </c>
      <c r="H20" s="3">
        <v>24434.880000000001</v>
      </c>
      <c r="J20" t="s">
        <v>17</v>
      </c>
      <c r="K20" s="122">
        <v>44310</v>
      </c>
      <c r="L20" t="s">
        <v>18</v>
      </c>
      <c r="M20" s="129">
        <f t="shared" si="3"/>
        <v>47</v>
      </c>
      <c r="N20" s="129" t="s">
        <v>1600</v>
      </c>
      <c r="O20" s="129" t="str">
        <f t="shared" si="4"/>
        <v>47 dias</v>
      </c>
      <c r="Q20" t="s">
        <v>24</v>
      </c>
    </row>
    <row r="21" spans="1:17" hidden="1" x14ac:dyDescent="0.25">
      <c r="A21" t="s">
        <v>12</v>
      </c>
      <c r="C21" s="122">
        <v>44263</v>
      </c>
      <c r="D21" s="2"/>
      <c r="F21" t="s">
        <v>25</v>
      </c>
      <c r="G21" t="s">
        <v>34</v>
      </c>
      <c r="H21" s="3">
        <v>19215.12</v>
      </c>
      <c r="J21" t="s">
        <v>17</v>
      </c>
      <c r="K21" s="122">
        <v>44310</v>
      </c>
      <c r="L21" t="s">
        <v>18</v>
      </c>
      <c r="M21" s="129">
        <f t="shared" si="3"/>
        <v>47</v>
      </c>
      <c r="N21" s="129" t="s">
        <v>1600</v>
      </c>
      <c r="O21" s="129" t="str">
        <f t="shared" si="4"/>
        <v>47 dias</v>
      </c>
    </row>
    <row r="22" spans="1:17" hidden="1" x14ac:dyDescent="0.25">
      <c r="A22" t="s">
        <v>12</v>
      </c>
      <c r="B22" t="s">
        <v>31</v>
      </c>
      <c r="C22" s="122">
        <v>44275</v>
      </c>
      <c r="D22" s="2"/>
      <c r="E22" t="s">
        <v>14</v>
      </c>
      <c r="F22" t="s">
        <v>35</v>
      </c>
      <c r="G22" t="s">
        <v>36</v>
      </c>
      <c r="H22" s="3">
        <v>24434.880000000001</v>
      </c>
      <c r="J22" t="s">
        <v>17</v>
      </c>
      <c r="K22" s="122">
        <v>44341</v>
      </c>
      <c r="L22" t="s">
        <v>18</v>
      </c>
      <c r="M22" s="129">
        <f t="shared" si="3"/>
        <v>66</v>
      </c>
      <c r="N22" s="129" t="s">
        <v>1600</v>
      </c>
      <c r="O22" s="129" t="str">
        <f t="shared" si="4"/>
        <v>66 dias</v>
      </c>
      <c r="Q22" t="s">
        <v>24</v>
      </c>
    </row>
    <row r="23" spans="1:17" hidden="1" x14ac:dyDescent="0.25">
      <c r="A23" t="s">
        <v>12</v>
      </c>
      <c r="C23" s="122">
        <v>44275</v>
      </c>
      <c r="F23" t="s">
        <v>37</v>
      </c>
      <c r="G23" t="s">
        <v>38</v>
      </c>
      <c r="H23" s="3">
        <v>19215.12</v>
      </c>
      <c r="J23" t="s">
        <v>17</v>
      </c>
      <c r="K23" s="122">
        <v>44341</v>
      </c>
      <c r="L23" t="s">
        <v>18</v>
      </c>
      <c r="M23" s="129">
        <f t="shared" si="3"/>
        <v>66</v>
      </c>
      <c r="N23" s="129" t="s">
        <v>1600</v>
      </c>
      <c r="O23" s="129" t="str">
        <f t="shared" si="4"/>
        <v>66 dias</v>
      </c>
    </row>
    <row r="24" spans="1:17" hidden="1" x14ac:dyDescent="0.25">
      <c r="A24" t="s">
        <v>12</v>
      </c>
      <c r="B24" t="s">
        <v>31</v>
      </c>
      <c r="C24" s="122">
        <v>44284</v>
      </c>
      <c r="D24" s="2"/>
      <c r="F24" t="s">
        <v>39</v>
      </c>
      <c r="G24" t="s">
        <v>40</v>
      </c>
      <c r="H24" s="3">
        <v>24434.880000000001</v>
      </c>
      <c r="J24" t="s">
        <v>17</v>
      </c>
      <c r="K24" s="122">
        <v>44341</v>
      </c>
      <c r="L24" t="s">
        <v>18</v>
      </c>
      <c r="M24" s="129">
        <f t="shared" si="3"/>
        <v>57</v>
      </c>
      <c r="N24" s="129" t="s">
        <v>1600</v>
      </c>
      <c r="O24" s="129" t="str">
        <f t="shared" si="4"/>
        <v>57 dias</v>
      </c>
      <c r="Q24" t="s">
        <v>24</v>
      </c>
    </row>
    <row r="25" spans="1:17" hidden="1" x14ac:dyDescent="0.25">
      <c r="A25" t="s">
        <v>12</v>
      </c>
      <c r="C25" s="122">
        <v>44284</v>
      </c>
      <c r="D25" s="2"/>
      <c r="F25" t="s">
        <v>41</v>
      </c>
      <c r="G25" t="s">
        <v>42</v>
      </c>
      <c r="H25" s="3">
        <v>19215.12</v>
      </c>
      <c r="J25" t="s">
        <v>17</v>
      </c>
      <c r="K25" s="122">
        <v>44341</v>
      </c>
      <c r="L25" t="s">
        <v>18</v>
      </c>
      <c r="M25" s="129">
        <f t="shared" si="3"/>
        <v>57</v>
      </c>
      <c r="N25" s="129" t="s">
        <v>1600</v>
      </c>
      <c r="O25" s="129" t="str">
        <f t="shared" si="4"/>
        <v>57 dias</v>
      </c>
    </row>
    <row r="26" spans="1:17" hidden="1" x14ac:dyDescent="0.25">
      <c r="A26" t="s">
        <v>12</v>
      </c>
      <c r="B26" t="s">
        <v>31</v>
      </c>
      <c r="C26" s="122">
        <v>44294</v>
      </c>
      <c r="D26" s="2"/>
      <c r="E26" t="s">
        <v>14</v>
      </c>
      <c r="F26" t="s">
        <v>43</v>
      </c>
      <c r="G26" t="s">
        <v>44</v>
      </c>
      <c r="H26" s="3">
        <v>24434.880000000001</v>
      </c>
      <c r="J26" t="s">
        <v>17</v>
      </c>
      <c r="K26" s="122">
        <v>44341</v>
      </c>
      <c r="L26" t="s">
        <v>18</v>
      </c>
      <c r="M26" s="129">
        <f t="shared" si="3"/>
        <v>47</v>
      </c>
      <c r="N26" s="129" t="s">
        <v>1600</v>
      </c>
      <c r="O26" s="129" t="str">
        <f t="shared" si="4"/>
        <v>47 dias</v>
      </c>
      <c r="P26" t="s">
        <v>24</v>
      </c>
    </row>
    <row r="27" spans="1:17" hidden="1" x14ac:dyDescent="0.25">
      <c r="A27" t="s">
        <v>12</v>
      </c>
      <c r="C27" s="122">
        <v>44294</v>
      </c>
      <c r="D27" s="2"/>
      <c r="F27" t="s">
        <v>45</v>
      </c>
      <c r="G27" t="s">
        <v>46</v>
      </c>
      <c r="H27" s="3">
        <v>19215.12</v>
      </c>
      <c r="J27" t="s">
        <v>17</v>
      </c>
      <c r="K27" s="122">
        <v>44341</v>
      </c>
      <c r="L27" t="s">
        <v>18</v>
      </c>
      <c r="M27" s="129">
        <f t="shared" si="3"/>
        <v>47</v>
      </c>
      <c r="N27" s="129" t="s">
        <v>1600</v>
      </c>
      <c r="O27" s="129" t="str">
        <f t="shared" si="4"/>
        <v>47 dias</v>
      </c>
    </row>
    <row r="28" spans="1:17" hidden="1" x14ac:dyDescent="0.25">
      <c r="A28" t="s">
        <v>12</v>
      </c>
      <c r="B28" t="s">
        <v>31</v>
      </c>
      <c r="C28" s="122">
        <v>44302</v>
      </c>
      <c r="D28" s="2"/>
      <c r="E28" t="s">
        <v>14</v>
      </c>
      <c r="F28" t="s">
        <v>47</v>
      </c>
      <c r="G28" t="s">
        <v>48</v>
      </c>
      <c r="H28" s="3">
        <v>24434.880000000001</v>
      </c>
      <c r="J28" t="s">
        <v>17</v>
      </c>
      <c r="K28" s="122">
        <v>44341</v>
      </c>
      <c r="L28" t="s">
        <v>18</v>
      </c>
      <c r="M28" s="129">
        <f t="shared" si="3"/>
        <v>39</v>
      </c>
      <c r="N28" s="129" t="s">
        <v>1600</v>
      </c>
      <c r="O28" s="129" t="str">
        <f t="shared" si="4"/>
        <v>39 dias</v>
      </c>
    </row>
    <row r="29" spans="1:17" hidden="1" x14ac:dyDescent="0.25">
      <c r="A29" t="s">
        <v>12</v>
      </c>
      <c r="C29" s="122">
        <v>44302</v>
      </c>
      <c r="D29" s="2"/>
      <c r="E29" t="s">
        <v>14</v>
      </c>
      <c r="F29" t="s">
        <v>49</v>
      </c>
      <c r="G29" t="s">
        <v>50</v>
      </c>
      <c r="H29" s="3">
        <v>19215.12</v>
      </c>
      <c r="J29" t="s">
        <v>17</v>
      </c>
      <c r="K29" s="122">
        <v>44341</v>
      </c>
      <c r="L29" t="s">
        <v>18</v>
      </c>
      <c r="M29" s="129">
        <f t="shared" si="3"/>
        <v>39</v>
      </c>
      <c r="N29" s="129" t="s">
        <v>1600</v>
      </c>
      <c r="O29" s="129" t="str">
        <f t="shared" si="4"/>
        <v>39 dias</v>
      </c>
    </row>
    <row r="30" spans="1:17" hidden="1" x14ac:dyDescent="0.25">
      <c r="A30" t="s">
        <v>12</v>
      </c>
      <c r="B30" t="s">
        <v>27</v>
      </c>
      <c r="C30" s="122">
        <v>44302</v>
      </c>
      <c r="D30" s="2"/>
      <c r="E30" t="s">
        <v>14</v>
      </c>
      <c r="F30" t="s">
        <v>51</v>
      </c>
      <c r="G30" t="s">
        <v>52</v>
      </c>
      <c r="H30" s="3">
        <v>24434.880000000001</v>
      </c>
      <c r="J30" t="s">
        <v>17</v>
      </c>
      <c r="K30" s="122">
        <v>44341</v>
      </c>
      <c r="L30" t="s">
        <v>18</v>
      </c>
      <c r="M30" s="129">
        <f t="shared" si="3"/>
        <v>39</v>
      </c>
      <c r="N30" s="129" t="s">
        <v>1600</v>
      </c>
      <c r="O30" s="129" t="str">
        <f t="shared" si="4"/>
        <v>39 dias</v>
      </c>
    </row>
    <row r="31" spans="1:17" hidden="1" x14ac:dyDescent="0.25">
      <c r="A31" t="s">
        <v>12</v>
      </c>
      <c r="C31" s="122">
        <v>44302</v>
      </c>
      <c r="D31" s="2"/>
      <c r="E31" t="s">
        <v>14</v>
      </c>
      <c r="F31" t="s">
        <v>53</v>
      </c>
      <c r="G31" t="s">
        <v>54</v>
      </c>
      <c r="H31" s="3">
        <v>19215.12</v>
      </c>
      <c r="J31" t="s">
        <v>17</v>
      </c>
      <c r="K31" s="122">
        <v>44341</v>
      </c>
      <c r="L31" t="s">
        <v>18</v>
      </c>
      <c r="M31" s="129">
        <f t="shared" si="3"/>
        <v>39</v>
      </c>
      <c r="N31" s="129" t="s">
        <v>1600</v>
      </c>
      <c r="O31" s="129" t="str">
        <f t="shared" si="4"/>
        <v>39 dias</v>
      </c>
    </row>
    <row r="32" spans="1:17" hidden="1" x14ac:dyDescent="0.25">
      <c r="A32" t="s">
        <v>12</v>
      </c>
      <c r="B32" t="s">
        <v>27</v>
      </c>
      <c r="C32" s="122">
        <v>44306</v>
      </c>
      <c r="D32" s="2"/>
      <c r="E32" t="s">
        <v>14</v>
      </c>
      <c r="F32" t="s">
        <v>55</v>
      </c>
      <c r="G32" t="s">
        <v>56</v>
      </c>
      <c r="H32" s="3">
        <v>24434.880000000001</v>
      </c>
      <c r="J32" t="s">
        <v>17</v>
      </c>
      <c r="K32" s="122">
        <v>44341</v>
      </c>
      <c r="L32" t="s">
        <v>18</v>
      </c>
      <c r="M32" s="129">
        <f t="shared" si="3"/>
        <v>35</v>
      </c>
      <c r="N32" s="129" t="s">
        <v>1600</v>
      </c>
      <c r="O32" s="129" t="str">
        <f t="shared" si="4"/>
        <v>35 dias</v>
      </c>
    </row>
    <row r="33" spans="1:16" hidden="1" x14ac:dyDescent="0.25">
      <c r="A33" t="s">
        <v>12</v>
      </c>
      <c r="C33" s="122">
        <v>44306</v>
      </c>
      <c r="D33" s="2"/>
      <c r="E33" t="s">
        <v>14</v>
      </c>
      <c r="F33" t="s">
        <v>57</v>
      </c>
      <c r="G33" t="s">
        <v>58</v>
      </c>
      <c r="H33" s="3">
        <v>19215.12</v>
      </c>
      <c r="J33" t="s">
        <v>17</v>
      </c>
      <c r="K33" s="122">
        <v>44341</v>
      </c>
      <c r="L33" t="s">
        <v>18</v>
      </c>
      <c r="M33" s="129">
        <f t="shared" si="3"/>
        <v>35</v>
      </c>
      <c r="N33" s="129" t="s">
        <v>1600</v>
      </c>
      <c r="O33" s="129" t="str">
        <f t="shared" si="4"/>
        <v>35 dias</v>
      </c>
    </row>
    <row r="34" spans="1:16" hidden="1" x14ac:dyDescent="0.25">
      <c r="A34" t="s">
        <v>12</v>
      </c>
      <c r="B34" t="s">
        <v>27</v>
      </c>
      <c r="C34" s="122">
        <v>44335</v>
      </c>
      <c r="D34" s="2"/>
      <c r="E34" t="s">
        <v>14</v>
      </c>
      <c r="F34" t="s">
        <v>59</v>
      </c>
      <c r="G34" t="s">
        <v>60</v>
      </c>
      <c r="H34" s="3">
        <v>24434.880000000001</v>
      </c>
      <c r="I34" s="4"/>
      <c r="J34" t="s">
        <v>17</v>
      </c>
      <c r="K34" s="122">
        <v>44350</v>
      </c>
      <c r="L34" t="s">
        <v>18</v>
      </c>
      <c r="M34" s="129">
        <f t="shared" si="3"/>
        <v>15</v>
      </c>
      <c r="N34" s="129" t="s">
        <v>1600</v>
      </c>
      <c r="O34" s="129" t="str">
        <f t="shared" si="4"/>
        <v>15 dias</v>
      </c>
      <c r="P34" t="s">
        <v>24</v>
      </c>
    </row>
    <row r="35" spans="1:16" hidden="1" x14ac:dyDescent="0.25">
      <c r="A35" t="s">
        <v>12</v>
      </c>
      <c r="B35" t="s">
        <v>27</v>
      </c>
      <c r="C35" s="122">
        <v>44335</v>
      </c>
      <c r="D35" s="2"/>
      <c r="E35" t="s">
        <v>14</v>
      </c>
      <c r="F35" t="s">
        <v>61</v>
      </c>
      <c r="G35" t="s">
        <v>62</v>
      </c>
      <c r="H35" s="3">
        <v>19215.12</v>
      </c>
      <c r="I35" s="4"/>
      <c r="J35" t="s">
        <v>17</v>
      </c>
      <c r="K35" s="122">
        <v>44350</v>
      </c>
      <c r="L35" t="s">
        <v>18</v>
      </c>
      <c r="M35" s="129">
        <f t="shared" si="3"/>
        <v>15</v>
      </c>
      <c r="N35" s="129" t="s">
        <v>1600</v>
      </c>
      <c r="O35" s="129" t="str">
        <f t="shared" si="4"/>
        <v>15 dias</v>
      </c>
    </row>
    <row r="36" spans="1:16" hidden="1" x14ac:dyDescent="0.25">
      <c r="A36" t="s">
        <v>12</v>
      </c>
      <c r="B36" t="s">
        <v>31</v>
      </c>
      <c r="C36" s="122">
        <v>44335</v>
      </c>
      <c r="D36" s="2"/>
      <c r="E36" t="s">
        <v>14</v>
      </c>
      <c r="F36" t="s">
        <v>63</v>
      </c>
      <c r="G36" t="s">
        <v>64</v>
      </c>
      <c r="H36" s="3">
        <v>24434.880000000001</v>
      </c>
      <c r="I36" s="4"/>
      <c r="J36" t="s">
        <v>17</v>
      </c>
      <c r="K36" s="122">
        <v>44350</v>
      </c>
      <c r="L36" t="s">
        <v>18</v>
      </c>
      <c r="M36" s="129">
        <f t="shared" si="3"/>
        <v>15</v>
      </c>
      <c r="N36" s="129" t="s">
        <v>1600</v>
      </c>
      <c r="O36" s="129" t="str">
        <f t="shared" si="4"/>
        <v>15 dias</v>
      </c>
      <c r="P36" t="s">
        <v>24</v>
      </c>
    </row>
    <row r="37" spans="1:16" hidden="1" x14ac:dyDescent="0.25">
      <c r="A37" t="s">
        <v>12</v>
      </c>
      <c r="B37" t="s">
        <v>31</v>
      </c>
      <c r="C37" s="122">
        <v>44335</v>
      </c>
      <c r="D37" s="2"/>
      <c r="E37" t="s">
        <v>14</v>
      </c>
      <c r="F37" t="s">
        <v>65</v>
      </c>
      <c r="G37" t="s">
        <v>66</v>
      </c>
      <c r="H37" s="3">
        <v>19215.12</v>
      </c>
      <c r="I37" s="4"/>
      <c r="J37" t="s">
        <v>17</v>
      </c>
      <c r="K37" s="122">
        <v>44350</v>
      </c>
      <c r="L37" t="s">
        <v>18</v>
      </c>
      <c r="M37" s="129">
        <f t="shared" si="3"/>
        <v>15</v>
      </c>
      <c r="N37" s="129" t="s">
        <v>1600</v>
      </c>
      <c r="O37" s="129" t="str">
        <f t="shared" si="4"/>
        <v>15 dias</v>
      </c>
    </row>
    <row r="38" spans="1:16" hidden="1" x14ac:dyDescent="0.25">
      <c r="A38" t="s">
        <v>12</v>
      </c>
      <c r="B38" t="s">
        <v>67</v>
      </c>
      <c r="C38" s="122">
        <v>44448</v>
      </c>
      <c r="D38">
        <v>4</v>
      </c>
      <c r="E38" t="s">
        <v>68</v>
      </c>
      <c r="F38" t="s">
        <v>69</v>
      </c>
      <c r="G38" t="s">
        <v>70</v>
      </c>
      <c r="H38" s="3">
        <v>33059</v>
      </c>
      <c r="J38" s="19" t="s">
        <v>17</v>
      </c>
      <c r="K38" s="122">
        <v>44589</v>
      </c>
      <c r="L38" t="s">
        <v>18</v>
      </c>
      <c r="M38" s="129">
        <f t="shared" si="3"/>
        <v>141</v>
      </c>
      <c r="N38" s="129" t="s">
        <v>1600</v>
      </c>
      <c r="O38" s="129" t="str">
        <f t="shared" si="4"/>
        <v>141 dias</v>
      </c>
    </row>
    <row r="39" spans="1:16" hidden="1" x14ac:dyDescent="0.25">
      <c r="A39" t="s">
        <v>12</v>
      </c>
      <c r="C39" s="122">
        <v>44448</v>
      </c>
      <c r="E39" t="s">
        <v>68</v>
      </c>
      <c r="F39" t="s">
        <v>72</v>
      </c>
      <c r="G39" t="s">
        <v>73</v>
      </c>
      <c r="H39" s="3">
        <v>7292.4</v>
      </c>
      <c r="J39" s="19" t="s">
        <v>17</v>
      </c>
      <c r="K39" s="122">
        <v>44589</v>
      </c>
      <c r="L39" t="s">
        <v>18</v>
      </c>
      <c r="M39" s="129">
        <f t="shared" si="3"/>
        <v>141</v>
      </c>
      <c r="N39" s="129" t="s">
        <v>1600</v>
      </c>
      <c r="O39" s="129" t="str">
        <f t="shared" si="4"/>
        <v>141 dias</v>
      </c>
    </row>
    <row r="40" spans="1:16" hidden="1" x14ac:dyDescent="0.25">
      <c r="A40" t="s">
        <v>12</v>
      </c>
      <c r="B40" t="s">
        <v>67</v>
      </c>
      <c r="C40" s="122">
        <v>44494</v>
      </c>
      <c r="D40">
        <v>4</v>
      </c>
      <c r="E40" t="s">
        <v>68</v>
      </c>
      <c r="F40" t="s">
        <v>74</v>
      </c>
      <c r="G40" t="s">
        <v>75</v>
      </c>
      <c r="H40" s="3">
        <v>31500</v>
      </c>
      <c r="I40" s="3"/>
      <c r="J40" s="19" t="s">
        <v>17</v>
      </c>
      <c r="K40" s="122">
        <v>44532</v>
      </c>
      <c r="M40" s="129">
        <f t="shared" si="3"/>
        <v>38</v>
      </c>
      <c r="N40" s="129" t="s">
        <v>1600</v>
      </c>
      <c r="O40" s="129" t="str">
        <f t="shared" si="4"/>
        <v>38 dias</v>
      </c>
    </row>
    <row r="41" spans="1:16" hidden="1" x14ac:dyDescent="0.25">
      <c r="A41" t="s">
        <v>12</v>
      </c>
      <c r="C41" s="122">
        <v>44448</v>
      </c>
      <c r="G41" t="s">
        <v>76</v>
      </c>
      <c r="H41" s="3">
        <v>5450</v>
      </c>
      <c r="J41" s="19" t="s">
        <v>17</v>
      </c>
      <c r="K41" s="122">
        <v>44532</v>
      </c>
      <c r="M41" s="129">
        <f t="shared" si="3"/>
        <v>84</v>
      </c>
      <c r="N41" s="129" t="s">
        <v>1600</v>
      </c>
      <c r="O41" s="129" t="str">
        <f t="shared" si="4"/>
        <v>84 dias</v>
      </c>
    </row>
    <row r="42" spans="1:16" hidden="1" x14ac:dyDescent="0.25">
      <c r="A42" s="1492" t="s">
        <v>12</v>
      </c>
      <c r="B42" s="1492" t="s">
        <v>27</v>
      </c>
      <c r="C42" s="122">
        <v>44499</v>
      </c>
      <c r="D42" s="1492">
        <v>4</v>
      </c>
      <c r="E42" s="1493" t="s">
        <v>68</v>
      </c>
      <c r="F42" t="s">
        <v>628</v>
      </c>
      <c r="G42" t="s">
        <v>625</v>
      </c>
      <c r="H42" s="3">
        <v>31500</v>
      </c>
      <c r="I42" s="32"/>
      <c r="J42" s="90" t="s">
        <v>17</v>
      </c>
      <c r="K42" s="122">
        <v>44638</v>
      </c>
      <c r="L42" s="3"/>
      <c r="M42" s="129">
        <f t="shared" si="3"/>
        <v>139</v>
      </c>
      <c r="N42" s="129" t="s">
        <v>1600</v>
      </c>
      <c r="O42" s="129" t="str">
        <f t="shared" si="4"/>
        <v>139 dias</v>
      </c>
    </row>
    <row r="43" spans="1:16" hidden="1" x14ac:dyDescent="0.25">
      <c r="A43" s="1492"/>
      <c r="B43" s="1492"/>
      <c r="C43" s="122"/>
      <c r="D43" s="1492"/>
      <c r="E43" s="1493"/>
      <c r="F43" t="s">
        <v>627</v>
      </c>
      <c r="G43" t="s">
        <v>626</v>
      </c>
      <c r="H43" s="3">
        <v>5450</v>
      </c>
      <c r="I43" s="32"/>
      <c r="J43" s="90" t="s">
        <v>17</v>
      </c>
      <c r="K43" s="122">
        <v>44638</v>
      </c>
      <c r="L43" s="3"/>
      <c r="M43" s="129">
        <f t="shared" si="3"/>
        <v>44638</v>
      </c>
      <c r="N43" s="129" t="s">
        <v>1600</v>
      </c>
      <c r="O43" s="129" t="str">
        <f t="shared" si="4"/>
        <v>44638 dias</v>
      </c>
    </row>
    <row r="44" spans="1:16" x14ac:dyDescent="0.25">
      <c r="A44" t="s">
        <v>12</v>
      </c>
      <c r="B44" t="s">
        <v>27</v>
      </c>
      <c r="C44" s="122">
        <v>44530</v>
      </c>
      <c r="D44">
        <v>4</v>
      </c>
      <c r="E44" t="s">
        <v>68</v>
      </c>
      <c r="F44" t="s">
        <v>352</v>
      </c>
      <c r="G44" t="s">
        <v>3254</v>
      </c>
      <c r="H44" s="3">
        <v>36950</v>
      </c>
      <c r="I44" s="3">
        <f>+H44-ROUND(H44*0.12,0)</f>
        <v>32516</v>
      </c>
      <c r="J44" s="6"/>
      <c r="M44" s="129">
        <f t="shared" si="3"/>
        <v>0</v>
      </c>
      <c r="N44" s="129" t="s">
        <v>1600</v>
      </c>
      <c r="O44" s="129" t="str">
        <f t="shared" si="4"/>
        <v>0 dias</v>
      </c>
    </row>
    <row r="45" spans="1:16" hidden="1" x14ac:dyDescent="0.25">
      <c r="A45" t="s">
        <v>12</v>
      </c>
      <c r="B45" s="1491" t="s">
        <v>27</v>
      </c>
      <c r="C45" s="122">
        <v>44547</v>
      </c>
      <c r="D45" s="1491">
        <v>4</v>
      </c>
      <c r="E45" s="1491" t="s">
        <v>68</v>
      </c>
      <c r="F45" t="s">
        <v>389</v>
      </c>
      <c r="G45" t="s">
        <v>408</v>
      </c>
      <c r="H45" s="3">
        <v>34834</v>
      </c>
      <c r="J45" s="5" t="s">
        <v>17</v>
      </c>
      <c r="K45" s="122">
        <v>44617</v>
      </c>
      <c r="M45" s="129">
        <f t="shared" si="3"/>
        <v>70</v>
      </c>
      <c r="N45" s="129" t="s">
        <v>1600</v>
      </c>
      <c r="O45" s="129" t="str">
        <f t="shared" si="4"/>
        <v>70 dias</v>
      </c>
    </row>
    <row r="46" spans="1:16" hidden="1" x14ac:dyDescent="0.25">
      <c r="A46" t="s">
        <v>12</v>
      </c>
      <c r="B46" s="1491"/>
      <c r="C46" s="122"/>
      <c r="D46" s="1491"/>
      <c r="E46" s="1491"/>
      <c r="F46" t="s">
        <v>390</v>
      </c>
      <c r="G46" t="s">
        <v>409</v>
      </c>
      <c r="H46" s="3">
        <v>8708.4</v>
      </c>
      <c r="J46" s="5" t="s">
        <v>17</v>
      </c>
      <c r="K46" s="122">
        <v>44617</v>
      </c>
      <c r="M46" s="129">
        <f t="shared" si="3"/>
        <v>44617</v>
      </c>
      <c r="N46" s="129" t="s">
        <v>1600</v>
      </c>
      <c r="O46" s="129" t="str">
        <f t="shared" si="4"/>
        <v>44617 dias</v>
      </c>
    </row>
    <row r="47" spans="1:16" x14ac:dyDescent="0.25">
      <c r="E47" s="31"/>
      <c r="G47" t="s">
        <v>376</v>
      </c>
      <c r="H47" s="9">
        <f>SUBTOTAL(9,H14:H46)</f>
        <v>36950</v>
      </c>
      <c r="J47" s="29"/>
    </row>
    <row r="48" spans="1:16" x14ac:dyDescent="0.25">
      <c r="E48" s="31"/>
      <c r="H48" s="3"/>
    </row>
    <row r="49" spans="1:16" ht="15.75" hidden="1" thickBot="1" x14ac:dyDescent="0.3">
      <c r="A49" s="1487">
        <v>2022</v>
      </c>
      <c r="B49" s="1488"/>
      <c r="C49" s="1488"/>
      <c r="D49" s="1488"/>
      <c r="E49" s="1488"/>
      <c r="F49" s="1488"/>
      <c r="G49" s="1488"/>
      <c r="H49" s="1488"/>
      <c r="I49" s="1489"/>
      <c r="J49" s="1"/>
      <c r="K49" s="121"/>
      <c r="L49" s="1"/>
      <c r="M49" s="1"/>
      <c r="N49" s="1"/>
      <c r="O49" s="1"/>
      <c r="P49" s="1"/>
    </row>
    <row r="50" spans="1:16" hidden="1" x14ac:dyDescent="0.25">
      <c r="A50" t="s">
        <v>12</v>
      </c>
      <c r="B50" t="s">
        <v>67</v>
      </c>
      <c r="C50" s="1494">
        <v>44573</v>
      </c>
      <c r="D50" s="1496">
        <v>4</v>
      </c>
      <c r="E50" s="1491" t="s">
        <v>68</v>
      </c>
      <c r="F50" t="s">
        <v>881</v>
      </c>
      <c r="G50" t="s">
        <v>883</v>
      </c>
      <c r="H50" s="3">
        <v>34834</v>
      </c>
      <c r="J50" s="5" t="s">
        <v>17</v>
      </c>
      <c r="K50" s="126">
        <v>44715</v>
      </c>
      <c r="L50" t="s">
        <v>18</v>
      </c>
    </row>
    <row r="51" spans="1:16" hidden="1" x14ac:dyDescent="0.25">
      <c r="C51" s="1495"/>
      <c r="D51" s="1491"/>
      <c r="E51" s="1491"/>
      <c r="F51" t="s">
        <v>882</v>
      </c>
      <c r="G51" t="s">
        <v>884</v>
      </c>
      <c r="H51" s="3">
        <v>8708.4</v>
      </c>
      <c r="J51" s="5" t="s">
        <v>17</v>
      </c>
      <c r="K51" s="126">
        <v>44715</v>
      </c>
      <c r="L51" t="s">
        <v>18</v>
      </c>
    </row>
    <row r="52" spans="1:16" x14ac:dyDescent="0.25">
      <c r="J52" t="s">
        <v>1149</v>
      </c>
      <c r="L52" s="3"/>
      <c r="M52" s="3"/>
      <c r="N52" s="3"/>
      <c r="O52" s="3"/>
    </row>
    <row r="53" spans="1:16" x14ac:dyDescent="0.25">
      <c r="L53" s="3"/>
      <c r="M53" s="3"/>
      <c r="N53" s="3"/>
      <c r="O53" s="3"/>
    </row>
    <row r="54" spans="1:16" x14ac:dyDescent="0.25">
      <c r="G54" t="s">
        <v>351</v>
      </c>
      <c r="H54" s="23">
        <f>+H12+H47+H52</f>
        <v>167900</v>
      </c>
    </row>
    <row r="55" spans="1:16" x14ac:dyDescent="0.25">
      <c r="L55" s="3"/>
      <c r="M55" s="3"/>
      <c r="N55" s="3"/>
      <c r="O55" s="3"/>
    </row>
    <row r="56" spans="1:16" x14ac:dyDescent="0.25">
      <c r="L56" s="3"/>
      <c r="M56" s="3"/>
      <c r="N56" s="3"/>
      <c r="O56" s="3"/>
    </row>
  </sheetData>
  <autoFilter ref="A2:S46" xr:uid="{00000000-0009-0000-0000-000005000000}">
    <filterColumn colId="9">
      <filters blank="1">
        <filter val="ENVIADA"/>
      </filters>
    </filterColumn>
    <filterColumn colId="15" showButton="0"/>
    <filterColumn colId="16" showButton="0"/>
    <filterColumn colId="17" showButton="0"/>
  </autoFilter>
  <mergeCells count="14">
    <mergeCell ref="C50:C51"/>
    <mergeCell ref="D50:D51"/>
    <mergeCell ref="E50:E51"/>
    <mergeCell ref="A49:I49"/>
    <mergeCell ref="A13:I13"/>
    <mergeCell ref="P2:S2"/>
    <mergeCell ref="A3:I3"/>
    <mergeCell ref="B45:B46"/>
    <mergeCell ref="D45:D46"/>
    <mergeCell ref="E45:E46"/>
    <mergeCell ref="A42:A43"/>
    <mergeCell ref="B42:B43"/>
    <mergeCell ref="D42:D43"/>
    <mergeCell ref="E42:E43"/>
  </mergeCells>
  <pageMargins left="0.7" right="0.7" top="0.75" bottom="0.75" header="0.3" footer="0.3"/>
  <pageSetup paperSize="9" scale="72" orientation="landscape" r:id="rId1"/>
  <colBreaks count="1" manualBreakCount="1">
    <brk id="1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1512" r:id="rId4" name="Button 1">
              <controlPr defaultSize="0" print="0" autoFill="0" autoPict="0" macro="[0]!RETORNAR">
                <anchor moveWithCells="1" sizeWithCells="1">
                  <from>
                    <xdr:col>0</xdr:col>
                    <xdr:colOff>28575</xdr:colOff>
                    <xdr:row>0</xdr:row>
                    <xdr:rowOff>0</xdr:rowOff>
                  </from>
                  <to>
                    <xdr:col>2</xdr:col>
                    <xdr:colOff>323850</xdr:colOff>
                    <xdr:row>1</xdr:row>
                    <xdr:rowOff>9525</xdr:rowOff>
                  </to>
                </anchor>
              </controlPr>
            </control>
          </mc:Choice>
        </mc:AlternateContent>
        <mc:AlternateContent xmlns:mc="http://schemas.openxmlformats.org/markup-compatibility/2006">
          <mc:Choice Requires="x14">
            <control shapeId="21517" r:id="rId5" name="Botón 13">
              <controlPr defaultSize="0" print="0" autoFill="0" autoPict="0" macro="[0]!IR_VENTAS_B200_2026">
                <anchor moveWithCells="1" sizeWithCells="1">
                  <from>
                    <xdr:col>0</xdr:col>
                    <xdr:colOff>666750</xdr:colOff>
                    <xdr:row>59</xdr:row>
                    <xdr:rowOff>19050</xdr:rowOff>
                  </from>
                  <to>
                    <xdr:col>2</xdr:col>
                    <xdr:colOff>447675</xdr:colOff>
                    <xdr:row>62</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filterMode="1"/>
  <dimension ref="A1:X153"/>
  <sheetViews>
    <sheetView zoomScale="85" zoomScaleNormal="85" workbookViewId="0">
      <selection activeCell="G130" sqref="G130"/>
    </sheetView>
  </sheetViews>
  <sheetFormatPr baseColWidth="10" defaultColWidth="10.85546875" defaultRowHeight="15" x14ac:dyDescent="0.25"/>
  <cols>
    <col min="1" max="1" width="8.85546875" bestFit="1" customWidth="1"/>
    <col min="2" max="2" width="19.42578125" bestFit="1" customWidth="1"/>
    <col min="3" max="3" width="0" hidden="1" customWidth="1"/>
    <col min="5" max="5" width="0" hidden="1" customWidth="1"/>
    <col min="6" max="6" width="12.85546875" style="28" bestFit="1" customWidth="1"/>
    <col min="7" max="7" width="52.7109375" customWidth="1"/>
    <col min="9" max="9" width="13.5703125" bestFit="1" customWidth="1"/>
    <col min="10" max="10" width="12.7109375" bestFit="1" customWidth="1"/>
    <col min="11" max="11" width="11.85546875" style="30" customWidth="1"/>
    <col min="12" max="12" width="12.42578125" style="122" customWidth="1"/>
    <col min="13" max="13" width="19.28515625" style="508" customWidth="1"/>
    <col min="14" max="15" width="19.28515625" hidden="1" customWidth="1"/>
    <col min="16" max="16" width="19.28515625" customWidth="1"/>
  </cols>
  <sheetData>
    <row r="1" spans="1:20" ht="18" customHeight="1" x14ac:dyDescent="0.25"/>
    <row r="2" spans="1:20" s="28" customFormat="1" x14ac:dyDescent="0.25">
      <c r="A2"/>
      <c r="B2" s="25" t="s">
        <v>0</v>
      </c>
      <c r="C2" s="1" t="s">
        <v>1</v>
      </c>
      <c r="D2" s="25" t="s">
        <v>2</v>
      </c>
      <c r="E2" s="1"/>
      <c r="F2" s="25" t="s">
        <v>3</v>
      </c>
      <c r="G2" s="25" t="s">
        <v>4</v>
      </c>
      <c r="H2" s="25" t="s">
        <v>5</v>
      </c>
      <c r="I2" s="25" t="s">
        <v>6</v>
      </c>
      <c r="J2" s="25" t="s">
        <v>1780</v>
      </c>
      <c r="K2" s="25" t="s">
        <v>8</v>
      </c>
      <c r="L2" s="56" t="s">
        <v>6137</v>
      </c>
      <c r="M2" s="1248" t="s">
        <v>10</v>
      </c>
      <c r="N2" s="1"/>
      <c r="O2" s="1"/>
      <c r="P2" s="56" t="s">
        <v>3998</v>
      </c>
      <c r="Q2" s="1480" t="s">
        <v>11</v>
      </c>
      <c r="R2" s="1480"/>
      <c r="S2" s="1480"/>
      <c r="T2" s="1480"/>
    </row>
    <row r="3" spans="1:20" hidden="1" x14ac:dyDescent="0.25">
      <c r="B3" t="s">
        <v>77</v>
      </c>
      <c r="C3" t="s">
        <v>31</v>
      </c>
      <c r="D3" s="122">
        <v>44205</v>
      </c>
      <c r="E3" s="2"/>
      <c r="F3" t="s">
        <v>78</v>
      </c>
      <c r="G3" t="s">
        <v>79</v>
      </c>
      <c r="H3" t="s">
        <v>80</v>
      </c>
      <c r="I3" s="3">
        <v>32568</v>
      </c>
      <c r="J3" s="3">
        <f t="shared" ref="J3:J34" si="0">+I3-ROUND(I3*0.12,0)</f>
        <v>28660</v>
      </c>
      <c r="K3" t="s">
        <v>17</v>
      </c>
      <c r="L3" s="255">
        <v>44253</v>
      </c>
      <c r="M3" s="508" t="s">
        <v>81</v>
      </c>
      <c r="N3" s="129">
        <f t="shared" ref="N3:N29" si="1">IF(K3="PAGADA",L3-D3,0)</f>
        <v>48</v>
      </c>
      <c r="O3" s="129" t="s">
        <v>1600</v>
      </c>
      <c r="P3" s="129" t="str">
        <f t="shared" ref="P3:P28" si="2">CONCATENATE(N3,O3)</f>
        <v>48 dias</v>
      </c>
    </row>
    <row r="4" spans="1:20" hidden="1" x14ac:dyDescent="0.25">
      <c r="B4" t="s">
        <v>77</v>
      </c>
      <c r="C4" t="s">
        <v>31</v>
      </c>
      <c r="D4" s="122">
        <v>44215</v>
      </c>
      <c r="E4" s="2"/>
      <c r="F4" t="s">
        <v>78</v>
      </c>
      <c r="G4" t="s">
        <v>82</v>
      </c>
      <c r="H4" t="s">
        <v>83</v>
      </c>
      <c r="I4" s="3">
        <v>28497</v>
      </c>
      <c r="J4" s="3">
        <f t="shared" si="0"/>
        <v>25077</v>
      </c>
      <c r="K4" t="s">
        <v>17</v>
      </c>
      <c r="L4" s="255">
        <v>44259</v>
      </c>
      <c r="M4" s="508" t="s">
        <v>81</v>
      </c>
      <c r="N4" s="129">
        <f t="shared" si="1"/>
        <v>44</v>
      </c>
      <c r="O4" s="129" t="s">
        <v>1600</v>
      </c>
      <c r="P4" s="129" t="str">
        <f t="shared" si="2"/>
        <v>44 dias</v>
      </c>
    </row>
    <row r="5" spans="1:20" hidden="1" x14ac:dyDescent="0.25">
      <c r="B5" t="s">
        <v>77</v>
      </c>
      <c r="C5" t="s">
        <v>27</v>
      </c>
      <c r="D5" s="122">
        <v>44254</v>
      </c>
      <c r="E5" s="2"/>
      <c r="F5" t="s">
        <v>78</v>
      </c>
      <c r="G5" t="s">
        <v>84</v>
      </c>
      <c r="H5" t="s">
        <v>85</v>
      </c>
      <c r="I5" s="3">
        <v>28497</v>
      </c>
      <c r="J5" s="3">
        <f t="shared" si="0"/>
        <v>25077</v>
      </c>
      <c r="K5" t="s">
        <v>17</v>
      </c>
      <c r="L5" s="255">
        <v>44322</v>
      </c>
      <c r="M5" s="508" t="s">
        <v>81</v>
      </c>
      <c r="N5" s="129">
        <f t="shared" si="1"/>
        <v>68</v>
      </c>
      <c r="O5" s="129" t="s">
        <v>1600</v>
      </c>
      <c r="P5" s="129" t="str">
        <f t="shared" si="2"/>
        <v>68 dias</v>
      </c>
      <c r="R5" t="s">
        <v>24</v>
      </c>
    </row>
    <row r="6" spans="1:20" hidden="1" x14ac:dyDescent="0.25">
      <c r="B6" t="s">
        <v>77</v>
      </c>
      <c r="C6" t="s">
        <v>27</v>
      </c>
      <c r="D6" s="122">
        <v>44256</v>
      </c>
      <c r="E6" s="2"/>
      <c r="F6" t="s">
        <v>78</v>
      </c>
      <c r="G6" t="s">
        <v>86</v>
      </c>
      <c r="H6" t="s">
        <v>87</v>
      </c>
      <c r="I6" s="3">
        <v>28497</v>
      </c>
      <c r="J6" s="3">
        <f t="shared" si="0"/>
        <v>25077</v>
      </c>
      <c r="K6" t="s">
        <v>17</v>
      </c>
      <c r="L6" s="255">
        <v>44322</v>
      </c>
      <c r="M6" s="508" t="s">
        <v>81</v>
      </c>
      <c r="N6" s="129">
        <f t="shared" si="1"/>
        <v>66</v>
      </c>
      <c r="O6" s="129" t="s">
        <v>1600</v>
      </c>
      <c r="P6" s="129" t="str">
        <f t="shared" si="2"/>
        <v>66 dias</v>
      </c>
      <c r="R6" t="s">
        <v>24</v>
      </c>
    </row>
    <row r="7" spans="1:20" hidden="1" x14ac:dyDescent="0.25">
      <c r="B7" t="s">
        <v>77</v>
      </c>
      <c r="C7" t="s">
        <v>27</v>
      </c>
      <c r="D7" s="122">
        <v>44301</v>
      </c>
      <c r="E7" s="2"/>
      <c r="F7" t="s">
        <v>78</v>
      </c>
      <c r="G7" t="s">
        <v>88</v>
      </c>
      <c r="H7" t="s">
        <v>89</v>
      </c>
      <c r="I7" s="3">
        <v>28497</v>
      </c>
      <c r="J7" s="3">
        <f t="shared" si="0"/>
        <v>25077</v>
      </c>
      <c r="K7" t="s">
        <v>17</v>
      </c>
      <c r="L7" s="255">
        <v>44343</v>
      </c>
      <c r="M7" s="508" t="s">
        <v>81</v>
      </c>
      <c r="N7" s="129">
        <f t="shared" si="1"/>
        <v>42</v>
      </c>
      <c r="O7" s="129" t="s">
        <v>1600</v>
      </c>
      <c r="P7" s="129" t="str">
        <f t="shared" si="2"/>
        <v>42 dias</v>
      </c>
      <c r="Q7" t="s">
        <v>24</v>
      </c>
    </row>
    <row r="8" spans="1:20" hidden="1" x14ac:dyDescent="0.25">
      <c r="B8" t="s">
        <v>77</v>
      </c>
      <c r="C8" t="s">
        <v>31</v>
      </c>
      <c r="D8" s="122">
        <v>44305</v>
      </c>
      <c r="E8" s="2"/>
      <c r="F8" t="s">
        <v>78</v>
      </c>
      <c r="G8" t="s">
        <v>90</v>
      </c>
      <c r="H8" t="s">
        <v>91</v>
      </c>
      <c r="I8" s="3">
        <v>32568</v>
      </c>
      <c r="J8" s="3">
        <f t="shared" si="0"/>
        <v>28660</v>
      </c>
      <c r="K8" t="s">
        <v>17</v>
      </c>
      <c r="L8" s="255">
        <v>44343</v>
      </c>
      <c r="M8" s="508" t="s">
        <v>81</v>
      </c>
      <c r="N8" s="129">
        <f t="shared" si="1"/>
        <v>38</v>
      </c>
      <c r="O8" s="129" t="s">
        <v>1600</v>
      </c>
      <c r="P8" s="129" t="str">
        <f t="shared" si="2"/>
        <v>38 dias</v>
      </c>
      <c r="Q8" t="s">
        <v>24</v>
      </c>
    </row>
    <row r="9" spans="1:20" hidden="1" x14ac:dyDescent="0.25">
      <c r="B9" t="s">
        <v>77</v>
      </c>
      <c r="C9" t="s">
        <v>31</v>
      </c>
      <c r="D9" s="122">
        <v>44337</v>
      </c>
      <c r="E9" s="2"/>
      <c r="F9" t="s">
        <v>78</v>
      </c>
      <c r="G9" t="s">
        <v>92</v>
      </c>
      <c r="H9" t="s">
        <v>93</v>
      </c>
      <c r="I9" s="3">
        <v>29700</v>
      </c>
      <c r="J9" s="3">
        <f t="shared" si="0"/>
        <v>26136</v>
      </c>
      <c r="K9" t="s">
        <v>17</v>
      </c>
      <c r="L9" s="255">
        <v>44379</v>
      </c>
      <c r="M9" s="508" t="s">
        <v>81</v>
      </c>
      <c r="N9" s="129">
        <f t="shared" si="1"/>
        <v>42</v>
      </c>
      <c r="O9" s="129" t="s">
        <v>1600</v>
      </c>
      <c r="P9" s="129" t="str">
        <f t="shared" si="2"/>
        <v>42 dias</v>
      </c>
      <c r="Q9" t="s">
        <v>94</v>
      </c>
    </row>
    <row r="10" spans="1:20" hidden="1" x14ac:dyDescent="0.25">
      <c r="B10" t="s">
        <v>77</v>
      </c>
      <c r="C10" t="s">
        <v>31</v>
      </c>
      <c r="D10" s="122">
        <v>44382</v>
      </c>
      <c r="E10" s="7">
        <v>2</v>
      </c>
      <c r="F10" t="s">
        <v>78</v>
      </c>
      <c r="G10" t="s">
        <v>95</v>
      </c>
      <c r="H10" t="s">
        <v>96</v>
      </c>
      <c r="I10" s="3">
        <v>29700</v>
      </c>
      <c r="J10" s="3">
        <f t="shared" si="0"/>
        <v>26136</v>
      </c>
      <c r="K10" t="s">
        <v>17</v>
      </c>
      <c r="L10" s="255">
        <v>44484</v>
      </c>
      <c r="N10" s="129">
        <f t="shared" si="1"/>
        <v>102</v>
      </c>
      <c r="O10" s="129" t="s">
        <v>1600</v>
      </c>
      <c r="P10" s="129" t="str">
        <f t="shared" si="2"/>
        <v>102 dias</v>
      </c>
      <c r="Q10" t="s">
        <v>97</v>
      </c>
    </row>
    <row r="11" spans="1:20" hidden="1" x14ac:dyDescent="0.25">
      <c r="B11" t="s">
        <v>77</v>
      </c>
      <c r="C11" t="s">
        <v>31</v>
      </c>
      <c r="D11" s="122">
        <v>44386</v>
      </c>
      <c r="E11" s="7">
        <v>2</v>
      </c>
      <c r="F11" t="s">
        <v>78</v>
      </c>
      <c r="G11" t="s">
        <v>98</v>
      </c>
      <c r="H11" t="s">
        <v>99</v>
      </c>
      <c r="I11" s="3">
        <v>29700</v>
      </c>
      <c r="J11" s="3">
        <f t="shared" si="0"/>
        <v>26136</v>
      </c>
      <c r="K11" t="s">
        <v>17</v>
      </c>
      <c r="L11" s="255">
        <v>44463</v>
      </c>
      <c r="N11" s="129">
        <f t="shared" si="1"/>
        <v>77</v>
      </c>
      <c r="O11" s="129" t="s">
        <v>1600</v>
      </c>
      <c r="P11" s="129" t="str">
        <f t="shared" si="2"/>
        <v>77 dias</v>
      </c>
    </row>
    <row r="12" spans="1:20" hidden="1" x14ac:dyDescent="0.25">
      <c r="B12" t="s">
        <v>77</v>
      </c>
      <c r="C12" t="s">
        <v>31</v>
      </c>
      <c r="D12" s="122">
        <v>44390</v>
      </c>
      <c r="E12" s="7">
        <v>2</v>
      </c>
      <c r="F12" t="s">
        <v>78</v>
      </c>
      <c r="G12" t="s">
        <v>100</v>
      </c>
      <c r="H12" t="s">
        <v>101</v>
      </c>
      <c r="I12" s="3">
        <v>32568</v>
      </c>
      <c r="J12" s="3">
        <f t="shared" si="0"/>
        <v>28660</v>
      </c>
      <c r="K12" t="s">
        <v>17</v>
      </c>
      <c r="L12" s="255">
        <v>44494</v>
      </c>
      <c r="M12" s="508" t="s">
        <v>81</v>
      </c>
      <c r="N12" s="129">
        <f t="shared" si="1"/>
        <v>104</v>
      </c>
      <c r="O12" s="129" t="s">
        <v>1600</v>
      </c>
      <c r="P12" s="129" t="str">
        <f t="shared" si="2"/>
        <v>104 dias</v>
      </c>
    </row>
    <row r="13" spans="1:20" hidden="1" x14ac:dyDescent="0.25">
      <c r="B13" t="s">
        <v>77</v>
      </c>
      <c r="C13" t="s">
        <v>31</v>
      </c>
      <c r="D13" s="122">
        <v>44394</v>
      </c>
      <c r="E13" s="7">
        <v>2</v>
      </c>
      <c r="F13" t="s">
        <v>78</v>
      </c>
      <c r="G13" t="s">
        <v>102</v>
      </c>
      <c r="H13" t="s">
        <v>103</v>
      </c>
      <c r="I13" s="3">
        <v>29700</v>
      </c>
      <c r="J13" s="3">
        <f t="shared" si="0"/>
        <v>26136</v>
      </c>
      <c r="K13" t="s">
        <v>17</v>
      </c>
      <c r="L13" s="255">
        <v>44494</v>
      </c>
      <c r="M13" s="508" t="s">
        <v>81</v>
      </c>
      <c r="N13" s="129">
        <f t="shared" si="1"/>
        <v>100</v>
      </c>
      <c r="O13" s="129" t="s">
        <v>1600</v>
      </c>
      <c r="P13" s="129" t="str">
        <f t="shared" si="2"/>
        <v>100 dias</v>
      </c>
    </row>
    <row r="14" spans="1:20" hidden="1" x14ac:dyDescent="0.25">
      <c r="B14" t="s">
        <v>77</v>
      </c>
      <c r="C14" t="s">
        <v>31</v>
      </c>
      <c r="D14" s="122">
        <v>44403</v>
      </c>
      <c r="E14" s="7">
        <v>2</v>
      </c>
      <c r="F14" t="s">
        <v>78</v>
      </c>
      <c r="G14" t="s">
        <v>104</v>
      </c>
      <c r="H14" t="s">
        <v>105</v>
      </c>
      <c r="I14" s="3">
        <v>32568</v>
      </c>
      <c r="J14" s="3">
        <f t="shared" si="0"/>
        <v>28660</v>
      </c>
      <c r="K14" t="s">
        <v>17</v>
      </c>
      <c r="L14" s="255">
        <v>44463</v>
      </c>
      <c r="N14" s="129">
        <f t="shared" si="1"/>
        <v>60</v>
      </c>
      <c r="O14" s="129" t="s">
        <v>1600</v>
      </c>
      <c r="P14" s="129" t="str">
        <f t="shared" si="2"/>
        <v>60 dias</v>
      </c>
    </row>
    <row r="15" spans="1:20" ht="15" hidden="1" customHeight="1" x14ac:dyDescent="0.25">
      <c r="B15" t="s">
        <v>77</v>
      </c>
      <c r="C15" t="s">
        <v>67</v>
      </c>
      <c r="D15" s="122">
        <v>44415</v>
      </c>
      <c r="E15" s="7">
        <v>2</v>
      </c>
      <c r="F15" t="s">
        <v>106</v>
      </c>
      <c r="G15" t="s">
        <v>107</v>
      </c>
      <c r="H15" t="s">
        <v>108</v>
      </c>
      <c r="I15" s="3">
        <v>29700</v>
      </c>
      <c r="J15" s="3">
        <f t="shared" si="0"/>
        <v>26136</v>
      </c>
      <c r="K15" t="s">
        <v>17</v>
      </c>
      <c r="L15" s="255">
        <v>44613</v>
      </c>
      <c r="M15" s="1249"/>
      <c r="N15" s="129">
        <f t="shared" si="1"/>
        <v>198</v>
      </c>
      <c r="O15" s="129" t="s">
        <v>1600</v>
      </c>
      <c r="P15" s="129" t="str">
        <f t="shared" si="2"/>
        <v>198 dias</v>
      </c>
    </row>
    <row r="16" spans="1:20" hidden="1" x14ac:dyDescent="0.25">
      <c r="B16" s="169" t="s">
        <v>610</v>
      </c>
      <c r="C16" t="s">
        <v>67</v>
      </c>
      <c r="D16" s="122">
        <v>44488</v>
      </c>
      <c r="E16">
        <v>2</v>
      </c>
      <c r="F16" t="s">
        <v>106</v>
      </c>
      <c r="G16" s="3" t="s">
        <v>1022</v>
      </c>
      <c r="H16" t="s">
        <v>803</v>
      </c>
      <c r="I16" s="3">
        <v>29700</v>
      </c>
      <c r="J16" s="3">
        <f t="shared" si="0"/>
        <v>26136</v>
      </c>
      <c r="K16" t="s">
        <v>17</v>
      </c>
      <c r="L16" s="255">
        <v>44848</v>
      </c>
      <c r="M16" s="1249"/>
      <c r="N16" s="129">
        <f t="shared" si="1"/>
        <v>360</v>
      </c>
      <c r="O16" s="129" t="s">
        <v>1600</v>
      </c>
      <c r="P16" s="129" t="str">
        <f t="shared" si="2"/>
        <v>360 dias</v>
      </c>
    </row>
    <row r="17" spans="1:22" hidden="1" x14ac:dyDescent="0.25">
      <c r="B17" t="s">
        <v>77</v>
      </c>
      <c r="C17" t="s">
        <v>67</v>
      </c>
      <c r="D17" s="122">
        <v>44503</v>
      </c>
      <c r="E17">
        <v>2</v>
      </c>
      <c r="F17" t="s">
        <v>106</v>
      </c>
      <c r="G17" t="s">
        <v>109</v>
      </c>
      <c r="H17" t="s">
        <v>354</v>
      </c>
      <c r="I17" s="3">
        <v>29700</v>
      </c>
      <c r="J17" s="3">
        <f t="shared" si="0"/>
        <v>26136</v>
      </c>
      <c r="K17" t="s">
        <v>17</v>
      </c>
      <c r="L17" s="255">
        <v>44926</v>
      </c>
      <c r="M17" s="1249"/>
      <c r="N17" s="129">
        <f t="shared" si="1"/>
        <v>423</v>
      </c>
      <c r="O17" s="129" t="s">
        <v>1600</v>
      </c>
      <c r="P17" s="129" t="str">
        <f t="shared" si="2"/>
        <v>423 dias</v>
      </c>
    </row>
    <row r="18" spans="1:22" hidden="1" x14ac:dyDescent="0.25">
      <c r="B18" t="s">
        <v>77</v>
      </c>
      <c r="C18" t="s">
        <v>27</v>
      </c>
      <c r="D18" s="122">
        <v>44511</v>
      </c>
      <c r="E18">
        <v>2</v>
      </c>
      <c r="F18" t="s">
        <v>106</v>
      </c>
      <c r="G18" t="s">
        <v>110</v>
      </c>
      <c r="H18" t="s">
        <v>560</v>
      </c>
      <c r="I18" s="3">
        <v>29700</v>
      </c>
      <c r="J18" s="3">
        <f t="shared" si="0"/>
        <v>26136</v>
      </c>
      <c r="K18" t="s">
        <v>17</v>
      </c>
      <c r="L18" s="255">
        <v>44613</v>
      </c>
      <c r="M18" s="1249"/>
      <c r="N18" s="129">
        <f t="shared" si="1"/>
        <v>102</v>
      </c>
      <c r="O18" s="129" t="s">
        <v>1600</v>
      </c>
      <c r="P18" s="129" t="str">
        <f t="shared" si="2"/>
        <v>102 dias</v>
      </c>
    </row>
    <row r="19" spans="1:22" hidden="1" x14ac:dyDescent="0.25">
      <c r="B19" t="s">
        <v>77</v>
      </c>
      <c r="C19" t="s">
        <v>67</v>
      </c>
      <c r="D19" s="122">
        <v>44591</v>
      </c>
      <c r="E19">
        <v>2</v>
      </c>
      <c r="F19" t="s">
        <v>106</v>
      </c>
      <c r="G19" t="s">
        <v>1024</v>
      </c>
      <c r="H19" t="s">
        <v>559</v>
      </c>
      <c r="I19" s="3">
        <v>29800</v>
      </c>
      <c r="J19" s="3">
        <f t="shared" si="0"/>
        <v>26224</v>
      </c>
      <c r="K19" t="s">
        <v>17</v>
      </c>
      <c r="L19" s="255">
        <v>44791</v>
      </c>
      <c r="M19" s="508" t="s">
        <v>388</v>
      </c>
      <c r="N19" s="129">
        <f t="shared" si="1"/>
        <v>200</v>
      </c>
      <c r="O19" s="129" t="s">
        <v>1600</v>
      </c>
      <c r="P19" s="129" t="str">
        <f t="shared" si="2"/>
        <v>200 dias</v>
      </c>
    </row>
    <row r="20" spans="1:22" hidden="1" x14ac:dyDescent="0.25">
      <c r="B20" t="s">
        <v>77</v>
      </c>
      <c r="C20" t="s">
        <v>67</v>
      </c>
      <c r="D20" s="122">
        <v>44642</v>
      </c>
      <c r="E20">
        <v>2</v>
      </c>
      <c r="F20" t="s">
        <v>671</v>
      </c>
      <c r="G20" t="s">
        <v>720</v>
      </c>
      <c r="H20" t="s">
        <v>679</v>
      </c>
      <c r="I20" s="3">
        <v>28500</v>
      </c>
      <c r="J20" s="3">
        <f t="shared" si="0"/>
        <v>25080</v>
      </c>
      <c r="K20" t="s">
        <v>17</v>
      </c>
      <c r="L20" s="255">
        <v>44679</v>
      </c>
      <c r="N20" s="129">
        <f t="shared" si="1"/>
        <v>37</v>
      </c>
      <c r="O20" s="129" t="s">
        <v>1600</v>
      </c>
      <c r="P20" s="129" t="str">
        <f t="shared" si="2"/>
        <v>37 dias</v>
      </c>
      <c r="Q20" t="s">
        <v>672</v>
      </c>
      <c r="R20" s="14">
        <v>0.34097222222222223</v>
      </c>
      <c r="S20" s="14">
        <v>0.50763888888888886</v>
      </c>
      <c r="U20" s="14">
        <v>0.52083333333333337</v>
      </c>
    </row>
    <row r="21" spans="1:22" hidden="1" x14ac:dyDescent="0.25">
      <c r="A21" s="116" t="s">
        <v>816</v>
      </c>
      <c r="B21" t="s">
        <v>77</v>
      </c>
      <c r="C21" t="s">
        <v>693</v>
      </c>
      <c r="D21" s="122">
        <v>44685</v>
      </c>
      <c r="E21">
        <v>2</v>
      </c>
      <c r="F21" t="s">
        <v>106</v>
      </c>
      <c r="G21" t="s">
        <v>1023</v>
      </c>
      <c r="H21" t="s">
        <v>849</v>
      </c>
      <c r="I21" s="3">
        <v>28500</v>
      </c>
      <c r="J21" s="3">
        <f t="shared" si="0"/>
        <v>25080</v>
      </c>
      <c r="K21" t="s">
        <v>17</v>
      </c>
      <c r="L21" s="255">
        <v>44813</v>
      </c>
      <c r="N21" s="129">
        <f t="shared" si="1"/>
        <v>128</v>
      </c>
      <c r="O21" s="129" t="s">
        <v>1600</v>
      </c>
      <c r="P21" s="129" t="str">
        <f t="shared" si="2"/>
        <v>128 dias</v>
      </c>
      <c r="R21" t="s">
        <v>817</v>
      </c>
      <c r="S21" s="14">
        <v>0.55486111111111114</v>
      </c>
      <c r="T21" s="14">
        <v>0.70833333333333337</v>
      </c>
      <c r="V21" t="s">
        <v>818</v>
      </c>
    </row>
    <row r="22" spans="1:22" hidden="1" x14ac:dyDescent="0.25">
      <c r="A22" s="115">
        <v>23072022</v>
      </c>
      <c r="B22" t="s">
        <v>77</v>
      </c>
      <c r="C22" s="21" t="s">
        <v>693</v>
      </c>
      <c r="D22" s="122">
        <v>44765</v>
      </c>
      <c r="E22" s="32"/>
      <c r="F22" s="163" t="s">
        <v>106</v>
      </c>
      <c r="G22" s="163" t="s">
        <v>1050</v>
      </c>
      <c r="H22" t="s">
        <v>1051</v>
      </c>
      <c r="I22" s="3">
        <v>29770</v>
      </c>
      <c r="J22" s="3">
        <f t="shared" si="0"/>
        <v>26198</v>
      </c>
      <c r="K22" t="s">
        <v>17</v>
      </c>
      <c r="L22" s="255">
        <v>44813</v>
      </c>
      <c r="N22" s="129">
        <f t="shared" si="1"/>
        <v>48</v>
      </c>
      <c r="O22" s="129" t="s">
        <v>1600</v>
      </c>
      <c r="P22" s="129" t="str">
        <f t="shared" si="2"/>
        <v>48 dias</v>
      </c>
      <c r="R22" s="163" t="s">
        <v>651</v>
      </c>
      <c r="S22" s="14">
        <v>0.53611111111111109</v>
      </c>
      <c r="T22" s="14">
        <v>0.72013888888888899</v>
      </c>
    </row>
    <row r="23" spans="1:22" s="13" customFormat="1" hidden="1" x14ac:dyDescent="0.25">
      <c r="A23" s="116" t="s">
        <v>1097</v>
      </c>
      <c r="B23" t="s">
        <v>77</v>
      </c>
      <c r="C23" s="21" t="s">
        <v>693</v>
      </c>
      <c r="D23" s="122">
        <v>44784</v>
      </c>
      <c r="E23" s="180"/>
      <c r="F23" s="21" t="s">
        <v>1100</v>
      </c>
      <c r="G23" s="21" t="s">
        <v>1143</v>
      </c>
      <c r="H23" s="21" t="s">
        <v>1144</v>
      </c>
      <c r="I23" s="3">
        <v>29770</v>
      </c>
      <c r="J23" s="3">
        <f t="shared" si="0"/>
        <v>26198</v>
      </c>
      <c r="K23" t="s">
        <v>17</v>
      </c>
      <c r="L23" s="255">
        <v>44861</v>
      </c>
      <c r="M23" s="1137"/>
      <c r="N23" s="129">
        <f t="shared" si="1"/>
        <v>77</v>
      </c>
      <c r="O23" s="129" t="s">
        <v>1600</v>
      </c>
      <c r="P23" s="129" t="str">
        <f t="shared" si="2"/>
        <v>77 dias</v>
      </c>
      <c r="R23" s="163" t="s">
        <v>694</v>
      </c>
      <c r="S23" s="157">
        <v>0.30416666666666664</v>
      </c>
      <c r="T23" s="157">
        <v>0.51874999999999993</v>
      </c>
    </row>
    <row r="24" spans="1:22" hidden="1" x14ac:dyDescent="0.25">
      <c r="A24" s="116">
        <v>10092022</v>
      </c>
      <c r="B24" t="s">
        <v>77</v>
      </c>
      <c r="C24" s="169" t="s">
        <v>693</v>
      </c>
      <c r="D24" s="122">
        <v>44814</v>
      </c>
      <c r="E24" s="32"/>
      <c r="F24" t="s">
        <v>106</v>
      </c>
      <c r="G24" s="163" t="s">
        <v>1228</v>
      </c>
      <c r="H24" t="s">
        <v>1229</v>
      </c>
      <c r="I24" s="3">
        <v>29770</v>
      </c>
      <c r="J24" s="3">
        <f t="shared" si="0"/>
        <v>26198</v>
      </c>
      <c r="K24" s="30" t="s">
        <v>17</v>
      </c>
      <c r="L24" s="255">
        <v>44932</v>
      </c>
      <c r="N24" s="129">
        <f t="shared" si="1"/>
        <v>118</v>
      </c>
      <c r="O24" s="129" t="s">
        <v>1600</v>
      </c>
      <c r="P24" s="129" t="str">
        <f t="shared" si="2"/>
        <v>118 dias</v>
      </c>
      <c r="R24" s="163" t="s">
        <v>1225</v>
      </c>
      <c r="S24" s="157">
        <v>0.53055555555555556</v>
      </c>
      <c r="T24" s="157">
        <v>0.70277777777777783</v>
      </c>
    </row>
    <row r="25" spans="1:22" hidden="1" x14ac:dyDescent="0.25">
      <c r="A25" s="115">
        <v>17092022</v>
      </c>
      <c r="B25" t="s">
        <v>77</v>
      </c>
      <c r="C25" s="169" t="s">
        <v>693</v>
      </c>
      <c r="D25" s="122">
        <v>44821</v>
      </c>
      <c r="E25" s="88"/>
      <c r="F25" t="s">
        <v>106</v>
      </c>
      <c r="G25" s="21" t="s">
        <v>1291</v>
      </c>
      <c r="H25" t="s">
        <v>1232</v>
      </c>
      <c r="I25" s="3">
        <v>29770</v>
      </c>
      <c r="J25" s="3">
        <f t="shared" si="0"/>
        <v>26198</v>
      </c>
      <c r="K25" s="30" t="s">
        <v>17</v>
      </c>
      <c r="L25" s="255">
        <v>44932</v>
      </c>
      <c r="N25" s="129">
        <f t="shared" si="1"/>
        <v>111</v>
      </c>
      <c r="O25" s="129" t="s">
        <v>1600</v>
      </c>
      <c r="P25" s="129" t="str">
        <f t="shared" si="2"/>
        <v>111 dias</v>
      </c>
      <c r="R25" s="21" t="s">
        <v>922</v>
      </c>
      <c r="S25" s="157">
        <v>0.4777777777777778</v>
      </c>
      <c r="T25" s="157">
        <v>0.68958333333333333</v>
      </c>
    </row>
    <row r="26" spans="1:22" hidden="1" x14ac:dyDescent="0.25">
      <c r="A26" s="116" t="s">
        <v>1305</v>
      </c>
      <c r="B26" t="s">
        <v>77</v>
      </c>
      <c r="C26" s="169" t="s">
        <v>693</v>
      </c>
      <c r="D26" s="122">
        <v>44837</v>
      </c>
      <c r="E26" s="88"/>
      <c r="F26" t="s">
        <v>1306</v>
      </c>
      <c r="G26" s="21" t="s">
        <v>1326</v>
      </c>
      <c r="H26" t="s">
        <v>1325</v>
      </c>
      <c r="I26" s="3">
        <v>29770</v>
      </c>
      <c r="J26" s="3">
        <f t="shared" si="0"/>
        <v>26198</v>
      </c>
      <c r="K26" s="30" t="s">
        <v>17</v>
      </c>
      <c r="L26" s="255">
        <v>44932</v>
      </c>
      <c r="N26" s="129">
        <f t="shared" si="1"/>
        <v>95</v>
      </c>
      <c r="O26" s="129" t="s">
        <v>1600</v>
      </c>
      <c r="P26" s="129" t="str">
        <f t="shared" si="2"/>
        <v>95 dias</v>
      </c>
      <c r="R26" s="21"/>
      <c r="S26" s="157">
        <v>0.2986111111111111</v>
      </c>
      <c r="T26" s="157"/>
    </row>
    <row r="27" spans="1:22" hidden="1" x14ac:dyDescent="0.25">
      <c r="A27" s="116" t="s">
        <v>1349</v>
      </c>
      <c r="B27" t="s">
        <v>77</v>
      </c>
      <c r="C27" s="30" t="s">
        <v>410</v>
      </c>
      <c r="D27" s="122">
        <v>44842</v>
      </c>
      <c r="E27" s="88"/>
      <c r="F27" t="s">
        <v>1350</v>
      </c>
      <c r="G27" s="21" t="s">
        <v>1351</v>
      </c>
      <c r="H27" t="s">
        <v>1352</v>
      </c>
      <c r="I27" s="3">
        <v>29770</v>
      </c>
      <c r="J27" s="3">
        <f t="shared" si="0"/>
        <v>26198</v>
      </c>
      <c r="K27" s="30" t="s">
        <v>17</v>
      </c>
      <c r="L27" s="255">
        <v>44932</v>
      </c>
      <c r="N27" s="129">
        <f t="shared" si="1"/>
        <v>90</v>
      </c>
      <c r="O27" s="129" t="s">
        <v>1600</v>
      </c>
      <c r="P27" s="129" t="str">
        <f t="shared" si="2"/>
        <v>90 dias</v>
      </c>
      <c r="R27" s="21" t="s">
        <v>1029</v>
      </c>
      <c r="S27" s="157">
        <v>0.41319444444444442</v>
      </c>
      <c r="T27" s="157">
        <v>0.59097222222222223</v>
      </c>
    </row>
    <row r="28" spans="1:22" hidden="1" x14ac:dyDescent="0.25">
      <c r="A28" s="116" t="s">
        <v>1550</v>
      </c>
      <c r="B28" t="s">
        <v>77</v>
      </c>
      <c r="C28" s="169" t="s">
        <v>693</v>
      </c>
      <c r="D28" s="122">
        <v>44899</v>
      </c>
      <c r="E28" s="88"/>
      <c r="F28" t="s">
        <v>106</v>
      </c>
      <c r="G28" s="21" t="s">
        <v>1585</v>
      </c>
      <c r="H28" t="s">
        <v>1563</v>
      </c>
      <c r="I28" s="3">
        <v>29770</v>
      </c>
      <c r="J28" s="3">
        <f t="shared" si="0"/>
        <v>26198</v>
      </c>
      <c r="K28" s="30" t="s">
        <v>17</v>
      </c>
      <c r="L28" s="255">
        <v>44932</v>
      </c>
      <c r="N28" s="129">
        <f t="shared" si="1"/>
        <v>33</v>
      </c>
      <c r="O28" s="129" t="s">
        <v>1600</v>
      </c>
      <c r="P28" s="129" t="str">
        <f t="shared" si="2"/>
        <v>33 dias</v>
      </c>
      <c r="R28" t="s">
        <v>989</v>
      </c>
      <c r="S28" s="157">
        <v>0.26041666666666669</v>
      </c>
      <c r="T28" s="157">
        <v>0.4291666666666667</v>
      </c>
    </row>
    <row r="29" spans="1:22" hidden="1" x14ac:dyDescent="0.25">
      <c r="A29" s="115">
        <v>29122022</v>
      </c>
      <c r="B29" t="s">
        <v>77</v>
      </c>
      <c r="C29" s="169" t="s">
        <v>693</v>
      </c>
      <c r="D29" s="122">
        <v>44924</v>
      </c>
      <c r="E29" s="88"/>
      <c r="F29" t="s">
        <v>106</v>
      </c>
      <c r="G29" s="21" t="s">
        <v>1670</v>
      </c>
      <c r="H29" t="s">
        <v>1669</v>
      </c>
      <c r="I29" s="3">
        <v>29770</v>
      </c>
      <c r="J29" s="3">
        <f t="shared" si="0"/>
        <v>26198</v>
      </c>
      <c r="K29" s="236" t="s">
        <v>17</v>
      </c>
      <c r="L29" s="255">
        <v>44967</v>
      </c>
      <c r="N29" s="129">
        <f t="shared" si="1"/>
        <v>43</v>
      </c>
      <c r="S29" s="2" t="s">
        <v>1656</v>
      </c>
      <c r="T29" s="21"/>
      <c r="U29" s="21"/>
    </row>
    <row r="30" spans="1:22" hidden="1" x14ac:dyDescent="0.25">
      <c r="A30" s="256">
        <v>11022023</v>
      </c>
      <c r="B30" t="s">
        <v>77</v>
      </c>
      <c r="C30" t="s">
        <v>410</v>
      </c>
      <c r="D30" s="255">
        <v>44968</v>
      </c>
      <c r="F30" t="s">
        <v>106</v>
      </c>
      <c r="G30" t="s">
        <v>2121</v>
      </c>
      <c r="H30" t="s">
        <v>1949</v>
      </c>
      <c r="I30" s="3">
        <v>29770</v>
      </c>
      <c r="J30" s="3">
        <f t="shared" si="0"/>
        <v>26198</v>
      </c>
      <c r="K30" s="88" t="s">
        <v>17</v>
      </c>
      <c r="L30" s="255">
        <v>45015</v>
      </c>
      <c r="S30" t="s">
        <v>1506</v>
      </c>
      <c r="T30" s="14">
        <v>0.45763888888888887</v>
      </c>
      <c r="U30" s="14">
        <v>0.63541666666666663</v>
      </c>
    </row>
    <row r="31" spans="1:22" hidden="1" x14ac:dyDescent="0.25">
      <c r="A31" s="256">
        <v>15042023</v>
      </c>
      <c r="B31" t="s">
        <v>77</v>
      </c>
      <c r="C31" t="s">
        <v>410</v>
      </c>
      <c r="D31" s="122">
        <v>45032</v>
      </c>
      <c r="F31" t="s">
        <v>143</v>
      </c>
      <c r="G31" t="s">
        <v>2305</v>
      </c>
      <c r="H31" t="s">
        <v>2306</v>
      </c>
      <c r="I31" s="3">
        <v>29770</v>
      </c>
      <c r="J31" s="3">
        <f t="shared" si="0"/>
        <v>26198</v>
      </c>
      <c r="K31" s="88" t="s">
        <v>17</v>
      </c>
      <c r="L31" s="255">
        <v>45078</v>
      </c>
      <c r="T31" t="s">
        <v>893</v>
      </c>
      <c r="U31" s="14">
        <v>0.65763888888888888</v>
      </c>
      <c r="V31" s="14">
        <v>0.86736111111111114</v>
      </c>
    </row>
    <row r="32" spans="1:22" hidden="1" x14ac:dyDescent="0.25">
      <c r="A32" s="256" t="s">
        <v>2599</v>
      </c>
      <c r="B32" t="s">
        <v>77</v>
      </c>
      <c r="C32" t="s">
        <v>410</v>
      </c>
      <c r="D32" s="122">
        <v>45115</v>
      </c>
      <c r="F32" s="28" t="s">
        <v>106</v>
      </c>
      <c r="G32" s="30" t="s">
        <v>2607</v>
      </c>
      <c r="H32" s="30" t="s">
        <v>2883</v>
      </c>
      <c r="I32" s="3">
        <v>29770</v>
      </c>
      <c r="J32" s="3">
        <f t="shared" si="0"/>
        <v>26198</v>
      </c>
      <c r="K32" s="30" t="s">
        <v>17</v>
      </c>
      <c r="L32" s="255">
        <v>45219</v>
      </c>
      <c r="T32" s="14" t="s">
        <v>916</v>
      </c>
      <c r="U32" s="14">
        <v>0.32500000000000001</v>
      </c>
      <c r="V32" s="14">
        <v>0.52986111111111112</v>
      </c>
    </row>
    <row r="33" spans="1:22" hidden="1" x14ac:dyDescent="0.25">
      <c r="A33" s="256">
        <v>28072023</v>
      </c>
      <c r="B33" t="s">
        <v>77</v>
      </c>
      <c r="C33" t="s">
        <v>410</v>
      </c>
      <c r="D33" s="122">
        <v>45135</v>
      </c>
      <c r="F33" s="28" t="s">
        <v>106</v>
      </c>
      <c r="G33" s="30" t="s">
        <v>2684</v>
      </c>
      <c r="H33" s="30" t="s">
        <v>2683</v>
      </c>
      <c r="I33" s="3">
        <v>29770</v>
      </c>
      <c r="J33" s="3">
        <f t="shared" si="0"/>
        <v>26198</v>
      </c>
      <c r="K33" s="30" t="s">
        <v>17</v>
      </c>
      <c r="L33" s="255">
        <v>45299</v>
      </c>
      <c r="T33" s="14" t="s">
        <v>922</v>
      </c>
      <c r="U33" s="14">
        <v>0.26250000000000001</v>
      </c>
      <c r="V33" s="14">
        <v>0.45833333333333331</v>
      </c>
    </row>
    <row r="34" spans="1:22" hidden="1" x14ac:dyDescent="0.25">
      <c r="A34" s="256">
        <v>26112023</v>
      </c>
      <c r="B34" t="s">
        <v>610</v>
      </c>
      <c r="C34" t="s">
        <v>13</v>
      </c>
      <c r="D34" s="122">
        <v>45256</v>
      </c>
      <c r="F34" s="28" t="s">
        <v>106</v>
      </c>
      <c r="G34" s="28" t="s">
        <v>3252</v>
      </c>
      <c r="H34" t="s">
        <v>3251</v>
      </c>
      <c r="I34" s="3">
        <v>29770</v>
      </c>
      <c r="J34" s="3">
        <f t="shared" si="0"/>
        <v>26198</v>
      </c>
      <c r="K34" s="30" t="s">
        <v>17</v>
      </c>
      <c r="L34" s="255">
        <v>45365</v>
      </c>
      <c r="T34" s="14" t="s">
        <v>922</v>
      </c>
      <c r="U34" s="14">
        <v>0.2673611111111111</v>
      </c>
      <c r="V34" s="14">
        <v>0.47986111111111113</v>
      </c>
    </row>
    <row r="35" spans="1:22" hidden="1" x14ac:dyDescent="0.25">
      <c r="A35" s="430" t="s">
        <v>3386</v>
      </c>
      <c r="B35" t="s">
        <v>610</v>
      </c>
      <c r="C35" t="s">
        <v>13</v>
      </c>
      <c r="D35" s="122">
        <v>45286</v>
      </c>
      <c r="F35" s="28" t="s">
        <v>106</v>
      </c>
      <c r="G35" s="30" t="s">
        <v>3487</v>
      </c>
      <c r="H35" s="30" t="s">
        <v>3611</v>
      </c>
      <c r="I35" s="3">
        <v>29770</v>
      </c>
      <c r="J35" s="3">
        <f t="shared" ref="J35:J54" si="3">+I35-ROUND(I35*0.12,0)</f>
        <v>26198</v>
      </c>
      <c r="K35" s="30" t="s">
        <v>17</v>
      </c>
      <c r="L35" s="255">
        <v>45365</v>
      </c>
      <c r="T35" s="14" t="s">
        <v>1029</v>
      </c>
      <c r="U35" s="14">
        <v>0.54791666666666672</v>
      </c>
      <c r="V35" s="14">
        <v>0.73749999999999993</v>
      </c>
    </row>
    <row r="36" spans="1:22" hidden="1" x14ac:dyDescent="0.25">
      <c r="A36" s="430" t="s">
        <v>3406</v>
      </c>
      <c r="B36" t="s">
        <v>610</v>
      </c>
      <c r="C36" t="s">
        <v>13</v>
      </c>
      <c r="D36" s="122">
        <v>45656</v>
      </c>
      <c r="F36" s="28" t="s">
        <v>106</v>
      </c>
      <c r="G36" s="30" t="s">
        <v>3486</v>
      </c>
      <c r="H36" s="30" t="s">
        <v>3612</v>
      </c>
      <c r="I36" s="3">
        <v>29770</v>
      </c>
      <c r="J36" s="3">
        <f t="shared" si="3"/>
        <v>26198</v>
      </c>
      <c r="K36" s="30" t="s">
        <v>17</v>
      </c>
      <c r="L36" s="255">
        <v>45365</v>
      </c>
      <c r="T36" s="14" t="s">
        <v>2380</v>
      </c>
      <c r="U36" s="14">
        <v>0.41041666666666665</v>
      </c>
      <c r="V36" s="14">
        <v>0.62152777777777779</v>
      </c>
    </row>
    <row r="37" spans="1:22" hidden="1" x14ac:dyDescent="0.25">
      <c r="A37" s="509">
        <v>11032024</v>
      </c>
      <c r="B37" s="30" t="s">
        <v>610</v>
      </c>
      <c r="C37" s="28" t="s">
        <v>13</v>
      </c>
      <c r="D37" s="233">
        <v>45362</v>
      </c>
      <c r="F37" s="28" t="s">
        <v>106</v>
      </c>
      <c r="G37" s="30" t="s">
        <v>3861</v>
      </c>
      <c r="H37" s="30" t="s">
        <v>3862</v>
      </c>
      <c r="I37" s="3">
        <v>29770</v>
      </c>
      <c r="J37" s="3">
        <f t="shared" si="3"/>
        <v>26198</v>
      </c>
      <c r="K37" t="s">
        <v>17</v>
      </c>
      <c r="L37" s="233">
        <v>45456</v>
      </c>
      <c r="T37" s="14" t="s">
        <v>3151</v>
      </c>
      <c r="U37" s="360">
        <v>6.12</v>
      </c>
      <c r="V37" s="360">
        <v>0.41875000000000001</v>
      </c>
    </row>
    <row r="38" spans="1:22" hidden="1" x14ac:dyDescent="0.25">
      <c r="A38" s="509">
        <v>28032024</v>
      </c>
      <c r="B38" s="30" t="s">
        <v>610</v>
      </c>
      <c r="C38" s="127" t="s">
        <v>13</v>
      </c>
      <c r="D38" s="233">
        <v>45379</v>
      </c>
      <c r="F38" s="28" t="s">
        <v>106</v>
      </c>
      <c r="G38" s="30" t="s">
        <v>3941</v>
      </c>
      <c r="H38" s="30" t="s">
        <v>3942</v>
      </c>
      <c r="I38" s="3">
        <v>29770</v>
      </c>
      <c r="J38" s="3">
        <f t="shared" si="3"/>
        <v>26198</v>
      </c>
      <c r="K38" t="s">
        <v>17</v>
      </c>
      <c r="L38" s="233">
        <v>45456</v>
      </c>
      <c r="T38" s="14" t="s">
        <v>922</v>
      </c>
      <c r="U38" s="360">
        <v>0.54097222222222219</v>
      </c>
      <c r="V38" s="360">
        <v>0.70138888888888884</v>
      </c>
    </row>
    <row r="39" spans="1:22" hidden="1" x14ac:dyDescent="0.25">
      <c r="A39" s="509">
        <v>13042024</v>
      </c>
      <c r="B39" t="s">
        <v>610</v>
      </c>
      <c r="C39" s="28" t="s">
        <v>13</v>
      </c>
      <c r="D39" s="233">
        <v>45395</v>
      </c>
      <c r="F39" s="28" t="s">
        <v>106</v>
      </c>
      <c r="G39" s="30" t="s">
        <v>4030</v>
      </c>
      <c r="H39" s="30" t="s">
        <v>4031</v>
      </c>
      <c r="I39" s="3">
        <v>29770</v>
      </c>
      <c r="J39" s="3">
        <f t="shared" si="3"/>
        <v>26198</v>
      </c>
      <c r="K39" t="s">
        <v>17</v>
      </c>
      <c r="L39" s="233">
        <v>45481</v>
      </c>
      <c r="T39" s="14" t="s">
        <v>922</v>
      </c>
      <c r="U39" s="360">
        <v>0.56111111111111112</v>
      </c>
      <c r="V39" s="360">
        <v>0.70972222222222225</v>
      </c>
    </row>
    <row r="40" spans="1:22" hidden="1" x14ac:dyDescent="0.25">
      <c r="A40" s="509">
        <v>2052024</v>
      </c>
      <c r="B40" t="s">
        <v>610</v>
      </c>
      <c r="C40" s="28" t="s">
        <v>13</v>
      </c>
      <c r="D40" s="233">
        <v>45414</v>
      </c>
      <c r="F40" s="28" t="s">
        <v>106</v>
      </c>
      <c r="G40" s="30" t="s">
        <v>4121</v>
      </c>
      <c r="H40" s="30" t="s">
        <v>4122</v>
      </c>
      <c r="I40" s="3">
        <v>29770</v>
      </c>
      <c r="J40" s="3">
        <f t="shared" si="3"/>
        <v>26198</v>
      </c>
      <c r="K40" t="s">
        <v>17</v>
      </c>
      <c r="L40" s="233">
        <v>45481</v>
      </c>
      <c r="T40" s="14" t="s">
        <v>3463</v>
      </c>
      <c r="U40" s="360">
        <v>0.25416666666666665</v>
      </c>
      <c r="V40" s="360">
        <v>0.42291666666666666</v>
      </c>
    </row>
    <row r="41" spans="1:22" hidden="1" x14ac:dyDescent="0.25">
      <c r="A41" s="483">
        <v>12052024</v>
      </c>
      <c r="B41" t="s">
        <v>610</v>
      </c>
      <c r="C41" s="28" t="s">
        <v>410</v>
      </c>
      <c r="D41" s="233">
        <v>45424</v>
      </c>
      <c r="F41" s="28" t="s">
        <v>106</v>
      </c>
      <c r="G41" s="30" t="s">
        <v>4141</v>
      </c>
      <c r="H41" s="30" t="s">
        <v>4142</v>
      </c>
      <c r="I41" s="3">
        <v>29770</v>
      </c>
      <c r="J41" s="3">
        <f t="shared" si="3"/>
        <v>26198</v>
      </c>
      <c r="K41" t="s">
        <v>17</v>
      </c>
      <c r="L41" s="233">
        <v>45481</v>
      </c>
      <c r="T41" s="14" t="s">
        <v>4071</v>
      </c>
      <c r="U41" s="360">
        <v>0.28125</v>
      </c>
      <c r="V41" s="360">
        <v>0.43194444444444446</v>
      </c>
    </row>
    <row r="42" spans="1:22" hidden="1" x14ac:dyDescent="0.25">
      <c r="A42" s="483">
        <v>15052024</v>
      </c>
      <c r="B42" t="s">
        <v>610</v>
      </c>
      <c r="C42" s="28" t="s">
        <v>13</v>
      </c>
      <c r="D42" s="233">
        <v>45427</v>
      </c>
      <c r="F42" s="28" t="s">
        <v>106</v>
      </c>
      <c r="G42" s="30" t="s">
        <v>4166</v>
      </c>
      <c r="H42" s="30" t="s">
        <v>4167</v>
      </c>
      <c r="I42" s="3">
        <v>29770</v>
      </c>
      <c r="J42" s="3">
        <f t="shared" si="3"/>
        <v>26198</v>
      </c>
      <c r="K42" t="s">
        <v>17</v>
      </c>
      <c r="L42" s="233">
        <v>45492</v>
      </c>
      <c r="T42" s="14" t="s">
        <v>4150</v>
      </c>
      <c r="U42" s="360">
        <v>0.25555555555555559</v>
      </c>
      <c r="V42" s="360"/>
    </row>
    <row r="43" spans="1:22" hidden="1" x14ac:dyDescent="0.25">
      <c r="A43" s="509">
        <v>11062024</v>
      </c>
      <c r="B43" t="s">
        <v>610</v>
      </c>
      <c r="C43" s="28" t="s">
        <v>13</v>
      </c>
      <c r="D43" s="233">
        <v>45454</v>
      </c>
      <c r="F43" s="28" t="s">
        <v>106</v>
      </c>
      <c r="G43" s="30" t="s">
        <v>4334</v>
      </c>
      <c r="H43" s="30" t="s">
        <v>4335</v>
      </c>
      <c r="I43" s="3">
        <v>29770</v>
      </c>
      <c r="J43" s="3">
        <f t="shared" si="3"/>
        <v>26198</v>
      </c>
      <c r="K43" t="s">
        <v>17</v>
      </c>
      <c r="L43" s="233">
        <v>45531</v>
      </c>
      <c r="T43" s="14" t="s">
        <v>4277</v>
      </c>
      <c r="U43" s="360">
        <v>0.25277777777777777</v>
      </c>
      <c r="V43" s="360"/>
    </row>
    <row r="44" spans="1:22" hidden="1" x14ac:dyDescent="0.25">
      <c r="A44" s="509">
        <v>15062024</v>
      </c>
      <c r="B44" t="s">
        <v>610</v>
      </c>
      <c r="C44" s="28" t="s">
        <v>13</v>
      </c>
      <c r="D44" s="233">
        <v>45458</v>
      </c>
      <c r="F44" s="28" t="s">
        <v>106</v>
      </c>
      <c r="G44" s="30" t="s">
        <v>4354</v>
      </c>
      <c r="H44" s="30" t="s">
        <v>4356</v>
      </c>
      <c r="I44" s="3">
        <v>29770</v>
      </c>
      <c r="J44" s="3">
        <f t="shared" si="3"/>
        <v>26198</v>
      </c>
      <c r="K44" s="30" t="s">
        <v>17</v>
      </c>
      <c r="L44" s="233">
        <v>45772</v>
      </c>
      <c r="T44" s="14" t="s">
        <v>4022</v>
      </c>
      <c r="U44" s="360">
        <v>0.52638888888888891</v>
      </c>
      <c r="V44" s="360">
        <v>0.70208333333333339</v>
      </c>
    </row>
    <row r="45" spans="1:22" hidden="1" x14ac:dyDescent="0.25">
      <c r="A45" s="509">
        <v>18062024</v>
      </c>
      <c r="B45" t="s">
        <v>610</v>
      </c>
      <c r="C45" s="28" t="s">
        <v>410</v>
      </c>
      <c r="D45" s="233">
        <v>45461</v>
      </c>
      <c r="F45" s="28" t="s">
        <v>106</v>
      </c>
      <c r="G45" s="30" t="s">
        <v>4355</v>
      </c>
      <c r="H45" s="30" t="s">
        <v>4357</v>
      </c>
      <c r="I45" s="3">
        <v>29770</v>
      </c>
      <c r="J45" s="3">
        <f t="shared" si="3"/>
        <v>26198</v>
      </c>
      <c r="K45" t="s">
        <v>17</v>
      </c>
      <c r="L45" s="233">
        <v>45624</v>
      </c>
      <c r="T45" s="14" t="s">
        <v>2050</v>
      </c>
      <c r="U45" s="360">
        <v>0.25416666666666665</v>
      </c>
      <c r="V45" s="360">
        <v>0.41041666666666665</v>
      </c>
    </row>
    <row r="46" spans="1:22" hidden="1" x14ac:dyDescent="0.25">
      <c r="A46" s="509">
        <v>26062024</v>
      </c>
      <c r="B46" t="s">
        <v>610</v>
      </c>
      <c r="C46" s="28" t="s">
        <v>410</v>
      </c>
      <c r="D46" s="233">
        <v>45469</v>
      </c>
      <c r="F46" s="28" t="s">
        <v>106</v>
      </c>
      <c r="G46" s="30" t="s">
        <v>4418</v>
      </c>
      <c r="H46" s="30" t="s">
        <v>4419</v>
      </c>
      <c r="I46" s="3">
        <v>29770</v>
      </c>
      <c r="J46" s="3">
        <f t="shared" si="3"/>
        <v>26198</v>
      </c>
      <c r="K46" t="s">
        <v>17</v>
      </c>
      <c r="L46" s="233">
        <v>45624</v>
      </c>
      <c r="T46" s="14" t="s">
        <v>4139</v>
      </c>
      <c r="U46" s="360"/>
      <c r="V46" s="360"/>
    </row>
    <row r="47" spans="1:22" hidden="1" x14ac:dyDescent="0.25">
      <c r="A47" s="483" t="s">
        <v>4436</v>
      </c>
      <c r="B47" t="s">
        <v>610</v>
      </c>
      <c r="C47" s="28" t="s">
        <v>4437</v>
      </c>
      <c r="D47" s="233">
        <v>45475</v>
      </c>
      <c r="F47" s="28" t="s">
        <v>106</v>
      </c>
      <c r="G47" s="30" t="s">
        <v>4444</v>
      </c>
      <c r="H47" s="30" t="s">
        <v>4445</v>
      </c>
      <c r="I47" s="3">
        <v>29770</v>
      </c>
      <c r="J47" s="3">
        <f t="shared" si="3"/>
        <v>26198</v>
      </c>
      <c r="K47" t="s">
        <v>17</v>
      </c>
      <c r="L47" s="233">
        <v>45531</v>
      </c>
      <c r="T47" s="14" t="s">
        <v>4438</v>
      </c>
      <c r="U47" s="360">
        <v>0.40972222222222227</v>
      </c>
      <c r="V47" s="360"/>
    </row>
    <row r="48" spans="1:22" hidden="1" x14ac:dyDescent="0.25">
      <c r="A48" s="483" t="s">
        <v>4448</v>
      </c>
      <c r="B48" t="s">
        <v>610</v>
      </c>
      <c r="C48" s="28" t="s">
        <v>410</v>
      </c>
      <c r="D48" s="233">
        <v>45476</v>
      </c>
      <c r="F48" s="28" t="s">
        <v>106</v>
      </c>
      <c r="G48" s="30" t="s">
        <v>4467</v>
      </c>
      <c r="H48" s="30" t="s">
        <v>4468</v>
      </c>
      <c r="I48" s="3">
        <v>29770</v>
      </c>
      <c r="J48" s="3">
        <f t="shared" si="3"/>
        <v>26198</v>
      </c>
      <c r="K48" t="s">
        <v>17</v>
      </c>
      <c r="L48" s="233">
        <v>45531</v>
      </c>
      <c r="T48" s="14" t="s">
        <v>4449</v>
      </c>
      <c r="U48" s="30"/>
      <c r="V48" s="30"/>
    </row>
    <row r="49" spans="1:22" hidden="1" x14ac:dyDescent="0.25">
      <c r="A49" s="483" t="s">
        <v>4491</v>
      </c>
      <c r="B49" t="s">
        <v>610</v>
      </c>
      <c r="C49" s="28" t="s">
        <v>13</v>
      </c>
      <c r="D49" s="233">
        <v>45484</v>
      </c>
      <c r="F49" s="28" t="s">
        <v>106</v>
      </c>
      <c r="G49" s="30" t="s">
        <v>4492</v>
      </c>
      <c r="H49" s="30" t="s">
        <v>4503</v>
      </c>
      <c r="I49" s="3">
        <v>29770</v>
      </c>
      <c r="J49" s="3">
        <f t="shared" si="3"/>
        <v>26198</v>
      </c>
      <c r="K49" t="s">
        <v>17</v>
      </c>
      <c r="L49" s="233">
        <v>45531</v>
      </c>
      <c r="T49" s="14" t="s">
        <v>4138</v>
      </c>
      <c r="U49" s="360">
        <v>0.4055555555555555</v>
      </c>
      <c r="V49" s="30"/>
    </row>
    <row r="50" spans="1:22" hidden="1" x14ac:dyDescent="0.25">
      <c r="A50" s="483">
        <v>26072024</v>
      </c>
      <c r="B50" t="s">
        <v>610</v>
      </c>
      <c r="C50" s="28" t="s">
        <v>13</v>
      </c>
      <c r="D50" s="233">
        <v>45499</v>
      </c>
      <c r="F50" s="28" t="s">
        <v>106</v>
      </c>
      <c r="G50" s="30" t="s">
        <v>4629</v>
      </c>
      <c r="H50" s="199" t="s">
        <v>4630</v>
      </c>
      <c r="I50" s="3">
        <v>29770</v>
      </c>
      <c r="J50" s="12">
        <f t="shared" si="3"/>
        <v>26198</v>
      </c>
      <c r="K50" s="13" t="s">
        <v>17</v>
      </c>
      <c r="L50" s="587">
        <v>45624</v>
      </c>
      <c r="T50" s="14" t="s">
        <v>4277</v>
      </c>
      <c r="U50" s="360">
        <v>0.30277777777777776</v>
      </c>
      <c r="V50" s="360"/>
    </row>
    <row r="51" spans="1:22" hidden="1" x14ac:dyDescent="0.25">
      <c r="A51" s="95">
        <v>22082024</v>
      </c>
      <c r="B51" t="s">
        <v>610</v>
      </c>
      <c r="C51" s="28" t="s">
        <v>13</v>
      </c>
      <c r="D51" s="233">
        <v>45526</v>
      </c>
      <c r="F51" s="28" t="s">
        <v>106</v>
      </c>
      <c r="G51" s="30" t="s">
        <v>4684</v>
      </c>
      <c r="H51" s="30" t="s">
        <v>4685</v>
      </c>
      <c r="I51" s="3">
        <v>29770</v>
      </c>
      <c r="J51" s="3">
        <f t="shared" si="3"/>
        <v>26198</v>
      </c>
      <c r="K51" t="s">
        <v>17</v>
      </c>
      <c r="L51" s="233">
        <v>45624</v>
      </c>
      <c r="T51" t="s">
        <v>2050</v>
      </c>
      <c r="U51" s="360">
        <v>0.33819444444444446</v>
      </c>
      <c r="V51" s="360">
        <v>0.49583333333333335</v>
      </c>
    </row>
    <row r="52" spans="1:22" hidden="1" x14ac:dyDescent="0.25">
      <c r="A52" s="95">
        <v>28082024</v>
      </c>
      <c r="B52" t="s">
        <v>4691</v>
      </c>
      <c r="C52" s="28" t="s">
        <v>410</v>
      </c>
      <c r="D52" s="233">
        <v>45532</v>
      </c>
      <c r="F52" s="28" t="s">
        <v>106</v>
      </c>
      <c r="G52" s="30" t="s">
        <v>4717</v>
      </c>
      <c r="H52" s="30" t="s">
        <v>4719</v>
      </c>
      <c r="I52" s="3">
        <v>29770</v>
      </c>
      <c r="J52" s="3">
        <f t="shared" si="3"/>
        <v>26198</v>
      </c>
      <c r="K52" t="s">
        <v>17</v>
      </c>
      <c r="L52" s="233">
        <v>45624</v>
      </c>
      <c r="T52" t="s">
        <v>4365</v>
      </c>
      <c r="U52" s="360">
        <v>0.26180555555555557</v>
      </c>
      <c r="V52" s="360">
        <v>0.4145833333333333</v>
      </c>
    </row>
    <row r="53" spans="1:22" hidden="1" x14ac:dyDescent="0.25">
      <c r="A53" s="95">
        <v>2092024</v>
      </c>
      <c r="B53" t="s">
        <v>610</v>
      </c>
      <c r="C53" s="28" t="s">
        <v>410</v>
      </c>
      <c r="D53" s="233">
        <v>45537</v>
      </c>
      <c r="F53" s="28" t="s">
        <v>4698</v>
      </c>
      <c r="G53" s="30" t="s">
        <v>4718</v>
      </c>
      <c r="H53" s="30" t="s">
        <v>4720</v>
      </c>
      <c r="I53" s="3">
        <v>29770</v>
      </c>
      <c r="J53" s="3">
        <f t="shared" si="3"/>
        <v>26198</v>
      </c>
      <c r="K53" t="s">
        <v>17</v>
      </c>
      <c r="L53" s="233">
        <v>45624</v>
      </c>
      <c r="M53" s="1250"/>
      <c r="T53" t="s">
        <v>4022</v>
      </c>
      <c r="U53" s="360">
        <v>0.55208333333333337</v>
      </c>
      <c r="V53" s="360">
        <v>0.68263888888888891</v>
      </c>
    </row>
    <row r="54" spans="1:22" hidden="1" x14ac:dyDescent="0.25">
      <c r="A54" s="95">
        <v>11092024</v>
      </c>
      <c r="B54" t="s">
        <v>610</v>
      </c>
      <c r="C54" s="28" t="s">
        <v>13</v>
      </c>
      <c r="D54" s="233">
        <v>45546</v>
      </c>
      <c r="F54" s="28" t="s">
        <v>106</v>
      </c>
      <c r="G54" s="30" t="s">
        <v>4757</v>
      </c>
      <c r="H54" s="30" t="s">
        <v>4758</v>
      </c>
      <c r="I54" s="3">
        <v>29770</v>
      </c>
      <c r="J54" s="3">
        <f t="shared" si="3"/>
        <v>26198</v>
      </c>
      <c r="K54" t="s">
        <v>17</v>
      </c>
      <c r="L54" s="233">
        <v>45624</v>
      </c>
      <c r="T54" t="s">
        <v>4745</v>
      </c>
      <c r="U54" s="360">
        <v>0.46597222222222223</v>
      </c>
      <c r="V54" s="360">
        <v>0.61458333333333337</v>
      </c>
    </row>
    <row r="55" spans="1:22" hidden="1" x14ac:dyDescent="0.25">
      <c r="A55" s="483" t="s">
        <v>4903</v>
      </c>
      <c r="B55" t="s">
        <v>610</v>
      </c>
      <c r="C55" s="28" t="s">
        <v>4218</v>
      </c>
      <c r="D55" s="233">
        <v>45543</v>
      </c>
      <c r="F55" s="28" t="s">
        <v>106</v>
      </c>
      <c r="G55" s="30" t="s">
        <v>4906</v>
      </c>
      <c r="H55" s="30" t="s">
        <v>4962</v>
      </c>
      <c r="I55" s="3">
        <v>29770</v>
      </c>
      <c r="J55" s="3">
        <f>+L71-ROUND(L71*0.12,0)</f>
        <v>40488</v>
      </c>
      <c r="K55" s="13" t="s">
        <v>17</v>
      </c>
      <c r="L55" s="587">
        <v>45590</v>
      </c>
      <c r="M55" s="1250"/>
      <c r="T55" t="s">
        <v>4867</v>
      </c>
      <c r="U55" s="360">
        <v>0.25972222222222224</v>
      </c>
      <c r="V55" s="360">
        <v>0.41388888888888886</v>
      </c>
    </row>
    <row r="56" spans="1:22" hidden="1" x14ac:dyDescent="0.25">
      <c r="A56" s="483">
        <v>23102024</v>
      </c>
      <c r="B56" t="s">
        <v>610</v>
      </c>
      <c r="C56" s="28" t="s">
        <v>13</v>
      </c>
      <c r="D56" s="233">
        <v>45588</v>
      </c>
      <c r="F56" s="28" t="s">
        <v>106</v>
      </c>
      <c r="G56" s="30" t="s">
        <v>5002</v>
      </c>
      <c r="H56" s="30" t="s">
        <v>5003</v>
      </c>
      <c r="I56" s="3">
        <v>29770</v>
      </c>
      <c r="J56" s="3">
        <f t="shared" ref="J56:J110" si="4">+I56-ROUND(I56*0.12,0)</f>
        <v>26198</v>
      </c>
      <c r="K56" t="s">
        <v>17</v>
      </c>
      <c r="L56" s="233">
        <v>45656</v>
      </c>
      <c r="M56" s="1250"/>
      <c r="T56" t="s">
        <v>4071</v>
      </c>
      <c r="U56" s="360">
        <v>0.39930555555555558</v>
      </c>
      <c r="V56" s="360">
        <v>0.5493055555555556</v>
      </c>
    </row>
    <row r="57" spans="1:22" hidden="1" x14ac:dyDescent="0.25">
      <c r="A57" s="483" t="s">
        <v>5089</v>
      </c>
      <c r="B57" t="s">
        <v>5092</v>
      </c>
      <c r="C57" s="233" t="s">
        <v>13</v>
      </c>
      <c r="D57" s="233">
        <v>45605</v>
      </c>
      <c r="E57" s="28"/>
      <c r="F57" s="28" t="s">
        <v>106</v>
      </c>
      <c r="G57" t="s">
        <v>5138</v>
      </c>
      <c r="H57" s="30" t="s">
        <v>5139</v>
      </c>
      <c r="I57" s="3">
        <v>29770</v>
      </c>
      <c r="J57" s="3">
        <f t="shared" si="4"/>
        <v>26198</v>
      </c>
      <c r="K57" t="s">
        <v>17</v>
      </c>
      <c r="L57" s="233">
        <v>45733</v>
      </c>
      <c r="M57" s="1250"/>
      <c r="T57" t="s">
        <v>4140</v>
      </c>
      <c r="U57" s="360">
        <v>0.26319444444444445</v>
      </c>
      <c r="V57" s="360">
        <v>0.44722222222222219</v>
      </c>
    </row>
    <row r="58" spans="1:22" hidden="1" x14ac:dyDescent="0.25">
      <c r="A58" s="483">
        <v>21112024</v>
      </c>
      <c r="B58" t="s">
        <v>610</v>
      </c>
      <c r="C58" s="233" t="s">
        <v>4218</v>
      </c>
      <c r="D58" s="233">
        <v>45617</v>
      </c>
      <c r="E58" s="28"/>
      <c r="F58" s="28" t="s">
        <v>106</v>
      </c>
      <c r="G58" t="s">
        <v>5172</v>
      </c>
      <c r="H58" s="30" t="s">
        <v>5173</v>
      </c>
      <c r="I58" s="3">
        <v>29770</v>
      </c>
      <c r="J58" s="3">
        <f t="shared" si="4"/>
        <v>26198</v>
      </c>
      <c r="K58" t="s">
        <v>17</v>
      </c>
      <c r="L58" s="233">
        <v>45748</v>
      </c>
      <c r="M58" s="1250"/>
      <c r="T58" t="s">
        <v>4911</v>
      </c>
      <c r="U58" s="360">
        <v>0.47083333333333338</v>
      </c>
      <c r="V58" s="360">
        <v>14.45</v>
      </c>
    </row>
    <row r="59" spans="1:22" hidden="1" x14ac:dyDescent="0.25">
      <c r="A59" s="483">
        <v>7122024</v>
      </c>
      <c r="B59" t="s">
        <v>610</v>
      </c>
      <c r="C59" s="233" t="s">
        <v>410</v>
      </c>
      <c r="D59" s="233">
        <v>45633</v>
      </c>
      <c r="E59" s="28"/>
      <c r="F59" s="28" t="s">
        <v>106</v>
      </c>
      <c r="G59" t="s">
        <v>5315</v>
      </c>
      <c r="H59" s="30" t="s">
        <v>5316</v>
      </c>
      <c r="I59" s="3">
        <v>29770</v>
      </c>
      <c r="J59" s="3">
        <f t="shared" si="4"/>
        <v>26198</v>
      </c>
      <c r="K59" t="s">
        <v>17</v>
      </c>
      <c r="L59" s="233">
        <v>45748</v>
      </c>
      <c r="M59" s="1250"/>
      <c r="T59" t="s">
        <v>4509</v>
      </c>
      <c r="U59" s="360">
        <v>0.25416666666666665</v>
      </c>
      <c r="V59" s="360">
        <v>0.40902777777777777</v>
      </c>
    </row>
    <row r="60" spans="1:22" hidden="1" x14ac:dyDescent="0.25">
      <c r="A60" s="483">
        <v>16122024</v>
      </c>
      <c r="B60" t="s">
        <v>610</v>
      </c>
      <c r="C60" s="233" t="s">
        <v>4218</v>
      </c>
      <c r="D60" s="233">
        <v>45642</v>
      </c>
      <c r="E60" s="28"/>
      <c r="F60" s="28" t="s">
        <v>106</v>
      </c>
      <c r="G60" t="s">
        <v>5356</v>
      </c>
      <c r="H60" s="30" t="s">
        <v>5357</v>
      </c>
      <c r="I60" s="3">
        <v>29770</v>
      </c>
      <c r="J60" s="3">
        <f t="shared" si="4"/>
        <v>26198</v>
      </c>
      <c r="K60" t="s">
        <v>17</v>
      </c>
      <c r="L60" s="233">
        <v>45785</v>
      </c>
      <c r="M60" s="1250"/>
      <c r="T60" t="s">
        <v>4983</v>
      </c>
      <c r="U60" s="360">
        <v>0.56388888888888888</v>
      </c>
      <c r="V60" s="360"/>
    </row>
    <row r="61" spans="1:22" hidden="1" x14ac:dyDescent="0.25">
      <c r="A61" s="483">
        <v>26122024</v>
      </c>
      <c r="B61" t="s">
        <v>610</v>
      </c>
      <c r="C61" s="233" t="s">
        <v>4218</v>
      </c>
      <c r="D61" s="233">
        <v>45652</v>
      </c>
      <c r="E61" s="28"/>
      <c r="F61" s="28" t="s">
        <v>106</v>
      </c>
      <c r="G61" t="s">
        <v>5452</v>
      </c>
      <c r="H61" s="30" t="s">
        <v>5453</v>
      </c>
      <c r="I61" s="3">
        <v>29770</v>
      </c>
      <c r="J61" s="3">
        <f t="shared" si="4"/>
        <v>26198</v>
      </c>
      <c r="K61" t="s">
        <v>17</v>
      </c>
      <c r="L61" s="233">
        <v>45733</v>
      </c>
      <c r="M61" s="1250"/>
      <c r="T61" t="s">
        <v>5078</v>
      </c>
      <c r="U61" s="360"/>
      <c r="V61" s="360"/>
    </row>
    <row r="62" spans="1:22" hidden="1" x14ac:dyDescent="0.25">
      <c r="A62" s="483">
        <v>10012025</v>
      </c>
      <c r="B62" t="s">
        <v>610</v>
      </c>
      <c r="C62" s="233" t="s">
        <v>4218</v>
      </c>
      <c r="D62" s="233">
        <v>45667</v>
      </c>
      <c r="E62" s="28"/>
      <c r="F62" s="28" t="s">
        <v>106</v>
      </c>
      <c r="G62" t="s">
        <v>5503</v>
      </c>
      <c r="H62" s="30" t="s">
        <v>5504</v>
      </c>
      <c r="I62" s="3">
        <v>29770</v>
      </c>
      <c r="J62" s="3">
        <f t="shared" si="4"/>
        <v>26198</v>
      </c>
      <c r="K62" t="s">
        <v>17</v>
      </c>
      <c r="L62" s="233">
        <v>45748</v>
      </c>
      <c r="M62" s="1250"/>
      <c r="T62" t="s">
        <v>4138</v>
      </c>
      <c r="U62" s="360"/>
      <c r="V62" s="360"/>
    </row>
    <row r="63" spans="1:22" hidden="1" x14ac:dyDescent="0.25">
      <c r="A63" s="483">
        <v>28012025</v>
      </c>
      <c r="B63" t="s">
        <v>610</v>
      </c>
      <c r="C63" s="28" t="s">
        <v>13</v>
      </c>
      <c r="D63" s="233">
        <v>45685</v>
      </c>
      <c r="F63" s="28" t="s">
        <v>106</v>
      </c>
      <c r="G63" t="s">
        <v>5598</v>
      </c>
      <c r="H63" s="30" t="s">
        <v>5599</v>
      </c>
      <c r="I63" s="3">
        <v>29770</v>
      </c>
      <c r="J63" s="3">
        <f t="shared" si="4"/>
        <v>26198</v>
      </c>
      <c r="K63" t="s">
        <v>17</v>
      </c>
      <c r="L63" s="233">
        <v>45853</v>
      </c>
      <c r="M63" s="1250"/>
      <c r="N63" s="233">
        <v>45726</v>
      </c>
      <c r="T63" t="s">
        <v>4417</v>
      </c>
      <c r="U63" s="360">
        <v>0.45833333333333331</v>
      </c>
      <c r="V63" s="30"/>
    </row>
    <row r="64" spans="1:22" hidden="1" x14ac:dyDescent="0.25">
      <c r="A64" s="483" t="s">
        <v>5606</v>
      </c>
      <c r="B64" t="s">
        <v>610</v>
      </c>
      <c r="C64" s="28" t="s">
        <v>410</v>
      </c>
      <c r="D64" s="233">
        <v>45691</v>
      </c>
      <c r="F64" s="28" t="s">
        <v>106</v>
      </c>
      <c r="G64" s="30" t="s">
        <v>5614</v>
      </c>
      <c r="H64" s="30" t="s">
        <v>5615</v>
      </c>
      <c r="I64" s="3">
        <v>29770</v>
      </c>
      <c r="J64" s="3">
        <f t="shared" si="4"/>
        <v>26198</v>
      </c>
      <c r="K64" t="s">
        <v>17</v>
      </c>
      <c r="L64" s="233">
        <v>45733</v>
      </c>
      <c r="M64" s="1250"/>
      <c r="T64" t="s">
        <v>5393</v>
      </c>
      <c r="U64" s="360">
        <v>0.35902777777777778</v>
      </c>
      <c r="V64" s="360">
        <v>0.54722222222222217</v>
      </c>
    </row>
    <row r="65" spans="1:22" hidden="1" x14ac:dyDescent="0.25">
      <c r="A65" s="483">
        <v>27022025</v>
      </c>
      <c r="B65" t="s">
        <v>610</v>
      </c>
      <c r="C65" s="28" t="s">
        <v>410</v>
      </c>
      <c r="D65" s="233">
        <v>45715</v>
      </c>
      <c r="E65" s="28"/>
      <c r="F65" s="28" t="s">
        <v>106</v>
      </c>
      <c r="G65" s="30" t="s">
        <v>5783</v>
      </c>
      <c r="H65" s="30" t="s">
        <v>5785</v>
      </c>
      <c r="I65" s="3">
        <v>29770</v>
      </c>
      <c r="J65" s="3">
        <f t="shared" si="4"/>
        <v>26198</v>
      </c>
      <c r="K65" t="s">
        <v>17</v>
      </c>
      <c r="L65" s="233">
        <v>45785</v>
      </c>
      <c r="M65" s="1250"/>
      <c r="T65" t="s">
        <v>4139</v>
      </c>
      <c r="U65" s="360">
        <v>0.28541666666666665</v>
      </c>
      <c r="V65" s="360">
        <v>0.43124999999999997</v>
      </c>
    </row>
    <row r="66" spans="1:22" hidden="1" x14ac:dyDescent="0.25">
      <c r="A66" s="483">
        <v>28022025</v>
      </c>
      <c r="B66" t="s">
        <v>610</v>
      </c>
      <c r="C66" s="28" t="s">
        <v>13</v>
      </c>
      <c r="D66" s="233">
        <v>45716</v>
      </c>
      <c r="E66" s="28"/>
      <c r="F66" s="28" t="s">
        <v>106</v>
      </c>
      <c r="G66" s="30" t="s">
        <v>5784</v>
      </c>
      <c r="H66" s="30" t="s">
        <v>5786</v>
      </c>
      <c r="I66" s="3">
        <v>29770</v>
      </c>
      <c r="J66" s="3">
        <f t="shared" si="4"/>
        <v>26198</v>
      </c>
      <c r="K66" t="s">
        <v>17</v>
      </c>
      <c r="L66" s="233">
        <v>45805</v>
      </c>
      <c r="M66" s="1250"/>
      <c r="T66" t="s">
        <v>5393</v>
      </c>
      <c r="U66" s="360">
        <v>0.47638888888888892</v>
      </c>
      <c r="V66" s="30"/>
    </row>
    <row r="67" spans="1:22" hidden="1" x14ac:dyDescent="0.25">
      <c r="A67">
        <v>13032025</v>
      </c>
      <c r="B67" t="s">
        <v>610</v>
      </c>
      <c r="C67" t="s">
        <v>4218</v>
      </c>
      <c r="D67" s="233">
        <v>45729</v>
      </c>
      <c r="F67" s="28" t="s">
        <v>106</v>
      </c>
      <c r="G67" t="s">
        <v>5845</v>
      </c>
      <c r="H67" s="30" t="s">
        <v>5846</v>
      </c>
      <c r="I67" s="3">
        <v>29770</v>
      </c>
      <c r="J67" s="3">
        <f t="shared" si="4"/>
        <v>26198</v>
      </c>
      <c r="K67" t="s">
        <v>17</v>
      </c>
      <c r="L67" s="233">
        <v>46009</v>
      </c>
      <c r="M67" s="1250"/>
    </row>
    <row r="68" spans="1:22" hidden="1" x14ac:dyDescent="0.25">
      <c r="A68" s="483" t="s">
        <v>5892</v>
      </c>
      <c r="B68" t="s">
        <v>610</v>
      </c>
      <c r="C68" s="28" t="s">
        <v>410</v>
      </c>
      <c r="D68" s="233">
        <v>45748</v>
      </c>
      <c r="E68" s="28"/>
      <c r="F68" s="28" t="s">
        <v>106</v>
      </c>
      <c r="G68" t="s">
        <v>5958</v>
      </c>
      <c r="H68" s="30" t="s">
        <v>5957</v>
      </c>
      <c r="I68" s="3">
        <v>29770</v>
      </c>
      <c r="J68" s="3">
        <f t="shared" si="4"/>
        <v>26198</v>
      </c>
      <c r="K68" t="s">
        <v>17</v>
      </c>
      <c r="L68" s="233">
        <v>45805</v>
      </c>
      <c r="M68" s="1250"/>
      <c r="T68" t="s">
        <v>4417</v>
      </c>
      <c r="U68" s="360">
        <v>0.62083333333333335</v>
      </c>
      <c r="V68" s="30"/>
    </row>
    <row r="69" spans="1:22" hidden="1" x14ac:dyDescent="0.25">
      <c r="A69" s="483" t="s">
        <v>5971</v>
      </c>
      <c r="B69" t="s">
        <v>610</v>
      </c>
      <c r="C69" s="28" t="s">
        <v>13</v>
      </c>
      <c r="D69" s="233">
        <v>45757</v>
      </c>
      <c r="E69" s="28"/>
      <c r="F69" s="28" t="s">
        <v>106</v>
      </c>
      <c r="G69" t="s">
        <v>5986</v>
      </c>
      <c r="H69" s="30" t="s">
        <v>5987</v>
      </c>
      <c r="I69" s="3">
        <v>29770</v>
      </c>
      <c r="J69" s="3">
        <f t="shared" si="4"/>
        <v>26198</v>
      </c>
      <c r="K69" t="s">
        <v>17</v>
      </c>
      <c r="L69" s="233">
        <v>45853</v>
      </c>
      <c r="M69" s="1250"/>
      <c r="T69" t="s">
        <v>4417</v>
      </c>
      <c r="U69" s="360">
        <v>0.30902777777777779</v>
      </c>
      <c r="V69" s="360">
        <v>0.46527777777777773</v>
      </c>
    </row>
    <row r="70" spans="1:22" hidden="1" x14ac:dyDescent="0.25">
      <c r="A70" s="483">
        <v>19042025</v>
      </c>
      <c r="B70" t="s">
        <v>610</v>
      </c>
      <c r="C70" s="28" t="s">
        <v>13</v>
      </c>
      <c r="D70" s="233">
        <v>45766</v>
      </c>
      <c r="E70" s="28"/>
      <c r="F70" s="28" t="s">
        <v>106</v>
      </c>
      <c r="G70" s="19" t="s">
        <v>6074</v>
      </c>
      <c r="H70" s="30" t="s">
        <v>6075</v>
      </c>
      <c r="I70" s="3">
        <v>29770</v>
      </c>
      <c r="J70" s="3">
        <f t="shared" si="4"/>
        <v>26198</v>
      </c>
      <c r="K70" t="s">
        <v>17</v>
      </c>
      <c r="L70" s="233">
        <v>45853</v>
      </c>
      <c r="T70" t="s">
        <v>6061</v>
      </c>
      <c r="U70" s="360">
        <v>0.46388888888888891</v>
      </c>
      <c r="V70" s="360">
        <v>0.59791666666666665</v>
      </c>
    </row>
    <row r="71" spans="1:22" hidden="1" x14ac:dyDescent="0.25">
      <c r="A71" s="483">
        <v>28042025</v>
      </c>
      <c r="B71" t="s">
        <v>610</v>
      </c>
      <c r="C71" s="28" t="s">
        <v>660</v>
      </c>
      <c r="D71" s="233">
        <v>45775</v>
      </c>
      <c r="E71" s="28"/>
      <c r="F71" s="28" t="s">
        <v>106</v>
      </c>
      <c r="G71" t="s">
        <v>6119</v>
      </c>
      <c r="H71" s="30" t="s">
        <v>6120</v>
      </c>
      <c r="I71" s="3">
        <v>29770</v>
      </c>
      <c r="J71" s="3">
        <f t="shared" si="4"/>
        <v>26198</v>
      </c>
      <c r="K71" t="s">
        <v>17</v>
      </c>
      <c r="L71" s="233">
        <v>46009</v>
      </c>
      <c r="T71" t="s">
        <v>2050</v>
      </c>
      <c r="U71" s="360">
        <v>0.4236111111111111</v>
      </c>
      <c r="V71" s="30"/>
    </row>
    <row r="72" spans="1:22" hidden="1" x14ac:dyDescent="0.25">
      <c r="A72" s="483">
        <v>29042024</v>
      </c>
      <c r="B72" t="s">
        <v>610</v>
      </c>
      <c r="C72" s="28" t="s">
        <v>660</v>
      </c>
      <c r="D72" s="233">
        <v>45776</v>
      </c>
      <c r="E72" s="28"/>
      <c r="F72" s="28" t="s">
        <v>106</v>
      </c>
      <c r="G72" t="s">
        <v>6100</v>
      </c>
      <c r="H72" s="30" t="s">
        <v>6121</v>
      </c>
      <c r="I72" s="3">
        <v>29770</v>
      </c>
      <c r="J72" s="3">
        <f t="shared" si="4"/>
        <v>26198</v>
      </c>
      <c r="K72" t="s">
        <v>17</v>
      </c>
      <c r="L72" s="233">
        <v>46009</v>
      </c>
      <c r="T72" t="s">
        <v>6078</v>
      </c>
      <c r="U72" s="360">
        <v>0.30416666666666664</v>
      </c>
      <c r="V72" s="30"/>
    </row>
    <row r="73" spans="1:22" hidden="1" x14ac:dyDescent="0.25">
      <c r="A73" s="483" t="s">
        <v>6105</v>
      </c>
      <c r="B73" t="s">
        <v>610</v>
      </c>
      <c r="C73" s="28" t="s">
        <v>13</v>
      </c>
      <c r="D73" s="233">
        <v>45779</v>
      </c>
      <c r="E73" s="28"/>
      <c r="F73" s="28" t="s">
        <v>106</v>
      </c>
      <c r="G73" t="s">
        <v>6126</v>
      </c>
      <c r="H73" s="30" t="s">
        <v>6127</v>
      </c>
      <c r="I73" s="3">
        <v>29770</v>
      </c>
      <c r="J73" s="3">
        <f t="shared" si="4"/>
        <v>26198</v>
      </c>
      <c r="K73" t="s">
        <v>17</v>
      </c>
      <c r="L73" s="233">
        <v>46022</v>
      </c>
      <c r="T73" t="s">
        <v>6104</v>
      </c>
      <c r="U73" s="360">
        <v>0.29097222222222224</v>
      </c>
      <c r="V73" s="360">
        <v>0.48888888888888887</v>
      </c>
    </row>
    <row r="74" spans="1:22" hidden="1" x14ac:dyDescent="0.25">
      <c r="A74" s="483">
        <v>29052025</v>
      </c>
      <c r="B74" t="s">
        <v>610</v>
      </c>
      <c r="C74" s="28" t="s">
        <v>4437</v>
      </c>
      <c r="D74" s="233">
        <v>45806</v>
      </c>
      <c r="E74" s="28"/>
      <c r="F74" s="28" t="s">
        <v>106</v>
      </c>
      <c r="G74" t="s">
        <v>6311</v>
      </c>
      <c r="H74" s="365" t="s">
        <v>6312</v>
      </c>
      <c r="I74" s="3">
        <v>29770</v>
      </c>
      <c r="J74" s="3">
        <f t="shared" si="4"/>
        <v>26198</v>
      </c>
      <c r="K74" t="s">
        <v>17</v>
      </c>
      <c r="L74" s="233">
        <v>45862</v>
      </c>
      <c r="T74" t="s">
        <v>6214</v>
      </c>
      <c r="U74" s="360">
        <v>0.54027777777777775</v>
      </c>
      <c r="V74" s="360">
        <v>0.69305555555555554</v>
      </c>
    </row>
    <row r="75" spans="1:22" hidden="1" x14ac:dyDescent="0.25">
      <c r="A75" s="483" t="s">
        <v>6354</v>
      </c>
      <c r="B75" t="s">
        <v>6357</v>
      </c>
      <c r="C75" s="28" t="s">
        <v>278</v>
      </c>
      <c r="D75" s="233">
        <v>45817</v>
      </c>
      <c r="E75" s="28"/>
      <c r="F75" s="28" t="s">
        <v>106</v>
      </c>
      <c r="G75" t="s">
        <v>6376</v>
      </c>
      <c r="H75" s="365" t="s">
        <v>6375</v>
      </c>
      <c r="I75" s="3">
        <v>29770</v>
      </c>
      <c r="J75" s="3">
        <f t="shared" si="4"/>
        <v>26198</v>
      </c>
      <c r="K75" t="s">
        <v>17</v>
      </c>
      <c r="L75" s="233">
        <v>45862</v>
      </c>
      <c r="T75" t="s">
        <v>6150</v>
      </c>
      <c r="U75" s="30"/>
      <c r="V75" s="30"/>
    </row>
    <row r="76" spans="1:22" hidden="1" x14ac:dyDescent="0.25">
      <c r="A76" s="483" t="s">
        <v>6417</v>
      </c>
      <c r="B76" t="s">
        <v>610</v>
      </c>
      <c r="C76" s="28" t="s">
        <v>278</v>
      </c>
      <c r="D76" s="233">
        <v>45822</v>
      </c>
      <c r="E76" s="28"/>
      <c r="F76" s="28" t="s">
        <v>106</v>
      </c>
      <c r="G76" t="s">
        <v>6430</v>
      </c>
      <c r="H76" s="365" t="s">
        <v>6431</v>
      </c>
      <c r="I76" s="3">
        <v>29770</v>
      </c>
      <c r="J76" s="692">
        <f t="shared" si="4"/>
        <v>26198</v>
      </c>
      <c r="K76" s="19" t="s">
        <v>17</v>
      </c>
      <c r="L76" s="691">
        <v>45896</v>
      </c>
      <c r="T76" t="s">
        <v>5131</v>
      </c>
      <c r="U76" s="360">
        <v>0.2673611111111111</v>
      </c>
      <c r="V76" s="360">
        <v>0.46597222222222223</v>
      </c>
    </row>
    <row r="77" spans="1:22" hidden="1" x14ac:dyDescent="0.25">
      <c r="A77" s="483" t="s">
        <v>6583</v>
      </c>
      <c r="B77" t="s">
        <v>610</v>
      </c>
      <c r="C77" s="28" t="s">
        <v>660</v>
      </c>
      <c r="D77" s="233">
        <v>45852</v>
      </c>
      <c r="E77" s="28"/>
      <c r="F77" s="28" t="s">
        <v>106</v>
      </c>
      <c r="G77" t="s">
        <v>6601</v>
      </c>
      <c r="H77" s="365" t="s">
        <v>6602</v>
      </c>
      <c r="I77" s="3">
        <v>29770</v>
      </c>
      <c r="J77" s="692">
        <f t="shared" si="4"/>
        <v>26198</v>
      </c>
      <c r="K77" s="19" t="s">
        <v>17</v>
      </c>
      <c r="L77" s="691">
        <v>45896</v>
      </c>
      <c r="T77" t="s">
        <v>4345</v>
      </c>
      <c r="U77" s="360">
        <v>0.61458333333333337</v>
      </c>
      <c r="V77" s="360">
        <v>0.75763888888888886</v>
      </c>
    </row>
    <row r="78" spans="1:22" hidden="1" x14ac:dyDescent="0.25">
      <c r="A78" s="483" t="s">
        <v>6695</v>
      </c>
      <c r="B78" t="s">
        <v>610</v>
      </c>
      <c r="C78" s="28" t="s">
        <v>410</v>
      </c>
      <c r="D78" s="233">
        <v>45870</v>
      </c>
      <c r="E78" s="28"/>
      <c r="F78" s="28" t="s">
        <v>106</v>
      </c>
      <c r="G78" s="1067" t="s">
        <v>6713</v>
      </c>
      <c r="H78" s="365" t="s">
        <v>6714</v>
      </c>
      <c r="I78" s="3">
        <v>29770</v>
      </c>
      <c r="J78" s="692">
        <f t="shared" si="4"/>
        <v>26198</v>
      </c>
      <c r="K78" s="19" t="s">
        <v>17</v>
      </c>
      <c r="L78" s="691">
        <v>45896</v>
      </c>
      <c r="T78" t="s">
        <v>6214</v>
      </c>
      <c r="U78" s="360"/>
      <c r="V78" s="360"/>
    </row>
    <row r="79" spans="1:22" hidden="1" x14ac:dyDescent="0.25">
      <c r="A79" s="483" t="s">
        <v>6767</v>
      </c>
      <c r="B79" t="s">
        <v>610</v>
      </c>
      <c r="C79" s="28" t="s">
        <v>410</v>
      </c>
      <c r="D79" s="233">
        <v>45880</v>
      </c>
      <c r="E79" s="28"/>
      <c r="F79" s="28" t="s">
        <v>106</v>
      </c>
      <c r="G79" s="1067" t="s">
        <v>6788</v>
      </c>
      <c r="H79" s="365" t="s">
        <v>6789</v>
      </c>
      <c r="I79" s="3">
        <v>29770</v>
      </c>
      <c r="J79" s="692">
        <f t="shared" si="4"/>
        <v>26198</v>
      </c>
      <c r="K79" s="19" t="s">
        <v>17</v>
      </c>
      <c r="L79" s="691">
        <v>45905</v>
      </c>
      <c r="T79" t="s">
        <v>6214</v>
      </c>
      <c r="U79" s="360">
        <v>0.51736111111111105</v>
      </c>
      <c r="V79" s="360"/>
    </row>
    <row r="80" spans="1:22" hidden="1" x14ac:dyDescent="0.25">
      <c r="A80" s="483" t="s">
        <v>6800</v>
      </c>
      <c r="B80" t="s">
        <v>610</v>
      </c>
      <c r="C80" s="28" t="s">
        <v>410</v>
      </c>
      <c r="D80" s="233">
        <v>45885</v>
      </c>
      <c r="E80" s="28"/>
      <c r="F80" s="28" t="s">
        <v>106</v>
      </c>
      <c r="G80" s="1067" t="s">
        <v>6824</v>
      </c>
      <c r="H80" s="365" t="s">
        <v>6825</v>
      </c>
      <c r="I80" s="3">
        <v>29770</v>
      </c>
      <c r="J80" s="3">
        <f t="shared" si="4"/>
        <v>26198</v>
      </c>
      <c r="K80" t="s">
        <v>17</v>
      </c>
      <c r="L80" s="233">
        <v>45940</v>
      </c>
      <c r="T80" t="s">
        <v>4983</v>
      </c>
      <c r="U80" s="360">
        <v>0.32708333333333334</v>
      </c>
      <c r="V80" s="360">
        <v>0.47291666666666665</v>
      </c>
    </row>
    <row r="81" spans="1:22" hidden="1" x14ac:dyDescent="0.25">
      <c r="A81" s="483">
        <v>27082025</v>
      </c>
      <c r="B81" t="s">
        <v>610</v>
      </c>
      <c r="C81" s="28" t="s">
        <v>13</v>
      </c>
      <c r="D81" s="233">
        <v>45896</v>
      </c>
      <c r="E81" s="28"/>
      <c r="F81" s="28" t="s">
        <v>106</v>
      </c>
      <c r="G81" s="1067" t="s">
        <v>6863</v>
      </c>
      <c r="H81" s="30" t="s">
        <v>6864</v>
      </c>
      <c r="I81" s="3">
        <v>29770</v>
      </c>
      <c r="J81" s="3">
        <f t="shared" si="4"/>
        <v>26198</v>
      </c>
      <c r="K81" t="s">
        <v>17</v>
      </c>
      <c r="L81" s="233">
        <v>45911</v>
      </c>
      <c r="P81" s="233"/>
      <c r="T81" t="s">
        <v>4138</v>
      </c>
      <c r="U81" s="360">
        <v>0.60486111111111118</v>
      </c>
      <c r="V81" s="360"/>
    </row>
    <row r="82" spans="1:22" hidden="1" x14ac:dyDescent="0.25">
      <c r="A82" s="483" t="s">
        <v>6890</v>
      </c>
      <c r="B82" t="s">
        <v>610</v>
      </c>
      <c r="C82" s="28" t="s">
        <v>13</v>
      </c>
      <c r="D82" s="233">
        <v>45908</v>
      </c>
      <c r="E82" s="28"/>
      <c r="F82" s="28" t="s">
        <v>106</v>
      </c>
      <c r="G82" s="1067" t="s">
        <v>6895</v>
      </c>
      <c r="H82" s="365" t="s">
        <v>6896</v>
      </c>
      <c r="I82" s="3">
        <v>29770</v>
      </c>
      <c r="J82" s="3">
        <f t="shared" si="4"/>
        <v>26198</v>
      </c>
      <c r="K82" t="s">
        <v>17</v>
      </c>
      <c r="L82" s="233">
        <v>45947</v>
      </c>
      <c r="T82" t="s">
        <v>6503</v>
      </c>
      <c r="U82" s="360"/>
      <c r="V82" s="360"/>
    </row>
    <row r="83" spans="1:22" hidden="1" x14ac:dyDescent="0.25">
      <c r="A83" s="483" t="s">
        <v>6897</v>
      </c>
      <c r="B83" t="s">
        <v>610</v>
      </c>
      <c r="C83" s="28" t="s">
        <v>410</v>
      </c>
      <c r="D83" s="233">
        <v>45910</v>
      </c>
      <c r="E83" s="28"/>
      <c r="F83" s="28" t="s">
        <v>106</v>
      </c>
      <c r="G83" s="1067" t="s">
        <v>6899</v>
      </c>
      <c r="H83" s="365" t="s">
        <v>6900</v>
      </c>
      <c r="I83" s="3">
        <v>29770</v>
      </c>
      <c r="J83" s="3">
        <f t="shared" si="4"/>
        <v>26198</v>
      </c>
      <c r="K83" t="s">
        <v>17</v>
      </c>
      <c r="L83" s="233">
        <v>45947</v>
      </c>
      <c r="T83" t="s">
        <v>6349</v>
      </c>
      <c r="U83" s="360">
        <v>0.43472222222222223</v>
      </c>
      <c r="V83" s="360"/>
    </row>
    <row r="84" spans="1:22" hidden="1" x14ac:dyDescent="0.25">
      <c r="A84" s="483" t="s">
        <v>6903</v>
      </c>
      <c r="B84" t="s">
        <v>610</v>
      </c>
      <c r="C84" s="28" t="s">
        <v>410</v>
      </c>
      <c r="D84" s="233">
        <v>45911</v>
      </c>
      <c r="E84" s="28"/>
      <c r="F84" s="28" t="s">
        <v>106</v>
      </c>
      <c r="G84" s="1067" t="s">
        <v>6904</v>
      </c>
      <c r="H84" s="365" t="s">
        <v>6905</v>
      </c>
      <c r="I84" s="3">
        <v>29770</v>
      </c>
      <c r="J84" s="3">
        <f t="shared" si="4"/>
        <v>26198</v>
      </c>
      <c r="K84" t="s">
        <v>17</v>
      </c>
      <c r="L84" s="233">
        <v>45940</v>
      </c>
      <c r="T84" t="s">
        <v>6898</v>
      </c>
      <c r="U84" s="360">
        <v>0.28958333333333336</v>
      </c>
      <c r="V84" s="360">
        <v>0.45624999999999999</v>
      </c>
    </row>
    <row r="85" spans="1:22" hidden="1" x14ac:dyDescent="0.25">
      <c r="A85" s="483">
        <v>10102025</v>
      </c>
      <c r="B85" t="s">
        <v>610</v>
      </c>
      <c r="C85" s="127" t="s">
        <v>410</v>
      </c>
      <c r="D85" s="233">
        <v>45940</v>
      </c>
      <c r="E85" s="28"/>
      <c r="F85" s="28" t="s">
        <v>106</v>
      </c>
      <c r="G85" s="1067" t="s">
        <v>7097</v>
      </c>
      <c r="H85" s="30" t="s">
        <v>7098</v>
      </c>
      <c r="I85" s="3">
        <v>29770</v>
      </c>
      <c r="J85" s="3">
        <f t="shared" si="4"/>
        <v>26198</v>
      </c>
      <c r="K85" t="s">
        <v>17</v>
      </c>
      <c r="L85" s="233">
        <v>45975</v>
      </c>
      <c r="M85" s="1250"/>
      <c r="T85" t="s">
        <v>5131</v>
      </c>
      <c r="U85" s="360">
        <v>0.27708333333333335</v>
      </c>
      <c r="V85" s="360">
        <v>0.43124999999999997</v>
      </c>
    </row>
    <row r="86" spans="1:22" hidden="1" x14ac:dyDescent="0.25">
      <c r="A86" s="483">
        <v>15102025</v>
      </c>
      <c r="B86" t="s">
        <v>610</v>
      </c>
      <c r="C86" s="28" t="s">
        <v>4218</v>
      </c>
      <c r="D86" s="233">
        <v>45945</v>
      </c>
      <c r="E86" s="28"/>
      <c r="F86" s="28" t="s">
        <v>106</v>
      </c>
      <c r="G86" s="1067" t="s">
        <v>7111</v>
      </c>
      <c r="H86" s="30" t="s">
        <v>7116</v>
      </c>
      <c r="I86" s="3">
        <v>29770</v>
      </c>
      <c r="J86" s="3">
        <f t="shared" si="4"/>
        <v>26198</v>
      </c>
      <c r="K86" t="s">
        <v>17</v>
      </c>
      <c r="L86" s="233">
        <v>45975</v>
      </c>
      <c r="M86" s="1250"/>
      <c r="T86" t="s">
        <v>7078</v>
      </c>
      <c r="U86" s="360">
        <v>0.63194444444444442</v>
      </c>
      <c r="V86" s="360">
        <v>0.77430555555555547</v>
      </c>
    </row>
    <row r="87" spans="1:22" hidden="1" x14ac:dyDescent="0.25">
      <c r="A87" s="483">
        <v>18102025</v>
      </c>
      <c r="B87" t="s">
        <v>610</v>
      </c>
      <c r="C87" s="28" t="s">
        <v>13</v>
      </c>
      <c r="D87" s="233">
        <v>45948</v>
      </c>
      <c r="E87" s="28"/>
      <c r="F87" s="28" t="s">
        <v>106</v>
      </c>
      <c r="G87" s="1067" t="s">
        <v>7127</v>
      </c>
      <c r="H87" s="30" t="s">
        <v>7128</v>
      </c>
      <c r="I87" s="3">
        <v>29770</v>
      </c>
      <c r="J87" s="3">
        <f t="shared" si="4"/>
        <v>26198</v>
      </c>
      <c r="K87" t="s">
        <v>17</v>
      </c>
      <c r="L87" s="233">
        <v>45975</v>
      </c>
      <c r="M87" s="1250"/>
      <c r="T87" t="s">
        <v>7122</v>
      </c>
      <c r="U87" s="360">
        <v>0.61388888888888882</v>
      </c>
      <c r="V87" s="360">
        <v>0.7597222222222223</v>
      </c>
    </row>
    <row r="88" spans="1:22" hidden="1" x14ac:dyDescent="0.25">
      <c r="A88" s="483">
        <v>27102025</v>
      </c>
      <c r="B88" t="s">
        <v>610</v>
      </c>
      <c r="C88" s="28" t="s">
        <v>4218</v>
      </c>
      <c r="D88" s="233">
        <v>45957</v>
      </c>
      <c r="E88" s="28"/>
      <c r="F88" s="28" t="s">
        <v>106</v>
      </c>
      <c r="G88" s="1067" t="s">
        <v>7194</v>
      </c>
      <c r="H88" s="30" t="s">
        <v>7195</v>
      </c>
      <c r="I88" s="3">
        <v>29770</v>
      </c>
      <c r="J88" s="3">
        <f t="shared" si="4"/>
        <v>26198</v>
      </c>
      <c r="K88" t="s">
        <v>17</v>
      </c>
      <c r="L88" s="233">
        <v>45975</v>
      </c>
      <c r="M88" s="1250"/>
      <c r="T88" t="s">
        <v>7140</v>
      </c>
      <c r="U88" s="360">
        <v>0.4993055555555555</v>
      </c>
      <c r="V88" s="360"/>
    </row>
    <row r="89" spans="1:22" hidden="1" x14ac:dyDescent="0.25">
      <c r="A89" s="483">
        <v>10112025</v>
      </c>
      <c r="B89" t="s">
        <v>610</v>
      </c>
      <c r="C89" s="28" t="s">
        <v>4218</v>
      </c>
      <c r="D89" s="233">
        <v>45971</v>
      </c>
      <c r="E89" s="28"/>
      <c r="F89" s="28" t="s">
        <v>106</v>
      </c>
      <c r="G89" s="1067" t="s">
        <v>7257</v>
      </c>
      <c r="H89" s="30" t="s">
        <v>7258</v>
      </c>
      <c r="I89" s="3">
        <v>29770</v>
      </c>
      <c r="J89" s="3">
        <f t="shared" si="4"/>
        <v>26198</v>
      </c>
      <c r="K89" t="s">
        <v>17</v>
      </c>
      <c r="L89" s="233">
        <v>45993</v>
      </c>
      <c r="M89" s="1250"/>
      <c r="T89" t="s">
        <v>5989</v>
      </c>
      <c r="U89" s="360">
        <v>0.30069444444444443</v>
      </c>
      <c r="V89" s="360"/>
    </row>
    <row r="90" spans="1:22" hidden="1" x14ac:dyDescent="0.25">
      <c r="A90" s="483">
        <v>17112025</v>
      </c>
      <c r="B90" t="s">
        <v>610</v>
      </c>
      <c r="C90" s="28" t="s">
        <v>3932</v>
      </c>
      <c r="D90" s="233">
        <v>45978</v>
      </c>
      <c r="E90" s="28"/>
      <c r="F90" s="28" t="s">
        <v>106</v>
      </c>
      <c r="G90" s="1067" t="s">
        <v>7275</v>
      </c>
      <c r="H90" s="30" t="s">
        <v>7276</v>
      </c>
      <c r="I90" s="3">
        <v>29770</v>
      </c>
      <c r="J90" s="3">
        <f t="shared" si="4"/>
        <v>26198</v>
      </c>
      <c r="K90" s="233" t="s">
        <v>17</v>
      </c>
      <c r="L90" s="233">
        <v>46076</v>
      </c>
      <c r="M90" s="1250"/>
      <c r="P90" s="233"/>
      <c r="T90" t="s">
        <v>7264</v>
      </c>
      <c r="U90" s="360">
        <v>0.44930555555555557</v>
      </c>
      <c r="V90" s="360"/>
    </row>
    <row r="91" spans="1:22" hidden="1" x14ac:dyDescent="0.25">
      <c r="A91" s="483">
        <v>24112025</v>
      </c>
      <c r="B91" t="s">
        <v>610</v>
      </c>
      <c r="C91" s="28" t="s">
        <v>410</v>
      </c>
      <c r="D91" s="233">
        <v>45985</v>
      </c>
      <c r="E91" s="28"/>
      <c r="F91" s="28" t="s">
        <v>106</v>
      </c>
      <c r="G91" s="1067" t="s">
        <v>7328</v>
      </c>
      <c r="H91" s="30" t="s">
        <v>7329</v>
      </c>
      <c r="I91" s="3">
        <v>29770</v>
      </c>
      <c r="J91" s="3">
        <f t="shared" si="4"/>
        <v>26198</v>
      </c>
      <c r="K91" t="s">
        <v>17</v>
      </c>
      <c r="L91" s="233">
        <v>46050</v>
      </c>
      <c r="M91" s="1250"/>
      <c r="P91" s="233"/>
      <c r="R91" t="s">
        <v>7078</v>
      </c>
      <c r="S91" s="360">
        <v>0.46458333333333335</v>
      </c>
      <c r="T91" s="360">
        <v>0.62569444444444444</v>
      </c>
    </row>
    <row r="92" spans="1:22" hidden="1" x14ac:dyDescent="0.25">
      <c r="A92" s="483">
        <v>29112025</v>
      </c>
      <c r="B92" t="s">
        <v>610</v>
      </c>
      <c r="C92" s="28" t="s">
        <v>410</v>
      </c>
      <c r="D92" s="233">
        <v>45990</v>
      </c>
      <c r="E92" s="28"/>
      <c r="F92" s="28" t="s">
        <v>106</v>
      </c>
      <c r="G92" s="1067" t="s">
        <v>7352</v>
      </c>
      <c r="H92" s="30" t="s">
        <v>7375</v>
      </c>
      <c r="I92" s="3">
        <v>29690</v>
      </c>
      <c r="J92" s="3">
        <f t="shared" si="4"/>
        <v>26127</v>
      </c>
      <c r="K92" t="s">
        <v>17</v>
      </c>
      <c r="L92" s="233">
        <v>46050</v>
      </c>
      <c r="M92" s="1250"/>
      <c r="P92" s="233"/>
      <c r="R92" t="s">
        <v>7092</v>
      </c>
      <c r="S92" s="360">
        <v>0.46180555555555558</v>
      </c>
      <c r="T92" s="360">
        <v>0.61249999999999993</v>
      </c>
    </row>
    <row r="93" spans="1:22" hidden="1" x14ac:dyDescent="0.25">
      <c r="A93" s="483" t="s">
        <v>7366</v>
      </c>
      <c r="B93" t="s">
        <v>610</v>
      </c>
      <c r="C93" s="28" t="s">
        <v>410</v>
      </c>
      <c r="D93" s="233">
        <v>45998</v>
      </c>
      <c r="E93" s="28" t="s">
        <v>106</v>
      </c>
      <c r="F93" s="28" t="s">
        <v>106</v>
      </c>
      <c r="G93" s="1067" t="s">
        <v>7373</v>
      </c>
      <c r="H93" s="30" t="s">
        <v>7374</v>
      </c>
      <c r="I93" s="3">
        <v>29770</v>
      </c>
      <c r="J93" s="1025">
        <f t="shared" si="4"/>
        <v>26198</v>
      </c>
      <c r="K93" s="30" t="s">
        <v>17</v>
      </c>
      <c r="L93" s="122">
        <v>46097</v>
      </c>
      <c r="M93" s="1250"/>
      <c r="P93" s="233"/>
      <c r="T93" t="s">
        <v>6503</v>
      </c>
      <c r="U93" s="360">
        <v>0.26527777777777778</v>
      </c>
      <c r="V93" s="360">
        <v>0.43541666666666662</v>
      </c>
    </row>
    <row r="94" spans="1:22" hidden="1" x14ac:dyDescent="0.25">
      <c r="A94" s="483" t="s">
        <v>7393</v>
      </c>
      <c r="B94" t="s">
        <v>610</v>
      </c>
      <c r="C94" s="28" t="s">
        <v>3932</v>
      </c>
      <c r="D94" s="233">
        <v>46004</v>
      </c>
      <c r="E94" s="28"/>
      <c r="F94" s="28" t="s">
        <v>106</v>
      </c>
      <c r="G94" s="1067" t="s">
        <v>7398</v>
      </c>
      <c r="H94" s="30" t="s">
        <v>7399</v>
      </c>
      <c r="I94" s="3">
        <v>29770</v>
      </c>
      <c r="J94" s="1025">
        <f t="shared" si="4"/>
        <v>26198</v>
      </c>
      <c r="K94" t="s">
        <v>17</v>
      </c>
      <c r="L94" s="122">
        <v>46097</v>
      </c>
      <c r="M94" s="1250"/>
      <c r="T94" t="s">
        <v>7383</v>
      </c>
      <c r="U94" s="360">
        <v>0.35486111111111113</v>
      </c>
      <c r="V94" s="360">
        <v>0.49305555555555558</v>
      </c>
    </row>
    <row r="95" spans="1:22" hidden="1" x14ac:dyDescent="0.25">
      <c r="A95" s="483">
        <v>30122025</v>
      </c>
      <c r="B95" t="s">
        <v>610</v>
      </c>
      <c r="C95" s="28" t="s">
        <v>410</v>
      </c>
      <c r="D95" s="233">
        <v>46021</v>
      </c>
      <c r="E95" s="28"/>
      <c r="F95" s="28" t="s">
        <v>106</v>
      </c>
      <c r="G95" s="1067" t="s">
        <v>7458</v>
      </c>
      <c r="H95" s="30" t="s">
        <v>7459</v>
      </c>
      <c r="I95" s="3">
        <v>29770</v>
      </c>
      <c r="J95" s="3">
        <f t="shared" si="4"/>
        <v>26198</v>
      </c>
      <c r="K95" s="233" t="s">
        <v>17</v>
      </c>
      <c r="L95" s="233">
        <v>46125</v>
      </c>
      <c r="M95" s="1250"/>
      <c r="T95" s="5" t="s">
        <v>5989</v>
      </c>
      <c r="U95" s="360">
        <v>0.28263888888888888</v>
      </c>
      <c r="V95" s="360">
        <v>0.43194444444444446</v>
      </c>
    </row>
    <row r="96" spans="1:22" hidden="1" x14ac:dyDescent="0.25">
      <c r="A96" s="483" t="s">
        <v>7441</v>
      </c>
      <c r="B96" t="s">
        <v>610</v>
      </c>
      <c r="C96" s="233" t="s">
        <v>809</v>
      </c>
      <c r="D96" s="233">
        <v>46023</v>
      </c>
      <c r="E96" s="28"/>
      <c r="F96" s="28" t="s">
        <v>106</v>
      </c>
      <c r="G96" t="s">
        <v>7462</v>
      </c>
      <c r="H96" s="30" t="s">
        <v>7490</v>
      </c>
      <c r="I96" s="3">
        <v>29770</v>
      </c>
      <c r="J96" s="3">
        <f t="shared" si="4"/>
        <v>26198</v>
      </c>
      <c r="K96" t="s">
        <v>17</v>
      </c>
      <c r="L96" s="233">
        <v>46069</v>
      </c>
      <c r="T96" t="s">
        <v>6155</v>
      </c>
      <c r="U96" s="360">
        <v>0.57430555555555551</v>
      </c>
      <c r="V96" s="360">
        <v>0.75277777777777777</v>
      </c>
    </row>
    <row r="97" spans="1:24" hidden="1" x14ac:dyDescent="0.25">
      <c r="A97" s="483">
        <v>25022026</v>
      </c>
      <c r="B97" t="s">
        <v>610</v>
      </c>
      <c r="C97" s="28"/>
      <c r="D97" s="233">
        <v>46078</v>
      </c>
      <c r="E97" s="28"/>
      <c r="F97" s="28" t="s">
        <v>106</v>
      </c>
      <c r="G97" s="1067" t="s">
        <v>7742</v>
      </c>
      <c r="H97" s="30" t="s">
        <v>7740</v>
      </c>
      <c r="I97" s="3">
        <v>29770</v>
      </c>
      <c r="J97" s="3">
        <f t="shared" si="4"/>
        <v>26198</v>
      </c>
      <c r="K97" t="s">
        <v>17</v>
      </c>
      <c r="L97" s="233">
        <v>46122</v>
      </c>
      <c r="M97" s="88"/>
      <c r="U97" s="360"/>
      <c r="V97" s="360"/>
    </row>
    <row r="98" spans="1:24" hidden="1" x14ac:dyDescent="0.25">
      <c r="A98" s="483" t="s">
        <v>7764</v>
      </c>
      <c r="B98" t="s">
        <v>610</v>
      </c>
      <c r="C98" s="928" t="s">
        <v>4218</v>
      </c>
      <c r="D98" s="233">
        <v>46082</v>
      </c>
      <c r="E98" s="928"/>
      <c r="F98" s="28" t="s">
        <v>106</v>
      </c>
      <c r="G98" s="1067" t="s">
        <v>7765</v>
      </c>
      <c r="H98" s="30" t="s">
        <v>7766</v>
      </c>
      <c r="I98" s="3">
        <v>29770</v>
      </c>
      <c r="J98" s="3">
        <f t="shared" si="4"/>
        <v>26198</v>
      </c>
      <c r="K98" s="233" t="s">
        <v>17</v>
      </c>
      <c r="L98" s="233">
        <v>46125</v>
      </c>
      <c r="M98" s="88"/>
      <c r="N98" s="926"/>
      <c r="O98" s="926"/>
      <c r="T98" t="s">
        <v>7763</v>
      </c>
      <c r="U98" s="360">
        <v>0.49722222222222223</v>
      </c>
      <c r="V98" s="360">
        <v>0.67083333333333339</v>
      </c>
    </row>
    <row r="99" spans="1:24" hidden="1" x14ac:dyDescent="0.25">
      <c r="A99" s="483" t="s">
        <v>7802</v>
      </c>
      <c r="B99" t="s">
        <v>610</v>
      </c>
      <c r="C99" s="28" t="s">
        <v>13</v>
      </c>
      <c r="D99" s="233">
        <v>46090</v>
      </c>
      <c r="E99" s="28"/>
      <c r="F99" s="28" t="s">
        <v>106</v>
      </c>
      <c r="G99" s="1175" t="s">
        <v>7803</v>
      </c>
      <c r="H99" s="30" t="s">
        <v>7818</v>
      </c>
      <c r="I99" s="3">
        <v>29770</v>
      </c>
      <c r="J99" s="3">
        <f t="shared" si="4"/>
        <v>26198</v>
      </c>
      <c r="K99" t="s">
        <v>17</v>
      </c>
      <c r="L99" s="233">
        <v>46139</v>
      </c>
      <c r="M99" s="88"/>
      <c r="T99" t="s">
        <v>7335</v>
      </c>
      <c r="U99" s="360">
        <v>0.58680555555555558</v>
      </c>
      <c r="V99" s="360"/>
    </row>
    <row r="100" spans="1:24" hidden="1" x14ac:dyDescent="0.25">
      <c r="A100" s="483" t="s">
        <v>7880</v>
      </c>
      <c r="B100" s="21" t="s">
        <v>610</v>
      </c>
      <c r="C100" s="28" t="s">
        <v>13</v>
      </c>
      <c r="D100" s="233">
        <v>46107</v>
      </c>
      <c r="E100" s="28"/>
      <c r="F100" s="28" t="s">
        <v>106</v>
      </c>
      <c r="G100" s="1175" t="s">
        <v>7889</v>
      </c>
      <c r="H100" s="30" t="s">
        <v>7890</v>
      </c>
      <c r="I100" s="3">
        <v>30850</v>
      </c>
      <c r="J100" s="3">
        <f t="shared" si="4"/>
        <v>27148</v>
      </c>
      <c r="K100" t="s">
        <v>17</v>
      </c>
      <c r="L100" s="233">
        <v>46139</v>
      </c>
      <c r="M100" s="558"/>
      <c r="N100" s="88"/>
      <c r="U100" t="s">
        <v>7335</v>
      </c>
      <c r="V100" s="360">
        <v>0.27986111111111112</v>
      </c>
      <c r="W100" s="360">
        <v>0.44305555555555554</v>
      </c>
    </row>
    <row r="101" spans="1:24" hidden="1" x14ac:dyDescent="0.25">
      <c r="A101" s="483" t="s">
        <v>7941</v>
      </c>
      <c r="B101" t="s">
        <v>610</v>
      </c>
      <c r="C101" s="28" t="s">
        <v>13</v>
      </c>
      <c r="D101" s="233">
        <v>46120</v>
      </c>
      <c r="E101" s="28"/>
      <c r="F101" s="28" t="s">
        <v>106</v>
      </c>
      <c r="G101" s="1175" t="s">
        <v>7951</v>
      </c>
      <c r="H101" s="30" t="s">
        <v>7952</v>
      </c>
      <c r="I101" s="3">
        <v>30850</v>
      </c>
      <c r="J101" s="3">
        <f t="shared" si="4"/>
        <v>27148</v>
      </c>
      <c r="K101" t="s">
        <v>17</v>
      </c>
      <c r="L101" s="233">
        <v>46153</v>
      </c>
      <c r="M101" s="798"/>
      <c r="U101" t="s">
        <v>7417</v>
      </c>
      <c r="V101" s="360"/>
      <c r="W101" s="360"/>
    </row>
    <row r="102" spans="1:24" s="19" customFormat="1" hidden="1" x14ac:dyDescent="0.25">
      <c r="A102" s="690" t="s">
        <v>7977</v>
      </c>
      <c r="B102" s="19" t="s">
        <v>610</v>
      </c>
      <c r="C102" s="472" t="s">
        <v>4218</v>
      </c>
      <c r="D102" s="691">
        <v>46127</v>
      </c>
      <c r="E102" s="472"/>
      <c r="F102" s="472" t="s">
        <v>106</v>
      </c>
      <c r="G102" s="1175" t="s">
        <v>7989</v>
      </c>
      <c r="H102" s="19" t="s">
        <v>7991</v>
      </c>
      <c r="I102" s="3">
        <v>30850</v>
      </c>
      <c r="J102" s="692">
        <f t="shared" si="4"/>
        <v>27148</v>
      </c>
      <c r="K102" s="1440" t="s">
        <v>17</v>
      </c>
      <c r="L102" s="691">
        <v>46199</v>
      </c>
      <c r="M102" s="984"/>
      <c r="U102" s="19" t="s">
        <v>7888</v>
      </c>
      <c r="V102" s="693">
        <v>0.57222222222222219</v>
      </c>
      <c r="W102" s="693"/>
    </row>
    <row r="103" spans="1:24" hidden="1" x14ac:dyDescent="0.25">
      <c r="A103" s="483" t="s">
        <v>7978</v>
      </c>
      <c r="B103" t="s">
        <v>610</v>
      </c>
      <c r="C103" s="28" t="s">
        <v>13</v>
      </c>
      <c r="D103" s="233">
        <v>46128</v>
      </c>
      <c r="E103" s="28"/>
      <c r="F103" s="28" t="s">
        <v>106</v>
      </c>
      <c r="G103" s="1175" t="s">
        <v>7990</v>
      </c>
      <c r="H103" s="19" t="s">
        <v>7992</v>
      </c>
      <c r="I103" s="3">
        <v>30850</v>
      </c>
      <c r="J103" s="692">
        <f t="shared" si="4"/>
        <v>27148</v>
      </c>
      <c r="K103" s="1440" t="s">
        <v>17</v>
      </c>
      <c r="L103" s="691">
        <v>46199</v>
      </c>
      <c r="M103" s="798"/>
      <c r="U103" t="s">
        <v>4297</v>
      </c>
      <c r="V103" s="360">
        <v>0.54861111111111105</v>
      </c>
      <c r="W103" s="360"/>
    </row>
    <row r="104" spans="1:24" hidden="1" x14ac:dyDescent="0.25">
      <c r="A104" s="483" t="s">
        <v>7994</v>
      </c>
      <c r="B104" t="s">
        <v>610</v>
      </c>
      <c r="C104" s="28" t="s">
        <v>410</v>
      </c>
      <c r="D104" s="233">
        <v>46129</v>
      </c>
      <c r="E104" s="28"/>
      <c r="F104" s="28" t="s">
        <v>106</v>
      </c>
      <c r="G104" s="1175" t="s">
        <v>8000</v>
      </c>
      <c r="H104" s="30" t="s">
        <v>8001</v>
      </c>
      <c r="I104" s="3">
        <v>30850</v>
      </c>
      <c r="J104" s="3">
        <f t="shared" si="4"/>
        <v>27148</v>
      </c>
      <c r="K104" s="1345" t="s">
        <v>17</v>
      </c>
      <c r="L104" s="233">
        <v>46205</v>
      </c>
      <c r="M104" s="798"/>
      <c r="U104" t="s">
        <v>4297</v>
      </c>
      <c r="V104" s="360">
        <v>0.56458333333333333</v>
      </c>
      <c r="W104" s="360">
        <v>0.72291666666666676</v>
      </c>
    </row>
    <row r="105" spans="1:24" hidden="1" x14ac:dyDescent="0.25">
      <c r="A105" s="483" t="s">
        <v>8021</v>
      </c>
      <c r="B105" t="s">
        <v>610</v>
      </c>
      <c r="C105" s="28" t="s">
        <v>13</v>
      </c>
      <c r="D105" s="233">
        <v>46137</v>
      </c>
      <c r="E105" s="28"/>
      <c r="F105" s="28" t="s">
        <v>106</v>
      </c>
      <c r="G105" s="88" t="s">
        <v>8028</v>
      </c>
      <c r="H105" s="30" t="s">
        <v>8029</v>
      </c>
      <c r="I105" s="3">
        <v>30850</v>
      </c>
      <c r="J105" s="3">
        <f t="shared" si="4"/>
        <v>27148</v>
      </c>
      <c r="K105" s="1345" t="s">
        <v>17</v>
      </c>
      <c r="L105" s="233">
        <v>46268</v>
      </c>
      <c r="M105" s="798"/>
      <c r="U105" t="s">
        <v>7548</v>
      </c>
      <c r="V105" s="360">
        <v>0.57708333333333328</v>
      </c>
      <c r="W105" s="360">
        <v>17.47</v>
      </c>
    </row>
    <row r="106" spans="1:24" hidden="1" x14ac:dyDescent="0.25">
      <c r="A106" s="483" t="s">
        <v>8045</v>
      </c>
      <c r="B106" t="s">
        <v>610</v>
      </c>
      <c r="C106" s="28" t="s">
        <v>410</v>
      </c>
      <c r="D106" s="233">
        <v>46142</v>
      </c>
      <c r="E106" s="28"/>
      <c r="F106" s="28" t="s">
        <v>106</v>
      </c>
      <c r="G106" s="1342" t="s">
        <v>8052</v>
      </c>
      <c r="H106" s="30" t="s">
        <v>8051</v>
      </c>
      <c r="I106" s="3">
        <v>30850</v>
      </c>
      <c r="J106" s="3">
        <f t="shared" si="4"/>
        <v>27148</v>
      </c>
      <c r="K106" s="1345" t="s">
        <v>17</v>
      </c>
      <c r="L106" s="233">
        <v>46268</v>
      </c>
      <c r="M106" s="798"/>
      <c r="U106" t="s">
        <v>8044</v>
      </c>
      <c r="V106" s="360">
        <v>0.27916666666666667</v>
      </c>
      <c r="W106" s="360"/>
    </row>
    <row r="107" spans="1:24" hidden="1" x14ac:dyDescent="0.25">
      <c r="A107" s="483" t="s">
        <v>8064</v>
      </c>
      <c r="B107" t="s">
        <v>610</v>
      </c>
      <c r="C107" s="28" t="s">
        <v>4218</v>
      </c>
      <c r="D107" s="233">
        <v>46148</v>
      </c>
      <c r="E107" s="28"/>
      <c r="F107" s="28" t="s">
        <v>106</v>
      </c>
      <c r="G107" s="88" t="s">
        <v>8068</v>
      </c>
      <c r="H107" s="30" t="s">
        <v>8069</v>
      </c>
      <c r="I107" s="3">
        <v>30850</v>
      </c>
      <c r="J107" s="3">
        <f t="shared" si="4"/>
        <v>27148</v>
      </c>
      <c r="K107" s="1345" t="s">
        <v>17</v>
      </c>
      <c r="L107" s="233">
        <v>46268</v>
      </c>
      <c r="M107" s="798"/>
      <c r="U107" t="s">
        <v>4983</v>
      </c>
      <c r="V107" s="360">
        <v>0.47916666666666669</v>
      </c>
      <c r="W107" s="360">
        <v>0.63611111111111118</v>
      </c>
    </row>
    <row r="108" spans="1:24" hidden="1" x14ac:dyDescent="0.25">
      <c r="A108" s="483" t="s">
        <v>8108</v>
      </c>
      <c r="B108" t="s">
        <v>610</v>
      </c>
      <c r="C108" s="28" t="s">
        <v>410</v>
      </c>
      <c r="D108" s="233">
        <v>46157</v>
      </c>
      <c r="E108" s="28"/>
      <c r="F108" s="28" t="s">
        <v>106</v>
      </c>
      <c r="G108" s="88" t="s">
        <v>8115</v>
      </c>
      <c r="H108" s="30" t="s">
        <v>8116</v>
      </c>
      <c r="I108" s="3">
        <v>30850</v>
      </c>
      <c r="J108" s="3">
        <f t="shared" si="4"/>
        <v>27148</v>
      </c>
      <c r="K108" s="1293" t="s">
        <v>17</v>
      </c>
      <c r="L108" s="233">
        <v>46288</v>
      </c>
      <c r="M108"/>
      <c r="N108" s="798"/>
      <c r="V108" t="s">
        <v>7060</v>
      </c>
      <c r="W108" s="360">
        <v>0.26458333333333334</v>
      </c>
      <c r="X108" s="360">
        <v>0.46736111111111112</v>
      </c>
    </row>
    <row r="109" spans="1:24" hidden="1" x14ac:dyDescent="0.25">
      <c r="A109" s="483" t="s">
        <v>8108</v>
      </c>
      <c r="B109" t="s">
        <v>610</v>
      </c>
      <c r="C109" s="28" t="s">
        <v>4218</v>
      </c>
      <c r="D109" s="233">
        <v>46157</v>
      </c>
      <c r="E109" s="28"/>
      <c r="F109" s="28" t="s">
        <v>106</v>
      </c>
      <c r="G109" s="88" t="s">
        <v>8114</v>
      </c>
      <c r="H109" s="30" t="s">
        <v>8157</v>
      </c>
      <c r="I109" s="3">
        <v>30850</v>
      </c>
      <c r="J109" s="3">
        <f t="shared" si="4"/>
        <v>27148</v>
      </c>
      <c r="K109" s="1293" t="s">
        <v>17</v>
      </c>
      <c r="L109" s="233">
        <v>46288</v>
      </c>
      <c r="M109"/>
      <c r="N109" s="798"/>
      <c r="V109" t="s">
        <v>4983</v>
      </c>
      <c r="W109" s="360">
        <v>0.34791666666666665</v>
      </c>
      <c r="X109" s="360">
        <v>0.49722222222222223</v>
      </c>
    </row>
    <row r="110" spans="1:24" hidden="1" x14ac:dyDescent="0.25">
      <c r="A110" s="483" t="s">
        <v>8117</v>
      </c>
      <c r="B110" t="s">
        <v>610</v>
      </c>
      <c r="C110" s="28" t="s">
        <v>410</v>
      </c>
      <c r="D110" s="233">
        <v>46158</v>
      </c>
      <c r="E110" s="28"/>
      <c r="F110" s="28" t="s">
        <v>106</v>
      </c>
      <c r="G110" s="88" t="s">
        <v>8135</v>
      </c>
      <c r="H110" s="30" t="s">
        <v>8136</v>
      </c>
      <c r="I110" s="3">
        <v>30850</v>
      </c>
      <c r="J110" s="3">
        <f t="shared" si="4"/>
        <v>27148</v>
      </c>
      <c r="K110" s="1293" t="s">
        <v>17</v>
      </c>
      <c r="L110" s="233">
        <v>46288</v>
      </c>
      <c r="M110"/>
      <c r="N110" s="798"/>
      <c r="V110" t="s">
        <v>4867</v>
      </c>
      <c r="W110" s="360">
        <v>0.2673611111111111</v>
      </c>
      <c r="X110" s="360">
        <v>0.44930555555555557</v>
      </c>
    </row>
    <row r="111" spans="1:24" x14ac:dyDescent="0.25">
      <c r="G111" s="13"/>
      <c r="J111" s="3"/>
      <c r="L111" s="233"/>
      <c r="N111" s="3"/>
      <c r="O111" s="3"/>
      <c r="P111" s="3"/>
    </row>
    <row r="112" spans="1:24" ht="15.75" thickBot="1" x14ac:dyDescent="0.3">
      <c r="G112" s="13"/>
      <c r="J112" s="3"/>
      <c r="L112" s="233"/>
      <c r="N112" s="3"/>
      <c r="O112" s="3"/>
      <c r="P112" s="3"/>
    </row>
    <row r="113" spans="1:24" ht="15.75" thickBot="1" x14ac:dyDescent="0.3">
      <c r="G113" s="208" t="s">
        <v>1292</v>
      </c>
      <c r="I113" s="560">
        <f>SUBTOTAL(9,I3:I112)</f>
        <v>0</v>
      </c>
      <c r="J113" s="4"/>
      <c r="L113" s="233"/>
    </row>
    <row r="114" spans="1:24" x14ac:dyDescent="0.25">
      <c r="G114" s="13"/>
      <c r="J114" s="17"/>
      <c r="K114" s="797"/>
      <c r="L114" s="233"/>
    </row>
    <row r="115" spans="1:24" x14ac:dyDescent="0.25">
      <c r="G115" s="13"/>
      <c r="J115" s="3"/>
      <c r="L115" s="233"/>
      <c r="N115" s="3"/>
      <c r="O115" s="3"/>
      <c r="P115" s="3"/>
    </row>
    <row r="116" spans="1:24" x14ac:dyDescent="0.25">
      <c r="L116" s="233"/>
    </row>
    <row r="117" spans="1:24" x14ac:dyDescent="0.25">
      <c r="L117" s="233"/>
    </row>
    <row r="118" spans="1:24" x14ac:dyDescent="0.25">
      <c r="J118" s="91"/>
      <c r="L118" s="233"/>
    </row>
    <row r="119" spans="1:24" ht="40.5" customHeight="1" x14ac:dyDescent="0.25">
      <c r="B119" s="1497" t="s">
        <v>8219</v>
      </c>
      <c r="C119" s="1498"/>
      <c r="D119" s="1498"/>
      <c r="E119" s="1498"/>
      <c r="F119" s="1498"/>
      <c r="G119" s="1498"/>
      <c r="H119" s="1498"/>
      <c r="I119" s="1498"/>
      <c r="K119"/>
      <c r="L119" s="28"/>
      <c r="M119"/>
    </row>
    <row r="120" spans="1:24" s="28" customFormat="1" x14ac:dyDescent="0.25">
      <c r="B120" s="25" t="s">
        <v>0</v>
      </c>
      <c r="C120" s="25" t="s">
        <v>1</v>
      </c>
      <c r="D120" s="25" t="s">
        <v>2</v>
      </c>
      <c r="E120" s="25"/>
      <c r="F120" s="25" t="s">
        <v>3</v>
      </c>
      <c r="G120" s="25" t="s">
        <v>4</v>
      </c>
      <c r="H120" s="25" t="s">
        <v>5</v>
      </c>
      <c r="I120" s="25" t="s">
        <v>6</v>
      </c>
      <c r="J120" s="25" t="s">
        <v>1780</v>
      </c>
      <c r="K120" s="25" t="s">
        <v>8</v>
      </c>
      <c r="L120" s="25" t="s">
        <v>3998</v>
      </c>
      <c r="M120" s="25" t="s">
        <v>10</v>
      </c>
      <c r="N120" s="1480" t="s">
        <v>11</v>
      </c>
      <c r="O120" s="1480"/>
      <c r="P120" s="1480"/>
      <c r="Q120" s="1480"/>
    </row>
    <row r="121" spans="1:24" hidden="1" x14ac:dyDescent="0.25">
      <c r="A121" s="483">
        <v>14062026</v>
      </c>
      <c r="B121" s="21" t="s">
        <v>610</v>
      </c>
      <c r="C121" s="31" t="s">
        <v>410</v>
      </c>
      <c r="D121" s="233">
        <v>46187</v>
      </c>
      <c r="E121" s="28"/>
      <c r="F121" s="28" t="s">
        <v>106</v>
      </c>
      <c r="G121" s="88" t="s">
        <v>8194</v>
      </c>
      <c r="H121" s="30" t="s">
        <v>8283</v>
      </c>
      <c r="I121" s="3">
        <v>28900</v>
      </c>
      <c r="J121" s="3">
        <f t="shared" ref="J121:J130" si="5">+I121-ROUND(I121*0.12,0)</f>
        <v>25432</v>
      </c>
      <c r="K121" s="233" t="s">
        <v>17</v>
      </c>
      <c r="L121" s="233">
        <v>46245</v>
      </c>
      <c r="M121"/>
      <c r="N121" s="798"/>
      <c r="V121" s="21" t="s">
        <v>6349</v>
      </c>
      <c r="W121" s="360">
        <v>0.30902777777777779</v>
      </c>
      <c r="X121" s="360">
        <v>0.4680555555555555</v>
      </c>
    </row>
    <row r="122" spans="1:24" hidden="1" x14ac:dyDescent="0.25">
      <c r="A122" s="483">
        <v>28062026</v>
      </c>
      <c r="B122" t="s">
        <v>610</v>
      </c>
      <c r="C122" s="31" t="s">
        <v>410</v>
      </c>
      <c r="D122" s="233">
        <v>46201</v>
      </c>
      <c r="E122" s="28"/>
      <c r="F122" s="313" t="s">
        <v>106</v>
      </c>
      <c r="G122" s="88" t="s">
        <v>8322</v>
      </c>
      <c r="H122" t="s">
        <v>8356</v>
      </c>
      <c r="I122" s="3">
        <v>28900</v>
      </c>
      <c r="J122" s="3">
        <f t="shared" si="5"/>
        <v>25432</v>
      </c>
      <c r="K122" t="s">
        <v>17</v>
      </c>
      <c r="L122" s="233">
        <v>46248</v>
      </c>
      <c r="M122"/>
      <c r="N122" s="88"/>
      <c r="V122" t="s">
        <v>8286</v>
      </c>
      <c r="W122" s="360">
        <v>0.57986111111111105</v>
      </c>
      <c r="X122" s="360">
        <v>0.72291666666666676</v>
      </c>
    </row>
    <row r="123" spans="1:24" hidden="1" x14ac:dyDescent="0.25">
      <c r="A123" s="483">
        <v>28062026</v>
      </c>
      <c r="B123" t="s">
        <v>610</v>
      </c>
      <c r="C123" s="31" t="s">
        <v>4218</v>
      </c>
      <c r="D123" s="233">
        <v>46201</v>
      </c>
      <c r="E123" s="28"/>
      <c r="F123" s="313" t="s">
        <v>106</v>
      </c>
      <c r="G123" s="88" t="s">
        <v>8323</v>
      </c>
      <c r="H123" t="s">
        <v>8357</v>
      </c>
      <c r="I123" s="3">
        <v>28900</v>
      </c>
      <c r="J123" s="3">
        <f t="shared" si="5"/>
        <v>25432</v>
      </c>
      <c r="K123" t="s">
        <v>17</v>
      </c>
      <c r="L123" s="233">
        <v>46248</v>
      </c>
      <c r="M123"/>
      <c r="N123" s="88"/>
      <c r="V123" t="s">
        <v>8193</v>
      </c>
      <c r="W123" s="360">
        <v>0.59930555555555554</v>
      </c>
      <c r="X123" s="360">
        <v>0.73888888888888893</v>
      </c>
    </row>
    <row r="124" spans="1:24" hidden="1" x14ac:dyDescent="0.25">
      <c r="A124" s="483" t="s">
        <v>8315</v>
      </c>
      <c r="B124" t="s">
        <v>610</v>
      </c>
      <c r="C124" s="31" t="s">
        <v>13</v>
      </c>
      <c r="D124" s="233">
        <v>46211</v>
      </c>
      <c r="E124" s="28"/>
      <c r="F124" s="313" t="s">
        <v>106</v>
      </c>
      <c r="G124" s="88" t="s">
        <v>8321</v>
      </c>
      <c r="H124" t="s">
        <v>8358</v>
      </c>
      <c r="I124" s="3">
        <v>28900</v>
      </c>
      <c r="J124" s="3">
        <f t="shared" si="5"/>
        <v>25432</v>
      </c>
      <c r="K124" t="s">
        <v>17</v>
      </c>
      <c r="L124" s="233">
        <v>46258</v>
      </c>
      <c r="M124" s="313"/>
      <c r="N124" s="88"/>
      <c r="O124" s="88"/>
      <c r="V124" t="s">
        <v>8316</v>
      </c>
      <c r="W124" s="360">
        <v>0.51666666666666672</v>
      </c>
      <c r="X124" s="30"/>
    </row>
    <row r="125" spans="1:24" hidden="1" x14ac:dyDescent="0.25">
      <c r="A125" s="483" t="s">
        <v>8344</v>
      </c>
      <c r="B125" t="s">
        <v>610</v>
      </c>
      <c r="C125" s="31" t="s">
        <v>13</v>
      </c>
      <c r="D125" s="233">
        <v>46217</v>
      </c>
      <c r="E125" s="28"/>
      <c r="F125" s="313" t="s">
        <v>106</v>
      </c>
      <c r="G125" s="88" t="s">
        <v>8345</v>
      </c>
      <c r="H125" t="s">
        <v>8359</v>
      </c>
      <c r="I125" s="3">
        <v>28900</v>
      </c>
      <c r="J125" s="3">
        <f t="shared" si="5"/>
        <v>25432</v>
      </c>
      <c r="K125" t="s">
        <v>17</v>
      </c>
      <c r="L125" s="233">
        <v>46258</v>
      </c>
      <c r="M125"/>
      <c r="N125" s="88"/>
      <c r="O125" s="88"/>
      <c r="V125" t="s">
        <v>8196</v>
      </c>
      <c r="W125" s="360">
        <v>0.28819444444444448</v>
      </c>
      <c r="X125" s="360">
        <v>0.45277777777777778</v>
      </c>
    </row>
    <row r="126" spans="1:24" hidden="1" x14ac:dyDescent="0.25">
      <c r="A126" s="483">
        <v>18072026</v>
      </c>
      <c r="B126" t="s">
        <v>610</v>
      </c>
      <c r="C126" s="31"/>
      <c r="D126" s="233">
        <v>46221</v>
      </c>
      <c r="E126" s="28"/>
      <c r="F126" s="313" t="s">
        <v>106</v>
      </c>
      <c r="G126" s="88" t="s">
        <v>8369</v>
      </c>
      <c r="H126" t="s">
        <v>8453</v>
      </c>
      <c r="I126" s="3">
        <v>28900</v>
      </c>
      <c r="J126" s="3">
        <f t="shared" si="5"/>
        <v>25432</v>
      </c>
      <c r="K126" s="1345" t="s">
        <v>17</v>
      </c>
      <c r="L126" s="233">
        <v>46268</v>
      </c>
      <c r="M126"/>
      <c r="N126" s="88"/>
      <c r="O126" s="88"/>
      <c r="W126" s="360"/>
      <c r="X126" s="360"/>
    </row>
    <row r="127" spans="1:24" hidden="1" x14ac:dyDescent="0.25">
      <c r="A127" s="1448" t="s">
        <v>8461</v>
      </c>
      <c r="B127" t="s">
        <v>610</v>
      </c>
      <c r="C127" s="31" t="s">
        <v>13</v>
      </c>
      <c r="D127" s="233">
        <v>46245</v>
      </c>
      <c r="E127" s="28"/>
      <c r="F127" s="313" t="s">
        <v>106</v>
      </c>
      <c r="G127" s="88" t="s">
        <v>8492</v>
      </c>
      <c r="H127" s="88" t="s">
        <v>8493</v>
      </c>
      <c r="I127" s="3">
        <v>28900</v>
      </c>
      <c r="J127" s="3">
        <f t="shared" si="5"/>
        <v>25432</v>
      </c>
      <c r="K127" s="1345" t="s">
        <v>17</v>
      </c>
      <c r="L127" s="233">
        <v>46268</v>
      </c>
      <c r="M127" s="915"/>
      <c r="N127" s="558"/>
      <c r="O127" s="88"/>
      <c r="W127" s="360"/>
      <c r="X127" s="30"/>
    </row>
    <row r="128" spans="1:24" hidden="1" x14ac:dyDescent="0.25">
      <c r="A128" s="1448" t="s">
        <v>8469</v>
      </c>
      <c r="B128" t="s">
        <v>610</v>
      </c>
      <c r="C128" s="31" t="s">
        <v>13</v>
      </c>
      <c r="D128" s="233">
        <v>46246</v>
      </c>
      <c r="E128" s="28"/>
      <c r="F128" s="313" t="s">
        <v>106</v>
      </c>
      <c r="G128" s="88" t="s">
        <v>8490</v>
      </c>
      <c r="H128" t="s">
        <v>8491</v>
      </c>
      <c r="I128" s="3">
        <v>28900</v>
      </c>
      <c r="J128" s="3">
        <f t="shared" si="5"/>
        <v>25432</v>
      </c>
      <c r="K128" s="1345" t="s">
        <v>17</v>
      </c>
      <c r="L128" s="233">
        <v>46268</v>
      </c>
      <c r="M128"/>
      <c r="N128" s="558"/>
      <c r="O128" s="88"/>
      <c r="V128" t="s">
        <v>8468</v>
      </c>
      <c r="W128" s="360"/>
      <c r="X128" s="30"/>
    </row>
    <row r="129" spans="1:24" x14ac:dyDescent="0.25">
      <c r="A129" s="1448" t="s">
        <v>8520</v>
      </c>
      <c r="B129" s="21" t="s">
        <v>610</v>
      </c>
      <c r="C129" s="31" t="s">
        <v>410</v>
      </c>
      <c r="D129" s="233">
        <v>46258</v>
      </c>
      <c r="E129" s="28"/>
      <c r="F129" s="313" t="s">
        <v>106</v>
      </c>
      <c r="G129" s="88" t="s">
        <v>8544</v>
      </c>
      <c r="H129" t="s">
        <v>8543</v>
      </c>
      <c r="I129" s="3">
        <v>28900</v>
      </c>
      <c r="J129" s="3">
        <f t="shared" si="5"/>
        <v>25432</v>
      </c>
      <c r="K129"/>
      <c r="L129"/>
      <c r="M129"/>
      <c r="N129" s="558"/>
      <c r="O129" s="88"/>
      <c r="V129" t="s">
        <v>7942</v>
      </c>
      <c r="W129" s="360">
        <v>0.41388888888888892</v>
      </c>
      <c r="X129" s="360">
        <v>0.58819444444444446</v>
      </c>
    </row>
    <row r="130" spans="1:24" x14ac:dyDescent="0.25">
      <c r="A130" s="1448" t="s">
        <v>8614</v>
      </c>
      <c r="B130" s="21" t="s">
        <v>610</v>
      </c>
      <c r="C130" s="31" t="s">
        <v>410</v>
      </c>
      <c r="D130" s="233">
        <v>46277</v>
      </c>
      <c r="E130" s="28"/>
      <c r="F130" s="313" t="s">
        <v>106</v>
      </c>
      <c r="G130" s="88" t="s">
        <v>8626</v>
      </c>
      <c r="H130" s="88" t="s">
        <v>8669</v>
      </c>
      <c r="I130" s="915">
        <v>28900</v>
      </c>
      <c r="J130" s="3">
        <f t="shared" si="5"/>
        <v>25432</v>
      </c>
      <c r="K130"/>
      <c r="L130"/>
      <c r="N130" s="558"/>
      <c r="O130" s="88"/>
      <c r="W130" s="360"/>
      <c r="X130" s="360"/>
    </row>
    <row r="131" spans="1:24" ht="15.75" thickBot="1" x14ac:dyDescent="0.3">
      <c r="D131" s="28"/>
      <c r="F131" s="30"/>
      <c r="K131"/>
      <c r="L131" s="28"/>
      <c r="M131"/>
    </row>
    <row r="132" spans="1:24" ht="15.75" thickBot="1" x14ac:dyDescent="0.3">
      <c r="D132" s="28"/>
      <c r="F132" s="30"/>
      <c r="H132" t="s">
        <v>356</v>
      </c>
      <c r="I132" s="560">
        <f>SUBTOTAL(9,I121:I131)</f>
        <v>57800</v>
      </c>
      <c r="K132"/>
      <c r="L132" s="28"/>
      <c r="M132"/>
    </row>
    <row r="133" spans="1:24" x14ac:dyDescent="0.25">
      <c r="D133" s="28"/>
      <c r="F133" s="30"/>
      <c r="K133"/>
      <c r="L133" s="28"/>
      <c r="M133"/>
    </row>
    <row r="134" spans="1:24" x14ac:dyDescent="0.25">
      <c r="D134" s="28"/>
      <c r="F134" s="30"/>
      <c r="K134"/>
      <c r="L134" s="28"/>
      <c r="M134"/>
    </row>
    <row r="135" spans="1:24" x14ac:dyDescent="0.25">
      <c r="D135" s="28"/>
      <c r="F135" s="30"/>
      <c r="K135"/>
      <c r="L135" s="28"/>
      <c r="M135"/>
    </row>
    <row r="136" spans="1:24" ht="15.75" thickBot="1" x14ac:dyDescent="0.3">
      <c r="D136" s="28"/>
      <c r="F136" s="30"/>
      <c r="K136"/>
      <c r="L136" s="28"/>
      <c r="M136"/>
    </row>
    <row r="137" spans="1:24" ht="15.75" thickBot="1" x14ac:dyDescent="0.3">
      <c r="D137" s="28"/>
      <c r="F137" s="30"/>
      <c r="H137" t="s">
        <v>4480</v>
      </c>
      <c r="I137" s="560">
        <f>+I113+I132</f>
        <v>57800</v>
      </c>
      <c r="K137"/>
      <c r="L137" s="28"/>
      <c r="M137"/>
    </row>
    <row r="138" spans="1:24" x14ac:dyDescent="0.25">
      <c r="D138" s="28"/>
      <c r="F138" s="30"/>
      <c r="K138"/>
      <c r="L138" s="28"/>
      <c r="M138"/>
    </row>
    <row r="139" spans="1:24" x14ac:dyDescent="0.25">
      <c r="D139" s="28"/>
      <c r="F139" s="30"/>
      <c r="J139" s="61"/>
      <c r="K139" t="s">
        <v>8219</v>
      </c>
      <c r="L139" s="28"/>
      <c r="M139" s="28" t="s">
        <v>2468</v>
      </c>
    </row>
    <row r="140" spans="1:24" x14ac:dyDescent="0.25">
      <c r="D140" s="28"/>
      <c r="F140" s="30"/>
      <c r="J140" s="61" t="s">
        <v>219</v>
      </c>
      <c r="K140" s="32">
        <v>693600</v>
      </c>
      <c r="L140" s="28">
        <v>24</v>
      </c>
      <c r="M140" s="122">
        <v>46259</v>
      </c>
    </row>
    <row r="141" spans="1:24" x14ac:dyDescent="0.25">
      <c r="D141" s="28"/>
      <c r="F141" s="30"/>
      <c r="J141" s="61" t="s">
        <v>2048</v>
      </c>
      <c r="K141" s="32">
        <v>260100</v>
      </c>
      <c r="L141" s="28">
        <f>+K141/28900</f>
        <v>9</v>
      </c>
      <c r="M141" s="122">
        <f>+M140</f>
        <v>46259</v>
      </c>
    </row>
    <row r="142" spans="1:24" x14ac:dyDescent="0.25">
      <c r="D142" s="28"/>
      <c r="F142" s="30"/>
      <c r="J142" s="513" t="s">
        <v>2128</v>
      </c>
      <c r="K142" s="345">
        <f>+K140-K141</f>
        <v>433500</v>
      </c>
      <c r="L142" s="344">
        <f>+L140-L141</f>
        <v>15</v>
      </c>
      <c r="M142"/>
    </row>
    <row r="143" spans="1:24" x14ac:dyDescent="0.25">
      <c r="D143" s="28"/>
      <c r="F143" s="30"/>
      <c r="K143"/>
      <c r="L143" s="28"/>
      <c r="M143"/>
    </row>
    <row r="144" spans="1:24" x14ac:dyDescent="0.25">
      <c r="J144" s="91"/>
      <c r="L144" s="233"/>
    </row>
    <row r="147" spans="10:12" x14ac:dyDescent="0.25">
      <c r="L147" s="88"/>
    </row>
    <row r="150" spans="10:12" x14ac:dyDescent="0.25">
      <c r="J150" s="7"/>
      <c r="L150"/>
    </row>
    <row r="151" spans="10:12" x14ac:dyDescent="0.25">
      <c r="J151" s="3"/>
    </row>
    <row r="153" spans="10:12" x14ac:dyDescent="0.25">
      <c r="J153" s="358"/>
    </row>
  </sheetData>
  <autoFilter ref="A2:X151" xr:uid="{00000000-0009-0000-0000-000006000000}">
    <filterColumn colId="10">
      <filters blank="1">
        <filter val="260,100.00"/>
        <filter val="433,500.00"/>
        <filter val="693,600.00"/>
        <filter val="CONTRATO N° 14-2026-D-RAAY-ESSALUD"/>
        <filter val="STATUS"/>
      </filters>
    </filterColumn>
    <filterColumn colId="16" showButton="0"/>
    <filterColumn colId="17" showButton="0"/>
    <filterColumn colId="18" showButton="0"/>
  </autoFilter>
  <mergeCells count="3">
    <mergeCell ref="Q2:T2"/>
    <mergeCell ref="N120:Q120"/>
    <mergeCell ref="B119:I119"/>
  </mergeCells>
  <pageMargins left="0.7" right="0.7" top="0.75" bottom="0.75" header="0.3" footer="0.3"/>
  <pageSetup paperSize="9" orientation="portrait" r:id="rId1"/>
  <ignoredErrors>
    <ignoredError sqref="J55"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27341" r:id="rId4" name="Botón 13">
              <controlPr defaultSize="0" print="0" autoFill="0" autoPict="0" macro="[0]!IR_VENTAS_B200_2026">
                <anchor moveWithCells="1" sizeWithCells="1">
                  <from>
                    <xdr:col>1</xdr:col>
                    <xdr:colOff>666750</xdr:colOff>
                    <xdr:row>144</xdr:row>
                    <xdr:rowOff>66675</xdr:rowOff>
                  </from>
                  <to>
                    <xdr:col>3</xdr:col>
                    <xdr:colOff>600075</xdr:colOff>
                    <xdr:row>147</xdr:row>
                    <xdr:rowOff>104775</xdr:rowOff>
                  </to>
                </anchor>
              </controlPr>
            </control>
          </mc:Choice>
        </mc:AlternateContent>
        <mc:AlternateContent xmlns:mc="http://schemas.openxmlformats.org/markup-compatibility/2006">
          <mc:Choice Requires="x14">
            <control shapeId="227331" r:id="rId5" name="Button 1">
              <controlPr defaultSize="0" print="0" autoFill="0" autoPict="0" macro="[0]!RETORNAR">
                <anchor moveWithCells="1" sizeWithCells="1">
                  <from>
                    <xdr:col>1</xdr:col>
                    <xdr:colOff>28575</xdr:colOff>
                    <xdr:row>0</xdr:row>
                    <xdr:rowOff>0</xdr:rowOff>
                  </from>
                  <to>
                    <xdr:col>3</xdr:col>
                    <xdr:colOff>371475</xdr:colOff>
                    <xdr:row>1</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9" filterMode="1"/>
  <dimension ref="A1:V37"/>
  <sheetViews>
    <sheetView workbookViewId="0">
      <selection activeCell="H11" sqref="H11"/>
    </sheetView>
  </sheetViews>
  <sheetFormatPr baseColWidth="10" defaultColWidth="10.85546875" defaultRowHeight="15" x14ac:dyDescent="0.25"/>
  <cols>
    <col min="4" max="4" width="10.85546875" style="28"/>
    <col min="7" max="7" width="42.5703125" customWidth="1"/>
    <col min="8" max="8" width="12.85546875" customWidth="1"/>
    <col min="9" max="9" width="13.85546875" customWidth="1"/>
    <col min="10" max="10" width="10.85546875" style="32"/>
  </cols>
  <sheetData>
    <row r="1" spans="1:22" ht="21" customHeight="1" x14ac:dyDescent="0.25"/>
    <row r="2" spans="1:22" x14ac:dyDescent="0.25">
      <c r="A2" t="s">
        <v>706</v>
      </c>
      <c r="B2" s="1" t="s">
        <v>0</v>
      </c>
      <c r="C2" s="1" t="s">
        <v>1</v>
      </c>
      <c r="D2" s="25" t="s">
        <v>2</v>
      </c>
      <c r="E2" s="1"/>
      <c r="F2" s="1" t="s">
        <v>3</v>
      </c>
      <c r="G2" s="1" t="s">
        <v>4</v>
      </c>
      <c r="H2" s="1" t="s">
        <v>5</v>
      </c>
      <c r="I2" s="1" t="s">
        <v>6</v>
      </c>
      <c r="J2" s="87" t="s">
        <v>1780</v>
      </c>
      <c r="K2" s="1" t="s">
        <v>8</v>
      </c>
      <c r="L2" s="233" t="s">
        <v>3998</v>
      </c>
      <c r="M2" s="1" t="s">
        <v>10</v>
      </c>
      <c r="N2" s="1480" t="s">
        <v>11</v>
      </c>
      <c r="O2" s="1480"/>
      <c r="P2" s="1480"/>
      <c r="Q2" s="1480"/>
    </row>
    <row r="3" spans="1:22" hidden="1" x14ac:dyDescent="0.25">
      <c r="A3" s="115">
        <v>23052022</v>
      </c>
      <c r="B3" t="s">
        <v>859</v>
      </c>
      <c r="C3" t="s">
        <v>693</v>
      </c>
      <c r="D3" s="233">
        <v>44704</v>
      </c>
      <c r="E3" s="32"/>
      <c r="F3" t="s">
        <v>861</v>
      </c>
      <c r="G3" t="s">
        <v>997</v>
      </c>
      <c r="H3" t="s">
        <v>996</v>
      </c>
      <c r="I3" s="32">
        <v>33500</v>
      </c>
      <c r="J3" s="32">
        <f t="shared" ref="J3:J4" si="0">+I3*0.88</f>
        <v>29480</v>
      </c>
      <c r="K3" s="32" t="s">
        <v>17</v>
      </c>
      <c r="L3" s="233">
        <v>44824</v>
      </c>
      <c r="O3" t="s">
        <v>843</v>
      </c>
      <c r="P3" s="14">
        <v>0.30138888888888887</v>
      </c>
      <c r="Q3" s="14">
        <v>0.54652777777777783</v>
      </c>
    </row>
    <row r="4" spans="1:22" hidden="1" x14ac:dyDescent="0.25">
      <c r="A4" s="116">
        <v>16082022</v>
      </c>
      <c r="B4" s="169" t="s">
        <v>859</v>
      </c>
      <c r="C4" s="21" t="s">
        <v>693</v>
      </c>
      <c r="D4" s="510">
        <v>44789</v>
      </c>
      <c r="E4" s="88"/>
      <c r="F4" s="21" t="s">
        <v>1129</v>
      </c>
      <c r="G4" s="21" t="s">
        <v>1130</v>
      </c>
      <c r="H4" s="21" t="s">
        <v>1135</v>
      </c>
      <c r="I4" s="160">
        <v>34928</v>
      </c>
      <c r="J4" s="32">
        <f t="shared" si="0"/>
        <v>30736.639999999999</v>
      </c>
      <c r="K4" s="32" t="s">
        <v>17</v>
      </c>
      <c r="L4" s="233">
        <v>44890</v>
      </c>
      <c r="O4" s="163" t="s">
        <v>677</v>
      </c>
      <c r="P4" s="157">
        <v>0.56874999999999998</v>
      </c>
      <c r="Q4" s="157">
        <v>0.78402777777777777</v>
      </c>
    </row>
    <row r="5" spans="1:22" hidden="1" x14ac:dyDescent="0.25">
      <c r="A5" s="95">
        <v>30092023</v>
      </c>
      <c r="B5" t="s">
        <v>859</v>
      </c>
      <c r="C5" t="s">
        <v>13</v>
      </c>
      <c r="D5" s="233">
        <v>45199</v>
      </c>
      <c r="F5" t="s">
        <v>861</v>
      </c>
      <c r="G5" t="s">
        <v>3179</v>
      </c>
      <c r="H5" t="s">
        <v>3257</v>
      </c>
      <c r="I5" s="414">
        <v>34527</v>
      </c>
      <c r="J5" s="32">
        <f t="shared" ref="J5:J13" si="1">+I5*0.88</f>
        <v>30383.759999999998</v>
      </c>
      <c r="K5" t="s">
        <v>17</v>
      </c>
      <c r="L5" s="233">
        <v>45399</v>
      </c>
      <c r="T5" s="14" t="s">
        <v>893</v>
      </c>
      <c r="U5" s="14">
        <v>0.26597222222222222</v>
      </c>
      <c r="V5" s="14">
        <v>0.45277777777777778</v>
      </c>
    </row>
    <row r="6" spans="1:22" hidden="1" x14ac:dyDescent="0.25">
      <c r="A6" s="483">
        <v>18032025</v>
      </c>
      <c r="B6" t="s">
        <v>859</v>
      </c>
      <c r="C6" s="28" t="s">
        <v>13</v>
      </c>
      <c r="D6" s="233">
        <v>45734</v>
      </c>
      <c r="E6" s="28"/>
      <c r="F6" s="30" t="s">
        <v>5326</v>
      </c>
      <c r="G6" t="s">
        <v>3179</v>
      </c>
      <c r="H6" s="30" t="s">
        <v>6264</v>
      </c>
      <c r="I6" s="798">
        <v>34500</v>
      </c>
      <c r="J6" s="88">
        <f t="shared" si="1"/>
        <v>30360</v>
      </c>
      <c r="K6" t="s">
        <v>17</v>
      </c>
      <c r="L6" s="233">
        <v>45833</v>
      </c>
      <c r="T6" t="s">
        <v>4853</v>
      </c>
      <c r="U6" s="360">
        <v>0.29166666666666669</v>
      </c>
      <c r="V6" s="360">
        <v>0.47569444444444442</v>
      </c>
    </row>
    <row r="7" spans="1:22" s="21" customFormat="1" hidden="1" x14ac:dyDescent="0.25">
      <c r="A7" s="509">
        <v>22032025</v>
      </c>
      <c r="B7" s="21" t="s">
        <v>859</v>
      </c>
      <c r="C7" s="177" t="s">
        <v>13</v>
      </c>
      <c r="D7" s="510">
        <v>45738</v>
      </c>
      <c r="E7" s="177"/>
      <c r="F7" s="169" t="s">
        <v>5326</v>
      </c>
      <c r="G7" s="21" t="s">
        <v>6257</v>
      </c>
      <c r="H7" s="30" t="s">
        <v>6265</v>
      </c>
      <c r="I7" s="911">
        <v>34500</v>
      </c>
      <c r="J7" s="88">
        <f t="shared" si="1"/>
        <v>30360</v>
      </c>
      <c r="K7" t="s">
        <v>17</v>
      </c>
      <c r="L7" s="494">
        <v>45849</v>
      </c>
      <c r="T7" t="s">
        <v>5026</v>
      </c>
      <c r="U7" s="488">
        <v>0.26111111111111113</v>
      </c>
      <c r="V7" s="488">
        <v>0.44166666666666665</v>
      </c>
    </row>
    <row r="8" spans="1:22" hidden="1" x14ac:dyDescent="0.25">
      <c r="A8" s="483">
        <v>25062025</v>
      </c>
      <c r="B8" t="s">
        <v>859</v>
      </c>
      <c r="C8" s="28" t="s">
        <v>278</v>
      </c>
      <c r="D8" s="233">
        <v>45833</v>
      </c>
      <c r="E8" s="28"/>
      <c r="F8" s="30" t="s">
        <v>5326</v>
      </c>
      <c r="G8" t="s">
        <v>6557</v>
      </c>
      <c r="H8" t="s">
        <v>6588</v>
      </c>
      <c r="I8" s="798">
        <v>34500</v>
      </c>
      <c r="J8" s="88">
        <f t="shared" si="1"/>
        <v>30360</v>
      </c>
      <c r="K8" t="s">
        <v>17</v>
      </c>
      <c r="L8" s="494">
        <v>45897</v>
      </c>
      <c r="T8" t="s">
        <v>6214</v>
      </c>
      <c r="U8" s="360">
        <v>0.31180555555555556</v>
      </c>
      <c r="V8" s="30"/>
    </row>
    <row r="9" spans="1:22" hidden="1" x14ac:dyDescent="0.25">
      <c r="A9" s="483" t="s">
        <v>6877</v>
      </c>
      <c r="B9" t="s">
        <v>859</v>
      </c>
      <c r="C9" s="28" t="s">
        <v>410</v>
      </c>
      <c r="D9" s="233">
        <v>45904</v>
      </c>
      <c r="E9" s="28"/>
      <c r="F9" s="30" t="s">
        <v>5326</v>
      </c>
      <c r="G9" s="1067" t="s">
        <v>7095</v>
      </c>
      <c r="H9" s="30" t="s">
        <v>7099</v>
      </c>
      <c r="I9" s="313">
        <v>34500</v>
      </c>
      <c r="J9" s="88">
        <f t="shared" si="1"/>
        <v>30360</v>
      </c>
      <c r="K9" t="s">
        <v>17</v>
      </c>
      <c r="L9" s="494">
        <v>45988</v>
      </c>
      <c r="M9" s="32"/>
      <c r="T9" t="s">
        <v>6874</v>
      </c>
      <c r="U9" s="360">
        <v>0.3520833333333333</v>
      </c>
      <c r="V9" s="360">
        <v>0.4770833333333333</v>
      </c>
    </row>
    <row r="10" spans="1:22" hidden="1" x14ac:dyDescent="0.25">
      <c r="A10" s="483">
        <v>21102025</v>
      </c>
      <c r="B10" t="s">
        <v>859</v>
      </c>
      <c r="C10" s="28" t="s">
        <v>13</v>
      </c>
      <c r="D10" s="233">
        <v>45951</v>
      </c>
      <c r="E10" s="28"/>
      <c r="F10" s="30" t="s">
        <v>5326</v>
      </c>
      <c r="G10" s="1067" t="s">
        <v>7404</v>
      </c>
      <c r="H10" s="30" t="s">
        <v>7405</v>
      </c>
      <c r="I10" s="313">
        <v>34500</v>
      </c>
      <c r="J10" s="88">
        <f t="shared" si="1"/>
        <v>30360</v>
      </c>
      <c r="K10" t="s">
        <v>17</v>
      </c>
      <c r="L10" s="233">
        <v>46078</v>
      </c>
      <c r="M10" s="88"/>
      <c r="T10" t="s">
        <v>7105</v>
      </c>
      <c r="U10" s="360">
        <v>0.3430555555555555</v>
      </c>
      <c r="V10" s="360"/>
    </row>
    <row r="11" spans="1:22" x14ac:dyDescent="0.25">
      <c r="A11" s="483">
        <v>18022026</v>
      </c>
      <c r="B11" t="s">
        <v>859</v>
      </c>
      <c r="C11" s="28"/>
      <c r="D11" s="233">
        <v>46071</v>
      </c>
      <c r="E11" s="28"/>
      <c r="F11" s="30" t="s">
        <v>5326</v>
      </c>
      <c r="G11" s="1067" t="s">
        <v>7741</v>
      </c>
      <c r="H11" t="s">
        <v>8632</v>
      </c>
      <c r="I11" s="915">
        <v>34500</v>
      </c>
      <c r="J11" s="88">
        <f t="shared" si="1"/>
        <v>30360</v>
      </c>
      <c r="K11" t="s">
        <v>8501</v>
      </c>
      <c r="M11" s="88"/>
      <c r="U11" s="360"/>
      <c r="V11" s="360"/>
    </row>
    <row r="12" spans="1:22" hidden="1" x14ac:dyDescent="0.25">
      <c r="A12" s="483">
        <v>19022026</v>
      </c>
      <c r="B12" t="s">
        <v>859</v>
      </c>
      <c r="C12" s="28" t="s">
        <v>4218</v>
      </c>
      <c r="D12" s="233">
        <v>46072</v>
      </c>
      <c r="E12" s="28"/>
      <c r="F12" s="30" t="s">
        <v>5326</v>
      </c>
      <c r="G12" s="1067" t="s">
        <v>7836</v>
      </c>
      <c r="H12" t="s">
        <v>7738</v>
      </c>
      <c r="I12" s="915">
        <v>34500</v>
      </c>
      <c r="J12" s="88">
        <f t="shared" si="1"/>
        <v>30360</v>
      </c>
      <c r="K12" t="s">
        <v>17</v>
      </c>
      <c r="L12" s="233">
        <v>46139</v>
      </c>
      <c r="M12" s="88"/>
      <c r="T12" t="s">
        <v>7060</v>
      </c>
      <c r="U12" s="360">
        <v>0.27083333333333331</v>
      </c>
      <c r="V12" s="360">
        <v>0.47291666666666665</v>
      </c>
    </row>
    <row r="13" spans="1:22" hidden="1" x14ac:dyDescent="0.25">
      <c r="A13" s="483">
        <v>27022026</v>
      </c>
      <c r="B13" t="s">
        <v>859</v>
      </c>
      <c r="C13" s="28" t="s">
        <v>410</v>
      </c>
      <c r="D13" s="233">
        <v>46080</v>
      </c>
      <c r="E13" s="28"/>
      <c r="F13" s="30" t="s">
        <v>5326</v>
      </c>
      <c r="G13" s="1067" t="s">
        <v>7786</v>
      </c>
      <c r="H13" s="30" t="s">
        <v>7891</v>
      </c>
      <c r="I13" s="915">
        <v>34500</v>
      </c>
      <c r="J13" s="88">
        <f t="shared" si="1"/>
        <v>30360</v>
      </c>
      <c r="K13" t="s">
        <v>17</v>
      </c>
      <c r="L13" s="233">
        <v>46164</v>
      </c>
      <c r="M13" s="88"/>
      <c r="T13" t="s">
        <v>7335</v>
      </c>
      <c r="U13" s="360">
        <v>0.4604166666666667</v>
      </c>
      <c r="V13" s="360">
        <v>0.64027777777777783</v>
      </c>
    </row>
    <row r="14" spans="1:22" x14ac:dyDescent="0.25">
      <c r="A14" s="483"/>
      <c r="C14" s="28"/>
      <c r="D14" s="233"/>
      <c r="E14" s="28"/>
      <c r="F14" s="28"/>
      <c r="G14" s="1067"/>
      <c r="H14" s="30"/>
      <c r="I14" s="915"/>
      <c r="J14" s="88"/>
      <c r="L14" s="233"/>
      <c r="M14" s="88"/>
      <c r="U14" s="360"/>
      <c r="V14" s="360"/>
    </row>
    <row r="15" spans="1:22" x14ac:dyDescent="0.25">
      <c r="A15" s="483"/>
      <c r="C15" s="28"/>
      <c r="D15" s="233"/>
      <c r="E15" s="28"/>
      <c r="F15" s="28"/>
      <c r="G15" s="1067"/>
      <c r="H15" s="30"/>
      <c r="I15" s="915"/>
      <c r="J15" s="88"/>
      <c r="L15" s="233"/>
      <c r="M15" s="88"/>
      <c r="U15" s="360"/>
      <c r="V15" s="360"/>
    </row>
    <row r="16" spans="1:22" x14ac:dyDescent="0.25">
      <c r="A16" s="483"/>
      <c r="C16" s="28"/>
      <c r="D16" s="233"/>
      <c r="E16" s="28"/>
      <c r="F16" s="28"/>
      <c r="G16" s="1067"/>
      <c r="H16" s="30"/>
      <c r="I16" s="915"/>
      <c r="J16" s="88"/>
      <c r="L16" s="233"/>
      <c r="M16" s="88"/>
      <c r="U16" s="360"/>
      <c r="V16" s="360"/>
    </row>
    <row r="17" spans="1:17" x14ac:dyDescent="0.25">
      <c r="A17" s="116"/>
      <c r="B17" s="169"/>
      <c r="C17" s="21"/>
      <c r="D17" s="510"/>
      <c r="E17" s="88"/>
      <c r="F17" s="21"/>
      <c r="G17" s="21"/>
      <c r="J17" s="160"/>
      <c r="K17" s="160"/>
      <c r="L17" s="233"/>
      <c r="O17" s="163"/>
      <c r="P17" s="157"/>
      <c r="Q17" s="157"/>
    </row>
    <row r="18" spans="1:17" x14ac:dyDescent="0.25">
      <c r="H18" s="5" t="s">
        <v>4480</v>
      </c>
      <c r="I18" s="27">
        <f>SUBTOTAL(9,I3:I17)</f>
        <v>34500</v>
      </c>
      <c r="L18" s="233"/>
    </row>
    <row r="19" spans="1:17" x14ac:dyDescent="0.25">
      <c r="L19" s="233"/>
    </row>
    <row r="20" spans="1:17" x14ac:dyDescent="0.25">
      <c r="L20" s="233"/>
    </row>
    <row r="21" spans="1:17" x14ac:dyDescent="0.25">
      <c r="L21" s="233"/>
    </row>
    <row r="22" spans="1:17" x14ac:dyDescent="0.25">
      <c r="L22" s="233"/>
    </row>
    <row r="23" spans="1:17" x14ac:dyDescent="0.25">
      <c r="L23" s="233"/>
    </row>
    <row r="24" spans="1:17" x14ac:dyDescent="0.25">
      <c r="I24" s="149"/>
      <c r="L24" s="233"/>
    </row>
    <row r="25" spans="1:17" x14ac:dyDescent="0.25">
      <c r="L25" s="233"/>
    </row>
    <row r="26" spans="1:17" x14ac:dyDescent="0.25">
      <c r="L26" s="233"/>
    </row>
    <row r="27" spans="1:17" x14ac:dyDescent="0.25">
      <c r="L27" s="233"/>
    </row>
    <row r="28" spans="1:17" x14ac:dyDescent="0.25">
      <c r="L28" s="233"/>
    </row>
    <row r="29" spans="1:17" x14ac:dyDescent="0.25">
      <c r="L29" s="233"/>
    </row>
    <row r="30" spans="1:17" x14ac:dyDescent="0.25">
      <c r="L30" s="233"/>
    </row>
    <row r="31" spans="1:17" x14ac:dyDescent="0.25">
      <c r="L31" s="233"/>
    </row>
    <row r="32" spans="1:17" x14ac:dyDescent="0.25">
      <c r="L32" s="233"/>
    </row>
    <row r="33" spans="12:12" x14ac:dyDescent="0.25">
      <c r="L33" s="233"/>
    </row>
    <row r="34" spans="12:12" x14ac:dyDescent="0.25">
      <c r="L34" s="233"/>
    </row>
    <row r="35" spans="12:12" x14ac:dyDescent="0.25">
      <c r="L35" s="233"/>
    </row>
    <row r="36" spans="12:12" x14ac:dyDescent="0.25">
      <c r="L36" s="233"/>
    </row>
    <row r="37" spans="12:12" x14ac:dyDescent="0.25">
      <c r="L37" s="233"/>
    </row>
  </sheetData>
  <autoFilter ref="F2:Q17" xr:uid="{00000000-0009-0000-0000-000007000000}">
    <filterColumn colId="5">
      <filters blank="1"/>
    </filterColumn>
    <filterColumn colId="8" showButton="0"/>
    <filterColumn colId="9" showButton="0"/>
    <filterColumn colId="10" showButton="0"/>
  </autoFilter>
  <mergeCells count="1">
    <mergeCell ref="N2:Q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9346" r:id="rId4" name="Button 1">
              <controlPr defaultSize="0" print="0" autoFill="0" autoPict="0" macro="[0]!RETORNAR">
                <anchor moveWithCells="1" sizeWithCells="1">
                  <from>
                    <xdr:col>0</xdr:col>
                    <xdr:colOff>28575</xdr:colOff>
                    <xdr:row>0</xdr:row>
                    <xdr:rowOff>0</xdr:rowOff>
                  </from>
                  <to>
                    <xdr:col>2</xdr:col>
                    <xdr:colOff>323850</xdr:colOff>
                    <xdr:row>0</xdr:row>
                    <xdr:rowOff>257175</xdr:rowOff>
                  </to>
                </anchor>
              </controlPr>
            </control>
          </mc:Choice>
        </mc:AlternateContent>
        <mc:AlternateContent xmlns:mc="http://schemas.openxmlformats.org/markup-compatibility/2006">
          <mc:Choice Requires="x14">
            <control shapeId="569351" r:id="rId5" name="Botón 7">
              <controlPr defaultSize="0" print="0" autoFill="0" autoPict="0" macro="[0]!IR_VENTAS_B200_2026">
                <anchor moveWithCells="1" sizeWithCells="1">
                  <from>
                    <xdr:col>2</xdr:col>
                    <xdr:colOff>666750</xdr:colOff>
                    <xdr:row>25</xdr:row>
                    <xdr:rowOff>47625</xdr:rowOff>
                  </from>
                  <to>
                    <xdr:col>4</xdr:col>
                    <xdr:colOff>447675</xdr:colOff>
                    <xdr:row>28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filterMode="1"/>
  <dimension ref="A1:X65"/>
  <sheetViews>
    <sheetView topLeftCell="A27" workbookViewId="0">
      <selection activeCell="H42" sqref="H42:H45"/>
    </sheetView>
  </sheetViews>
  <sheetFormatPr baseColWidth="10" defaultColWidth="10.85546875" defaultRowHeight="15" x14ac:dyDescent="0.25"/>
  <cols>
    <col min="1" max="1" width="12.5703125" bestFit="1" customWidth="1"/>
    <col min="6" max="6" width="47" customWidth="1"/>
    <col min="8" max="8" width="12" bestFit="1" customWidth="1"/>
    <col min="9" max="9" width="10.85546875" style="32"/>
    <col min="11" max="11" width="10.85546875" style="6"/>
    <col min="16" max="16" width="13.85546875" customWidth="1"/>
    <col min="21" max="21" width="12.140625" bestFit="1" customWidth="1"/>
  </cols>
  <sheetData>
    <row r="1" spans="1:22" ht="21.95" customHeight="1" x14ac:dyDescent="0.25"/>
    <row r="2" spans="1:22" x14ac:dyDescent="0.25">
      <c r="A2" s="1" t="s">
        <v>0</v>
      </c>
      <c r="B2" s="1" t="s">
        <v>1</v>
      </c>
      <c r="C2" s="1" t="s">
        <v>2</v>
      </c>
      <c r="D2" s="1"/>
      <c r="E2" s="1" t="s">
        <v>3</v>
      </c>
      <c r="F2" s="1" t="s">
        <v>4</v>
      </c>
      <c r="G2" s="1" t="s">
        <v>5</v>
      </c>
      <c r="H2" s="1" t="s">
        <v>6</v>
      </c>
      <c r="I2" s="87" t="s">
        <v>1780</v>
      </c>
      <c r="J2" s="1" t="s">
        <v>8</v>
      </c>
      <c r="K2" s="94" t="s">
        <v>3998</v>
      </c>
      <c r="L2" s="1" t="s">
        <v>10</v>
      </c>
      <c r="M2" s="1480" t="s">
        <v>11</v>
      </c>
      <c r="N2" s="1480"/>
      <c r="O2" s="1480"/>
      <c r="P2" s="1480"/>
    </row>
    <row r="3" spans="1:22" ht="15" hidden="1" customHeight="1" x14ac:dyDescent="0.25">
      <c r="A3" t="s">
        <v>112</v>
      </c>
      <c r="B3" t="s">
        <v>67</v>
      </c>
      <c r="C3" s="122">
        <v>44418</v>
      </c>
      <c r="D3" s="7">
        <v>3.3</v>
      </c>
      <c r="E3" t="s">
        <v>113</v>
      </c>
      <c r="F3" t="s">
        <v>114</v>
      </c>
      <c r="G3" t="s">
        <v>115</v>
      </c>
      <c r="H3" s="3">
        <v>33299.599999999999</v>
      </c>
      <c r="I3" s="32">
        <f t="shared" ref="I3:I8" si="0">+H3*0.88</f>
        <v>29303.647999999997</v>
      </c>
      <c r="J3" t="s">
        <v>17</v>
      </c>
      <c r="K3" s="122">
        <v>44454</v>
      </c>
      <c r="L3" t="s">
        <v>18</v>
      </c>
    </row>
    <row r="4" spans="1:22" ht="15" hidden="1" customHeight="1" x14ac:dyDescent="0.25">
      <c r="A4" t="s">
        <v>112</v>
      </c>
      <c r="C4" s="122"/>
      <c r="D4" s="7"/>
      <c r="F4" t="s">
        <v>116</v>
      </c>
      <c r="G4" t="s">
        <v>117</v>
      </c>
      <c r="H4" s="3">
        <v>12242.5</v>
      </c>
      <c r="I4" s="32">
        <f t="shared" si="0"/>
        <v>10773.4</v>
      </c>
      <c r="J4" t="s">
        <v>17</v>
      </c>
      <c r="K4" s="122">
        <v>44454</v>
      </c>
      <c r="L4" t="s">
        <v>18</v>
      </c>
    </row>
    <row r="5" spans="1:22" ht="15" hidden="1" customHeight="1" x14ac:dyDescent="0.25">
      <c r="A5" t="s">
        <v>112</v>
      </c>
      <c r="B5" t="s">
        <v>67</v>
      </c>
      <c r="C5" s="122">
        <v>44536</v>
      </c>
      <c r="D5">
        <v>3.4</v>
      </c>
      <c r="E5" t="s">
        <v>113</v>
      </c>
      <c r="F5" t="s">
        <v>399</v>
      </c>
      <c r="G5" t="s">
        <v>400</v>
      </c>
      <c r="H5" s="3">
        <v>11169</v>
      </c>
      <c r="I5" s="32">
        <f t="shared" si="0"/>
        <v>9828.7199999999993</v>
      </c>
      <c r="J5" t="s">
        <v>17</v>
      </c>
      <c r="K5" s="122">
        <v>44568</v>
      </c>
      <c r="L5" t="s">
        <v>18</v>
      </c>
    </row>
    <row r="6" spans="1:22" ht="15" hidden="1" customHeight="1" x14ac:dyDescent="0.25">
      <c r="A6" t="s">
        <v>112</v>
      </c>
      <c r="C6" s="122"/>
      <c r="F6" t="s">
        <v>399</v>
      </c>
      <c r="G6" t="s">
        <v>401</v>
      </c>
      <c r="H6" s="3">
        <v>31931</v>
      </c>
      <c r="I6" s="32">
        <f t="shared" si="0"/>
        <v>28099.279999999999</v>
      </c>
      <c r="J6" t="s">
        <v>17</v>
      </c>
      <c r="K6" s="122">
        <v>44568</v>
      </c>
      <c r="L6" t="s">
        <v>18</v>
      </c>
    </row>
    <row r="7" spans="1:22" ht="15" hidden="1" customHeight="1" x14ac:dyDescent="0.25">
      <c r="A7" t="s">
        <v>112</v>
      </c>
      <c r="C7" s="122">
        <v>44538</v>
      </c>
      <c r="D7">
        <v>3.4</v>
      </c>
      <c r="E7" t="s">
        <v>113</v>
      </c>
      <c r="F7" t="s">
        <v>413</v>
      </c>
      <c r="G7" t="s">
        <v>414</v>
      </c>
      <c r="H7" s="3">
        <v>31931</v>
      </c>
      <c r="I7" s="32">
        <f t="shared" si="0"/>
        <v>28099.279999999999</v>
      </c>
      <c r="J7" t="s">
        <v>17</v>
      </c>
      <c r="K7" s="122">
        <v>44568</v>
      </c>
      <c r="L7" t="s">
        <v>18</v>
      </c>
    </row>
    <row r="8" spans="1:22" ht="15" hidden="1" customHeight="1" thickBot="1" x14ac:dyDescent="0.3">
      <c r="A8" t="s">
        <v>112</v>
      </c>
      <c r="C8" s="122">
        <v>44538</v>
      </c>
      <c r="F8" t="s">
        <v>413</v>
      </c>
      <c r="G8" t="s">
        <v>415</v>
      </c>
      <c r="H8" s="3">
        <v>11169</v>
      </c>
      <c r="I8" s="32">
        <f t="shared" si="0"/>
        <v>9828.7199999999993</v>
      </c>
      <c r="J8" t="s">
        <v>17</v>
      </c>
      <c r="K8" s="122">
        <v>44568</v>
      </c>
      <c r="L8" t="s">
        <v>18</v>
      </c>
    </row>
    <row r="9" spans="1:22" ht="15" hidden="1" customHeight="1" x14ac:dyDescent="0.25">
      <c r="A9" s="1491" t="s">
        <v>112</v>
      </c>
      <c r="B9" s="1492" t="s">
        <v>67</v>
      </c>
      <c r="C9" s="122">
        <v>44579</v>
      </c>
      <c r="D9" s="1518">
        <v>3.3</v>
      </c>
      <c r="E9" s="1492" t="s">
        <v>113</v>
      </c>
      <c r="F9" t="s">
        <v>422</v>
      </c>
      <c r="G9" t="s">
        <v>427</v>
      </c>
      <c r="H9" s="3">
        <v>31931</v>
      </c>
      <c r="I9" s="32">
        <f t="shared" ref="I9:I14" si="1">+H9*0.88</f>
        <v>28099.279999999999</v>
      </c>
      <c r="J9" t="s">
        <v>17</v>
      </c>
      <c r="K9" s="122">
        <v>44664</v>
      </c>
      <c r="L9" t="s">
        <v>18</v>
      </c>
    </row>
    <row r="10" spans="1:22" ht="15" hidden="1" customHeight="1" x14ac:dyDescent="0.25">
      <c r="A10" s="1491"/>
      <c r="B10" s="1492"/>
      <c r="C10" s="122"/>
      <c r="D10" s="1519"/>
      <c r="E10" s="1492"/>
      <c r="F10" t="s">
        <v>422</v>
      </c>
      <c r="G10" t="s">
        <v>426</v>
      </c>
      <c r="H10" s="3">
        <v>11169</v>
      </c>
      <c r="I10" s="32">
        <f t="shared" si="1"/>
        <v>9828.7199999999993</v>
      </c>
      <c r="J10" t="s">
        <v>17</v>
      </c>
      <c r="K10" s="122">
        <v>44664</v>
      </c>
      <c r="L10" t="s">
        <v>18</v>
      </c>
    </row>
    <row r="11" spans="1:22" s="10" customFormat="1" hidden="1" x14ac:dyDescent="0.25">
      <c r="A11" s="1491" t="s">
        <v>112</v>
      </c>
      <c r="B11" s="1491" t="s">
        <v>67</v>
      </c>
      <c r="C11" s="122">
        <v>44754</v>
      </c>
      <c r="D11" s="1523">
        <v>3.3</v>
      </c>
      <c r="E11" s="1491" t="s">
        <v>113</v>
      </c>
      <c r="F11" s="10" t="s">
        <v>1031</v>
      </c>
      <c r="G11" s="10" t="s">
        <v>1083</v>
      </c>
      <c r="H11" s="183">
        <v>31931</v>
      </c>
      <c r="I11" s="32">
        <f t="shared" si="1"/>
        <v>28099.279999999999</v>
      </c>
      <c r="J11" s="10" t="s">
        <v>17</v>
      </c>
      <c r="K11" s="122">
        <v>44827</v>
      </c>
      <c r="L11" t="s">
        <v>18</v>
      </c>
    </row>
    <row r="12" spans="1:22" s="10" customFormat="1" hidden="1" x14ac:dyDescent="0.25">
      <c r="A12" s="1491"/>
      <c r="B12" s="1491"/>
      <c r="C12" s="122"/>
      <c r="D12" s="1523"/>
      <c r="E12" s="1491"/>
      <c r="F12" s="10" t="s">
        <v>1030</v>
      </c>
      <c r="G12" s="10" t="s">
        <v>1106</v>
      </c>
      <c r="H12" s="183">
        <v>11169</v>
      </c>
      <c r="I12" s="32">
        <f t="shared" si="1"/>
        <v>9828.7199999999993</v>
      </c>
      <c r="J12" s="10" t="s">
        <v>17</v>
      </c>
      <c r="K12" s="122">
        <v>44827</v>
      </c>
      <c r="L12" t="s">
        <v>18</v>
      </c>
    </row>
    <row r="13" spans="1:22" hidden="1" x14ac:dyDescent="0.25">
      <c r="A13" s="116">
        <v>25112022</v>
      </c>
      <c r="B13" s="169" t="s">
        <v>612</v>
      </c>
      <c r="C13" s="122">
        <v>44890</v>
      </c>
      <c r="D13" s="122"/>
      <c r="E13" s="1491" t="s">
        <v>113</v>
      </c>
      <c r="F13" t="s">
        <v>1559</v>
      </c>
      <c r="G13" s="21" t="s">
        <v>1556</v>
      </c>
      <c r="H13" s="32">
        <v>32331</v>
      </c>
      <c r="I13" s="32">
        <f t="shared" si="1"/>
        <v>28451.279999999999</v>
      </c>
      <c r="J13" s="88" t="s">
        <v>17</v>
      </c>
      <c r="K13" s="122">
        <v>44918</v>
      </c>
      <c r="O13" s="21" t="s">
        <v>989</v>
      </c>
      <c r="P13" s="157">
        <v>0.35833333333333334</v>
      </c>
      <c r="Q13" s="157">
        <v>0.68958333333333333</v>
      </c>
    </row>
    <row r="14" spans="1:22" hidden="1" x14ac:dyDescent="0.25">
      <c r="A14" s="31"/>
      <c r="B14" s="28"/>
      <c r="C14" s="135"/>
      <c r="D14" s="136"/>
      <c r="E14" s="1491"/>
      <c r="F14" t="s">
        <v>1558</v>
      </c>
      <c r="G14" t="s">
        <v>1557</v>
      </c>
      <c r="H14" s="183">
        <v>11169</v>
      </c>
      <c r="I14" s="32">
        <f t="shared" si="1"/>
        <v>9828.7199999999993</v>
      </c>
      <c r="J14" s="88" t="s">
        <v>17</v>
      </c>
      <c r="K14" s="122">
        <v>44918</v>
      </c>
    </row>
    <row r="15" spans="1:22" hidden="1" x14ac:dyDescent="0.25">
      <c r="A15" s="256">
        <v>30042023</v>
      </c>
      <c r="B15" t="s">
        <v>693</v>
      </c>
      <c r="C15" s="122">
        <v>45046</v>
      </c>
      <c r="D15" s="122"/>
      <c r="E15" s="28" t="s">
        <v>113</v>
      </c>
      <c r="F15" t="s">
        <v>2586</v>
      </c>
      <c r="G15" t="s">
        <v>2724</v>
      </c>
      <c r="H15" s="183">
        <v>39070</v>
      </c>
      <c r="I15" s="32">
        <f>+H15*0.88</f>
        <v>34381.599999999999</v>
      </c>
      <c r="J15" t="s">
        <v>17</v>
      </c>
      <c r="K15" s="122">
        <v>45156</v>
      </c>
      <c r="L15" s="88"/>
      <c r="T15" t="s">
        <v>1042</v>
      </c>
      <c r="U15" s="14">
        <v>0.38958333333333334</v>
      </c>
      <c r="V15" s="14">
        <v>0.59722222222222221</v>
      </c>
    </row>
    <row r="16" spans="1:22" hidden="1" x14ac:dyDescent="0.25">
      <c r="A16" s="509">
        <v>21032024</v>
      </c>
      <c r="B16" s="30" t="s">
        <v>612</v>
      </c>
      <c r="C16" s="28" t="s">
        <v>13</v>
      </c>
      <c r="D16" s="233">
        <v>45372</v>
      </c>
      <c r="E16" s="28" t="s">
        <v>113</v>
      </c>
      <c r="F16" s="30" t="s">
        <v>3895</v>
      </c>
      <c r="G16" s="30" t="s">
        <v>3896</v>
      </c>
      <c r="H16" s="237">
        <v>38500</v>
      </c>
      <c r="I16" s="32">
        <f>+H16*0.88</f>
        <v>33880</v>
      </c>
      <c r="J16" s="233" t="s">
        <v>17</v>
      </c>
      <c r="K16" s="233">
        <v>45479</v>
      </c>
      <c r="L16" s="88"/>
      <c r="T16" s="14" t="s">
        <v>1506</v>
      </c>
      <c r="U16" s="360">
        <v>0.29583333333333334</v>
      </c>
      <c r="V16" s="360"/>
    </row>
    <row r="17" spans="1:22" hidden="1" x14ac:dyDescent="0.25">
      <c r="A17" s="483" t="s">
        <v>4459</v>
      </c>
      <c r="B17" t="s">
        <v>4460</v>
      </c>
      <c r="C17" s="28" t="s">
        <v>4218</v>
      </c>
      <c r="D17" s="233">
        <v>45477</v>
      </c>
      <c r="E17" s="28" t="s">
        <v>113</v>
      </c>
      <c r="F17" s="30" t="s">
        <v>4471</v>
      </c>
      <c r="G17" s="30" t="s">
        <v>4472</v>
      </c>
      <c r="H17" s="236">
        <v>38500</v>
      </c>
      <c r="I17" s="32">
        <f>+H17*0.88</f>
        <v>33880</v>
      </c>
      <c r="J17" t="s">
        <v>17</v>
      </c>
      <c r="K17" s="233">
        <v>45492</v>
      </c>
      <c r="L17" s="313"/>
      <c r="T17" s="14"/>
      <c r="U17" s="30"/>
      <c r="V17" s="30"/>
    </row>
    <row r="18" spans="1:22" hidden="1" x14ac:dyDescent="0.25">
      <c r="A18" s="95" t="s">
        <v>4596</v>
      </c>
      <c r="B18" t="s">
        <v>612</v>
      </c>
      <c r="C18" s="28" t="s">
        <v>13</v>
      </c>
      <c r="D18" s="233">
        <v>45510</v>
      </c>
      <c r="E18" s="28" t="s">
        <v>113</v>
      </c>
      <c r="F18" s="30" t="s">
        <v>4613</v>
      </c>
      <c r="G18" s="30" t="s">
        <v>4678</v>
      </c>
      <c r="H18" s="368">
        <v>38500</v>
      </c>
      <c r="I18" s="32">
        <f>+H18*0.88</f>
        <v>33880</v>
      </c>
      <c r="J18" t="s">
        <v>17</v>
      </c>
      <c r="K18" s="233">
        <v>45525</v>
      </c>
      <c r="L18" s="32"/>
      <c r="T18" t="s">
        <v>4365</v>
      </c>
      <c r="U18" s="360">
        <v>0.49791666666666662</v>
      </c>
      <c r="V18" s="360">
        <v>0.71875</v>
      </c>
    </row>
    <row r="19" spans="1:22" x14ac:dyDescent="0.25">
      <c r="A19" s="31"/>
      <c r="B19" s="28"/>
      <c r="C19" s="135"/>
      <c r="D19" s="136"/>
      <c r="E19" s="28"/>
      <c r="H19" s="3"/>
      <c r="K19" s="2"/>
    </row>
    <row r="20" spans="1:22" x14ac:dyDescent="0.25">
      <c r="H20" s="9">
        <f>SUBTOTAL(9,H3:H19)</f>
        <v>0</v>
      </c>
      <c r="K20" s="2"/>
    </row>
    <row r="21" spans="1:22" x14ac:dyDescent="0.25">
      <c r="K21" s="2"/>
    </row>
    <row r="22" spans="1:22" ht="15.75" thickBot="1" x14ac:dyDescent="0.3">
      <c r="K22" s="2"/>
    </row>
    <row r="23" spans="1:22" ht="15.75" thickBot="1" x14ac:dyDescent="0.3">
      <c r="A23" s="1520" t="s">
        <v>5164</v>
      </c>
      <c r="B23" s="1521"/>
      <c r="C23" s="1521"/>
      <c r="D23" s="1521"/>
      <c r="E23" s="1521"/>
      <c r="F23" s="1521"/>
      <c r="G23" s="1521"/>
      <c r="H23" s="1522"/>
      <c r="I23" s="719"/>
      <c r="K23" s="2"/>
    </row>
    <row r="24" spans="1:22" x14ac:dyDescent="0.25">
      <c r="H24" s="3"/>
      <c r="J24" s="3"/>
      <c r="K24" s="2"/>
    </row>
    <row r="25" spans="1:22" x14ac:dyDescent="0.25">
      <c r="H25" s="358"/>
      <c r="J25" s="3"/>
      <c r="K25" s="2"/>
    </row>
    <row r="26" spans="1:22" x14ac:dyDescent="0.25">
      <c r="K26" s="2"/>
    </row>
    <row r="30" spans="1:22" ht="15.75" thickBot="1" x14ac:dyDescent="0.3"/>
    <row r="31" spans="1:22" ht="15.75" thickBot="1" x14ac:dyDescent="0.3">
      <c r="H31" s="206">
        <f>SUM(H24:H30)</f>
        <v>0</v>
      </c>
    </row>
    <row r="33" spans="1:24" ht="15.75" thickBot="1" x14ac:dyDescent="0.3"/>
    <row r="34" spans="1:24" ht="15.75" thickBot="1" x14ac:dyDescent="0.3">
      <c r="A34" s="1520" t="s">
        <v>5165</v>
      </c>
      <c r="B34" s="1521"/>
      <c r="C34" s="1521"/>
      <c r="D34" s="1521"/>
      <c r="E34" s="1521"/>
      <c r="F34" s="1521"/>
      <c r="G34" s="1521"/>
      <c r="H34" s="1522"/>
      <c r="I34" s="719"/>
    </row>
    <row r="35" spans="1:24" x14ac:dyDescent="0.25">
      <c r="A35" s="1" t="s">
        <v>0</v>
      </c>
      <c r="B35" s="1" t="s">
        <v>1</v>
      </c>
      <c r="D35" s="25" t="s">
        <v>2</v>
      </c>
      <c r="E35" s="25" t="s">
        <v>3</v>
      </c>
      <c r="F35" s="25" t="s">
        <v>4</v>
      </c>
      <c r="G35" s="25" t="s">
        <v>5</v>
      </c>
      <c r="H35" s="25" t="s">
        <v>6</v>
      </c>
      <c r="I35" s="60" t="s">
        <v>1780</v>
      </c>
      <c r="J35" s="25" t="s">
        <v>8</v>
      </c>
      <c r="K35" s="56" t="s">
        <v>3998</v>
      </c>
      <c r="L35" s="25" t="s">
        <v>10</v>
      </c>
      <c r="M35" s="1480" t="s">
        <v>11</v>
      </c>
      <c r="N35" s="1480"/>
      <c r="O35" s="1480"/>
      <c r="P35" s="1480"/>
    </row>
    <row r="36" spans="1:24" hidden="1" x14ac:dyDescent="0.25">
      <c r="A36" s="483">
        <v>14012025</v>
      </c>
      <c r="B36" t="s">
        <v>612</v>
      </c>
      <c r="C36" s="233" t="s">
        <v>4218</v>
      </c>
      <c r="D36" s="233">
        <v>45671</v>
      </c>
      <c r="E36" s="28" t="s">
        <v>113</v>
      </c>
      <c r="F36" t="s">
        <v>5617</v>
      </c>
      <c r="G36" t="s">
        <v>5687</v>
      </c>
      <c r="H36" s="88">
        <v>35671</v>
      </c>
      <c r="I36" s="88">
        <f>+H36-ROUND(H36*0.12,0)</f>
        <v>31390</v>
      </c>
      <c r="J36" s="88" t="s">
        <v>17</v>
      </c>
      <c r="K36" s="233">
        <v>45880</v>
      </c>
      <c r="L36" s="313"/>
      <c r="T36" t="s">
        <v>4911</v>
      </c>
      <c r="U36" s="360">
        <v>0.34236111111111112</v>
      </c>
      <c r="V36" s="360"/>
    </row>
    <row r="37" spans="1:24" hidden="1" x14ac:dyDescent="0.25">
      <c r="A37" s="483">
        <v>27012025</v>
      </c>
      <c r="B37" t="s">
        <v>612</v>
      </c>
      <c r="C37" s="28" t="s">
        <v>13</v>
      </c>
      <c r="D37" s="233">
        <v>45684</v>
      </c>
      <c r="E37" s="28" t="s">
        <v>113</v>
      </c>
      <c r="F37" t="s">
        <v>5618</v>
      </c>
      <c r="G37" t="s">
        <v>5686</v>
      </c>
      <c r="H37" s="313">
        <v>35671</v>
      </c>
      <c r="I37" s="88">
        <f t="shared" ref="I37:I45" si="2">+H37-ROUND(H37*0.12,0)</f>
        <v>31390</v>
      </c>
      <c r="J37" s="88" t="s">
        <v>17</v>
      </c>
      <c r="K37" s="233">
        <v>45880</v>
      </c>
      <c r="L37" s="88"/>
      <c r="T37" t="s">
        <v>4140</v>
      </c>
      <c r="U37" s="360">
        <v>0.54097222222222219</v>
      </c>
      <c r="V37" s="30"/>
    </row>
    <row r="38" spans="1:24" hidden="1" x14ac:dyDescent="0.25">
      <c r="A38" s="483">
        <v>10032025</v>
      </c>
      <c r="B38" t="s">
        <v>612</v>
      </c>
      <c r="C38" s="28" t="s">
        <v>4218</v>
      </c>
      <c r="D38" s="233">
        <v>45726</v>
      </c>
      <c r="E38" s="28" t="s">
        <v>5782</v>
      </c>
      <c r="F38" s="30" t="s">
        <v>5816</v>
      </c>
      <c r="G38" t="s">
        <v>6076</v>
      </c>
      <c r="H38" s="798">
        <v>39818</v>
      </c>
      <c r="I38" s="88">
        <f t="shared" si="2"/>
        <v>35040</v>
      </c>
      <c r="J38" s="88" t="s">
        <v>17</v>
      </c>
      <c r="K38" s="233">
        <v>45880</v>
      </c>
      <c r="L38" s="798"/>
      <c r="T38" t="s">
        <v>4911</v>
      </c>
      <c r="U38" s="30"/>
      <c r="V38" s="30"/>
    </row>
    <row r="39" spans="1:24" hidden="1" x14ac:dyDescent="0.25">
      <c r="A39" s="483" t="s">
        <v>5901</v>
      </c>
      <c r="B39" t="s">
        <v>612</v>
      </c>
      <c r="C39" s="28" t="s">
        <v>4218</v>
      </c>
      <c r="D39" s="233">
        <v>45751</v>
      </c>
      <c r="E39" s="28" t="s">
        <v>5782</v>
      </c>
      <c r="F39" t="s">
        <v>5990</v>
      </c>
      <c r="G39" t="s">
        <v>6077</v>
      </c>
      <c r="H39" s="798">
        <v>39818</v>
      </c>
      <c r="I39" s="88">
        <f t="shared" si="2"/>
        <v>35040</v>
      </c>
      <c r="J39" s="88" t="s">
        <v>17</v>
      </c>
      <c r="K39" s="233">
        <v>45880</v>
      </c>
      <c r="L39" s="798"/>
      <c r="T39" t="s">
        <v>5902</v>
      </c>
      <c r="U39" s="360">
        <v>0.53125</v>
      </c>
      <c r="V39" s="360">
        <v>0.66874999999999996</v>
      </c>
    </row>
    <row r="40" spans="1:24" hidden="1" x14ac:dyDescent="0.25">
      <c r="A40" s="483">
        <v>17112025</v>
      </c>
      <c r="B40" t="s">
        <v>612</v>
      </c>
      <c r="C40" s="28" t="s">
        <v>4218</v>
      </c>
      <c r="D40" s="233">
        <v>45978</v>
      </c>
      <c r="E40" s="28" t="s">
        <v>113</v>
      </c>
      <c r="F40" s="1067" t="s">
        <v>5617</v>
      </c>
      <c r="G40" t="s">
        <v>7509</v>
      </c>
      <c r="H40" s="798">
        <v>35671</v>
      </c>
      <c r="I40" s="88">
        <f t="shared" si="2"/>
        <v>31390</v>
      </c>
      <c r="J40" s="88" t="s">
        <v>17</v>
      </c>
      <c r="K40" s="233">
        <v>46081</v>
      </c>
      <c r="L40" s="88"/>
      <c r="M40" s="88"/>
      <c r="T40" t="s">
        <v>4297</v>
      </c>
      <c r="U40" s="360">
        <v>0.35138888888888892</v>
      </c>
      <c r="V40" s="360">
        <v>0.5395833333333333</v>
      </c>
    </row>
    <row r="41" spans="1:24" hidden="1" x14ac:dyDescent="0.25">
      <c r="A41" s="483">
        <v>21112025</v>
      </c>
      <c r="B41" t="s">
        <v>612</v>
      </c>
      <c r="C41" s="28" t="s">
        <v>4218</v>
      </c>
      <c r="D41" s="233">
        <v>45982</v>
      </c>
      <c r="E41" s="28" t="s">
        <v>5782</v>
      </c>
      <c r="F41" s="1067" t="s">
        <v>7354</v>
      </c>
      <c r="G41" t="s">
        <v>7510</v>
      </c>
      <c r="H41" s="798">
        <v>39818</v>
      </c>
      <c r="I41" s="88">
        <f t="shared" si="2"/>
        <v>35040</v>
      </c>
      <c r="J41" s="88" t="s">
        <v>17</v>
      </c>
      <c r="K41" s="233">
        <v>46081</v>
      </c>
      <c r="L41" s="88"/>
      <c r="M41" s="88"/>
      <c r="R41" t="s">
        <v>6349</v>
      </c>
      <c r="S41" s="360">
        <v>0.35555555555555557</v>
      </c>
      <c r="T41" s="360"/>
    </row>
    <row r="42" spans="1:24" x14ac:dyDescent="0.25">
      <c r="A42" s="483" t="s">
        <v>8179</v>
      </c>
      <c r="B42" t="s">
        <v>8180</v>
      </c>
      <c r="C42" s="28" t="s">
        <v>410</v>
      </c>
      <c r="D42" s="233">
        <v>46175</v>
      </c>
      <c r="E42" s="28" t="s">
        <v>113</v>
      </c>
      <c r="F42" s="88" t="s">
        <v>8192</v>
      </c>
      <c r="G42" s="465" t="s">
        <v>8362</v>
      </c>
      <c r="H42" s="798">
        <v>35671</v>
      </c>
      <c r="I42" s="88">
        <f t="shared" si="2"/>
        <v>31390</v>
      </c>
      <c r="J42" s="1332"/>
      <c r="K42" s="1331"/>
      <c r="L42" s="1331"/>
      <c r="N42" s="798"/>
      <c r="V42" t="s">
        <v>7914</v>
      </c>
      <c r="W42" s="360">
        <v>0.3833333333333333</v>
      </c>
      <c r="X42" s="360"/>
    </row>
    <row r="43" spans="1:24" x14ac:dyDescent="0.25">
      <c r="A43" s="483" t="s">
        <v>8315</v>
      </c>
      <c r="B43" t="s">
        <v>612</v>
      </c>
      <c r="C43" s="31" t="s">
        <v>410</v>
      </c>
      <c r="D43" s="233">
        <v>46211</v>
      </c>
      <c r="E43" s="313" t="s">
        <v>113</v>
      </c>
      <c r="F43" s="88" t="s">
        <v>8320</v>
      </c>
      <c r="G43" t="s">
        <v>8441</v>
      </c>
      <c r="H43" s="313">
        <v>35671</v>
      </c>
      <c r="I43" s="88">
        <f t="shared" si="2"/>
        <v>31390</v>
      </c>
      <c r="K43"/>
      <c r="N43" s="88"/>
      <c r="O43" s="88"/>
      <c r="V43" t="s">
        <v>7833</v>
      </c>
      <c r="W43" s="360">
        <v>0.3611111111111111</v>
      </c>
      <c r="X43" s="30"/>
    </row>
    <row r="44" spans="1:24" x14ac:dyDescent="0.25">
      <c r="A44" s="1448" t="s">
        <v>8545</v>
      </c>
      <c r="B44" s="21" t="s">
        <v>612</v>
      </c>
      <c r="C44" s="31"/>
      <c r="D44" s="233">
        <v>46262</v>
      </c>
      <c r="E44" s="313" t="s">
        <v>113</v>
      </c>
      <c r="F44" s="88" t="s">
        <v>8559</v>
      </c>
      <c r="G44" t="s">
        <v>8589</v>
      </c>
      <c r="H44" s="915">
        <v>35671</v>
      </c>
      <c r="I44" s="88">
        <f t="shared" si="2"/>
        <v>31390</v>
      </c>
      <c r="K44"/>
      <c r="N44" s="558"/>
      <c r="O44" s="88"/>
      <c r="W44" s="360"/>
      <c r="X44" s="30"/>
    </row>
    <row r="45" spans="1:24" x14ac:dyDescent="0.25">
      <c r="A45" s="1448" t="s">
        <v>8555</v>
      </c>
      <c r="B45" s="21" t="s">
        <v>612</v>
      </c>
      <c r="C45" s="31" t="s">
        <v>13</v>
      </c>
      <c r="D45" s="233">
        <v>46266</v>
      </c>
      <c r="E45" s="313" t="s">
        <v>113</v>
      </c>
      <c r="F45" s="88" t="s">
        <v>8560</v>
      </c>
      <c r="G45" t="s">
        <v>8590</v>
      </c>
      <c r="H45" s="915">
        <v>35671</v>
      </c>
      <c r="I45" s="88">
        <f t="shared" si="2"/>
        <v>31390</v>
      </c>
      <c r="K45"/>
      <c r="N45" s="558"/>
      <c r="O45" s="88"/>
      <c r="V45" t="s">
        <v>8065</v>
      </c>
      <c r="W45" s="360">
        <v>0.52708333333333335</v>
      </c>
      <c r="X45" s="360">
        <v>0.72291666666666676</v>
      </c>
    </row>
    <row r="47" spans="1:24" ht="15.75" thickBot="1" x14ac:dyDescent="0.3"/>
    <row r="48" spans="1:24" ht="15.75" thickBot="1" x14ac:dyDescent="0.3">
      <c r="H48" s="242">
        <f>SUBTOTAL(9,H36:H47)</f>
        <v>142684</v>
      </c>
      <c r="N48" s="91">
        <f>+H48/U57</f>
        <v>0.14086932140170325</v>
      </c>
    </row>
    <row r="49" spans="7:21" x14ac:dyDescent="0.25">
      <c r="I49" s="88"/>
    </row>
    <row r="50" spans="7:21" ht="15.75" thickBot="1" x14ac:dyDescent="0.3"/>
    <row r="51" spans="7:21" ht="15.75" thickBot="1" x14ac:dyDescent="0.3">
      <c r="G51" s="5" t="s">
        <v>423</v>
      </c>
      <c r="H51" s="560">
        <f>+H20+H31+H48</f>
        <v>142684</v>
      </c>
    </row>
    <row r="52" spans="7:21" ht="15.75" thickBot="1" x14ac:dyDescent="0.3">
      <c r="L52" s="703"/>
      <c r="M52" s="704"/>
      <c r="N52" s="704"/>
      <c r="O52" s="704"/>
      <c r="P52" s="705"/>
      <c r="Q52" s="703"/>
      <c r="R52" s="704"/>
      <c r="S52" s="704"/>
      <c r="T52" s="704"/>
      <c r="U52" s="705"/>
    </row>
    <row r="53" spans="7:21" ht="15.75" thickBot="1" x14ac:dyDescent="0.3">
      <c r="L53" s="715" t="s">
        <v>3032</v>
      </c>
      <c r="M53" s="33"/>
      <c r="N53" s="33">
        <v>0</v>
      </c>
      <c r="O53" s="33"/>
      <c r="P53" s="716">
        <v>0</v>
      </c>
      <c r="Q53" s="715" t="s">
        <v>3033</v>
      </c>
      <c r="R53" s="33"/>
      <c r="S53" s="33"/>
      <c r="T53" s="33">
        <v>10</v>
      </c>
      <c r="U53" s="716">
        <v>369151</v>
      </c>
    </row>
    <row r="54" spans="7:21" ht="15.75" thickBot="1" x14ac:dyDescent="0.3">
      <c r="L54" s="708"/>
      <c r="P54" s="706"/>
      <c r="Q54" s="708"/>
      <c r="U54" s="706"/>
    </row>
    <row r="55" spans="7:21" ht="15.75" thickBot="1" x14ac:dyDescent="0.3">
      <c r="L55" s="1499" t="s">
        <v>3030</v>
      </c>
      <c r="M55" s="1500"/>
      <c r="N55" s="1500"/>
      <c r="O55" s="1501"/>
      <c r="P55" s="1502"/>
      <c r="Q55" s="1487" t="s">
        <v>3031</v>
      </c>
      <c r="R55" s="1488"/>
      <c r="S55" s="1488"/>
      <c r="T55" s="1488"/>
      <c r="U55" s="1489"/>
    </row>
    <row r="56" spans="7:21" ht="15.75" thickBot="1" x14ac:dyDescent="0.3">
      <c r="L56" s="1487" t="s">
        <v>702</v>
      </c>
      <c r="M56" s="1503"/>
      <c r="N56" s="1503"/>
      <c r="O56" s="1488"/>
      <c r="P56" s="1489"/>
      <c r="Q56" s="1487" t="s">
        <v>702</v>
      </c>
      <c r="R56" s="1503"/>
      <c r="S56" s="1503"/>
      <c r="T56" s="1488"/>
      <c r="U56" s="1489"/>
    </row>
    <row r="57" spans="7:21" ht="15.75" thickBot="1" x14ac:dyDescent="0.3">
      <c r="L57" s="1508" t="s">
        <v>436</v>
      </c>
      <c r="M57" s="1509"/>
      <c r="N57" s="371">
        <v>36</v>
      </c>
      <c r="O57" s="142"/>
      <c r="P57" s="709">
        <v>1035276</v>
      </c>
      <c r="Q57" s="1499" t="s">
        <v>436</v>
      </c>
      <c r="R57" s="1501"/>
      <c r="S57" s="1510"/>
      <c r="T57" s="142">
        <v>27</v>
      </c>
      <c r="U57" s="709">
        <v>1012882</v>
      </c>
    </row>
    <row r="58" spans="7:21" x14ac:dyDescent="0.25">
      <c r="L58" s="436" t="s">
        <v>696</v>
      </c>
      <c r="M58" s="437" t="s">
        <v>697</v>
      </c>
      <c r="N58" s="450" t="s">
        <v>750</v>
      </c>
      <c r="O58" s="438"/>
      <c r="P58" s="439" t="s">
        <v>437</v>
      </c>
      <c r="Q58" s="436" t="s">
        <v>696</v>
      </c>
      <c r="R58" s="437" t="s">
        <v>697</v>
      </c>
      <c r="S58" s="438"/>
      <c r="T58" s="450" t="s">
        <v>750</v>
      </c>
      <c r="U58" s="439" t="s">
        <v>437</v>
      </c>
    </row>
    <row r="59" spans="7:21" x14ac:dyDescent="0.25">
      <c r="L59" s="710">
        <f>555834/P57</f>
        <v>0.53689450929027627</v>
      </c>
      <c r="M59" s="362" t="s">
        <v>366</v>
      </c>
      <c r="N59" s="1511">
        <f>+N53</f>
        <v>0</v>
      </c>
      <c r="O59" s="102"/>
      <c r="P59" s="711" t="s">
        <v>8582</v>
      </c>
      <c r="Q59" s="710">
        <f>597276/U57</f>
        <v>0.5896797455182341</v>
      </c>
      <c r="R59" s="362" t="s">
        <v>366</v>
      </c>
      <c r="S59" s="362"/>
      <c r="T59" s="1511">
        <f>+T53</f>
        <v>10</v>
      </c>
      <c r="U59" s="711" t="str">
        <f>+P59</f>
        <v>al 02/09/26</v>
      </c>
    </row>
    <row r="60" spans="7:21" x14ac:dyDescent="0.25">
      <c r="L60" s="710">
        <f>+P53/P57</f>
        <v>0</v>
      </c>
      <c r="M60" s="362" t="s">
        <v>365</v>
      </c>
      <c r="N60" s="1512"/>
      <c r="O60" s="102"/>
      <c r="P60" s="711" t="s">
        <v>8585</v>
      </c>
      <c r="Q60" s="710">
        <f>+U53/U57</f>
        <v>0.36445607681842507</v>
      </c>
      <c r="R60" s="362" t="s">
        <v>365</v>
      </c>
      <c r="S60" s="362"/>
      <c r="T60" s="1512"/>
      <c r="U60" s="711" t="str">
        <f>+U59</f>
        <v>al 02/09/26</v>
      </c>
    </row>
    <row r="61" spans="7:21" ht="15.75" thickBot="1" x14ac:dyDescent="0.3">
      <c r="L61" s="710" t="e">
        <f>1016466/P53</f>
        <v>#DIV/0!</v>
      </c>
      <c r="M61" s="362" t="s">
        <v>698</v>
      </c>
      <c r="N61" s="1513"/>
      <c r="O61" s="102"/>
      <c r="P61" s="712" t="str">
        <f>+P59</f>
        <v>al 02/09/26</v>
      </c>
      <c r="Q61" s="710">
        <f>U53/U53</f>
        <v>1</v>
      </c>
      <c r="R61" s="362" t="s">
        <v>698</v>
      </c>
      <c r="S61" s="376"/>
      <c r="T61" s="1512"/>
      <c r="U61" s="712" t="str">
        <f>+U59</f>
        <v>al 02/09/26</v>
      </c>
    </row>
    <row r="62" spans="7:21" ht="15.75" thickBot="1" x14ac:dyDescent="0.3">
      <c r="L62" s="1514" t="s">
        <v>5095</v>
      </c>
      <c r="M62" s="1515"/>
      <c r="N62" s="720">
        <f>+N57-N59</f>
        <v>36</v>
      </c>
      <c r="O62" s="713"/>
      <c r="P62" s="714">
        <f>+P57-P53</f>
        <v>1035276</v>
      </c>
      <c r="Q62" s="1516" t="s">
        <v>5095</v>
      </c>
      <c r="R62" s="1517"/>
      <c r="S62" s="1517"/>
      <c r="T62" s="720">
        <f>+T57-T59</f>
        <v>17</v>
      </c>
      <c r="U62" s="714">
        <f>+U57-U53</f>
        <v>643731</v>
      </c>
    </row>
    <row r="63" spans="7:21" ht="15.75" thickBot="1" x14ac:dyDescent="0.3">
      <c r="L63" s="1504" t="s">
        <v>699</v>
      </c>
      <c r="M63" s="1505"/>
      <c r="N63" s="1505"/>
      <c r="O63" s="1506"/>
      <c r="P63" s="1507"/>
      <c r="Q63" s="1504" t="s">
        <v>699</v>
      </c>
      <c r="R63" s="1505"/>
      <c r="S63" s="1505"/>
      <c r="T63" s="1506"/>
      <c r="U63" s="1507"/>
    </row>
    <row r="64" spans="7:21" x14ac:dyDescent="0.25">
      <c r="L64" s="434" t="e">
        <f>+L59/L60</f>
        <v>#DIV/0!</v>
      </c>
      <c r="M64" s="435" t="s">
        <v>700</v>
      </c>
      <c r="N64" s="371"/>
      <c r="O64" s="103"/>
      <c r="P64" s="109" t="str">
        <f>+P59</f>
        <v>al 02/09/26</v>
      </c>
      <c r="Q64" s="434">
        <f>+Q59/Q60</f>
        <v>1.6179720493781677</v>
      </c>
      <c r="R64" s="435" t="s">
        <v>700</v>
      </c>
      <c r="S64" s="371"/>
      <c r="T64" s="103"/>
      <c r="U64" s="109" t="str">
        <f>+U59</f>
        <v>al 02/09/26</v>
      </c>
    </row>
    <row r="65" spans="12:21" x14ac:dyDescent="0.25">
      <c r="L65" s="361" t="e">
        <f>+L61/L60</f>
        <v>#DIV/0!</v>
      </c>
      <c r="M65" s="362" t="s">
        <v>703</v>
      </c>
      <c r="N65" s="362"/>
      <c r="O65" s="102"/>
      <c r="P65" s="110" t="str">
        <f>+P59</f>
        <v>al 02/09/26</v>
      </c>
      <c r="Q65" s="361">
        <f>+Q61/Q60</f>
        <v>2.743814861669073</v>
      </c>
      <c r="R65" s="362" t="s">
        <v>703</v>
      </c>
      <c r="S65" s="362"/>
      <c r="T65" s="102"/>
      <c r="U65" s="110" t="str">
        <f>+U59</f>
        <v>al 02/09/26</v>
      </c>
    </row>
  </sheetData>
  <autoFilter ref="A2:V65" xr:uid="{00000000-0009-0000-0000-000008000000}">
    <filterColumn colId="9">
      <filters blank="1">
        <filter val="STATUS"/>
      </filters>
    </filterColumn>
    <filterColumn colId="12" showButton="0"/>
    <filterColumn colId="13" showButton="0"/>
    <filterColumn colId="14" showButton="0"/>
  </autoFilter>
  <mergeCells count="25">
    <mergeCell ref="M35:P35"/>
    <mergeCell ref="M2:P2"/>
    <mergeCell ref="A9:A10"/>
    <mergeCell ref="D9:D10"/>
    <mergeCell ref="B9:B10"/>
    <mergeCell ref="E9:E10"/>
    <mergeCell ref="A34:H34"/>
    <mergeCell ref="E13:E14"/>
    <mergeCell ref="A11:A12"/>
    <mergeCell ref="B11:B12"/>
    <mergeCell ref="D11:D12"/>
    <mergeCell ref="E11:E12"/>
    <mergeCell ref="A23:H23"/>
    <mergeCell ref="L55:P55"/>
    <mergeCell ref="Q55:U55"/>
    <mergeCell ref="L56:P56"/>
    <mergeCell ref="Q56:U56"/>
    <mergeCell ref="L63:P63"/>
    <mergeCell ref="Q63:U63"/>
    <mergeCell ref="L57:M57"/>
    <mergeCell ref="Q57:S57"/>
    <mergeCell ref="N59:N61"/>
    <mergeCell ref="T59:T61"/>
    <mergeCell ref="L62:M62"/>
    <mergeCell ref="Q62:S6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0371" r:id="rId4" name="Button 1">
              <controlPr defaultSize="0" print="0" autoFill="0" autoPict="0" macro="[0]!RETORNAR">
                <anchor moveWithCells="1" sizeWithCells="1">
                  <from>
                    <xdr:col>0</xdr:col>
                    <xdr:colOff>28575</xdr:colOff>
                    <xdr:row>0</xdr:row>
                    <xdr:rowOff>0</xdr:rowOff>
                  </from>
                  <to>
                    <xdr:col>2</xdr:col>
                    <xdr:colOff>200025</xdr:colOff>
                    <xdr:row>0</xdr:row>
                    <xdr:rowOff>257175</xdr:rowOff>
                  </to>
                </anchor>
              </controlPr>
            </control>
          </mc:Choice>
        </mc:AlternateContent>
        <mc:AlternateContent xmlns:mc="http://schemas.openxmlformats.org/markup-compatibility/2006">
          <mc:Choice Requires="x14">
            <control shapeId="570382" r:id="rId5" name="Botón 128">
              <controlPr defaultSize="0" print="0" autoFill="0" autoPict="0" macro="[0]!IR_VENTAS_B200_2025">
                <anchor moveWithCells="1" sizeWithCells="1">
                  <from>
                    <xdr:col>0</xdr:col>
                    <xdr:colOff>247650</xdr:colOff>
                    <xdr:row>72</xdr:row>
                    <xdr:rowOff>38100</xdr:rowOff>
                  </from>
                  <to>
                    <xdr:col>2</xdr:col>
                    <xdr:colOff>409575</xdr:colOff>
                    <xdr:row>75</xdr:row>
                    <xdr:rowOff>0</xdr:rowOff>
                  </to>
                </anchor>
              </controlPr>
            </control>
          </mc:Choice>
        </mc:AlternateContent>
        <mc:AlternateContent xmlns:mc="http://schemas.openxmlformats.org/markup-compatibility/2006">
          <mc:Choice Requires="x14">
            <control shapeId="570384" r:id="rId6" name="Botón 16">
              <controlPr defaultSize="0" print="0" autoFill="0" autoPict="0" macro="[0]!IR_VENTAS_B200_2026">
                <anchor moveWithCells="1" sizeWithCells="1">
                  <from>
                    <xdr:col>1</xdr:col>
                    <xdr:colOff>666750</xdr:colOff>
                    <xdr:row>50</xdr:row>
                    <xdr:rowOff>180975</xdr:rowOff>
                  </from>
                  <to>
                    <xdr:col>3</xdr:col>
                    <xdr:colOff>447675</xdr:colOff>
                    <xdr:row>54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filterMode="1"/>
  <dimension ref="A1:X195"/>
  <sheetViews>
    <sheetView topLeftCell="A30" zoomScale="75" zoomScaleNormal="75" workbookViewId="0">
      <selection activeCell="M167" sqref="M167"/>
    </sheetView>
  </sheetViews>
  <sheetFormatPr baseColWidth="10" defaultColWidth="10.85546875" defaultRowHeight="15" x14ac:dyDescent="0.25"/>
  <cols>
    <col min="2" max="2" width="26.42578125" customWidth="1"/>
    <col min="5" max="5" width="7.85546875" hidden="1" customWidth="1"/>
    <col min="6" max="6" width="12.140625" bestFit="1" customWidth="1"/>
    <col min="7" max="7" width="55.7109375" customWidth="1"/>
    <col min="8" max="8" width="18" customWidth="1"/>
    <col min="9" max="9" width="20.28515625" bestFit="1" customWidth="1"/>
    <col min="10" max="10" width="20.5703125" customWidth="1"/>
    <col min="11" max="11" width="11.7109375" bestFit="1" customWidth="1"/>
    <col min="12" max="12" width="11.7109375" hidden="1" customWidth="1"/>
    <col min="13" max="13" width="19.42578125" style="53" customWidth="1"/>
    <col min="14" max="14" width="12.140625" bestFit="1" customWidth="1"/>
    <col min="15" max="16" width="0" hidden="1" customWidth="1"/>
    <col min="18" max="18" width="12.5703125" bestFit="1" customWidth="1"/>
  </cols>
  <sheetData>
    <row r="1" spans="1:21" ht="28.5" customHeight="1" x14ac:dyDescent="0.25"/>
    <row r="2" spans="1:21" x14ac:dyDescent="0.25">
      <c r="A2" s="1" t="s">
        <v>706</v>
      </c>
      <c r="B2" s="1" t="s">
        <v>0</v>
      </c>
      <c r="C2" s="1" t="s">
        <v>1</v>
      </c>
      <c r="D2" s="1" t="s">
        <v>2</v>
      </c>
      <c r="E2" s="1"/>
      <c r="F2" s="1" t="s">
        <v>3</v>
      </c>
      <c r="G2" s="1" t="s">
        <v>4</v>
      </c>
      <c r="H2" s="1" t="s">
        <v>5</v>
      </c>
      <c r="I2" s="1" t="s">
        <v>6</v>
      </c>
      <c r="J2" s="1" t="s">
        <v>1780</v>
      </c>
      <c r="K2" s="1" t="s">
        <v>8</v>
      </c>
      <c r="L2" s="1"/>
      <c r="M2" s="25" t="s">
        <v>3998</v>
      </c>
      <c r="N2" s="1" t="s">
        <v>10</v>
      </c>
      <c r="O2" s="1"/>
      <c r="P2" s="1"/>
      <c r="Q2" s="1" t="s">
        <v>1602</v>
      </c>
      <c r="R2" s="1480" t="s">
        <v>11</v>
      </c>
      <c r="S2" s="1480"/>
      <c r="T2" s="1480"/>
      <c r="U2" s="1480"/>
    </row>
    <row r="3" spans="1:21" hidden="1" x14ac:dyDescent="0.25">
      <c r="B3" t="s">
        <v>144</v>
      </c>
      <c r="C3" t="s">
        <v>31</v>
      </c>
      <c r="D3" s="2">
        <v>44205</v>
      </c>
      <c r="E3" s="2"/>
      <c r="F3" t="s">
        <v>145</v>
      </c>
      <c r="G3" t="s">
        <v>146</v>
      </c>
      <c r="H3" t="s">
        <v>147</v>
      </c>
      <c r="I3" s="3">
        <v>33300</v>
      </c>
      <c r="K3" t="s">
        <v>17</v>
      </c>
      <c r="M3" s="233">
        <v>44313</v>
      </c>
      <c r="N3" t="s">
        <v>148</v>
      </c>
      <c r="O3" s="129">
        <f t="shared" ref="O3:O29" si="0">IF(K3="PAGADA",M3-D3,0)</f>
        <v>108</v>
      </c>
      <c r="P3" s="129" t="s">
        <v>1600</v>
      </c>
      <c r="Q3" s="129" t="str">
        <f t="shared" ref="Q3:Q29" si="1">CONCATENATE(O3,P3)</f>
        <v>108 dias</v>
      </c>
      <c r="S3" t="s">
        <v>140</v>
      </c>
    </row>
    <row r="4" spans="1:21" hidden="1" x14ac:dyDescent="0.25">
      <c r="B4" t="s">
        <v>144</v>
      </c>
      <c r="C4" t="s">
        <v>31</v>
      </c>
      <c r="D4" s="2">
        <v>44216</v>
      </c>
      <c r="E4" s="2"/>
      <c r="F4" t="s">
        <v>145</v>
      </c>
      <c r="G4" t="s">
        <v>149</v>
      </c>
      <c r="H4" t="s">
        <v>150</v>
      </c>
      <c r="I4" s="3">
        <v>33300</v>
      </c>
      <c r="K4" t="s">
        <v>17</v>
      </c>
      <c r="M4" s="233">
        <v>44333</v>
      </c>
      <c r="N4" t="s">
        <v>148</v>
      </c>
      <c r="O4" s="129">
        <f t="shared" si="0"/>
        <v>117</v>
      </c>
      <c r="P4" s="129" t="s">
        <v>1600</v>
      </c>
      <c r="Q4" s="129" t="str">
        <f t="shared" si="1"/>
        <v>117 dias</v>
      </c>
      <c r="S4" t="s">
        <v>140</v>
      </c>
    </row>
    <row r="5" spans="1:21" hidden="1" x14ac:dyDescent="0.25">
      <c r="B5" t="s">
        <v>144</v>
      </c>
      <c r="C5" t="s">
        <v>31</v>
      </c>
      <c r="D5" s="2">
        <v>44226</v>
      </c>
      <c r="E5" s="2"/>
      <c r="F5" t="s">
        <v>145</v>
      </c>
      <c r="G5" t="s">
        <v>151</v>
      </c>
      <c r="H5" t="s">
        <v>152</v>
      </c>
      <c r="I5" s="3">
        <v>33300</v>
      </c>
      <c r="K5" t="s">
        <v>17</v>
      </c>
      <c r="M5" s="233">
        <v>44333</v>
      </c>
      <c r="N5" t="s">
        <v>148</v>
      </c>
      <c r="O5" s="129">
        <f t="shared" si="0"/>
        <v>107</v>
      </c>
      <c r="P5" s="129" t="s">
        <v>1600</v>
      </c>
      <c r="Q5" s="129" t="str">
        <f t="shared" si="1"/>
        <v>107 dias</v>
      </c>
    </row>
    <row r="6" spans="1:21" hidden="1" x14ac:dyDescent="0.25">
      <c r="B6" t="s">
        <v>144</v>
      </c>
      <c r="C6" t="s">
        <v>27</v>
      </c>
      <c r="D6" s="2">
        <v>44239</v>
      </c>
      <c r="E6" s="2"/>
      <c r="F6" t="s">
        <v>145</v>
      </c>
      <c r="G6" t="s">
        <v>153</v>
      </c>
      <c r="H6" t="s">
        <v>154</v>
      </c>
      <c r="I6" s="3">
        <v>32300</v>
      </c>
      <c r="K6" t="s">
        <v>17</v>
      </c>
      <c r="M6" s="233">
        <v>44313</v>
      </c>
      <c r="N6" t="s">
        <v>148</v>
      </c>
      <c r="O6" s="129">
        <f t="shared" si="0"/>
        <v>74</v>
      </c>
      <c r="P6" s="129" t="s">
        <v>1600</v>
      </c>
      <c r="Q6" s="129" t="str">
        <f t="shared" si="1"/>
        <v>74 dias</v>
      </c>
      <c r="S6" t="s">
        <v>24</v>
      </c>
    </row>
    <row r="7" spans="1:21" hidden="1" x14ac:dyDescent="0.25">
      <c r="B7" t="s">
        <v>144</v>
      </c>
      <c r="C7" t="s">
        <v>13</v>
      </c>
      <c r="D7" s="2">
        <v>44245</v>
      </c>
      <c r="E7" s="2"/>
      <c r="F7" t="s">
        <v>145</v>
      </c>
      <c r="G7" t="s">
        <v>155</v>
      </c>
      <c r="H7" t="s">
        <v>156</v>
      </c>
      <c r="I7" s="3">
        <v>25488</v>
      </c>
      <c r="K7" t="s">
        <v>17</v>
      </c>
      <c r="M7" s="233">
        <v>44347</v>
      </c>
      <c r="N7" t="s">
        <v>148</v>
      </c>
      <c r="O7" s="129">
        <f t="shared" si="0"/>
        <v>102</v>
      </c>
      <c r="P7" s="129" t="s">
        <v>1600</v>
      </c>
      <c r="Q7" s="129" t="str">
        <f t="shared" si="1"/>
        <v>102 dias</v>
      </c>
      <c r="S7" t="s">
        <v>24</v>
      </c>
    </row>
    <row r="8" spans="1:21" hidden="1" x14ac:dyDescent="0.25">
      <c r="B8" t="s">
        <v>144</v>
      </c>
      <c r="D8" s="2">
        <v>44245</v>
      </c>
      <c r="E8" s="2"/>
      <c r="F8" t="s">
        <v>145</v>
      </c>
      <c r="G8" t="s">
        <v>157</v>
      </c>
      <c r="H8" t="s">
        <v>158</v>
      </c>
      <c r="I8" s="3">
        <v>11552</v>
      </c>
      <c r="K8" t="s">
        <v>17</v>
      </c>
      <c r="M8" s="233">
        <v>44347</v>
      </c>
      <c r="N8" t="s">
        <v>148</v>
      </c>
      <c r="O8" s="129">
        <f t="shared" si="0"/>
        <v>102</v>
      </c>
      <c r="P8" s="129" t="s">
        <v>1600</v>
      </c>
      <c r="Q8" s="129" t="str">
        <f t="shared" si="1"/>
        <v>102 dias</v>
      </c>
    </row>
    <row r="9" spans="1:21" hidden="1" x14ac:dyDescent="0.25">
      <c r="B9" t="s">
        <v>144</v>
      </c>
      <c r="C9" t="s">
        <v>27</v>
      </c>
      <c r="D9" s="2">
        <v>44250</v>
      </c>
      <c r="E9" s="2"/>
      <c r="F9" t="s">
        <v>145</v>
      </c>
      <c r="G9" t="s">
        <v>159</v>
      </c>
      <c r="H9" t="s">
        <v>160</v>
      </c>
      <c r="I9" s="3">
        <v>32300</v>
      </c>
      <c r="K9" t="s">
        <v>17</v>
      </c>
      <c r="M9" s="233">
        <v>44333</v>
      </c>
      <c r="N9" t="s">
        <v>148</v>
      </c>
      <c r="O9" s="129">
        <f t="shared" si="0"/>
        <v>83</v>
      </c>
      <c r="P9" s="129" t="s">
        <v>1600</v>
      </c>
      <c r="Q9" s="129" t="str">
        <f t="shared" si="1"/>
        <v>83 dias</v>
      </c>
      <c r="S9" t="s">
        <v>24</v>
      </c>
    </row>
    <row r="10" spans="1:21" hidden="1" x14ac:dyDescent="0.25">
      <c r="B10" t="s">
        <v>144</v>
      </c>
      <c r="C10" t="s">
        <v>27</v>
      </c>
      <c r="D10" s="2">
        <v>44263</v>
      </c>
      <c r="E10" s="2"/>
      <c r="F10" t="s">
        <v>161</v>
      </c>
      <c r="G10" t="s">
        <v>162</v>
      </c>
      <c r="H10" t="s">
        <v>163</v>
      </c>
      <c r="I10" s="3">
        <v>27134.1</v>
      </c>
      <c r="K10" t="s">
        <v>17</v>
      </c>
      <c r="M10" s="233">
        <v>44333</v>
      </c>
      <c r="N10" t="s">
        <v>148</v>
      </c>
      <c r="O10" s="129">
        <f t="shared" si="0"/>
        <v>70</v>
      </c>
      <c r="P10" s="129" t="s">
        <v>1600</v>
      </c>
      <c r="Q10" s="129" t="str">
        <f t="shared" si="1"/>
        <v>70 dias</v>
      </c>
      <c r="S10" t="s">
        <v>24</v>
      </c>
    </row>
    <row r="11" spans="1:21" hidden="1" x14ac:dyDescent="0.25">
      <c r="B11" t="s">
        <v>144</v>
      </c>
      <c r="D11" s="2">
        <v>44263</v>
      </c>
      <c r="E11" s="2"/>
      <c r="G11" t="s">
        <v>164</v>
      </c>
      <c r="H11" t="s">
        <v>165</v>
      </c>
      <c r="I11" s="3">
        <v>17658.7</v>
      </c>
      <c r="K11" t="s">
        <v>17</v>
      </c>
      <c r="M11" s="233">
        <v>44333</v>
      </c>
      <c r="N11" t="s">
        <v>148</v>
      </c>
      <c r="O11" s="129">
        <f t="shared" si="0"/>
        <v>70</v>
      </c>
      <c r="P11" s="129" t="s">
        <v>1600</v>
      </c>
      <c r="Q11" s="129" t="str">
        <f t="shared" si="1"/>
        <v>70 dias</v>
      </c>
    </row>
    <row r="12" spans="1:21" hidden="1" x14ac:dyDescent="0.25">
      <c r="B12" t="s">
        <v>144</v>
      </c>
      <c r="C12" t="s">
        <v>31</v>
      </c>
      <c r="D12" s="2">
        <v>44282</v>
      </c>
      <c r="E12" s="2"/>
      <c r="F12" t="s">
        <v>145</v>
      </c>
      <c r="G12" t="s">
        <v>166</v>
      </c>
      <c r="H12" t="s">
        <v>167</v>
      </c>
      <c r="I12" s="3">
        <v>23580</v>
      </c>
      <c r="K12" t="s">
        <v>17</v>
      </c>
      <c r="L12">
        <f>+I12*0.12</f>
        <v>2829.6</v>
      </c>
      <c r="M12" s="233">
        <v>44427</v>
      </c>
      <c r="N12" t="s">
        <v>148</v>
      </c>
      <c r="O12" s="129">
        <f t="shared" si="0"/>
        <v>145</v>
      </c>
      <c r="P12" s="129" t="s">
        <v>1600</v>
      </c>
      <c r="Q12" s="129" t="str">
        <f t="shared" si="1"/>
        <v>145 dias</v>
      </c>
      <c r="S12" t="s">
        <v>24</v>
      </c>
    </row>
    <row r="13" spans="1:21" hidden="1" x14ac:dyDescent="0.25">
      <c r="B13" t="s">
        <v>144</v>
      </c>
      <c r="D13" s="2">
        <v>44282</v>
      </c>
      <c r="E13" s="2"/>
      <c r="F13" t="s">
        <v>145</v>
      </c>
      <c r="G13" t="s">
        <v>168</v>
      </c>
      <c r="H13" t="s">
        <v>169</v>
      </c>
      <c r="I13" s="3">
        <v>10920</v>
      </c>
      <c r="K13" t="s">
        <v>17</v>
      </c>
      <c r="L13">
        <f>+I13*0.12</f>
        <v>1310.3999999999999</v>
      </c>
      <c r="M13" s="233">
        <v>44427</v>
      </c>
      <c r="N13" t="s">
        <v>148</v>
      </c>
      <c r="O13" s="129">
        <f t="shared" si="0"/>
        <v>145</v>
      </c>
      <c r="P13" s="129" t="s">
        <v>1600</v>
      </c>
      <c r="Q13" s="129" t="str">
        <f t="shared" si="1"/>
        <v>145 dias</v>
      </c>
    </row>
    <row r="14" spans="1:21" hidden="1" x14ac:dyDescent="0.25">
      <c r="B14" s="10" t="s">
        <v>144</v>
      </c>
      <c r="C14" s="1529" t="s">
        <v>27</v>
      </c>
      <c r="D14" s="1530">
        <v>44354</v>
      </c>
      <c r="E14" s="11"/>
      <c r="F14" s="1529" t="s">
        <v>145</v>
      </c>
      <c r="G14" t="s">
        <v>170</v>
      </c>
      <c r="H14" t="s">
        <v>171</v>
      </c>
      <c r="I14" s="3">
        <v>24886</v>
      </c>
      <c r="J14" s="675">
        <f>+I14*0.88</f>
        <v>21899.68</v>
      </c>
      <c r="K14" s="21" t="s">
        <v>17</v>
      </c>
      <c r="L14">
        <f>+I14*0.12</f>
        <v>2986.3199999999997</v>
      </c>
      <c r="M14" s="233">
        <v>44548</v>
      </c>
      <c r="N14" t="s">
        <v>388</v>
      </c>
      <c r="O14" s="129">
        <f t="shared" si="0"/>
        <v>194</v>
      </c>
      <c r="P14" s="129" t="s">
        <v>1600</v>
      </c>
      <c r="Q14" s="129" t="str">
        <f t="shared" si="1"/>
        <v>194 dias</v>
      </c>
      <c r="R14" t="s">
        <v>24</v>
      </c>
    </row>
    <row r="15" spans="1:21" hidden="1" x14ac:dyDescent="0.25">
      <c r="B15" s="10" t="s">
        <v>144</v>
      </c>
      <c r="C15" s="1529"/>
      <c r="D15" s="1530"/>
      <c r="E15" s="11"/>
      <c r="F15" s="1529"/>
      <c r="G15" t="s">
        <v>172</v>
      </c>
      <c r="H15" t="s">
        <v>173</v>
      </c>
      <c r="I15" s="3">
        <v>11210</v>
      </c>
      <c r="J15" s="3"/>
      <c r="K15" t="s">
        <v>17</v>
      </c>
      <c r="M15" s="233">
        <v>44392</v>
      </c>
      <c r="O15" s="129">
        <f t="shared" si="0"/>
        <v>44392</v>
      </c>
      <c r="P15" s="129" t="s">
        <v>1600</v>
      </c>
      <c r="Q15" s="129" t="str">
        <f t="shared" si="1"/>
        <v>44392 dias</v>
      </c>
    </row>
    <row r="16" spans="1:21" hidden="1" x14ac:dyDescent="0.25">
      <c r="B16" t="s">
        <v>144</v>
      </c>
      <c r="C16" t="s">
        <v>27</v>
      </c>
      <c r="D16" s="2">
        <v>44373</v>
      </c>
      <c r="E16" s="2"/>
      <c r="F16" t="s">
        <v>145</v>
      </c>
      <c r="G16" t="s">
        <v>174</v>
      </c>
      <c r="H16" t="s">
        <v>175</v>
      </c>
      <c r="I16" s="3">
        <v>26567</v>
      </c>
      <c r="J16" s="3"/>
      <c r="K16" t="s">
        <v>17</v>
      </c>
      <c r="L16">
        <f t="shared" ref="L16:L29" si="2">+I16*0.12</f>
        <v>3188.04</v>
      </c>
      <c r="M16" s="233">
        <v>44524</v>
      </c>
      <c r="O16" s="129">
        <f t="shared" si="0"/>
        <v>151</v>
      </c>
      <c r="P16" s="129" t="s">
        <v>1600</v>
      </c>
      <c r="Q16" s="129" t="str">
        <f t="shared" si="1"/>
        <v>151 dias</v>
      </c>
      <c r="R16" t="s">
        <v>176</v>
      </c>
    </row>
    <row r="17" spans="2:18" hidden="1" x14ac:dyDescent="0.25">
      <c r="B17" t="s">
        <v>144</v>
      </c>
      <c r="D17" s="2">
        <v>44373</v>
      </c>
      <c r="E17" s="2"/>
      <c r="F17" t="s">
        <v>145</v>
      </c>
      <c r="G17" t="s">
        <v>177</v>
      </c>
      <c r="H17" t="s">
        <v>178</v>
      </c>
      <c r="I17" s="3">
        <v>13284</v>
      </c>
      <c r="J17" s="3"/>
      <c r="K17" t="s">
        <v>17</v>
      </c>
      <c r="L17">
        <f t="shared" si="2"/>
        <v>1594.08</v>
      </c>
      <c r="M17" s="233">
        <v>44524</v>
      </c>
      <c r="O17" s="129">
        <f t="shared" si="0"/>
        <v>151</v>
      </c>
      <c r="P17" s="129" t="s">
        <v>1600</v>
      </c>
      <c r="Q17" s="129" t="str">
        <f t="shared" si="1"/>
        <v>151 dias</v>
      </c>
    </row>
    <row r="18" spans="2:18" s="21" customFormat="1" hidden="1" x14ac:dyDescent="0.25">
      <c r="B18" s="21" t="s">
        <v>144</v>
      </c>
      <c r="C18" s="21" t="s">
        <v>31</v>
      </c>
      <c r="D18" s="18">
        <v>44377</v>
      </c>
      <c r="E18" s="18"/>
      <c r="F18" s="21" t="s">
        <v>145</v>
      </c>
      <c r="G18" s="21" t="s">
        <v>179</v>
      </c>
      <c r="H18" s="21" t="s">
        <v>180</v>
      </c>
      <c r="I18" s="22">
        <v>25635.5</v>
      </c>
      <c r="J18" s="675">
        <f>+I18*0.88</f>
        <v>22559.24</v>
      </c>
      <c r="K18" s="21" t="s">
        <v>17</v>
      </c>
      <c r="L18">
        <f t="shared" si="2"/>
        <v>3076.2599999999998</v>
      </c>
      <c r="M18" s="233">
        <v>44548</v>
      </c>
      <c r="N18" t="s">
        <v>388</v>
      </c>
      <c r="O18" s="129">
        <f t="shared" si="0"/>
        <v>171</v>
      </c>
      <c r="P18" s="129" t="s">
        <v>1600</v>
      </c>
      <c r="Q18" s="129" t="str">
        <f t="shared" si="1"/>
        <v>171 dias</v>
      </c>
      <c r="R18" s="21" t="s">
        <v>97</v>
      </c>
    </row>
    <row r="19" spans="2:18" hidden="1" x14ac:dyDescent="0.25">
      <c r="B19" t="s">
        <v>144</v>
      </c>
      <c r="D19" s="18">
        <v>44377</v>
      </c>
      <c r="E19" s="2"/>
      <c r="G19" t="s">
        <v>181</v>
      </c>
      <c r="H19" t="s">
        <v>182</v>
      </c>
      <c r="I19" s="3">
        <v>11885.5</v>
      </c>
      <c r="J19" s="3"/>
      <c r="K19" t="s">
        <v>17</v>
      </c>
      <c r="L19">
        <f t="shared" si="2"/>
        <v>1426.26</v>
      </c>
      <c r="M19" s="233">
        <v>44524</v>
      </c>
      <c r="O19" s="129">
        <f t="shared" si="0"/>
        <v>147</v>
      </c>
      <c r="P19" s="129" t="s">
        <v>1600</v>
      </c>
      <c r="Q19" s="129" t="str">
        <f t="shared" si="1"/>
        <v>147 dias</v>
      </c>
    </row>
    <row r="20" spans="2:18" hidden="1" x14ac:dyDescent="0.25">
      <c r="B20" t="s">
        <v>144</v>
      </c>
      <c r="C20" t="s">
        <v>31</v>
      </c>
      <c r="D20" s="2">
        <v>44380</v>
      </c>
      <c r="E20" s="7">
        <v>3</v>
      </c>
      <c r="F20" t="s">
        <v>145</v>
      </c>
      <c r="G20" t="s">
        <v>183</v>
      </c>
      <c r="H20" t="s">
        <v>184</v>
      </c>
      <c r="I20" s="3">
        <v>25635.5</v>
      </c>
      <c r="J20" s="3"/>
      <c r="K20" t="s">
        <v>17</v>
      </c>
      <c r="L20">
        <f t="shared" si="2"/>
        <v>3076.2599999999998</v>
      </c>
      <c r="M20" s="233">
        <v>44524</v>
      </c>
      <c r="O20" s="129">
        <f t="shared" si="0"/>
        <v>144</v>
      </c>
      <c r="P20" s="129" t="s">
        <v>1600</v>
      </c>
      <c r="Q20" s="129" t="str">
        <f t="shared" si="1"/>
        <v>144 dias</v>
      </c>
      <c r="R20" t="s">
        <v>97</v>
      </c>
    </row>
    <row r="21" spans="2:18" hidden="1" x14ac:dyDescent="0.25">
      <c r="B21" t="s">
        <v>144</v>
      </c>
      <c r="D21" s="2">
        <v>44380</v>
      </c>
      <c r="E21" s="7"/>
      <c r="G21" t="s">
        <v>185</v>
      </c>
      <c r="H21" t="s">
        <v>186</v>
      </c>
      <c r="I21" s="3">
        <v>11885.5</v>
      </c>
      <c r="J21" s="3"/>
      <c r="K21" t="s">
        <v>17</v>
      </c>
      <c r="L21">
        <f t="shared" si="2"/>
        <v>1426.26</v>
      </c>
      <c r="M21" s="233">
        <v>44524</v>
      </c>
      <c r="O21" s="129">
        <f t="shared" si="0"/>
        <v>144</v>
      </c>
      <c r="P21" s="129" t="s">
        <v>1600</v>
      </c>
      <c r="Q21" s="129" t="str">
        <f t="shared" si="1"/>
        <v>144 dias</v>
      </c>
    </row>
    <row r="22" spans="2:18" hidden="1" x14ac:dyDescent="0.25">
      <c r="B22" t="s">
        <v>144</v>
      </c>
      <c r="C22" t="s">
        <v>27</v>
      </c>
      <c r="D22" s="2">
        <v>44385</v>
      </c>
      <c r="E22" s="7">
        <v>3</v>
      </c>
      <c r="F22" t="s">
        <v>145</v>
      </c>
      <c r="G22" t="s">
        <v>187</v>
      </c>
      <c r="H22" t="s">
        <v>188</v>
      </c>
      <c r="I22" s="3">
        <v>20480</v>
      </c>
      <c r="J22" s="3"/>
      <c r="K22" t="s">
        <v>17</v>
      </c>
      <c r="L22">
        <f t="shared" si="2"/>
        <v>2457.6</v>
      </c>
      <c r="M22" s="233">
        <v>44524</v>
      </c>
      <c r="O22" s="129">
        <f t="shared" si="0"/>
        <v>139</v>
      </c>
      <c r="P22" s="129" t="s">
        <v>1600</v>
      </c>
      <c r="Q22" s="129" t="str">
        <f t="shared" si="1"/>
        <v>139 dias</v>
      </c>
    </row>
    <row r="23" spans="2:18" hidden="1" x14ac:dyDescent="0.25">
      <c r="B23" t="s">
        <v>144</v>
      </c>
      <c r="C23" t="s">
        <v>27</v>
      </c>
      <c r="D23" s="2">
        <v>44385</v>
      </c>
      <c r="E23" s="7"/>
      <c r="F23" t="s">
        <v>145</v>
      </c>
      <c r="G23" t="s">
        <v>189</v>
      </c>
      <c r="H23" t="s">
        <v>190</v>
      </c>
      <c r="I23" s="3">
        <v>20480</v>
      </c>
      <c r="J23" s="675">
        <f>+I23*0.88</f>
        <v>18022.400000000001</v>
      </c>
      <c r="K23" s="21" t="s">
        <v>17</v>
      </c>
      <c r="L23">
        <f t="shared" si="2"/>
        <v>2457.6</v>
      </c>
      <c r="M23" s="233">
        <v>44548</v>
      </c>
      <c r="N23" t="s">
        <v>388</v>
      </c>
      <c r="O23" s="129">
        <f t="shared" si="0"/>
        <v>163</v>
      </c>
      <c r="P23" s="129" t="s">
        <v>1600</v>
      </c>
      <c r="Q23" s="129" t="str">
        <f t="shared" si="1"/>
        <v>163 dias</v>
      </c>
    </row>
    <row r="24" spans="2:18" hidden="1" x14ac:dyDescent="0.25">
      <c r="B24" t="s">
        <v>144</v>
      </c>
      <c r="C24" t="s">
        <v>31</v>
      </c>
      <c r="D24" s="2">
        <v>44385</v>
      </c>
      <c r="E24" s="7">
        <v>3</v>
      </c>
      <c r="F24" t="s">
        <v>145</v>
      </c>
      <c r="G24" t="s">
        <v>191</v>
      </c>
      <c r="H24" t="s">
        <v>192</v>
      </c>
      <c r="I24" s="3">
        <v>25635.5</v>
      </c>
      <c r="J24" s="3"/>
      <c r="K24" t="s">
        <v>17</v>
      </c>
      <c r="L24">
        <f t="shared" si="2"/>
        <v>3076.2599999999998</v>
      </c>
      <c r="M24" s="233">
        <v>44524</v>
      </c>
      <c r="O24" s="129">
        <f t="shared" si="0"/>
        <v>139</v>
      </c>
      <c r="P24" s="129" t="s">
        <v>1600</v>
      </c>
      <c r="Q24" s="129" t="str">
        <f t="shared" si="1"/>
        <v>139 dias</v>
      </c>
    </row>
    <row r="25" spans="2:18" hidden="1" x14ac:dyDescent="0.25">
      <c r="B25" t="s">
        <v>144</v>
      </c>
      <c r="D25" s="2">
        <v>44385</v>
      </c>
      <c r="E25" s="7"/>
      <c r="G25" t="s">
        <v>193</v>
      </c>
      <c r="H25" t="s">
        <v>194</v>
      </c>
      <c r="I25" s="3">
        <v>11885.5</v>
      </c>
      <c r="J25" s="3"/>
      <c r="K25" t="s">
        <v>17</v>
      </c>
      <c r="L25">
        <f t="shared" si="2"/>
        <v>1426.26</v>
      </c>
      <c r="M25" s="233">
        <v>44524</v>
      </c>
      <c r="O25" s="129">
        <f t="shared" si="0"/>
        <v>139</v>
      </c>
      <c r="P25" s="129" t="s">
        <v>1600</v>
      </c>
      <c r="Q25" s="129" t="str">
        <f t="shared" si="1"/>
        <v>139 dias</v>
      </c>
    </row>
    <row r="26" spans="2:18" hidden="1" x14ac:dyDescent="0.25">
      <c r="B26" t="s">
        <v>144</v>
      </c>
      <c r="C26" t="s">
        <v>31</v>
      </c>
      <c r="D26" s="2">
        <v>44387</v>
      </c>
      <c r="E26" s="7">
        <v>3</v>
      </c>
      <c r="F26" t="s">
        <v>145</v>
      </c>
      <c r="G26" t="s">
        <v>195</v>
      </c>
      <c r="H26" t="s">
        <v>196</v>
      </c>
      <c r="I26" s="3">
        <v>25635.5</v>
      </c>
      <c r="J26" s="3"/>
      <c r="K26" t="s">
        <v>17</v>
      </c>
      <c r="L26">
        <f t="shared" si="2"/>
        <v>3076.2599999999998</v>
      </c>
      <c r="M26" s="233">
        <v>44524</v>
      </c>
      <c r="O26" s="129">
        <f t="shared" si="0"/>
        <v>137</v>
      </c>
      <c r="P26" s="129" t="s">
        <v>1600</v>
      </c>
      <c r="Q26" s="129" t="str">
        <f t="shared" si="1"/>
        <v>137 dias</v>
      </c>
    </row>
    <row r="27" spans="2:18" hidden="1" x14ac:dyDescent="0.25">
      <c r="B27" t="s">
        <v>144</v>
      </c>
      <c r="D27" s="2">
        <v>44387</v>
      </c>
      <c r="E27" s="7"/>
      <c r="G27" t="s">
        <v>197</v>
      </c>
      <c r="H27" t="s">
        <v>198</v>
      </c>
      <c r="I27" s="3">
        <v>11885.5</v>
      </c>
      <c r="J27" s="3"/>
      <c r="K27" t="s">
        <v>17</v>
      </c>
      <c r="L27">
        <f t="shared" si="2"/>
        <v>1426.26</v>
      </c>
      <c r="M27" s="233">
        <v>44524</v>
      </c>
      <c r="O27" s="129">
        <f t="shared" si="0"/>
        <v>137</v>
      </c>
      <c r="P27" s="129" t="s">
        <v>1600</v>
      </c>
      <c r="Q27" s="129" t="str">
        <f t="shared" si="1"/>
        <v>137 dias</v>
      </c>
    </row>
    <row r="28" spans="2:18" hidden="1" x14ac:dyDescent="0.25">
      <c r="B28" t="s">
        <v>144</v>
      </c>
      <c r="C28" t="s">
        <v>31</v>
      </c>
      <c r="D28" s="2">
        <v>44404</v>
      </c>
      <c r="E28" s="7">
        <v>3</v>
      </c>
      <c r="F28" t="s">
        <v>145</v>
      </c>
      <c r="G28" t="s">
        <v>199</v>
      </c>
      <c r="H28" t="s">
        <v>200</v>
      </c>
      <c r="I28" s="3">
        <v>25635.5</v>
      </c>
      <c r="J28" s="3"/>
      <c r="K28" t="s">
        <v>17</v>
      </c>
      <c r="L28">
        <f t="shared" si="2"/>
        <v>3076.2599999999998</v>
      </c>
      <c r="M28" s="233">
        <v>44524</v>
      </c>
      <c r="O28" s="129">
        <f t="shared" si="0"/>
        <v>120</v>
      </c>
      <c r="P28" s="129" t="s">
        <v>1600</v>
      </c>
      <c r="Q28" s="129" t="str">
        <f t="shared" si="1"/>
        <v>120 dias</v>
      </c>
    </row>
    <row r="29" spans="2:18" hidden="1" x14ac:dyDescent="0.25">
      <c r="B29" t="s">
        <v>144</v>
      </c>
      <c r="D29" s="2">
        <v>44404</v>
      </c>
      <c r="E29" s="7"/>
      <c r="G29" t="s">
        <v>201</v>
      </c>
      <c r="H29" t="s">
        <v>202</v>
      </c>
      <c r="I29" s="3">
        <v>11885.5</v>
      </c>
      <c r="J29" s="3"/>
      <c r="K29" t="s">
        <v>17</v>
      </c>
      <c r="L29">
        <f t="shared" si="2"/>
        <v>1426.26</v>
      </c>
      <c r="M29" s="233">
        <v>44524</v>
      </c>
      <c r="O29" s="129">
        <f t="shared" si="0"/>
        <v>120</v>
      </c>
      <c r="P29" s="129" t="s">
        <v>1600</v>
      </c>
      <c r="Q29" s="129" t="str">
        <f t="shared" si="1"/>
        <v>120 dias</v>
      </c>
    </row>
    <row r="30" spans="2:18" x14ac:dyDescent="0.25">
      <c r="H30" t="s">
        <v>111</v>
      </c>
      <c r="I30" s="9">
        <v>0</v>
      </c>
      <c r="M30" s="233"/>
    </row>
    <row r="31" spans="2:18" s="19" customFormat="1" ht="15.75" thickBot="1" x14ac:dyDescent="0.3">
      <c r="I31" s="3"/>
      <c r="K31"/>
      <c r="L31"/>
      <c r="M31" s="233"/>
    </row>
    <row r="32" spans="2:18" ht="15.75" thickBot="1" x14ac:dyDescent="0.3">
      <c r="B32" s="1487" t="s">
        <v>1831</v>
      </c>
      <c r="C32" s="1488"/>
      <c r="D32" s="1488"/>
      <c r="E32" s="1488"/>
      <c r="F32" s="1488"/>
      <c r="G32" s="1488"/>
      <c r="H32" s="1488"/>
      <c r="I32" s="1488"/>
      <c r="J32" s="1489"/>
      <c r="K32" s="1"/>
      <c r="L32" s="1"/>
      <c r="M32" s="61"/>
      <c r="N32" s="3"/>
    </row>
    <row r="33" spans="2:19" s="13" customFormat="1" hidden="1" x14ac:dyDescent="0.25">
      <c r="B33" s="13" t="s">
        <v>203</v>
      </c>
      <c r="C33" s="13" t="s">
        <v>67</v>
      </c>
      <c r="D33" s="122">
        <v>44427</v>
      </c>
      <c r="E33" s="143">
        <v>3</v>
      </c>
      <c r="F33" s="13" t="s">
        <v>204</v>
      </c>
      <c r="G33" s="13" t="s">
        <v>205</v>
      </c>
      <c r="H33" s="13" t="s">
        <v>206</v>
      </c>
      <c r="I33" s="23">
        <v>36253.14</v>
      </c>
      <c r="J33" s="3">
        <f t="shared" ref="J33:J64" si="3">+I33*0.88</f>
        <v>31902.763200000001</v>
      </c>
      <c r="K33" s="13" t="s">
        <v>17</v>
      </c>
      <c r="L33">
        <f t="shared" ref="L33:L39" si="4">+I33*0.12</f>
        <v>4350.3768</v>
      </c>
      <c r="M33" s="233">
        <v>44548</v>
      </c>
      <c r="N33" s="13" t="s">
        <v>388</v>
      </c>
      <c r="O33" s="129">
        <f t="shared" ref="O33:O77" si="5">IF(K33="PAGADA",M33-D33,0)</f>
        <v>121</v>
      </c>
      <c r="P33" s="129" t="s">
        <v>1600</v>
      </c>
      <c r="Q33" s="129" t="str">
        <f t="shared" ref="Q33:Q76" si="6">CONCATENATE(O33,P33)</f>
        <v>121 dias</v>
      </c>
    </row>
    <row r="34" spans="2:19" s="13" customFormat="1" hidden="1" x14ac:dyDescent="0.25">
      <c r="B34" s="13" t="s">
        <v>203</v>
      </c>
      <c r="C34" s="13" t="s">
        <v>67</v>
      </c>
      <c r="D34" s="122">
        <v>44429</v>
      </c>
      <c r="E34" s="143">
        <v>3</v>
      </c>
      <c r="F34" s="13" t="s">
        <v>207</v>
      </c>
      <c r="G34" s="13" t="s">
        <v>208</v>
      </c>
      <c r="H34" s="13" t="s">
        <v>209</v>
      </c>
      <c r="I34" s="23">
        <v>36253.14</v>
      </c>
      <c r="J34" s="3">
        <f t="shared" si="3"/>
        <v>31902.763200000001</v>
      </c>
      <c r="K34" s="13" t="s">
        <v>17</v>
      </c>
      <c r="L34">
        <f t="shared" si="4"/>
        <v>4350.3768</v>
      </c>
      <c r="M34" s="233">
        <v>44548</v>
      </c>
      <c r="N34" s="13" t="s">
        <v>388</v>
      </c>
      <c r="O34" s="129">
        <f t="shared" si="5"/>
        <v>119</v>
      </c>
      <c r="P34" s="129" t="s">
        <v>1600</v>
      </c>
      <c r="Q34" s="129" t="str">
        <f t="shared" si="6"/>
        <v>119 dias</v>
      </c>
    </row>
    <row r="35" spans="2:19" hidden="1" x14ac:dyDescent="0.25">
      <c r="B35" t="s">
        <v>203</v>
      </c>
      <c r="C35" t="s">
        <v>27</v>
      </c>
      <c r="D35" s="122">
        <v>44449</v>
      </c>
      <c r="E35">
        <v>3</v>
      </c>
      <c r="F35" t="s">
        <v>204</v>
      </c>
      <c r="G35" t="s">
        <v>210</v>
      </c>
      <c r="H35" s="15" t="s">
        <v>211</v>
      </c>
      <c r="I35" s="9">
        <v>36253.14</v>
      </c>
      <c r="J35" s="3">
        <f t="shared" si="3"/>
        <v>31902.763200000001</v>
      </c>
      <c r="K35" t="s">
        <v>17</v>
      </c>
      <c r="L35">
        <f t="shared" si="4"/>
        <v>4350.3768</v>
      </c>
      <c r="M35" s="233">
        <v>44548</v>
      </c>
      <c r="N35" t="s">
        <v>388</v>
      </c>
      <c r="O35" s="129">
        <f t="shared" si="5"/>
        <v>99</v>
      </c>
      <c r="P35" s="129" t="s">
        <v>1600</v>
      </c>
      <c r="Q35" s="129" t="str">
        <f t="shared" si="6"/>
        <v>99 dias</v>
      </c>
    </row>
    <row r="36" spans="2:19" hidden="1" x14ac:dyDescent="0.25">
      <c r="B36" t="s">
        <v>203</v>
      </c>
      <c r="C36" t="s">
        <v>67</v>
      </c>
      <c r="D36" s="122">
        <v>44454</v>
      </c>
      <c r="E36">
        <v>3</v>
      </c>
      <c r="F36" t="s">
        <v>207</v>
      </c>
      <c r="G36" t="s">
        <v>212</v>
      </c>
      <c r="H36" s="15" t="s">
        <v>213</v>
      </c>
      <c r="I36" s="9">
        <v>36253.14</v>
      </c>
      <c r="J36" s="3">
        <f t="shared" si="3"/>
        <v>31902.763200000001</v>
      </c>
      <c r="K36" t="s">
        <v>17</v>
      </c>
      <c r="L36">
        <f t="shared" si="4"/>
        <v>4350.3768</v>
      </c>
      <c r="M36" s="233">
        <v>44548</v>
      </c>
      <c r="N36" t="s">
        <v>388</v>
      </c>
      <c r="O36" s="129">
        <f t="shared" si="5"/>
        <v>94</v>
      </c>
      <c r="P36" s="129" t="s">
        <v>1600</v>
      </c>
      <c r="Q36" s="129" t="str">
        <f t="shared" si="6"/>
        <v>94 dias</v>
      </c>
    </row>
    <row r="37" spans="2:19" hidden="1" x14ac:dyDescent="0.25">
      <c r="B37" t="s">
        <v>203</v>
      </c>
      <c r="C37" t="s">
        <v>67</v>
      </c>
      <c r="D37" s="122">
        <v>44470</v>
      </c>
      <c r="E37">
        <v>3</v>
      </c>
      <c r="F37" t="s">
        <v>207</v>
      </c>
      <c r="G37" t="s">
        <v>214</v>
      </c>
      <c r="H37" s="15" t="s">
        <v>215</v>
      </c>
      <c r="I37" s="9">
        <v>36253.14</v>
      </c>
      <c r="J37" s="3">
        <f t="shared" si="3"/>
        <v>31902.763200000001</v>
      </c>
      <c r="K37" t="s">
        <v>17</v>
      </c>
      <c r="L37">
        <f t="shared" si="4"/>
        <v>4350.3768</v>
      </c>
      <c r="M37" s="233">
        <v>44548</v>
      </c>
      <c r="N37" t="s">
        <v>388</v>
      </c>
      <c r="O37" s="129">
        <f t="shared" si="5"/>
        <v>78</v>
      </c>
      <c r="P37" s="129" t="s">
        <v>1600</v>
      </c>
      <c r="Q37" s="129" t="str">
        <f t="shared" si="6"/>
        <v>78 dias</v>
      </c>
    </row>
    <row r="38" spans="2:19" hidden="1" x14ac:dyDescent="0.25">
      <c r="B38" t="s">
        <v>203</v>
      </c>
      <c r="C38" t="s">
        <v>27</v>
      </c>
      <c r="D38" s="122">
        <v>44481</v>
      </c>
      <c r="E38">
        <v>3</v>
      </c>
      <c r="F38" t="s">
        <v>207</v>
      </c>
      <c r="G38" t="s">
        <v>216</v>
      </c>
      <c r="H38" s="231" t="s">
        <v>217</v>
      </c>
      <c r="I38" s="9">
        <v>34253.14</v>
      </c>
      <c r="J38" s="3">
        <f t="shared" si="3"/>
        <v>30142.763200000001</v>
      </c>
      <c r="K38" t="s">
        <v>17</v>
      </c>
      <c r="L38">
        <f t="shared" si="4"/>
        <v>4110.3768</v>
      </c>
      <c r="M38" s="233">
        <v>44548</v>
      </c>
      <c r="N38" t="s">
        <v>388</v>
      </c>
      <c r="O38" s="129">
        <f t="shared" si="5"/>
        <v>67</v>
      </c>
      <c r="P38" s="129" t="s">
        <v>1600</v>
      </c>
      <c r="Q38" s="129" t="str">
        <f t="shared" si="6"/>
        <v>67 dias</v>
      </c>
    </row>
    <row r="39" spans="2:19" hidden="1" x14ac:dyDescent="0.25">
      <c r="B39" t="s">
        <v>203</v>
      </c>
      <c r="C39" t="s">
        <v>67</v>
      </c>
      <c r="D39" s="122">
        <v>44495</v>
      </c>
      <c r="E39">
        <v>3</v>
      </c>
      <c r="F39" t="s">
        <v>207</v>
      </c>
      <c r="G39" t="s">
        <v>218</v>
      </c>
      <c r="H39" s="15" t="s">
        <v>353</v>
      </c>
      <c r="I39" s="9">
        <v>36253.14</v>
      </c>
      <c r="J39" s="3">
        <f t="shared" si="3"/>
        <v>31902.763200000001</v>
      </c>
      <c r="K39" t="s">
        <v>17</v>
      </c>
      <c r="L39">
        <f t="shared" si="4"/>
        <v>4350.3768</v>
      </c>
      <c r="M39" s="233">
        <v>44548</v>
      </c>
      <c r="N39" t="s">
        <v>388</v>
      </c>
      <c r="O39" s="129">
        <f t="shared" si="5"/>
        <v>53</v>
      </c>
      <c r="P39" s="129" t="s">
        <v>1600</v>
      </c>
      <c r="Q39" s="129" t="str">
        <f t="shared" si="6"/>
        <v>53 dias</v>
      </c>
    </row>
    <row r="40" spans="2:19" hidden="1" x14ac:dyDescent="0.25">
      <c r="B40" t="s">
        <v>203</v>
      </c>
      <c r="C40" t="s">
        <v>67</v>
      </c>
      <c r="D40" s="122">
        <v>44527</v>
      </c>
      <c r="E40">
        <v>3</v>
      </c>
      <c r="F40" t="s">
        <v>204</v>
      </c>
      <c r="G40" t="s">
        <v>324</v>
      </c>
      <c r="H40" s="76" t="s">
        <v>328</v>
      </c>
      <c r="I40" s="9">
        <v>36253.14</v>
      </c>
      <c r="J40" s="3">
        <f t="shared" si="3"/>
        <v>31902.763200000001</v>
      </c>
      <c r="K40" t="s">
        <v>17</v>
      </c>
      <c r="L40">
        <v>4350.3768</v>
      </c>
      <c r="M40" s="233">
        <v>44588</v>
      </c>
      <c r="N40" t="s">
        <v>388</v>
      </c>
      <c r="O40" s="129">
        <f t="shared" si="5"/>
        <v>61</v>
      </c>
      <c r="P40" s="129" t="s">
        <v>1600</v>
      </c>
      <c r="Q40" s="129" t="str">
        <f t="shared" si="6"/>
        <v>61 dias</v>
      </c>
    </row>
    <row r="41" spans="2:19" hidden="1" x14ac:dyDescent="0.25">
      <c r="B41" t="s">
        <v>203</v>
      </c>
      <c r="C41" t="s">
        <v>67</v>
      </c>
      <c r="D41" s="122">
        <v>44533</v>
      </c>
      <c r="E41">
        <v>3</v>
      </c>
      <c r="F41" t="s">
        <v>207</v>
      </c>
      <c r="G41" s="21" t="s">
        <v>350</v>
      </c>
      <c r="H41" s="75" t="s">
        <v>364</v>
      </c>
      <c r="I41" s="9">
        <v>36253.14</v>
      </c>
      <c r="J41" s="3">
        <f t="shared" si="3"/>
        <v>31902.763200000001</v>
      </c>
      <c r="K41" t="s">
        <v>17</v>
      </c>
      <c r="L41">
        <v>4350.3768</v>
      </c>
      <c r="M41" s="233">
        <v>44588</v>
      </c>
      <c r="N41" t="s">
        <v>388</v>
      </c>
      <c r="O41" s="129">
        <f t="shared" si="5"/>
        <v>55</v>
      </c>
      <c r="P41" s="129" t="s">
        <v>1600</v>
      </c>
      <c r="Q41" s="129" t="str">
        <f t="shared" si="6"/>
        <v>55 dias</v>
      </c>
    </row>
    <row r="42" spans="2:19" hidden="1" x14ac:dyDescent="0.25">
      <c r="B42" t="s">
        <v>203</v>
      </c>
      <c r="D42" s="122">
        <v>44537</v>
      </c>
      <c r="E42">
        <v>3</v>
      </c>
      <c r="F42" t="s">
        <v>207</v>
      </c>
      <c r="G42" t="s">
        <v>349</v>
      </c>
      <c r="H42" s="15" t="s">
        <v>557</v>
      </c>
      <c r="I42" s="9">
        <v>36253.14</v>
      </c>
      <c r="J42" s="3">
        <f t="shared" si="3"/>
        <v>31902.763200000001</v>
      </c>
      <c r="K42" t="s">
        <v>17</v>
      </c>
      <c r="L42">
        <v>4350.3768</v>
      </c>
      <c r="M42" s="233">
        <v>44588</v>
      </c>
      <c r="N42" t="s">
        <v>388</v>
      </c>
      <c r="O42" s="129">
        <f t="shared" si="5"/>
        <v>51</v>
      </c>
      <c r="P42" s="129" t="s">
        <v>1600</v>
      </c>
      <c r="Q42" s="129" t="str">
        <f t="shared" si="6"/>
        <v>51 dias</v>
      </c>
    </row>
    <row r="43" spans="2:19" hidden="1" x14ac:dyDescent="0.25">
      <c r="B43" t="s">
        <v>203</v>
      </c>
      <c r="C43" t="s">
        <v>410</v>
      </c>
      <c r="D43" s="122">
        <v>44539</v>
      </c>
      <c r="E43">
        <v>3</v>
      </c>
      <c r="F43" t="s">
        <v>207</v>
      </c>
      <c r="G43" t="s">
        <v>362</v>
      </c>
      <c r="H43" s="15" t="s">
        <v>363</v>
      </c>
      <c r="I43" s="9">
        <v>36253.14</v>
      </c>
      <c r="J43" s="3">
        <f t="shared" si="3"/>
        <v>31902.763200000001</v>
      </c>
      <c r="K43" t="s">
        <v>17</v>
      </c>
      <c r="L43">
        <v>4350.3768</v>
      </c>
      <c r="M43" s="233">
        <v>44588</v>
      </c>
      <c r="O43" s="129">
        <f t="shared" si="5"/>
        <v>49</v>
      </c>
      <c r="P43" s="129" t="s">
        <v>1600</v>
      </c>
      <c r="Q43" s="129" t="str">
        <f t="shared" si="6"/>
        <v>49 dias</v>
      </c>
      <c r="R43" s="5" t="s">
        <v>71</v>
      </c>
      <c r="S43" s="6">
        <v>44543</v>
      </c>
    </row>
    <row r="44" spans="2:19" hidden="1" x14ac:dyDescent="0.25">
      <c r="B44" t="s">
        <v>203</v>
      </c>
      <c r="C44" t="s">
        <v>67</v>
      </c>
      <c r="D44" s="122">
        <v>44548</v>
      </c>
      <c r="E44">
        <v>3</v>
      </c>
      <c r="F44" t="s">
        <v>207</v>
      </c>
      <c r="G44" t="s">
        <v>387</v>
      </c>
      <c r="H44" t="s">
        <v>407</v>
      </c>
      <c r="I44" s="9">
        <v>36253.14</v>
      </c>
      <c r="J44" s="3">
        <f t="shared" si="3"/>
        <v>31902.763200000001</v>
      </c>
      <c r="K44" t="s">
        <v>17</v>
      </c>
      <c r="L44">
        <v>4350.3768</v>
      </c>
      <c r="M44" s="233">
        <v>44923</v>
      </c>
      <c r="O44" s="129">
        <f t="shared" si="5"/>
        <v>375</v>
      </c>
      <c r="P44" s="129" t="s">
        <v>1600</v>
      </c>
      <c r="Q44" s="129" t="str">
        <f t="shared" si="6"/>
        <v>375 dias</v>
      </c>
      <c r="R44" s="5" t="s">
        <v>71</v>
      </c>
      <c r="S44" s="6">
        <v>44550</v>
      </c>
    </row>
    <row r="45" spans="2:19" hidden="1" x14ac:dyDescent="0.25">
      <c r="B45" t="s">
        <v>203</v>
      </c>
      <c r="C45" t="s">
        <v>67</v>
      </c>
      <c r="D45" s="122">
        <v>44558</v>
      </c>
      <c r="E45">
        <v>3</v>
      </c>
      <c r="F45" t="s">
        <v>207</v>
      </c>
      <c r="G45" t="s">
        <v>411</v>
      </c>
      <c r="H45" t="s">
        <v>416</v>
      </c>
      <c r="I45" s="9">
        <v>36253.14</v>
      </c>
      <c r="J45" s="3">
        <f t="shared" si="3"/>
        <v>31902.763200000001</v>
      </c>
      <c r="K45" t="s">
        <v>17</v>
      </c>
      <c r="L45">
        <v>4350.3768</v>
      </c>
      <c r="M45" s="233">
        <v>44628</v>
      </c>
      <c r="O45" s="129">
        <f t="shared" si="5"/>
        <v>70</v>
      </c>
      <c r="P45" s="129" t="s">
        <v>1600</v>
      </c>
      <c r="Q45" s="129" t="str">
        <f t="shared" si="6"/>
        <v>70 dias</v>
      </c>
      <c r="R45" s="5" t="s">
        <v>71</v>
      </c>
      <c r="S45" s="6">
        <v>44559</v>
      </c>
    </row>
    <row r="46" spans="2:19" s="13" customFormat="1" hidden="1" x14ac:dyDescent="0.25">
      <c r="B46" s="13" t="s">
        <v>203</v>
      </c>
      <c r="C46" s="13" t="s">
        <v>27</v>
      </c>
      <c r="D46" s="122">
        <v>44584</v>
      </c>
      <c r="E46">
        <v>3</v>
      </c>
      <c r="F46" s="13" t="s">
        <v>207</v>
      </c>
      <c r="G46" s="13" t="s">
        <v>542</v>
      </c>
      <c r="H46" s="13" t="s">
        <v>547</v>
      </c>
      <c r="I46" s="23">
        <v>36253.14</v>
      </c>
      <c r="J46" s="3">
        <f t="shared" si="3"/>
        <v>31902.763200000001</v>
      </c>
      <c r="K46" s="13" t="s">
        <v>17</v>
      </c>
      <c r="L46">
        <v>4350.3768</v>
      </c>
      <c r="M46" s="233">
        <v>44628</v>
      </c>
      <c r="O46" s="129">
        <f t="shared" si="5"/>
        <v>44</v>
      </c>
      <c r="P46" s="129" t="s">
        <v>1600</v>
      </c>
      <c r="Q46" s="153" t="str">
        <f t="shared" si="6"/>
        <v>44 dias</v>
      </c>
      <c r="R46" s="16" t="s">
        <v>71</v>
      </c>
      <c r="S46" s="93">
        <v>44584</v>
      </c>
    </row>
    <row r="47" spans="2:19" hidden="1" x14ac:dyDescent="0.25">
      <c r="B47" t="s">
        <v>203</v>
      </c>
      <c r="C47" t="s">
        <v>67</v>
      </c>
      <c r="D47" s="122">
        <v>44595</v>
      </c>
      <c r="E47">
        <v>3</v>
      </c>
      <c r="F47" t="s">
        <v>207</v>
      </c>
      <c r="G47" t="s">
        <v>561</v>
      </c>
      <c r="H47" t="s">
        <v>579</v>
      </c>
      <c r="I47" s="9">
        <v>36253.14</v>
      </c>
      <c r="J47" s="3">
        <f t="shared" si="3"/>
        <v>31902.763200000001</v>
      </c>
      <c r="K47" t="s">
        <v>17</v>
      </c>
      <c r="L47">
        <v>4350.3768</v>
      </c>
      <c r="M47" s="233">
        <v>44628</v>
      </c>
      <c r="O47" s="129">
        <f t="shared" si="5"/>
        <v>33</v>
      </c>
      <c r="P47" s="129" t="s">
        <v>1600</v>
      </c>
      <c r="Q47" s="129" t="str">
        <f t="shared" si="6"/>
        <v>33 dias</v>
      </c>
      <c r="R47" s="5" t="s">
        <v>71</v>
      </c>
      <c r="S47" s="6">
        <v>44609</v>
      </c>
    </row>
    <row r="48" spans="2:19" hidden="1" x14ac:dyDescent="0.25">
      <c r="B48" t="s">
        <v>203</v>
      </c>
      <c r="C48" t="s">
        <v>67</v>
      </c>
      <c r="D48" s="122">
        <v>44599</v>
      </c>
      <c r="E48">
        <v>3</v>
      </c>
      <c r="F48" t="s">
        <v>207</v>
      </c>
      <c r="G48" t="s">
        <v>569</v>
      </c>
      <c r="H48" t="s">
        <v>577</v>
      </c>
      <c r="I48" s="9">
        <v>36253.14</v>
      </c>
      <c r="J48" s="3">
        <f t="shared" si="3"/>
        <v>31902.763200000001</v>
      </c>
      <c r="K48" t="s">
        <v>17</v>
      </c>
      <c r="L48">
        <v>4350.3768</v>
      </c>
      <c r="M48" s="233">
        <v>44651</v>
      </c>
      <c r="O48" s="129">
        <f t="shared" si="5"/>
        <v>52</v>
      </c>
      <c r="P48" s="129" t="s">
        <v>1600</v>
      </c>
      <c r="Q48" s="129" t="str">
        <f t="shared" si="6"/>
        <v>52 dias</v>
      </c>
      <c r="R48" s="5" t="s">
        <v>71</v>
      </c>
      <c r="S48" s="6">
        <v>44610</v>
      </c>
    </row>
    <row r="49" spans="1:24" hidden="1" x14ac:dyDescent="0.25">
      <c r="B49" t="s">
        <v>203</v>
      </c>
      <c r="C49" t="s">
        <v>67</v>
      </c>
      <c r="D49" s="122">
        <v>44603</v>
      </c>
      <c r="E49">
        <v>3</v>
      </c>
      <c r="F49" t="s">
        <v>207</v>
      </c>
      <c r="G49" t="s">
        <v>570</v>
      </c>
      <c r="H49" t="s">
        <v>578</v>
      </c>
      <c r="I49" s="9">
        <v>36253.14</v>
      </c>
      <c r="J49" s="3">
        <f t="shared" si="3"/>
        <v>31902.763200000001</v>
      </c>
      <c r="K49" t="s">
        <v>17</v>
      </c>
      <c r="L49" s="5">
        <v>4350.3768</v>
      </c>
      <c r="M49" s="233">
        <v>44659</v>
      </c>
      <c r="O49" s="129">
        <f t="shared" si="5"/>
        <v>56</v>
      </c>
      <c r="P49" s="129" t="s">
        <v>1600</v>
      </c>
      <c r="Q49" s="129" t="str">
        <f t="shared" si="6"/>
        <v>56 dias</v>
      </c>
      <c r="R49" s="5" t="s">
        <v>71</v>
      </c>
      <c r="S49" s="6">
        <v>44609</v>
      </c>
      <c r="T49" t="s">
        <v>802</v>
      </c>
    </row>
    <row r="50" spans="1:24" hidden="1" x14ac:dyDescent="0.25">
      <c r="B50" t="s">
        <v>203</v>
      </c>
      <c r="C50" t="s">
        <v>27</v>
      </c>
      <c r="D50" s="122">
        <v>44610</v>
      </c>
      <c r="E50">
        <v>3</v>
      </c>
      <c r="F50" t="s">
        <v>207</v>
      </c>
      <c r="G50" t="s">
        <v>591</v>
      </c>
      <c r="H50" t="s">
        <v>618</v>
      </c>
      <c r="I50" s="9">
        <v>36253.14</v>
      </c>
      <c r="J50" s="3">
        <f t="shared" si="3"/>
        <v>31902.763200000001</v>
      </c>
      <c r="K50" t="s">
        <v>17</v>
      </c>
      <c r="L50" s="5"/>
      <c r="M50" s="233">
        <v>44677</v>
      </c>
      <c r="O50" s="129">
        <f t="shared" si="5"/>
        <v>67</v>
      </c>
      <c r="P50" s="129" t="s">
        <v>1600</v>
      </c>
      <c r="Q50" s="129" t="str">
        <f t="shared" si="6"/>
        <v>67 dias</v>
      </c>
      <c r="R50" s="5" t="s">
        <v>71</v>
      </c>
      <c r="S50" s="6">
        <v>44620</v>
      </c>
      <c r="T50" t="s">
        <v>802</v>
      </c>
    </row>
    <row r="51" spans="1:24" hidden="1" x14ac:dyDescent="0.25">
      <c r="B51" t="s">
        <v>203</v>
      </c>
      <c r="C51" t="s">
        <v>67</v>
      </c>
      <c r="D51" s="122">
        <v>44617</v>
      </c>
      <c r="E51">
        <v>3</v>
      </c>
      <c r="F51" t="s">
        <v>595</v>
      </c>
      <c r="G51" t="s">
        <v>617</v>
      </c>
      <c r="H51" t="s">
        <v>619</v>
      </c>
      <c r="I51" s="9">
        <v>36253.14</v>
      </c>
      <c r="J51" s="3">
        <f t="shared" si="3"/>
        <v>31902.763200000001</v>
      </c>
      <c r="K51" t="s">
        <v>17</v>
      </c>
      <c r="L51" s="5"/>
      <c r="M51" s="233">
        <v>44677</v>
      </c>
      <c r="O51" s="129">
        <f t="shared" si="5"/>
        <v>60</v>
      </c>
      <c r="P51" s="129" t="s">
        <v>1600</v>
      </c>
      <c r="Q51" s="129" t="str">
        <f t="shared" si="6"/>
        <v>60 dias</v>
      </c>
    </row>
    <row r="52" spans="1:24" hidden="1" x14ac:dyDescent="0.25">
      <c r="B52" t="s">
        <v>203</v>
      </c>
      <c r="C52" t="s">
        <v>67</v>
      </c>
      <c r="D52" s="122">
        <v>44626</v>
      </c>
      <c r="E52">
        <v>3</v>
      </c>
      <c r="F52" t="s">
        <v>595</v>
      </c>
      <c r="G52" t="s">
        <v>643</v>
      </c>
      <c r="H52" t="s">
        <v>642</v>
      </c>
      <c r="I52" s="9">
        <v>36253.14</v>
      </c>
      <c r="J52" s="3">
        <f t="shared" si="3"/>
        <v>31902.763200000001</v>
      </c>
      <c r="K52" t="s">
        <v>17</v>
      </c>
      <c r="L52" s="5"/>
      <c r="M52" s="233">
        <v>44680</v>
      </c>
      <c r="N52" s="19"/>
      <c r="O52" s="129">
        <f t="shared" si="5"/>
        <v>54</v>
      </c>
      <c r="P52" s="129" t="s">
        <v>1600</v>
      </c>
      <c r="Q52" s="129" t="str">
        <f t="shared" si="6"/>
        <v>54 dias</v>
      </c>
      <c r="R52" s="5" t="s">
        <v>71</v>
      </c>
      <c r="S52" s="6">
        <v>44635</v>
      </c>
    </row>
    <row r="53" spans="1:24" hidden="1" x14ac:dyDescent="0.25">
      <c r="B53" t="s">
        <v>203</v>
      </c>
      <c r="C53" t="s">
        <v>67</v>
      </c>
      <c r="D53" s="122">
        <v>44638</v>
      </c>
      <c r="E53" s="32">
        <v>3.2</v>
      </c>
      <c r="F53" t="s">
        <v>595</v>
      </c>
      <c r="G53" t="s">
        <v>800</v>
      </c>
      <c r="H53" t="s">
        <v>678</v>
      </c>
      <c r="I53" s="9">
        <v>36253.14</v>
      </c>
      <c r="J53" s="3">
        <f t="shared" si="3"/>
        <v>31902.763200000001</v>
      </c>
      <c r="K53" t="s">
        <v>17</v>
      </c>
      <c r="L53" s="5"/>
      <c r="M53" s="233">
        <v>44685</v>
      </c>
      <c r="O53" s="129">
        <f t="shared" si="5"/>
        <v>47</v>
      </c>
      <c r="P53" s="129" t="s">
        <v>1600</v>
      </c>
      <c r="Q53" s="129" t="str">
        <f t="shared" si="6"/>
        <v>47 dias</v>
      </c>
      <c r="S53" t="s">
        <v>656</v>
      </c>
      <c r="T53" s="14">
        <v>4.7222222222222221E-2</v>
      </c>
      <c r="U53" s="14">
        <v>0.29791666666666666</v>
      </c>
    </row>
    <row r="54" spans="1:24" hidden="1" x14ac:dyDescent="0.25">
      <c r="A54" s="116" t="s">
        <v>730</v>
      </c>
      <c r="B54" t="s">
        <v>728</v>
      </c>
      <c r="C54" t="s">
        <v>660</v>
      </c>
      <c r="D54" s="122">
        <v>44657</v>
      </c>
      <c r="E54" s="32">
        <v>3.2</v>
      </c>
      <c r="F54" t="s">
        <v>595</v>
      </c>
      <c r="G54" t="s">
        <v>733</v>
      </c>
      <c r="H54" t="s">
        <v>758</v>
      </c>
      <c r="I54" s="9">
        <v>36253.14</v>
      </c>
      <c r="J54" s="3">
        <f t="shared" si="3"/>
        <v>31902.763200000001</v>
      </c>
      <c r="K54" t="s">
        <v>17</v>
      </c>
      <c r="L54" s="5"/>
      <c r="M54" s="233">
        <v>44729</v>
      </c>
      <c r="O54" s="129">
        <f t="shared" si="5"/>
        <v>72</v>
      </c>
      <c r="P54" s="129" t="s">
        <v>1600</v>
      </c>
      <c r="Q54" s="129" t="str">
        <f t="shared" si="6"/>
        <v>72 dias</v>
      </c>
      <c r="S54" t="s">
        <v>652</v>
      </c>
      <c r="T54" s="14">
        <v>0.3125</v>
      </c>
      <c r="U54" s="14">
        <v>0.53749999999999998</v>
      </c>
      <c r="X54" t="s">
        <v>729</v>
      </c>
    </row>
    <row r="55" spans="1:24" hidden="1" x14ac:dyDescent="0.25">
      <c r="A55" s="116" t="s">
        <v>730</v>
      </c>
      <c r="B55" t="s">
        <v>728</v>
      </c>
      <c r="C55" t="s">
        <v>660</v>
      </c>
      <c r="D55" s="122">
        <v>44664</v>
      </c>
      <c r="E55" s="32">
        <v>3.2</v>
      </c>
      <c r="F55" t="s">
        <v>595</v>
      </c>
      <c r="G55" t="s">
        <v>780</v>
      </c>
      <c r="H55" t="s">
        <v>781</v>
      </c>
      <c r="I55" s="9">
        <v>36253.14</v>
      </c>
      <c r="J55" s="3">
        <f t="shared" si="3"/>
        <v>31902.763200000001</v>
      </c>
      <c r="K55" t="s">
        <v>17</v>
      </c>
      <c r="L55" s="5"/>
      <c r="M55" s="233">
        <v>44729</v>
      </c>
      <c r="O55" s="129">
        <f t="shared" si="5"/>
        <v>65</v>
      </c>
      <c r="P55" s="129" t="s">
        <v>1600</v>
      </c>
      <c r="Q55" s="129" t="str">
        <f t="shared" si="6"/>
        <v>65 dias</v>
      </c>
      <c r="S55" t="s">
        <v>652</v>
      </c>
      <c r="T55" s="14">
        <v>0.3125</v>
      </c>
      <c r="U55" s="14">
        <v>0.53749999999999998</v>
      </c>
      <c r="X55" t="s">
        <v>729</v>
      </c>
    </row>
    <row r="56" spans="1:24" hidden="1" x14ac:dyDescent="0.25">
      <c r="A56" s="115">
        <v>16042022</v>
      </c>
      <c r="B56" t="s">
        <v>728</v>
      </c>
      <c r="C56" t="s">
        <v>693</v>
      </c>
      <c r="D56" s="122">
        <v>44667</v>
      </c>
      <c r="E56" s="32">
        <v>3.2</v>
      </c>
      <c r="F56" t="s">
        <v>595</v>
      </c>
      <c r="G56" t="s">
        <v>782</v>
      </c>
      <c r="H56" t="s">
        <v>779</v>
      </c>
      <c r="I56" s="9">
        <v>36253.14</v>
      </c>
      <c r="J56" s="3">
        <f t="shared" si="3"/>
        <v>31902.763200000001</v>
      </c>
      <c r="K56" t="s">
        <v>17</v>
      </c>
      <c r="L56" s="5"/>
      <c r="M56" s="233">
        <v>44729</v>
      </c>
      <c r="O56" s="129">
        <f t="shared" si="5"/>
        <v>62</v>
      </c>
      <c r="P56" s="129" t="s">
        <v>1600</v>
      </c>
      <c r="Q56" s="129" t="str">
        <f t="shared" si="6"/>
        <v>62 dias</v>
      </c>
      <c r="S56" t="s">
        <v>652</v>
      </c>
      <c r="T56" s="14">
        <v>0.49583333333333335</v>
      </c>
      <c r="U56" s="14">
        <v>0.71458333333333324</v>
      </c>
    </row>
    <row r="57" spans="1:24" hidden="1" x14ac:dyDescent="0.25">
      <c r="A57" s="115">
        <v>31052022</v>
      </c>
      <c r="B57" t="s">
        <v>607</v>
      </c>
      <c r="C57" s="21" t="s">
        <v>693</v>
      </c>
      <c r="D57" s="122">
        <v>44712</v>
      </c>
      <c r="E57" s="32"/>
      <c r="F57" t="s">
        <v>207</v>
      </c>
      <c r="G57" t="s">
        <v>928</v>
      </c>
      <c r="H57" t="s">
        <v>912</v>
      </c>
      <c r="I57" s="9">
        <v>36253.14</v>
      </c>
      <c r="J57" s="3">
        <f t="shared" si="3"/>
        <v>31902.763200000001</v>
      </c>
      <c r="K57" t="s">
        <v>17</v>
      </c>
      <c r="M57" s="233">
        <v>44729</v>
      </c>
      <c r="N57" t="s">
        <v>1077</v>
      </c>
      <c r="O57" s="129">
        <f t="shared" si="5"/>
        <v>17</v>
      </c>
      <c r="P57" s="129" t="s">
        <v>1600</v>
      </c>
      <c r="Q57" s="129" t="str">
        <f t="shared" si="6"/>
        <v>17 dias</v>
      </c>
      <c r="S57" t="s">
        <v>876</v>
      </c>
      <c r="T57" s="14">
        <v>0.55138888888888882</v>
      </c>
    </row>
    <row r="58" spans="1:24" hidden="1" x14ac:dyDescent="0.25">
      <c r="A58" s="115">
        <v>24062022</v>
      </c>
      <c r="B58" s="169" t="s">
        <v>607</v>
      </c>
      <c r="C58" s="21" t="s">
        <v>693</v>
      </c>
      <c r="D58" s="122">
        <v>44736</v>
      </c>
      <c r="E58" s="32"/>
      <c r="F58" s="163" t="s">
        <v>595</v>
      </c>
      <c r="G58" s="163" t="s">
        <v>1000</v>
      </c>
      <c r="H58" t="s">
        <v>999</v>
      </c>
      <c r="I58" s="9">
        <v>36253.14</v>
      </c>
      <c r="J58" s="3">
        <f t="shared" si="3"/>
        <v>31902.763200000001</v>
      </c>
      <c r="K58" s="88" t="s">
        <v>17</v>
      </c>
      <c r="M58" s="233">
        <v>44768</v>
      </c>
      <c r="O58" s="129">
        <f t="shared" si="5"/>
        <v>32</v>
      </c>
      <c r="P58" s="129" t="s">
        <v>1600</v>
      </c>
      <c r="Q58" s="129" t="str">
        <f t="shared" si="6"/>
        <v>32 dias</v>
      </c>
      <c r="R58" s="163" t="s">
        <v>922</v>
      </c>
      <c r="S58" s="14">
        <v>0.29791666666666666</v>
      </c>
      <c r="T58" s="14">
        <v>0.51041666666666663</v>
      </c>
    </row>
    <row r="59" spans="1:24" hidden="1" x14ac:dyDescent="0.25">
      <c r="A59" s="116" t="s">
        <v>1006</v>
      </c>
      <c r="B59" s="169" t="s">
        <v>607</v>
      </c>
      <c r="C59" s="21" t="s">
        <v>410</v>
      </c>
      <c r="D59" s="122">
        <v>44747</v>
      </c>
      <c r="E59" s="32"/>
      <c r="F59" s="163" t="s">
        <v>1007</v>
      </c>
      <c r="G59" s="163" t="s">
        <v>1020</v>
      </c>
      <c r="H59" t="s">
        <v>1019</v>
      </c>
      <c r="I59" s="9">
        <v>36253.14</v>
      </c>
      <c r="J59" s="3">
        <f t="shared" si="3"/>
        <v>31902.763200000001</v>
      </c>
      <c r="K59" s="88" t="s">
        <v>17</v>
      </c>
      <c r="M59" s="233">
        <v>44777</v>
      </c>
      <c r="O59" s="129">
        <f t="shared" si="5"/>
        <v>30</v>
      </c>
      <c r="P59" s="129" t="s">
        <v>1600</v>
      </c>
      <c r="Q59" s="129" t="str">
        <f t="shared" si="6"/>
        <v>30 dias</v>
      </c>
      <c r="R59" s="163" t="s">
        <v>795</v>
      </c>
      <c r="S59" s="14">
        <v>0.28611111111111115</v>
      </c>
      <c r="T59" s="14">
        <v>0.51250000000000007</v>
      </c>
    </row>
    <row r="60" spans="1:24" hidden="1" x14ac:dyDescent="0.25">
      <c r="A60" s="116" t="s">
        <v>1078</v>
      </c>
      <c r="B60" s="169" t="s">
        <v>607</v>
      </c>
      <c r="C60" s="21" t="s">
        <v>693</v>
      </c>
      <c r="D60" s="122">
        <v>44775</v>
      </c>
      <c r="E60" s="32"/>
      <c r="F60" s="163" t="s">
        <v>1007</v>
      </c>
      <c r="G60" s="163" t="s">
        <v>1242</v>
      </c>
      <c r="H60" t="s">
        <v>1116</v>
      </c>
      <c r="I60" s="9">
        <v>36253.14</v>
      </c>
      <c r="J60" s="3">
        <f t="shared" si="3"/>
        <v>31902.763200000001</v>
      </c>
      <c r="K60" s="88" t="s">
        <v>17</v>
      </c>
      <c r="M60" s="233">
        <v>44777</v>
      </c>
      <c r="O60" s="129">
        <f t="shared" si="5"/>
        <v>2</v>
      </c>
      <c r="P60" s="129" t="s">
        <v>1600</v>
      </c>
      <c r="Q60" s="129" t="str">
        <f t="shared" si="6"/>
        <v>2 dias</v>
      </c>
      <c r="R60" s="163" t="s">
        <v>652</v>
      </c>
      <c r="S60" s="14">
        <v>0.30138888888888887</v>
      </c>
      <c r="T60" s="14"/>
    </row>
    <row r="61" spans="1:24" hidden="1" x14ac:dyDescent="0.25">
      <c r="A61" s="116">
        <v>14082022</v>
      </c>
      <c r="B61" s="169" t="s">
        <v>607</v>
      </c>
      <c r="C61" s="21" t="s">
        <v>693</v>
      </c>
      <c r="D61" s="123">
        <v>44787</v>
      </c>
      <c r="E61" s="88"/>
      <c r="F61" s="21" t="s">
        <v>1007</v>
      </c>
      <c r="G61" s="21" t="s">
        <v>1243</v>
      </c>
      <c r="H61" s="21" t="s">
        <v>1244</v>
      </c>
      <c r="I61" s="9">
        <v>36253.14</v>
      </c>
      <c r="J61" s="3">
        <f t="shared" si="3"/>
        <v>31902.763200000001</v>
      </c>
      <c r="K61" s="88" t="s">
        <v>17</v>
      </c>
      <c r="M61" s="233">
        <v>44917</v>
      </c>
      <c r="O61" s="129">
        <f t="shared" si="5"/>
        <v>130</v>
      </c>
      <c r="P61" s="129" t="s">
        <v>1600</v>
      </c>
      <c r="Q61" s="129" t="str">
        <f t="shared" si="6"/>
        <v>130 dias</v>
      </c>
      <c r="R61" s="163" t="s">
        <v>651</v>
      </c>
      <c r="S61" s="157">
        <v>0.30208333333333331</v>
      </c>
      <c r="T61" s="157">
        <v>0.59791666666666665</v>
      </c>
    </row>
    <row r="62" spans="1:24" hidden="1" x14ac:dyDescent="0.25">
      <c r="A62" s="116">
        <v>30082022</v>
      </c>
      <c r="B62" s="169" t="s">
        <v>607</v>
      </c>
      <c r="C62" s="169" t="s">
        <v>693</v>
      </c>
      <c r="D62" s="123">
        <v>44803</v>
      </c>
      <c r="E62" s="88"/>
      <c r="F62" s="21" t="s">
        <v>1007</v>
      </c>
      <c r="G62" s="21" t="s">
        <v>1189</v>
      </c>
      <c r="H62" t="s">
        <v>1192</v>
      </c>
      <c r="I62" s="9">
        <v>36253.14</v>
      </c>
      <c r="J62" s="3">
        <f t="shared" si="3"/>
        <v>31902.763200000001</v>
      </c>
      <c r="K62" s="88" t="s">
        <v>17</v>
      </c>
      <c r="M62" s="233">
        <v>44917</v>
      </c>
      <c r="O62" s="129">
        <f t="shared" si="5"/>
        <v>114</v>
      </c>
      <c r="P62" s="129" t="s">
        <v>1600</v>
      </c>
      <c r="Q62" s="129" t="str">
        <f t="shared" si="6"/>
        <v>114 dias</v>
      </c>
      <c r="R62" s="163" t="s">
        <v>916</v>
      </c>
      <c r="S62" s="157">
        <v>0.30069444444444443</v>
      </c>
      <c r="T62" s="157">
        <v>0.51597222222222217</v>
      </c>
    </row>
    <row r="63" spans="1:24" hidden="1" x14ac:dyDescent="0.25">
      <c r="A63" s="116">
        <v>30082022</v>
      </c>
      <c r="B63" s="169" t="s">
        <v>607</v>
      </c>
      <c r="C63" s="169" t="s">
        <v>410</v>
      </c>
      <c r="D63" s="123">
        <v>44803</v>
      </c>
      <c r="E63" s="88"/>
      <c r="F63" s="21" t="s">
        <v>1007</v>
      </c>
      <c r="G63" s="21" t="s">
        <v>1190</v>
      </c>
      <c r="H63" t="s">
        <v>1193</v>
      </c>
      <c r="I63" s="9">
        <v>36253.14</v>
      </c>
      <c r="J63" s="3">
        <f t="shared" si="3"/>
        <v>31902.763200000001</v>
      </c>
      <c r="K63" s="88" t="s">
        <v>17</v>
      </c>
      <c r="L63" s="2"/>
      <c r="M63" s="233">
        <v>44917</v>
      </c>
      <c r="O63" s="129">
        <f t="shared" si="5"/>
        <v>114</v>
      </c>
      <c r="P63" s="129" t="s">
        <v>1600</v>
      </c>
      <c r="Q63" s="129" t="str">
        <f t="shared" si="6"/>
        <v>114 dias</v>
      </c>
      <c r="R63" s="163" t="s">
        <v>893</v>
      </c>
      <c r="S63" s="157">
        <v>0.48749999999999999</v>
      </c>
      <c r="T63" s="157">
        <v>0.6972222222222223</v>
      </c>
    </row>
    <row r="64" spans="1:24" hidden="1" x14ac:dyDescent="0.25">
      <c r="A64" s="116" t="s">
        <v>1179</v>
      </c>
      <c r="B64" s="169" t="s">
        <v>607</v>
      </c>
      <c r="C64" s="169" t="s">
        <v>693</v>
      </c>
      <c r="D64" s="122">
        <v>44807</v>
      </c>
      <c r="E64" s="32"/>
      <c r="F64" s="21" t="s">
        <v>1007</v>
      </c>
      <c r="G64" s="163" t="s">
        <v>1191</v>
      </c>
      <c r="H64" t="s">
        <v>1194</v>
      </c>
      <c r="I64" s="9">
        <v>36253.14</v>
      </c>
      <c r="J64" s="3">
        <f t="shared" si="3"/>
        <v>31902.763200000001</v>
      </c>
      <c r="K64" s="88" t="s">
        <v>17</v>
      </c>
      <c r="L64">
        <v>44779</v>
      </c>
      <c r="M64" s="233">
        <v>44917</v>
      </c>
      <c r="O64" s="129">
        <f t="shared" si="5"/>
        <v>110</v>
      </c>
      <c r="P64" s="129" t="s">
        <v>1600</v>
      </c>
      <c r="Q64" s="129" t="str">
        <f t="shared" si="6"/>
        <v>110 dias</v>
      </c>
      <c r="R64" s="163" t="s">
        <v>893</v>
      </c>
      <c r="S64" s="193">
        <v>0.28958333333333336</v>
      </c>
      <c r="T64" s="157">
        <v>0.51527777777777783</v>
      </c>
    </row>
    <row r="65" spans="1:21" hidden="1" x14ac:dyDescent="0.25">
      <c r="A65" s="116" t="s">
        <v>1182</v>
      </c>
      <c r="B65" s="169" t="s">
        <v>607</v>
      </c>
      <c r="C65" s="169" t="s">
        <v>693</v>
      </c>
      <c r="D65" s="122">
        <v>44810</v>
      </c>
      <c r="E65" s="32"/>
      <c r="F65" t="s">
        <v>1007</v>
      </c>
      <c r="G65" s="163" t="s">
        <v>1210</v>
      </c>
      <c r="H65" t="s">
        <v>1218</v>
      </c>
      <c r="I65" s="9">
        <v>36253.14</v>
      </c>
      <c r="J65" s="3">
        <f t="shared" ref="J65:J96" si="7">+I65*0.88</f>
        <v>31902.763200000001</v>
      </c>
      <c r="K65" s="88" t="s">
        <v>17</v>
      </c>
      <c r="M65" s="233">
        <v>44917</v>
      </c>
      <c r="O65" s="129">
        <f t="shared" si="5"/>
        <v>107</v>
      </c>
      <c r="P65" s="129" t="s">
        <v>1600</v>
      </c>
      <c r="Q65" s="129" t="str">
        <f t="shared" si="6"/>
        <v>107 dias</v>
      </c>
      <c r="R65" s="163" t="s">
        <v>893</v>
      </c>
      <c r="S65" s="157">
        <v>0.50347222222222221</v>
      </c>
      <c r="T65" s="21"/>
    </row>
    <row r="66" spans="1:21" hidden="1" x14ac:dyDescent="0.25">
      <c r="A66" s="116" t="s">
        <v>1316</v>
      </c>
      <c r="B66" s="169" t="s">
        <v>607</v>
      </c>
      <c r="C66" s="30" t="s">
        <v>410</v>
      </c>
      <c r="D66" s="122">
        <v>44838</v>
      </c>
      <c r="E66" s="88"/>
      <c r="F66" t="s">
        <v>595</v>
      </c>
      <c r="G66" s="21" t="s">
        <v>1330</v>
      </c>
      <c r="H66" t="s">
        <v>1331</v>
      </c>
      <c r="I66" s="9">
        <v>36253.14</v>
      </c>
      <c r="J66" s="3">
        <f t="shared" si="7"/>
        <v>31902.763200000001</v>
      </c>
      <c r="K66" s="88" t="s">
        <v>17</v>
      </c>
      <c r="M66" s="233">
        <v>44917</v>
      </c>
      <c r="O66" s="129">
        <f t="shared" si="5"/>
        <v>79</v>
      </c>
      <c r="P66" s="129" t="s">
        <v>1600</v>
      </c>
      <c r="Q66" s="129" t="str">
        <f t="shared" si="6"/>
        <v>79 dias</v>
      </c>
      <c r="R66" s="21" t="s">
        <v>1225</v>
      </c>
      <c r="S66" s="157">
        <v>0.5395833333333333</v>
      </c>
      <c r="T66" s="157">
        <v>0.78611111111111109</v>
      </c>
    </row>
    <row r="67" spans="1:21" hidden="1" x14ac:dyDescent="0.25">
      <c r="A67" s="116">
        <v>22102022</v>
      </c>
      <c r="B67" s="169" t="s">
        <v>607</v>
      </c>
      <c r="C67" s="30" t="s">
        <v>410</v>
      </c>
      <c r="D67" s="122">
        <v>44856</v>
      </c>
      <c r="E67" s="88"/>
      <c r="F67" t="s">
        <v>595</v>
      </c>
      <c r="G67" s="21" t="s">
        <v>1425</v>
      </c>
      <c r="H67" t="s">
        <v>1426</v>
      </c>
      <c r="I67" s="9">
        <v>36253.14</v>
      </c>
      <c r="J67" s="3">
        <f t="shared" si="7"/>
        <v>31902.763200000001</v>
      </c>
      <c r="K67" s="88" t="s">
        <v>17</v>
      </c>
      <c r="M67" s="233">
        <v>44917</v>
      </c>
      <c r="O67" s="129">
        <f t="shared" si="5"/>
        <v>61</v>
      </c>
      <c r="P67" s="129" t="s">
        <v>1600</v>
      </c>
      <c r="Q67" s="129" t="str">
        <f t="shared" si="6"/>
        <v>61 dias</v>
      </c>
      <c r="R67" s="21" t="s">
        <v>916</v>
      </c>
      <c r="S67" s="157">
        <v>0.29097222222222224</v>
      </c>
      <c r="T67" s="157">
        <v>11.38</v>
      </c>
    </row>
    <row r="68" spans="1:21" hidden="1" x14ac:dyDescent="0.25">
      <c r="A68" s="116">
        <v>27102022</v>
      </c>
      <c r="B68" s="169" t="s">
        <v>607</v>
      </c>
      <c r="C68" s="169" t="s">
        <v>693</v>
      </c>
      <c r="D68" s="122">
        <v>44861</v>
      </c>
      <c r="E68" s="88"/>
      <c r="F68" t="s">
        <v>595</v>
      </c>
      <c r="G68" s="21" t="s">
        <v>1427</v>
      </c>
      <c r="H68" t="s">
        <v>1429</v>
      </c>
      <c r="I68" s="9">
        <v>36253.14</v>
      </c>
      <c r="J68" s="3">
        <f t="shared" si="7"/>
        <v>31902.763200000001</v>
      </c>
      <c r="K68" s="88" t="s">
        <v>17</v>
      </c>
      <c r="M68" s="233">
        <v>44917</v>
      </c>
      <c r="O68" s="129">
        <f t="shared" si="5"/>
        <v>56</v>
      </c>
      <c r="P68" s="129" t="s">
        <v>1600</v>
      </c>
      <c r="Q68" s="129" t="str">
        <f t="shared" si="6"/>
        <v>56 dias</v>
      </c>
      <c r="R68" s="21" t="s">
        <v>1042</v>
      </c>
      <c r="S68" s="157">
        <v>0.28958333333333336</v>
      </c>
      <c r="T68" s="157">
        <v>0.54166666666666663</v>
      </c>
    </row>
    <row r="69" spans="1:21" hidden="1" x14ac:dyDescent="0.25">
      <c r="A69" s="116">
        <v>30102022</v>
      </c>
      <c r="B69" s="169" t="s">
        <v>607</v>
      </c>
      <c r="C69" s="169" t="s">
        <v>693</v>
      </c>
      <c r="D69" s="122">
        <v>44864</v>
      </c>
      <c r="E69" s="88"/>
      <c r="F69" t="s">
        <v>595</v>
      </c>
      <c r="G69" s="21" t="s">
        <v>1428</v>
      </c>
      <c r="H69" t="s">
        <v>1430</v>
      </c>
      <c r="I69" s="9">
        <v>36253.14</v>
      </c>
      <c r="J69" s="3">
        <f t="shared" si="7"/>
        <v>31902.763200000001</v>
      </c>
      <c r="K69" s="88" t="s">
        <v>17</v>
      </c>
      <c r="M69" s="233">
        <v>44917</v>
      </c>
      <c r="O69" s="129">
        <f t="shared" si="5"/>
        <v>53</v>
      </c>
      <c r="P69" s="129" t="s">
        <v>1600</v>
      </c>
      <c r="Q69" s="129" t="str">
        <f t="shared" si="6"/>
        <v>53 dias</v>
      </c>
      <c r="R69" s="21" t="s">
        <v>1029</v>
      </c>
      <c r="S69" s="157">
        <v>0.31458333333333333</v>
      </c>
      <c r="T69" s="157">
        <v>0.54861111111111105</v>
      </c>
    </row>
    <row r="70" spans="1:21" hidden="1" x14ac:dyDescent="0.25">
      <c r="A70" s="116" t="s">
        <v>1439</v>
      </c>
      <c r="B70" s="169" t="s">
        <v>607</v>
      </c>
      <c r="C70" s="30" t="s">
        <v>410</v>
      </c>
      <c r="D70" s="122">
        <v>44870</v>
      </c>
      <c r="E70" s="88"/>
      <c r="F70" t="s">
        <v>595</v>
      </c>
      <c r="G70" s="21" t="s">
        <v>1453</v>
      </c>
      <c r="H70" t="s">
        <v>1454</v>
      </c>
      <c r="I70" s="9">
        <v>36253.14</v>
      </c>
      <c r="J70" s="3">
        <f t="shared" si="7"/>
        <v>31902.763200000001</v>
      </c>
      <c r="K70" s="88" t="s">
        <v>17</v>
      </c>
      <c r="M70" s="233">
        <v>44917</v>
      </c>
      <c r="O70" s="129">
        <f t="shared" si="5"/>
        <v>47</v>
      </c>
      <c r="P70" s="129" t="s">
        <v>1600</v>
      </c>
      <c r="Q70" s="129" t="str">
        <f t="shared" si="6"/>
        <v>47 dias</v>
      </c>
      <c r="R70" s="21" t="s">
        <v>922</v>
      </c>
      <c r="S70" s="157">
        <v>0.25138888888888888</v>
      </c>
      <c r="T70" s="157">
        <v>0.4604166666666667</v>
      </c>
    </row>
    <row r="71" spans="1:21" hidden="1" x14ac:dyDescent="0.25">
      <c r="A71" s="116" t="s">
        <v>1451</v>
      </c>
      <c r="B71" s="169" t="s">
        <v>607</v>
      </c>
      <c r="C71" s="30" t="s">
        <v>410</v>
      </c>
      <c r="D71" s="122">
        <v>44873</v>
      </c>
      <c r="E71" s="88"/>
      <c r="F71" t="s">
        <v>595</v>
      </c>
      <c r="G71" s="21" t="s">
        <v>1462</v>
      </c>
      <c r="H71" t="s">
        <v>1475</v>
      </c>
      <c r="I71" s="9">
        <v>36253.14</v>
      </c>
      <c r="J71" s="3">
        <f t="shared" si="7"/>
        <v>31902.763200000001</v>
      </c>
      <c r="K71" s="88" t="s">
        <v>17</v>
      </c>
      <c r="M71" s="233">
        <v>44917</v>
      </c>
      <c r="O71" s="129">
        <f t="shared" si="5"/>
        <v>44</v>
      </c>
      <c r="P71" s="129" t="s">
        <v>1600</v>
      </c>
      <c r="Q71" s="129" t="str">
        <f t="shared" si="6"/>
        <v>44 dias</v>
      </c>
      <c r="R71" s="21" t="s">
        <v>1225</v>
      </c>
      <c r="S71" s="157">
        <v>0.26874999999999999</v>
      </c>
      <c r="T71" s="157">
        <v>0.50972222222222219</v>
      </c>
    </row>
    <row r="72" spans="1:21" hidden="1" x14ac:dyDescent="0.25">
      <c r="A72" s="116">
        <v>13112022</v>
      </c>
      <c r="B72" s="169" t="s">
        <v>607</v>
      </c>
      <c r="C72" s="30" t="s">
        <v>410</v>
      </c>
      <c r="D72" s="122">
        <v>44878</v>
      </c>
      <c r="E72" s="88"/>
      <c r="F72" t="s">
        <v>1468</v>
      </c>
      <c r="G72" s="21" t="s">
        <v>1486</v>
      </c>
      <c r="H72" t="s">
        <v>1488</v>
      </c>
      <c r="I72" s="9">
        <v>36253.14</v>
      </c>
      <c r="J72" s="3">
        <f t="shared" si="7"/>
        <v>31902.763200000001</v>
      </c>
      <c r="K72" s="160" t="s">
        <v>17</v>
      </c>
      <c r="M72" s="233">
        <v>44917</v>
      </c>
      <c r="O72" s="129">
        <f t="shared" si="5"/>
        <v>39</v>
      </c>
      <c r="P72" s="129" t="s">
        <v>1600</v>
      </c>
      <c r="Q72" s="129" t="str">
        <f t="shared" si="6"/>
        <v>39 dias</v>
      </c>
      <c r="R72" s="21" t="s">
        <v>929</v>
      </c>
      <c r="S72" s="157">
        <v>0.25972222222222224</v>
      </c>
      <c r="T72" s="157">
        <v>0.4680555555555555</v>
      </c>
    </row>
    <row r="73" spans="1:21" hidden="1" x14ac:dyDescent="0.25">
      <c r="A73" s="116">
        <v>17112022</v>
      </c>
      <c r="B73" s="169" t="s">
        <v>607</v>
      </c>
      <c r="C73" s="30" t="s">
        <v>410</v>
      </c>
      <c r="D73" s="122">
        <v>44882</v>
      </c>
      <c r="E73" s="88"/>
      <c r="F73" t="s">
        <v>1468</v>
      </c>
      <c r="G73" s="21" t="s">
        <v>1496</v>
      </c>
      <c r="H73" t="s">
        <v>1514</v>
      </c>
      <c r="I73" s="9">
        <v>36253.14</v>
      </c>
      <c r="J73" s="3">
        <f t="shared" si="7"/>
        <v>31902.763200000001</v>
      </c>
      <c r="K73" s="160" t="s">
        <v>17</v>
      </c>
      <c r="M73" s="233">
        <v>44939</v>
      </c>
      <c r="O73" s="129">
        <f t="shared" si="5"/>
        <v>57</v>
      </c>
      <c r="P73" s="129" t="s">
        <v>1600</v>
      </c>
      <c r="Q73" s="129" t="str">
        <f t="shared" si="6"/>
        <v>57 dias</v>
      </c>
      <c r="R73" s="21" t="s">
        <v>916</v>
      </c>
      <c r="S73" s="157">
        <v>0.27847222222222223</v>
      </c>
      <c r="T73" s="157">
        <v>0.48194444444444445</v>
      </c>
    </row>
    <row r="74" spans="1:21" hidden="1" x14ac:dyDescent="0.25">
      <c r="A74" s="116">
        <v>24112022</v>
      </c>
      <c r="B74" s="169" t="s">
        <v>607</v>
      </c>
      <c r="C74" s="169" t="s">
        <v>693</v>
      </c>
      <c r="D74" s="122">
        <v>44889</v>
      </c>
      <c r="E74" s="88"/>
      <c r="F74" t="s">
        <v>595</v>
      </c>
      <c r="G74" s="21" t="s">
        <v>1513</v>
      </c>
      <c r="H74" t="s">
        <v>1523</v>
      </c>
      <c r="I74" s="9">
        <v>36253.14</v>
      </c>
      <c r="J74" s="3">
        <f t="shared" si="7"/>
        <v>31902.763200000001</v>
      </c>
      <c r="K74" s="160" t="s">
        <v>17</v>
      </c>
      <c r="M74" s="233">
        <v>44939</v>
      </c>
      <c r="O74" s="129">
        <f t="shared" si="5"/>
        <v>50</v>
      </c>
      <c r="P74" s="129" t="s">
        <v>1600</v>
      </c>
      <c r="Q74" s="129" t="str">
        <f t="shared" si="6"/>
        <v>50 dias</v>
      </c>
      <c r="R74" s="21" t="s">
        <v>893</v>
      </c>
      <c r="S74" s="157">
        <v>0.26111111111111113</v>
      </c>
      <c r="T74" s="157">
        <v>0.49652777777777773</v>
      </c>
    </row>
    <row r="75" spans="1:21" hidden="1" x14ac:dyDescent="0.25">
      <c r="A75" s="116">
        <v>28112022</v>
      </c>
      <c r="B75" s="169" t="s">
        <v>607</v>
      </c>
      <c r="C75" s="169" t="s">
        <v>693</v>
      </c>
      <c r="D75" s="122">
        <v>44893</v>
      </c>
      <c r="E75" s="88"/>
      <c r="F75" t="s">
        <v>595</v>
      </c>
      <c r="G75" s="21" t="s">
        <v>1512</v>
      </c>
      <c r="H75" t="s">
        <v>1524</v>
      </c>
      <c r="I75" s="9">
        <v>36253.14</v>
      </c>
      <c r="J75" s="3">
        <f t="shared" si="7"/>
        <v>31902.763200000001</v>
      </c>
      <c r="K75" s="160" t="s">
        <v>17</v>
      </c>
      <c r="M75" s="233">
        <v>44939</v>
      </c>
      <c r="O75" s="129">
        <f t="shared" si="5"/>
        <v>46</v>
      </c>
      <c r="P75" s="129" t="s">
        <v>1600</v>
      </c>
      <c r="Q75" s="129" t="str">
        <f t="shared" si="6"/>
        <v>46 dias</v>
      </c>
      <c r="R75" s="21" t="s">
        <v>989</v>
      </c>
      <c r="S75" s="157">
        <v>0.51597222222222217</v>
      </c>
      <c r="T75" s="157">
        <v>0.77986111111111101</v>
      </c>
    </row>
    <row r="76" spans="1:21" hidden="1" x14ac:dyDescent="0.25">
      <c r="A76" s="115">
        <v>11122022</v>
      </c>
      <c r="B76" t="s">
        <v>607</v>
      </c>
      <c r="C76" s="30" t="s">
        <v>27</v>
      </c>
      <c r="D76" s="122">
        <v>44906</v>
      </c>
      <c r="E76" s="88"/>
      <c r="F76" t="s">
        <v>595</v>
      </c>
      <c r="G76" s="21" t="s">
        <v>1596</v>
      </c>
      <c r="H76" t="s">
        <v>1597</v>
      </c>
      <c r="I76" s="9">
        <v>36253.14</v>
      </c>
      <c r="J76" s="3">
        <f t="shared" si="7"/>
        <v>31902.763200000001</v>
      </c>
      <c r="K76" s="160" t="s">
        <v>17</v>
      </c>
      <c r="M76" s="233">
        <v>44939</v>
      </c>
      <c r="O76" s="129">
        <f t="shared" si="5"/>
        <v>33</v>
      </c>
      <c r="P76" s="129" t="s">
        <v>1600</v>
      </c>
      <c r="Q76" s="129" t="str">
        <f t="shared" si="6"/>
        <v>33 dias</v>
      </c>
      <c r="R76" t="s">
        <v>694</v>
      </c>
      <c r="S76" s="157">
        <v>0.54097222222222219</v>
      </c>
      <c r="T76" s="157">
        <v>0.74305555555555547</v>
      </c>
    </row>
    <row r="77" spans="1:21" hidden="1" x14ac:dyDescent="0.25">
      <c r="A77" s="115">
        <v>27122022</v>
      </c>
      <c r="B77" t="s">
        <v>607</v>
      </c>
      <c r="C77" s="30" t="s">
        <v>27</v>
      </c>
      <c r="D77" s="122">
        <v>44922</v>
      </c>
      <c r="E77" s="88"/>
      <c r="F77" t="s">
        <v>595</v>
      </c>
      <c r="G77" s="21" t="s">
        <v>1655</v>
      </c>
      <c r="H77" t="s">
        <v>1662</v>
      </c>
      <c r="I77" s="9">
        <v>36253.14</v>
      </c>
      <c r="J77" s="3">
        <f t="shared" si="7"/>
        <v>31902.763200000001</v>
      </c>
      <c r="K77" s="160" t="s">
        <v>17</v>
      </c>
      <c r="M77" s="233">
        <v>44960</v>
      </c>
      <c r="O77" s="129">
        <f t="shared" si="5"/>
        <v>38</v>
      </c>
      <c r="S77" s="2" t="s">
        <v>1042</v>
      </c>
      <c r="T77" s="157">
        <v>0.41805555555555557</v>
      </c>
      <c r="U77" s="21"/>
    </row>
    <row r="78" spans="1:21" hidden="1" x14ac:dyDescent="0.25">
      <c r="A78" s="115">
        <v>29122022</v>
      </c>
      <c r="B78" t="s">
        <v>607</v>
      </c>
      <c r="C78" s="30" t="s">
        <v>27</v>
      </c>
      <c r="D78" s="122">
        <v>44924</v>
      </c>
      <c r="E78" s="88"/>
      <c r="F78" t="s">
        <v>595</v>
      </c>
      <c r="G78" s="21" t="s">
        <v>1661</v>
      </c>
      <c r="H78" t="s">
        <v>1663</v>
      </c>
      <c r="I78" s="9">
        <v>36253.14</v>
      </c>
      <c r="J78" s="3">
        <f t="shared" si="7"/>
        <v>31902.763200000001</v>
      </c>
      <c r="K78" s="160" t="s">
        <v>17</v>
      </c>
      <c r="M78" s="233">
        <v>44966</v>
      </c>
      <c r="S78" s="2" t="s">
        <v>922</v>
      </c>
      <c r="T78" s="157">
        <v>0.40972222222222227</v>
      </c>
      <c r="U78" s="21"/>
    </row>
    <row r="79" spans="1:21" hidden="1" x14ac:dyDescent="0.25">
      <c r="A79" s="95" t="s">
        <v>1725</v>
      </c>
      <c r="B79" t="s">
        <v>607</v>
      </c>
      <c r="C79" t="s">
        <v>410</v>
      </c>
      <c r="D79" s="122">
        <v>44929</v>
      </c>
      <c r="F79" t="s">
        <v>1468</v>
      </c>
      <c r="G79" t="s">
        <v>1731</v>
      </c>
      <c r="H79" t="s">
        <v>1733</v>
      </c>
      <c r="I79" s="9">
        <v>36253.14</v>
      </c>
      <c r="J79" s="3">
        <f t="shared" si="7"/>
        <v>31902.763200000001</v>
      </c>
      <c r="K79" s="160" t="s">
        <v>17</v>
      </c>
      <c r="M79" s="233">
        <v>44966</v>
      </c>
      <c r="S79" t="s">
        <v>929</v>
      </c>
      <c r="T79" s="14">
        <v>0.57986111111111105</v>
      </c>
    </row>
    <row r="80" spans="1:21" hidden="1" x14ac:dyDescent="0.25">
      <c r="A80" s="95" t="s">
        <v>1726</v>
      </c>
      <c r="B80" t="s">
        <v>607</v>
      </c>
      <c r="C80" t="s">
        <v>410</v>
      </c>
      <c r="D80" s="122">
        <v>44930</v>
      </c>
      <c r="F80" t="s">
        <v>595</v>
      </c>
      <c r="G80" t="s">
        <v>1732</v>
      </c>
      <c r="H80" t="s">
        <v>1734</v>
      </c>
      <c r="I80" s="9">
        <v>36253.14</v>
      </c>
      <c r="J80" s="3">
        <f t="shared" si="7"/>
        <v>31902.763200000001</v>
      </c>
      <c r="K80" s="160" t="s">
        <v>17</v>
      </c>
      <c r="M80" s="233">
        <v>44971</v>
      </c>
      <c r="S80" t="s">
        <v>1729</v>
      </c>
      <c r="T80" s="14"/>
    </row>
    <row r="81" spans="1:22" hidden="1" x14ac:dyDescent="0.25">
      <c r="A81" s="95" t="s">
        <v>1739</v>
      </c>
      <c r="B81" t="s">
        <v>607</v>
      </c>
      <c r="C81" t="s">
        <v>410</v>
      </c>
      <c r="D81" s="122">
        <v>44932</v>
      </c>
      <c r="F81" t="s">
        <v>595</v>
      </c>
      <c r="G81" t="s">
        <v>1747</v>
      </c>
      <c r="H81" t="s">
        <v>1748</v>
      </c>
      <c r="I81" s="9">
        <v>36253.14</v>
      </c>
      <c r="J81" s="3">
        <f t="shared" si="7"/>
        <v>31902.763200000001</v>
      </c>
      <c r="K81" s="88" t="s">
        <v>17</v>
      </c>
      <c r="M81" s="233">
        <v>44971</v>
      </c>
      <c r="S81" t="s">
        <v>1042</v>
      </c>
      <c r="T81" s="14">
        <v>0.32708333333333334</v>
      </c>
      <c r="U81" s="14">
        <v>0.52638888888888891</v>
      </c>
    </row>
    <row r="82" spans="1:22" hidden="1" x14ac:dyDescent="0.25">
      <c r="A82" s="246">
        <v>11012023</v>
      </c>
      <c r="B82" t="s">
        <v>607</v>
      </c>
      <c r="C82" s="169" t="s">
        <v>693</v>
      </c>
      <c r="D82" s="122">
        <v>44937</v>
      </c>
      <c r="F82" t="s">
        <v>595</v>
      </c>
      <c r="G82" t="s">
        <v>1782</v>
      </c>
      <c r="H82" t="s">
        <v>1783</v>
      </c>
      <c r="I82" s="9">
        <v>36253.14</v>
      </c>
      <c r="J82" s="3">
        <f t="shared" si="7"/>
        <v>31902.763200000001</v>
      </c>
      <c r="K82" s="88" t="s">
        <v>17</v>
      </c>
      <c r="M82" s="233">
        <v>45003</v>
      </c>
      <c r="S82" t="s">
        <v>1712</v>
      </c>
      <c r="T82" s="14">
        <v>0.56874999999999998</v>
      </c>
    </row>
    <row r="83" spans="1:22" hidden="1" x14ac:dyDescent="0.25">
      <c r="A83" s="246">
        <v>16012023</v>
      </c>
      <c r="B83" t="s">
        <v>607</v>
      </c>
      <c r="C83" t="s">
        <v>410</v>
      </c>
      <c r="D83" s="122">
        <v>44942</v>
      </c>
      <c r="F83" t="s">
        <v>595</v>
      </c>
      <c r="G83" t="s">
        <v>1784</v>
      </c>
      <c r="H83" t="s">
        <v>1785</v>
      </c>
      <c r="I83" s="9">
        <v>36253.14</v>
      </c>
      <c r="J83" s="3">
        <f t="shared" si="7"/>
        <v>31902.763200000001</v>
      </c>
      <c r="K83" s="88" t="s">
        <v>17</v>
      </c>
      <c r="M83" s="233">
        <v>45003</v>
      </c>
      <c r="S83" t="s">
        <v>1712</v>
      </c>
    </row>
    <row r="84" spans="1:22" hidden="1" x14ac:dyDescent="0.25">
      <c r="A84" s="246" t="s">
        <v>1813</v>
      </c>
      <c r="B84" t="s">
        <v>607</v>
      </c>
      <c r="C84" t="s">
        <v>410</v>
      </c>
      <c r="D84" s="122">
        <v>44959</v>
      </c>
      <c r="F84" t="s">
        <v>1930</v>
      </c>
      <c r="G84" t="s">
        <v>1828</v>
      </c>
      <c r="H84" t="s">
        <v>1841</v>
      </c>
      <c r="I84" s="9">
        <v>36253.14</v>
      </c>
      <c r="J84" s="3">
        <f t="shared" si="7"/>
        <v>31902.763200000001</v>
      </c>
      <c r="K84" s="88" t="s">
        <v>17</v>
      </c>
      <c r="M84" s="233">
        <v>45003</v>
      </c>
      <c r="S84" t="s">
        <v>922</v>
      </c>
      <c r="T84" s="14">
        <v>0.4465277777777778</v>
      </c>
    </row>
    <row r="85" spans="1:22" hidden="1" x14ac:dyDescent="0.25">
      <c r="A85" s="95" t="s">
        <v>1953</v>
      </c>
      <c r="B85" t="s">
        <v>607</v>
      </c>
      <c r="C85" t="s">
        <v>13</v>
      </c>
      <c r="D85" s="122">
        <v>44986</v>
      </c>
      <c r="F85" t="s">
        <v>1930</v>
      </c>
      <c r="G85" t="s">
        <v>1957</v>
      </c>
      <c r="H85" t="s">
        <v>1972</v>
      </c>
      <c r="I85" s="9">
        <v>36253.14</v>
      </c>
      <c r="J85" s="3">
        <f t="shared" si="7"/>
        <v>31902.763200000001</v>
      </c>
      <c r="K85" s="88" t="s">
        <v>17</v>
      </c>
      <c r="M85" s="233">
        <v>45021</v>
      </c>
      <c r="S85" t="s">
        <v>1225</v>
      </c>
      <c r="T85" s="14">
        <v>0.56111111111111112</v>
      </c>
      <c r="U85" s="14">
        <v>0.75486111111111109</v>
      </c>
    </row>
    <row r="86" spans="1:22" hidden="1" x14ac:dyDescent="0.25">
      <c r="A86" s="95" t="s">
        <v>2011</v>
      </c>
      <c r="B86" t="s">
        <v>607</v>
      </c>
      <c r="C86" t="s">
        <v>410</v>
      </c>
      <c r="D86" s="122">
        <v>44994</v>
      </c>
      <c r="F86" t="s">
        <v>1930</v>
      </c>
      <c r="G86" t="s">
        <v>2024</v>
      </c>
      <c r="H86" t="s">
        <v>2025</v>
      </c>
      <c r="I86" s="9">
        <v>36253.14</v>
      </c>
      <c r="J86" s="3">
        <f t="shared" si="7"/>
        <v>31902.763200000001</v>
      </c>
      <c r="K86" s="160" t="s">
        <v>17</v>
      </c>
      <c r="M86" s="233">
        <v>45021</v>
      </c>
      <c r="S86" t="s">
        <v>1644</v>
      </c>
      <c r="T86" s="14"/>
    </row>
    <row r="87" spans="1:22" ht="15.95" hidden="1" customHeight="1" x14ac:dyDescent="0.25">
      <c r="A87" s="256">
        <v>16032023</v>
      </c>
      <c r="B87" t="s">
        <v>607</v>
      </c>
      <c r="C87" t="s">
        <v>410</v>
      </c>
      <c r="D87" s="122">
        <v>45001</v>
      </c>
      <c r="F87" t="s">
        <v>1930</v>
      </c>
      <c r="G87" t="s">
        <v>2038</v>
      </c>
      <c r="H87" t="s">
        <v>2039</v>
      </c>
      <c r="I87" s="9">
        <v>36253.14</v>
      </c>
      <c r="J87" s="3">
        <f t="shared" si="7"/>
        <v>31902.763200000001</v>
      </c>
      <c r="K87" s="160" t="s">
        <v>17</v>
      </c>
      <c r="M87" s="233">
        <v>45021</v>
      </c>
      <c r="S87" t="s">
        <v>916</v>
      </c>
      <c r="T87" s="14">
        <v>0.30694444444444441</v>
      </c>
      <c r="U87" s="14">
        <v>0.4909722222222222</v>
      </c>
    </row>
    <row r="88" spans="1:22" hidden="1" x14ac:dyDescent="0.25">
      <c r="A88" s="256">
        <v>21032023</v>
      </c>
      <c r="B88" t="s">
        <v>607</v>
      </c>
      <c r="C88" t="s">
        <v>693</v>
      </c>
      <c r="D88" s="122">
        <v>45006</v>
      </c>
      <c r="F88" t="s">
        <v>1930</v>
      </c>
      <c r="G88" t="s">
        <v>2046</v>
      </c>
      <c r="H88" t="s">
        <v>2070</v>
      </c>
      <c r="I88" s="9">
        <v>36253.14</v>
      </c>
      <c r="J88" s="3">
        <f t="shared" si="7"/>
        <v>31902.763200000001</v>
      </c>
      <c r="K88" s="88" t="s">
        <v>17</v>
      </c>
      <c r="M88" s="233">
        <v>45021</v>
      </c>
      <c r="S88" t="s">
        <v>1029</v>
      </c>
      <c r="T88" s="14">
        <v>0.31736111111111115</v>
      </c>
      <c r="U88" s="14">
        <v>0.54583333333333328</v>
      </c>
    </row>
    <row r="89" spans="1:22" hidden="1" x14ac:dyDescent="0.25">
      <c r="A89" s="256">
        <v>23032023</v>
      </c>
      <c r="B89" t="s">
        <v>607</v>
      </c>
      <c r="D89" s="122">
        <v>45008</v>
      </c>
      <c r="F89" t="s">
        <v>1930</v>
      </c>
      <c r="G89" t="s">
        <v>2113</v>
      </c>
      <c r="H89" t="s">
        <v>2114</v>
      </c>
      <c r="I89" s="9">
        <v>36253.14</v>
      </c>
      <c r="J89" s="3">
        <f t="shared" si="7"/>
        <v>31902.763200000001</v>
      </c>
      <c r="K89" s="88" t="s">
        <v>17</v>
      </c>
      <c r="L89" s="88"/>
      <c r="M89" s="233">
        <v>45029</v>
      </c>
      <c r="T89" t="s">
        <v>1816</v>
      </c>
      <c r="U89" s="14">
        <v>0.55069444444444449</v>
      </c>
      <c r="V89" s="14"/>
    </row>
    <row r="90" spans="1:22" hidden="1" x14ac:dyDescent="0.25">
      <c r="A90" s="95" t="s">
        <v>1995</v>
      </c>
      <c r="B90" t="s">
        <v>607</v>
      </c>
      <c r="C90" t="s">
        <v>693</v>
      </c>
      <c r="D90" s="122">
        <v>45023</v>
      </c>
      <c r="F90" t="s">
        <v>1930</v>
      </c>
      <c r="G90" t="s">
        <v>2207</v>
      </c>
      <c r="H90" t="s">
        <v>2217</v>
      </c>
      <c r="I90" s="9">
        <v>36253.14</v>
      </c>
      <c r="J90" s="3">
        <f t="shared" si="7"/>
        <v>31902.763200000001</v>
      </c>
      <c r="K90" s="88" t="s">
        <v>17</v>
      </c>
      <c r="L90" s="88"/>
      <c r="M90" s="233">
        <v>45058</v>
      </c>
      <c r="T90" t="s">
        <v>916</v>
      </c>
      <c r="U90" s="14">
        <v>0.27361111111111108</v>
      </c>
      <c r="V90" s="14">
        <v>0.9784722222222223</v>
      </c>
    </row>
    <row r="91" spans="1:22" ht="13.5" hidden="1" customHeight="1" x14ac:dyDescent="0.25">
      <c r="A91" s="256">
        <v>22042023</v>
      </c>
      <c r="B91" t="s">
        <v>607</v>
      </c>
      <c r="C91" t="s">
        <v>410</v>
      </c>
      <c r="D91" s="122">
        <v>45038</v>
      </c>
      <c r="F91" s="28" t="s">
        <v>1930</v>
      </c>
      <c r="G91" s="30" t="s">
        <v>2266</v>
      </c>
      <c r="H91" t="s">
        <v>2265</v>
      </c>
      <c r="I91" s="9">
        <v>36253.14</v>
      </c>
      <c r="J91" s="3">
        <f t="shared" si="7"/>
        <v>31902.763200000001</v>
      </c>
      <c r="K91" t="s">
        <v>17</v>
      </c>
      <c r="L91" s="88"/>
      <c r="M91" s="233">
        <v>45058</v>
      </c>
      <c r="T91" t="s">
        <v>1656</v>
      </c>
      <c r="U91" s="14">
        <v>0.55277777777777781</v>
      </c>
      <c r="V91" s="14">
        <v>0.74722222222222223</v>
      </c>
    </row>
    <row r="92" spans="1:22" hidden="1" x14ac:dyDescent="0.25">
      <c r="A92" s="256">
        <v>27042023</v>
      </c>
      <c r="B92" t="s">
        <v>607</v>
      </c>
      <c r="C92" t="s">
        <v>410</v>
      </c>
      <c r="D92" s="122">
        <v>45043</v>
      </c>
      <c r="F92" s="28" t="s">
        <v>1930</v>
      </c>
      <c r="G92" s="30" t="s">
        <v>2295</v>
      </c>
      <c r="H92" t="s">
        <v>2307</v>
      </c>
      <c r="I92" s="9">
        <v>36253.14</v>
      </c>
      <c r="J92" s="3">
        <f t="shared" si="7"/>
        <v>31902.763200000001</v>
      </c>
      <c r="K92" t="s">
        <v>17</v>
      </c>
      <c r="L92" s="88"/>
      <c r="M92" s="233">
        <v>45072</v>
      </c>
      <c r="T92" t="s">
        <v>929</v>
      </c>
      <c r="U92" s="14">
        <v>0.23402777777777781</v>
      </c>
      <c r="V92" s="14">
        <v>0.46388888888888885</v>
      </c>
    </row>
    <row r="93" spans="1:22" hidden="1" x14ac:dyDescent="0.25">
      <c r="A93" s="256" t="s">
        <v>2347</v>
      </c>
      <c r="B93" t="s">
        <v>607</v>
      </c>
      <c r="C93" s="30">
        <v>828</v>
      </c>
      <c r="D93" s="122">
        <v>45055</v>
      </c>
      <c r="F93" s="28" t="s">
        <v>207</v>
      </c>
      <c r="G93" s="357" t="s">
        <v>2354</v>
      </c>
      <c r="H93" t="s">
        <v>2357</v>
      </c>
      <c r="I93" s="9">
        <v>36253.14</v>
      </c>
      <c r="J93" s="3">
        <f t="shared" si="7"/>
        <v>31902.763200000001</v>
      </c>
      <c r="K93" t="s">
        <v>17</v>
      </c>
      <c r="L93" s="88"/>
      <c r="M93" s="233">
        <v>45072</v>
      </c>
      <c r="T93" t="s">
        <v>1317</v>
      </c>
      <c r="U93" s="14">
        <v>0.60069444444444442</v>
      </c>
      <c r="V93" s="14">
        <v>0.88194444444444453</v>
      </c>
    </row>
    <row r="94" spans="1:22" hidden="1" x14ac:dyDescent="0.25">
      <c r="A94" s="256">
        <v>11052023</v>
      </c>
      <c r="B94" t="s">
        <v>607</v>
      </c>
      <c r="C94" t="s">
        <v>693</v>
      </c>
      <c r="D94" s="122">
        <v>45057</v>
      </c>
      <c r="F94" s="28" t="s">
        <v>207</v>
      </c>
      <c r="G94" s="30" t="s">
        <v>2376</v>
      </c>
      <c r="H94" t="s">
        <v>2377</v>
      </c>
      <c r="I94" s="9">
        <v>36253.14</v>
      </c>
      <c r="J94" s="3">
        <f t="shared" si="7"/>
        <v>31902.763200000001</v>
      </c>
      <c r="K94" t="s">
        <v>17</v>
      </c>
      <c r="L94" s="88"/>
      <c r="M94" s="233">
        <v>45112</v>
      </c>
      <c r="T94" t="s">
        <v>1644</v>
      </c>
      <c r="U94" s="14"/>
      <c r="V94" s="14"/>
    </row>
    <row r="95" spans="1:22" hidden="1" x14ac:dyDescent="0.25">
      <c r="A95" s="256">
        <v>19052023</v>
      </c>
      <c r="B95" t="s">
        <v>607</v>
      </c>
      <c r="C95" t="s">
        <v>693</v>
      </c>
      <c r="D95" s="122">
        <v>45065</v>
      </c>
      <c r="F95" s="28" t="s">
        <v>207</v>
      </c>
      <c r="G95" s="30" t="s">
        <v>2399</v>
      </c>
      <c r="H95" t="s">
        <v>2400</v>
      </c>
      <c r="I95" s="9">
        <v>36253.14</v>
      </c>
      <c r="J95" s="3">
        <f t="shared" si="7"/>
        <v>31902.763200000001</v>
      </c>
      <c r="K95" t="s">
        <v>17</v>
      </c>
      <c r="L95" s="88"/>
      <c r="M95" s="233">
        <v>45133</v>
      </c>
      <c r="T95" t="s">
        <v>1506</v>
      </c>
      <c r="U95" s="14">
        <v>0.36944444444444446</v>
      </c>
      <c r="V95" s="14"/>
    </row>
    <row r="96" spans="1:22" hidden="1" x14ac:dyDescent="0.25">
      <c r="A96" s="256">
        <v>19052023</v>
      </c>
      <c r="B96" t="s">
        <v>607</v>
      </c>
      <c r="C96" t="s">
        <v>410</v>
      </c>
      <c r="D96" s="122">
        <v>45065</v>
      </c>
      <c r="F96" s="28" t="s">
        <v>207</v>
      </c>
      <c r="G96" s="30" t="s">
        <v>2404</v>
      </c>
      <c r="H96" t="s">
        <v>2402</v>
      </c>
      <c r="I96" s="9">
        <v>36253.14</v>
      </c>
      <c r="J96" s="3">
        <f t="shared" si="7"/>
        <v>31902.763200000001</v>
      </c>
      <c r="K96" t="s">
        <v>17</v>
      </c>
      <c r="L96" s="88"/>
      <c r="M96" s="233">
        <v>45133</v>
      </c>
      <c r="T96" t="s">
        <v>893</v>
      </c>
      <c r="U96" s="14">
        <v>0.27013888888888887</v>
      </c>
      <c r="V96" s="14">
        <v>0.43055555555555558</v>
      </c>
    </row>
    <row r="97" spans="1:22" hidden="1" x14ac:dyDescent="0.25">
      <c r="A97" s="256">
        <v>20052023</v>
      </c>
      <c r="B97" t="s">
        <v>607</v>
      </c>
      <c r="C97" t="s">
        <v>410</v>
      </c>
      <c r="D97" s="122">
        <v>45066</v>
      </c>
      <c r="F97" s="28" t="s">
        <v>207</v>
      </c>
      <c r="G97" s="30" t="s">
        <v>2403</v>
      </c>
      <c r="H97" t="s">
        <v>2401</v>
      </c>
      <c r="I97" s="9">
        <v>36253.14</v>
      </c>
      <c r="J97" s="3">
        <f t="shared" ref="J97:J128" si="8">+I97*0.88</f>
        <v>31902.763200000001</v>
      </c>
      <c r="K97" t="s">
        <v>17</v>
      </c>
      <c r="L97" s="88"/>
      <c r="M97" s="233">
        <v>45133</v>
      </c>
      <c r="T97" t="s">
        <v>922</v>
      </c>
      <c r="U97" s="14">
        <v>0.22500000000000001</v>
      </c>
      <c r="V97" s="14">
        <v>0.4597222222222222</v>
      </c>
    </row>
    <row r="98" spans="1:22" hidden="1" x14ac:dyDescent="0.25">
      <c r="A98" s="256">
        <v>24052023</v>
      </c>
      <c r="B98" t="s">
        <v>607</v>
      </c>
      <c r="C98" t="s">
        <v>693</v>
      </c>
      <c r="D98" s="122">
        <v>45070</v>
      </c>
      <c r="F98" s="28" t="s">
        <v>207</v>
      </c>
      <c r="G98" s="30" t="s">
        <v>2473</v>
      </c>
      <c r="H98" t="s">
        <v>2472</v>
      </c>
      <c r="I98" s="9">
        <v>36253.14</v>
      </c>
      <c r="J98" s="3">
        <f t="shared" si="8"/>
        <v>31902.763200000001</v>
      </c>
      <c r="K98" t="s">
        <v>17</v>
      </c>
      <c r="L98" s="88"/>
      <c r="M98" s="233">
        <v>45133</v>
      </c>
      <c r="T98" t="s">
        <v>1029</v>
      </c>
      <c r="U98" s="204">
        <v>0.25416666666666665</v>
      </c>
      <c r="V98" s="14"/>
    </row>
    <row r="99" spans="1:22" hidden="1" x14ac:dyDescent="0.25">
      <c r="A99" s="256">
        <v>10062023</v>
      </c>
      <c r="B99" t="s">
        <v>607</v>
      </c>
      <c r="C99" t="s">
        <v>693</v>
      </c>
      <c r="D99" s="122">
        <v>45087</v>
      </c>
      <c r="F99" s="28" t="s">
        <v>207</v>
      </c>
      <c r="G99" s="30" t="s">
        <v>2503</v>
      </c>
      <c r="H99" s="30" t="s">
        <v>2504</v>
      </c>
      <c r="I99" s="9">
        <v>36253.14</v>
      </c>
      <c r="J99" s="3">
        <f t="shared" si="8"/>
        <v>31902.763200000001</v>
      </c>
      <c r="K99" t="s">
        <v>17</v>
      </c>
      <c r="L99" s="30"/>
      <c r="M99" s="233">
        <v>45140</v>
      </c>
      <c r="T99" t="s">
        <v>922</v>
      </c>
      <c r="U99" s="14">
        <v>0.3979166666666667</v>
      </c>
      <c r="V99" s="14">
        <v>0.62361111111111112</v>
      </c>
    </row>
    <row r="100" spans="1:22" hidden="1" x14ac:dyDescent="0.25">
      <c r="A100" s="256">
        <v>30062023</v>
      </c>
      <c r="B100" t="s">
        <v>607</v>
      </c>
      <c r="C100" t="s">
        <v>13</v>
      </c>
      <c r="D100" s="122">
        <v>45107</v>
      </c>
      <c r="F100" s="28" t="s">
        <v>207</v>
      </c>
      <c r="G100" t="s">
        <v>2583</v>
      </c>
      <c r="H100" t="s">
        <v>2585</v>
      </c>
      <c r="I100" s="9">
        <v>36253.14</v>
      </c>
      <c r="J100" s="3">
        <f t="shared" si="8"/>
        <v>31902.763200000001</v>
      </c>
      <c r="K100" t="s">
        <v>17</v>
      </c>
      <c r="L100" s="176"/>
      <c r="M100" s="233">
        <v>45152</v>
      </c>
      <c r="T100" s="14" t="s">
        <v>929</v>
      </c>
      <c r="U100" s="14">
        <v>0.25486111111111109</v>
      </c>
    </row>
    <row r="101" spans="1:22" hidden="1" x14ac:dyDescent="0.25">
      <c r="A101" s="256">
        <v>11072023</v>
      </c>
      <c r="B101" t="s">
        <v>607</v>
      </c>
      <c r="C101" t="s">
        <v>13</v>
      </c>
      <c r="D101" s="122">
        <v>45118</v>
      </c>
      <c r="F101" s="28" t="s">
        <v>207</v>
      </c>
      <c r="G101" s="30" t="s">
        <v>2619</v>
      </c>
      <c r="H101" t="s">
        <v>2618</v>
      </c>
      <c r="I101" s="9">
        <v>36253.14</v>
      </c>
      <c r="J101" s="3">
        <f t="shared" si="8"/>
        <v>31902.763200000001</v>
      </c>
      <c r="K101" t="s">
        <v>17</v>
      </c>
      <c r="L101" s="32"/>
      <c r="M101" s="233">
        <v>45166</v>
      </c>
      <c r="T101" s="14" t="s">
        <v>1644</v>
      </c>
      <c r="U101" s="14">
        <v>0.33819444444444446</v>
      </c>
      <c r="V101" s="14">
        <v>0.6020833333333333</v>
      </c>
    </row>
    <row r="102" spans="1:22" hidden="1" x14ac:dyDescent="0.25">
      <c r="A102" s="256">
        <v>28072023</v>
      </c>
      <c r="B102" t="s">
        <v>607</v>
      </c>
      <c r="C102" t="s">
        <v>410</v>
      </c>
      <c r="D102" s="122">
        <v>45135</v>
      </c>
      <c r="F102" s="28" t="s">
        <v>207</v>
      </c>
      <c r="G102" s="30" t="s">
        <v>2685</v>
      </c>
      <c r="H102" t="s">
        <v>2714</v>
      </c>
      <c r="I102" s="9">
        <v>36253.14</v>
      </c>
      <c r="J102" s="3">
        <f t="shared" si="8"/>
        <v>31902.763200000001</v>
      </c>
      <c r="K102" t="s">
        <v>17</v>
      </c>
      <c r="L102" s="32"/>
      <c r="M102" s="233">
        <v>45177</v>
      </c>
      <c r="T102" s="14" t="s">
        <v>922</v>
      </c>
      <c r="U102" s="14">
        <v>0.56041666666666667</v>
      </c>
      <c r="V102" s="14">
        <v>0.7729166666666667</v>
      </c>
    </row>
    <row r="103" spans="1:22" hidden="1" x14ac:dyDescent="0.25">
      <c r="A103" s="256" t="s">
        <v>2718</v>
      </c>
      <c r="B103" t="s">
        <v>2719</v>
      </c>
      <c r="C103" t="s">
        <v>13</v>
      </c>
      <c r="D103" s="122">
        <v>45143</v>
      </c>
      <c r="F103" s="28" t="s">
        <v>207</v>
      </c>
      <c r="G103" s="30" t="s">
        <v>2728</v>
      </c>
      <c r="H103" s="30" t="s">
        <v>2737</v>
      </c>
      <c r="I103" s="9">
        <v>36253.14</v>
      </c>
      <c r="J103" s="3">
        <f t="shared" si="8"/>
        <v>31902.763200000001</v>
      </c>
      <c r="K103" t="s">
        <v>17</v>
      </c>
      <c r="L103" s="32"/>
      <c r="M103" s="233">
        <v>45205</v>
      </c>
      <c r="T103" s="14" t="s">
        <v>922</v>
      </c>
      <c r="U103" s="14">
        <v>0.24722222222222223</v>
      </c>
      <c r="V103" s="14">
        <v>0.58680555555555558</v>
      </c>
    </row>
    <row r="104" spans="1:22" s="30" customFormat="1" hidden="1" x14ac:dyDescent="0.25">
      <c r="A104" s="256">
        <v>19082023</v>
      </c>
      <c r="B104" s="30" t="s">
        <v>2719</v>
      </c>
      <c r="C104" s="30" t="s">
        <v>410</v>
      </c>
      <c r="D104" s="374">
        <v>45157</v>
      </c>
      <c r="F104" s="28" t="s">
        <v>207</v>
      </c>
      <c r="G104" s="30" t="s">
        <v>2814</v>
      </c>
      <c r="H104" s="30" t="s">
        <v>2815</v>
      </c>
      <c r="I104" s="9">
        <v>36253.14</v>
      </c>
      <c r="J104" s="3">
        <f t="shared" si="8"/>
        <v>31902.763200000001</v>
      </c>
      <c r="K104" t="s">
        <v>17</v>
      </c>
      <c r="L104" s="236"/>
      <c r="M104" s="233">
        <v>45205</v>
      </c>
      <c r="T104" s="360" t="s">
        <v>916</v>
      </c>
      <c r="U104" s="360">
        <v>0.27499999999999997</v>
      </c>
      <c r="V104" s="360">
        <v>0.4861111111111111</v>
      </c>
    </row>
    <row r="105" spans="1:22" hidden="1" x14ac:dyDescent="0.25">
      <c r="A105" s="95">
        <v>18092023</v>
      </c>
      <c r="B105" t="s">
        <v>607</v>
      </c>
      <c r="C105" t="s">
        <v>13</v>
      </c>
      <c r="D105" s="122">
        <v>45187</v>
      </c>
      <c r="F105" s="28" t="s">
        <v>207</v>
      </c>
      <c r="G105" s="30" t="s">
        <v>2937</v>
      </c>
      <c r="H105" t="s">
        <v>2944</v>
      </c>
      <c r="I105" s="9">
        <v>36253.14</v>
      </c>
      <c r="J105" s="3">
        <f t="shared" si="8"/>
        <v>31902.763200000001</v>
      </c>
      <c r="K105" t="s">
        <v>17</v>
      </c>
      <c r="L105" s="414"/>
      <c r="M105" s="233">
        <v>45224</v>
      </c>
      <c r="T105" s="14" t="s">
        <v>922</v>
      </c>
      <c r="U105" s="14">
        <v>0.29166666666666669</v>
      </c>
      <c r="V105" s="14">
        <v>0.54999999999999993</v>
      </c>
    </row>
    <row r="106" spans="1:22" hidden="1" x14ac:dyDescent="0.25">
      <c r="A106" s="256">
        <v>23092023</v>
      </c>
      <c r="B106" t="s">
        <v>607</v>
      </c>
      <c r="C106" t="s">
        <v>13</v>
      </c>
      <c r="D106" s="122">
        <v>45192</v>
      </c>
      <c r="F106" s="28" t="s">
        <v>207</v>
      </c>
      <c r="G106" s="30" t="s">
        <v>2950</v>
      </c>
      <c r="H106" s="30" t="s">
        <v>2951</v>
      </c>
      <c r="I106" s="9">
        <v>36253.14</v>
      </c>
      <c r="J106" s="3">
        <f t="shared" si="8"/>
        <v>31902.763200000001</v>
      </c>
      <c r="K106" t="s">
        <v>17</v>
      </c>
      <c r="L106" s="88"/>
      <c r="M106" s="233">
        <v>45233</v>
      </c>
      <c r="T106" s="14" t="s">
        <v>1816</v>
      </c>
      <c r="U106" s="14">
        <v>0.2590277777777778</v>
      </c>
      <c r="V106" s="14">
        <v>0.46597222222222223</v>
      </c>
    </row>
    <row r="107" spans="1:22" hidden="1" x14ac:dyDescent="0.25">
      <c r="A107" s="256">
        <v>25092023</v>
      </c>
      <c r="B107" t="s">
        <v>607</v>
      </c>
      <c r="C107" t="s">
        <v>13</v>
      </c>
      <c r="D107" s="122">
        <v>45194</v>
      </c>
      <c r="F107" s="28" t="s">
        <v>207</v>
      </c>
      <c r="G107" s="30" t="s">
        <v>2949</v>
      </c>
      <c r="H107" s="30" t="s">
        <v>2952</v>
      </c>
      <c r="I107" s="9">
        <v>36253.14</v>
      </c>
      <c r="J107" s="3">
        <f t="shared" si="8"/>
        <v>31902.763200000001</v>
      </c>
      <c r="K107" t="s">
        <v>17</v>
      </c>
      <c r="L107" s="88"/>
      <c r="M107" s="233">
        <v>45250</v>
      </c>
      <c r="T107" s="14" t="s">
        <v>2050</v>
      </c>
      <c r="U107" s="14">
        <v>0.26527777777777778</v>
      </c>
      <c r="V107" s="14">
        <v>0.4861111111111111</v>
      </c>
    </row>
    <row r="108" spans="1:22" hidden="1" x14ac:dyDescent="0.25">
      <c r="A108" s="95">
        <v>29092023</v>
      </c>
      <c r="B108" t="s">
        <v>607</v>
      </c>
      <c r="C108" t="s">
        <v>410</v>
      </c>
      <c r="D108" s="122">
        <v>45198</v>
      </c>
      <c r="F108" s="28" t="s">
        <v>207</v>
      </c>
      <c r="G108" t="s">
        <v>3013</v>
      </c>
      <c r="H108" t="s">
        <v>3014</v>
      </c>
      <c r="I108" s="9">
        <v>36253.14</v>
      </c>
      <c r="J108" s="3">
        <f t="shared" si="8"/>
        <v>31902.763200000001</v>
      </c>
      <c r="K108" t="s">
        <v>17</v>
      </c>
      <c r="L108" s="414"/>
      <c r="M108" s="233">
        <v>45258</v>
      </c>
      <c r="T108" s="14" t="s">
        <v>916</v>
      </c>
      <c r="U108" s="14">
        <v>0.34513888888888888</v>
      </c>
      <c r="V108" s="14"/>
    </row>
    <row r="109" spans="1:22" hidden="1" x14ac:dyDescent="0.25">
      <c r="A109" s="256">
        <v>22102023</v>
      </c>
      <c r="B109" t="s">
        <v>607</v>
      </c>
      <c r="C109" t="s">
        <v>13</v>
      </c>
      <c r="D109" s="122">
        <v>45221</v>
      </c>
      <c r="F109" s="28" t="s">
        <v>207</v>
      </c>
      <c r="G109" s="30" t="s">
        <v>3105</v>
      </c>
      <c r="H109" s="30" t="s">
        <v>3106</v>
      </c>
      <c r="I109" s="9">
        <v>36253.14</v>
      </c>
      <c r="J109" s="3">
        <f t="shared" si="8"/>
        <v>31902.763200000001</v>
      </c>
      <c r="K109" t="s">
        <v>297</v>
      </c>
      <c r="L109" s="88"/>
      <c r="M109" s="233">
        <v>45265</v>
      </c>
      <c r="T109" s="14" t="s">
        <v>1656</v>
      </c>
      <c r="U109" s="14">
        <v>0.44375000000000003</v>
      </c>
      <c r="V109" s="14">
        <v>0.6430555555555556</v>
      </c>
    </row>
    <row r="110" spans="1:22" s="21" customFormat="1" hidden="1" x14ac:dyDescent="0.25">
      <c r="A110" s="184">
        <v>11112023</v>
      </c>
      <c r="B110" s="21" t="s">
        <v>607</v>
      </c>
      <c r="C110" s="169" t="s">
        <v>410</v>
      </c>
      <c r="D110" s="123">
        <v>45241</v>
      </c>
      <c r="F110" s="177" t="s">
        <v>207</v>
      </c>
      <c r="G110" s="169" t="s">
        <v>3191</v>
      </c>
      <c r="H110" s="169" t="s">
        <v>3192</v>
      </c>
      <c r="I110" s="9">
        <v>36253.14</v>
      </c>
      <c r="J110" s="3">
        <f t="shared" si="8"/>
        <v>31902.763200000001</v>
      </c>
      <c r="K110" t="s">
        <v>17</v>
      </c>
      <c r="L110" s="181"/>
      <c r="M110" s="233">
        <v>45287</v>
      </c>
      <c r="T110" s="157" t="s">
        <v>3151</v>
      </c>
      <c r="U110" s="157">
        <v>0.61944444444444446</v>
      </c>
      <c r="V110" s="157">
        <v>0.78194444444444444</v>
      </c>
    </row>
    <row r="111" spans="1:22" hidden="1" x14ac:dyDescent="0.25">
      <c r="A111" s="256">
        <v>23112023</v>
      </c>
      <c r="B111" t="s">
        <v>607</v>
      </c>
      <c r="C111" s="30" t="s">
        <v>410</v>
      </c>
      <c r="D111" s="122">
        <v>45253</v>
      </c>
      <c r="F111" s="177" t="s">
        <v>207</v>
      </c>
      <c r="G111" s="30" t="s">
        <v>3219</v>
      </c>
      <c r="H111" s="30" t="s">
        <v>3239</v>
      </c>
      <c r="I111" s="9">
        <v>36253.14</v>
      </c>
      <c r="J111" s="3">
        <f t="shared" si="8"/>
        <v>31902.763200000001</v>
      </c>
      <c r="K111" t="s">
        <v>17</v>
      </c>
      <c r="L111" s="88"/>
      <c r="M111" s="233">
        <v>45320</v>
      </c>
      <c r="T111" s="14" t="s">
        <v>922</v>
      </c>
      <c r="U111" s="14">
        <v>0.37361111111111112</v>
      </c>
      <c r="V111" s="14"/>
    </row>
    <row r="112" spans="1:22" hidden="1" x14ac:dyDescent="0.25">
      <c r="A112" s="256">
        <v>11122023</v>
      </c>
      <c r="B112" t="s">
        <v>607</v>
      </c>
      <c r="C112" s="30" t="s">
        <v>278</v>
      </c>
      <c r="D112" s="122">
        <v>45271</v>
      </c>
      <c r="F112" s="28" t="s">
        <v>207</v>
      </c>
      <c r="G112" s="30" t="s">
        <v>3304</v>
      </c>
      <c r="H112" s="30" t="s">
        <v>3305</v>
      </c>
      <c r="I112" s="9">
        <v>36253.14</v>
      </c>
      <c r="J112" s="3">
        <f t="shared" si="8"/>
        <v>31902.763200000001</v>
      </c>
      <c r="K112" t="s">
        <v>17</v>
      </c>
      <c r="L112" s="88"/>
      <c r="M112" s="587">
        <v>45320</v>
      </c>
      <c r="T112" s="14" t="s">
        <v>1506</v>
      </c>
      <c r="U112" s="14">
        <v>0.54583333333333328</v>
      </c>
      <c r="V112" s="14">
        <v>0.80625000000000002</v>
      </c>
    </row>
    <row r="113" spans="1:22" hidden="1" x14ac:dyDescent="0.25">
      <c r="A113" s="430" t="s">
        <v>3386</v>
      </c>
      <c r="B113" t="s">
        <v>607</v>
      </c>
      <c r="C113" s="30" t="s">
        <v>13</v>
      </c>
      <c r="D113" s="122">
        <v>45286</v>
      </c>
      <c r="F113" s="28" t="s">
        <v>207</v>
      </c>
      <c r="G113" s="30" t="s">
        <v>3466</v>
      </c>
      <c r="H113" s="30" t="s">
        <v>3506</v>
      </c>
      <c r="I113" s="9">
        <v>36253.14</v>
      </c>
      <c r="J113" s="3">
        <f t="shared" si="8"/>
        <v>31902.763200000001</v>
      </c>
      <c r="K113" t="s">
        <v>17</v>
      </c>
      <c r="L113" s="32"/>
      <c r="M113" s="587">
        <v>45350</v>
      </c>
      <c r="T113" s="14" t="s">
        <v>1029</v>
      </c>
      <c r="U113" s="14">
        <v>0.26111111111111113</v>
      </c>
      <c r="V113" s="14">
        <v>0.4861111111111111</v>
      </c>
    </row>
    <row r="114" spans="1:22" ht="14.1" hidden="1" customHeight="1" x14ac:dyDescent="0.25">
      <c r="A114" s="430" t="s">
        <v>3390</v>
      </c>
      <c r="B114" t="s">
        <v>607</v>
      </c>
      <c r="C114" s="30" t="s">
        <v>410</v>
      </c>
      <c r="D114" s="122">
        <v>45287</v>
      </c>
      <c r="F114" s="28" t="s">
        <v>207</v>
      </c>
      <c r="G114" s="30" t="s">
        <v>3467</v>
      </c>
      <c r="H114" s="30" t="s">
        <v>3507</v>
      </c>
      <c r="I114" s="9">
        <v>36253.14</v>
      </c>
      <c r="J114" s="3">
        <f t="shared" si="8"/>
        <v>31902.763200000001</v>
      </c>
      <c r="K114" t="s">
        <v>17</v>
      </c>
      <c r="L114" s="32"/>
      <c r="M114" s="587">
        <v>45350</v>
      </c>
      <c r="T114" s="14" t="s">
        <v>1656</v>
      </c>
      <c r="U114" s="14">
        <v>0.26666666666666666</v>
      </c>
      <c r="V114" s="14">
        <v>0.46666666666666662</v>
      </c>
    </row>
    <row r="115" spans="1:22" ht="15" hidden="1" customHeight="1" x14ac:dyDescent="0.25">
      <c r="A115" s="430" t="s">
        <v>3406</v>
      </c>
      <c r="B115" t="s">
        <v>607</v>
      </c>
      <c r="C115" s="30">
        <v>2208</v>
      </c>
      <c r="D115" s="122">
        <v>45290</v>
      </c>
      <c r="F115" s="28" t="s">
        <v>207</v>
      </c>
      <c r="G115" s="30" t="s">
        <v>3526</v>
      </c>
      <c r="H115" s="30" t="s">
        <v>3527</v>
      </c>
      <c r="I115" s="9">
        <v>36253.14</v>
      </c>
      <c r="J115" s="3">
        <f t="shared" si="8"/>
        <v>31902.763200000001</v>
      </c>
      <c r="K115" t="s">
        <v>17</v>
      </c>
      <c r="L115" s="313"/>
      <c r="M115" s="587">
        <v>45350</v>
      </c>
      <c r="T115" s="14"/>
      <c r="U115" s="14"/>
      <c r="V115" s="14"/>
    </row>
    <row r="116" spans="1:22" s="28" customFormat="1" hidden="1" x14ac:dyDescent="0.25">
      <c r="A116" s="483" t="s">
        <v>3412</v>
      </c>
      <c r="B116" s="30" t="s">
        <v>607</v>
      </c>
      <c r="C116" s="30" t="s">
        <v>410</v>
      </c>
      <c r="D116" s="374">
        <v>45293</v>
      </c>
      <c r="E116" s="251"/>
      <c r="F116" s="28" t="s">
        <v>207</v>
      </c>
      <c r="G116" s="30" t="s">
        <v>3465</v>
      </c>
      <c r="H116" s="30" t="s">
        <v>3508</v>
      </c>
      <c r="I116" s="9">
        <v>36253.14</v>
      </c>
      <c r="J116" s="3">
        <f t="shared" si="8"/>
        <v>31902.763200000001</v>
      </c>
      <c r="K116" t="s">
        <v>17</v>
      </c>
      <c r="L116" s="251"/>
      <c r="M116" s="587">
        <v>45350</v>
      </c>
      <c r="T116" s="276" t="s">
        <v>3408</v>
      </c>
      <c r="U116" s="360">
        <v>0.27083333333333331</v>
      </c>
      <c r="V116" s="488">
        <v>0.48541666666666666</v>
      </c>
    </row>
    <row r="117" spans="1:22" hidden="1" x14ac:dyDescent="0.25">
      <c r="A117" s="483">
        <v>13012024</v>
      </c>
      <c r="B117" s="30" t="s">
        <v>607</v>
      </c>
      <c r="C117" s="30" t="s">
        <v>3414</v>
      </c>
      <c r="D117" s="233">
        <v>45304</v>
      </c>
      <c r="F117" s="28" t="s">
        <v>207</v>
      </c>
      <c r="G117" s="30" t="s">
        <v>3525</v>
      </c>
      <c r="H117" s="30" t="s">
        <v>3528</v>
      </c>
      <c r="I117" s="9">
        <v>36253.14</v>
      </c>
      <c r="J117" s="3">
        <f t="shared" si="8"/>
        <v>31902.763200000001</v>
      </c>
      <c r="K117" t="s">
        <v>17</v>
      </c>
      <c r="L117" s="88"/>
      <c r="M117" s="587">
        <v>45350</v>
      </c>
      <c r="T117" s="14" t="s">
        <v>1506</v>
      </c>
      <c r="U117" s="360">
        <v>0.40138888888888885</v>
      </c>
      <c r="V117" s="360">
        <v>0.62083333333333335</v>
      </c>
    </row>
    <row r="118" spans="1:22" hidden="1" x14ac:dyDescent="0.25">
      <c r="A118" s="483">
        <v>17012024</v>
      </c>
      <c r="B118" s="30" t="s">
        <v>607</v>
      </c>
      <c r="C118" s="30" t="s">
        <v>3414</v>
      </c>
      <c r="D118" s="233">
        <v>45308</v>
      </c>
      <c r="F118" s="28" t="s">
        <v>207</v>
      </c>
      <c r="G118" s="30" t="s">
        <v>3564</v>
      </c>
      <c r="H118" s="30" t="s">
        <v>3565</v>
      </c>
      <c r="I118" s="9">
        <v>36253.14</v>
      </c>
      <c r="J118" s="3">
        <f t="shared" si="8"/>
        <v>31902.763200000001</v>
      </c>
      <c r="K118" t="s">
        <v>17</v>
      </c>
      <c r="L118" s="88"/>
      <c r="M118" s="587">
        <v>45350</v>
      </c>
      <c r="T118" s="14" t="s">
        <v>922</v>
      </c>
      <c r="U118" s="360">
        <v>0.27013888888888887</v>
      </c>
      <c r="V118" s="360">
        <v>0.46458333333333335</v>
      </c>
    </row>
    <row r="119" spans="1:22" hidden="1" x14ac:dyDescent="0.25">
      <c r="A119" s="483">
        <v>19012024</v>
      </c>
      <c r="B119" s="30" t="s">
        <v>607</v>
      </c>
      <c r="C119" s="30" t="s">
        <v>3546</v>
      </c>
      <c r="D119" s="233">
        <v>45310</v>
      </c>
      <c r="F119" s="28" t="s">
        <v>207</v>
      </c>
      <c r="G119" s="30" t="s">
        <v>3579</v>
      </c>
      <c r="H119" s="30" t="s">
        <v>3580</v>
      </c>
      <c r="I119" s="9">
        <v>36253.14</v>
      </c>
      <c r="J119" s="3">
        <f t="shared" si="8"/>
        <v>31902.763200000001</v>
      </c>
      <c r="K119" t="s">
        <v>17</v>
      </c>
      <c r="L119" s="88"/>
      <c r="M119" s="233">
        <v>45350</v>
      </c>
      <c r="T119" s="14" t="s">
        <v>3572</v>
      </c>
      <c r="U119" s="360">
        <v>0.54861111111111105</v>
      </c>
      <c r="V119" s="360"/>
    </row>
    <row r="120" spans="1:22" hidden="1" x14ac:dyDescent="0.25">
      <c r="A120" s="483">
        <v>21012024</v>
      </c>
      <c r="B120" s="30" t="s">
        <v>607</v>
      </c>
      <c r="C120" s="30" t="s">
        <v>3414</v>
      </c>
      <c r="D120" s="233">
        <v>45312</v>
      </c>
      <c r="F120" s="28" t="s">
        <v>207</v>
      </c>
      <c r="G120" s="30" t="s">
        <v>3578</v>
      </c>
      <c r="H120" s="30" t="s">
        <v>3581</v>
      </c>
      <c r="I120" s="9">
        <v>36253.14</v>
      </c>
      <c r="J120" s="3">
        <f t="shared" si="8"/>
        <v>31902.763200000001</v>
      </c>
      <c r="K120" t="s">
        <v>17</v>
      </c>
      <c r="L120" s="88"/>
      <c r="M120" s="233">
        <v>45366</v>
      </c>
      <c r="T120" s="14" t="s">
        <v>3577</v>
      </c>
      <c r="U120" s="360">
        <v>0.25972222222222224</v>
      </c>
      <c r="V120" s="360">
        <v>0.4694444444444445</v>
      </c>
    </row>
    <row r="121" spans="1:22" hidden="1" x14ac:dyDescent="0.25">
      <c r="A121" s="483">
        <v>27012024</v>
      </c>
      <c r="B121" s="30" t="s">
        <v>607</v>
      </c>
      <c r="C121" s="30" t="s">
        <v>3546</v>
      </c>
      <c r="D121" s="233">
        <v>45318</v>
      </c>
      <c r="F121" s="28" t="s">
        <v>207</v>
      </c>
      <c r="G121" s="30" t="s">
        <v>3649</v>
      </c>
      <c r="H121" s="30" t="s">
        <v>3650</v>
      </c>
      <c r="I121" s="9">
        <v>36253.14</v>
      </c>
      <c r="J121" s="3">
        <f t="shared" si="8"/>
        <v>31902.763200000001</v>
      </c>
      <c r="K121" t="s">
        <v>17</v>
      </c>
      <c r="L121" s="88"/>
      <c r="M121" s="233">
        <v>45366</v>
      </c>
      <c r="T121" s="14" t="s">
        <v>916</v>
      </c>
      <c r="U121" s="360">
        <v>0.41736111111111113</v>
      </c>
      <c r="V121" s="360">
        <v>0.61736111111111114</v>
      </c>
    </row>
    <row r="122" spans="1:22" hidden="1" x14ac:dyDescent="0.25">
      <c r="A122" s="509">
        <v>11022024</v>
      </c>
      <c r="B122" s="30" t="s">
        <v>607</v>
      </c>
      <c r="C122" s="28" t="s">
        <v>13</v>
      </c>
      <c r="D122" s="233">
        <v>45333</v>
      </c>
      <c r="F122" s="28" t="s">
        <v>207</v>
      </c>
      <c r="G122" s="30" t="s">
        <v>3680</v>
      </c>
      <c r="H122" s="30" t="s">
        <v>3681</v>
      </c>
      <c r="I122" s="9">
        <v>36253.14</v>
      </c>
      <c r="J122" s="3">
        <f t="shared" si="8"/>
        <v>31902.763200000001</v>
      </c>
      <c r="K122" s="359" t="s">
        <v>17</v>
      </c>
      <c r="L122" s="88"/>
      <c r="M122" s="233">
        <v>45366</v>
      </c>
      <c r="T122" s="14" t="s">
        <v>2380</v>
      </c>
      <c r="U122" s="360">
        <v>0.25833333333333336</v>
      </c>
      <c r="V122" s="360">
        <v>0.47430555555555554</v>
      </c>
    </row>
    <row r="123" spans="1:22" hidden="1" x14ac:dyDescent="0.25">
      <c r="A123" s="509">
        <v>12022023</v>
      </c>
      <c r="B123" s="30" t="s">
        <v>607</v>
      </c>
      <c r="C123" s="28" t="s">
        <v>410</v>
      </c>
      <c r="D123" s="233">
        <v>45334</v>
      </c>
      <c r="F123" s="28" t="s">
        <v>207</v>
      </c>
      <c r="G123" s="30" t="s">
        <v>3739</v>
      </c>
      <c r="H123" s="30" t="s">
        <v>3740</v>
      </c>
      <c r="I123" s="9">
        <v>36253.14</v>
      </c>
      <c r="J123" s="3">
        <f t="shared" si="8"/>
        <v>31902.763200000001</v>
      </c>
      <c r="K123" s="359" t="s">
        <v>17</v>
      </c>
      <c r="L123" s="88"/>
      <c r="M123" s="233">
        <v>45398</v>
      </c>
      <c r="T123" s="14" t="s">
        <v>916</v>
      </c>
      <c r="U123" s="360">
        <v>0.54236111111111118</v>
      </c>
      <c r="V123" s="360"/>
    </row>
    <row r="124" spans="1:22" hidden="1" x14ac:dyDescent="0.25">
      <c r="A124" s="509">
        <v>23022024</v>
      </c>
      <c r="B124" s="30" t="s">
        <v>607</v>
      </c>
      <c r="C124" s="28" t="s">
        <v>410</v>
      </c>
      <c r="D124" s="233">
        <v>45345</v>
      </c>
      <c r="F124" s="28" t="s">
        <v>207</v>
      </c>
      <c r="G124" s="30" t="s">
        <v>3775</v>
      </c>
      <c r="H124" s="30" t="s">
        <v>3776</v>
      </c>
      <c r="I124" s="9">
        <v>36253.14</v>
      </c>
      <c r="J124" s="3">
        <f t="shared" si="8"/>
        <v>31902.763200000001</v>
      </c>
      <c r="K124" s="359" t="s">
        <v>17</v>
      </c>
      <c r="L124" s="88"/>
      <c r="M124" s="233">
        <v>45398</v>
      </c>
      <c r="T124" s="14" t="s">
        <v>916</v>
      </c>
      <c r="U124" s="360">
        <v>0.29166666666666669</v>
      </c>
      <c r="V124" s="360">
        <v>0.49513888888888885</v>
      </c>
    </row>
    <row r="125" spans="1:22" hidden="1" x14ac:dyDescent="0.25">
      <c r="A125" s="509">
        <v>12032024</v>
      </c>
      <c r="B125" s="30" t="s">
        <v>607</v>
      </c>
      <c r="C125" s="28" t="s">
        <v>410</v>
      </c>
      <c r="D125" s="233">
        <v>45363</v>
      </c>
      <c r="F125" s="28" t="s">
        <v>207</v>
      </c>
      <c r="G125" s="30" t="s">
        <v>3848</v>
      </c>
      <c r="H125" s="30" t="s">
        <v>3849</v>
      </c>
      <c r="I125" s="9">
        <v>36253.14</v>
      </c>
      <c r="J125" s="3">
        <f t="shared" si="8"/>
        <v>31902.763200000001</v>
      </c>
      <c r="K125" s="30" t="s">
        <v>17</v>
      </c>
      <c r="L125" s="88"/>
      <c r="M125" s="233">
        <v>45398</v>
      </c>
      <c r="T125" s="14" t="s">
        <v>3151</v>
      </c>
      <c r="U125" s="360">
        <v>0.26874999999999999</v>
      </c>
      <c r="V125" s="360">
        <v>0.47847222222222219</v>
      </c>
    </row>
    <row r="126" spans="1:22" hidden="1" x14ac:dyDescent="0.25">
      <c r="A126" s="509">
        <v>30032024</v>
      </c>
      <c r="B126" s="30" t="s">
        <v>607</v>
      </c>
      <c r="C126" s="28" t="s">
        <v>410</v>
      </c>
      <c r="D126" s="233">
        <v>45381</v>
      </c>
      <c r="F126" s="28" t="s">
        <v>207</v>
      </c>
      <c r="G126" s="30" t="s">
        <v>3937</v>
      </c>
      <c r="H126" s="30" t="s">
        <v>3939</v>
      </c>
      <c r="I126" s="9">
        <v>36253.14</v>
      </c>
      <c r="J126" s="3">
        <f t="shared" si="8"/>
        <v>31902.763200000001</v>
      </c>
      <c r="K126" s="30" t="s">
        <v>17</v>
      </c>
      <c r="L126" s="88"/>
      <c r="M126" s="233">
        <v>45422</v>
      </c>
      <c r="T126" s="14" t="s">
        <v>3936</v>
      </c>
      <c r="U126" s="360">
        <v>0.27569444444444446</v>
      </c>
      <c r="V126" s="360">
        <v>0.47291666666666665</v>
      </c>
    </row>
    <row r="127" spans="1:22" hidden="1" x14ac:dyDescent="0.25">
      <c r="A127" s="509">
        <v>30032024</v>
      </c>
      <c r="B127" s="30" t="s">
        <v>607</v>
      </c>
      <c r="C127" s="28" t="s">
        <v>13</v>
      </c>
      <c r="D127" s="233">
        <v>45381</v>
      </c>
      <c r="F127" s="28" t="s">
        <v>207</v>
      </c>
      <c r="G127" s="30" t="s">
        <v>3938</v>
      </c>
      <c r="H127" s="30" t="s">
        <v>3940</v>
      </c>
      <c r="I127" s="9">
        <v>36253.14</v>
      </c>
      <c r="J127" s="3">
        <f t="shared" si="8"/>
        <v>31902.763200000001</v>
      </c>
      <c r="K127" t="s">
        <v>17</v>
      </c>
      <c r="L127" s="88"/>
      <c r="M127" s="233">
        <v>45422</v>
      </c>
      <c r="T127" s="14" t="s">
        <v>3408</v>
      </c>
      <c r="U127" s="360">
        <v>0.26944444444444443</v>
      </c>
      <c r="V127" s="360">
        <v>0.47847222222222219</v>
      </c>
    </row>
    <row r="128" spans="1:22" hidden="1" x14ac:dyDescent="0.25">
      <c r="A128" s="509" t="s">
        <v>3983</v>
      </c>
      <c r="B128" s="30" t="s">
        <v>607</v>
      </c>
      <c r="C128" s="28" t="s">
        <v>13</v>
      </c>
      <c r="D128" s="233">
        <v>45389</v>
      </c>
      <c r="F128" s="28" t="s">
        <v>207</v>
      </c>
      <c r="G128" s="30" t="s">
        <v>3985</v>
      </c>
      <c r="H128" s="30" t="s">
        <v>3986</v>
      </c>
      <c r="I128" s="9">
        <v>36253.14</v>
      </c>
      <c r="J128" s="3">
        <f t="shared" si="8"/>
        <v>31902.763200000001</v>
      </c>
      <c r="K128" t="s">
        <v>17</v>
      </c>
      <c r="M128" s="233">
        <v>45422</v>
      </c>
    </row>
    <row r="129" spans="1:22" hidden="1" x14ac:dyDescent="0.25">
      <c r="A129" s="509" t="s">
        <v>3989</v>
      </c>
      <c r="B129" s="30" t="s">
        <v>607</v>
      </c>
      <c r="C129" s="28" t="s">
        <v>410</v>
      </c>
      <c r="D129" s="233">
        <v>45391</v>
      </c>
      <c r="F129" s="28" t="s">
        <v>207</v>
      </c>
      <c r="G129" s="30" t="s">
        <v>4018</v>
      </c>
      <c r="H129" s="30" t="s">
        <v>4019</v>
      </c>
      <c r="I129" s="9">
        <v>36253.14</v>
      </c>
      <c r="J129" s="3">
        <f t="shared" ref="J129:J142" si="9">+I129*0.88</f>
        <v>31902.763200000001</v>
      </c>
      <c r="K129" t="s">
        <v>17</v>
      </c>
      <c r="L129" s="251"/>
      <c r="M129" s="233">
        <v>45422</v>
      </c>
      <c r="T129" s="14" t="s">
        <v>2380</v>
      </c>
      <c r="U129" s="360">
        <v>0.42777777777777781</v>
      </c>
      <c r="V129" s="360">
        <v>0.61875000000000002</v>
      </c>
    </row>
    <row r="130" spans="1:22" hidden="1" x14ac:dyDescent="0.25">
      <c r="A130" s="483">
        <v>20042024</v>
      </c>
      <c r="B130" t="s">
        <v>607</v>
      </c>
      <c r="C130" s="28" t="s">
        <v>410</v>
      </c>
      <c r="D130" s="233">
        <v>45402</v>
      </c>
      <c r="F130" s="28" t="s">
        <v>207</v>
      </c>
      <c r="G130" s="30" t="s">
        <v>4078</v>
      </c>
      <c r="H130" s="30" t="s">
        <v>4079</v>
      </c>
      <c r="I130" s="9">
        <v>36253.14</v>
      </c>
      <c r="J130" s="3">
        <f t="shared" si="9"/>
        <v>31902.763200000001</v>
      </c>
      <c r="K130" t="s">
        <v>17</v>
      </c>
      <c r="L130" s="251"/>
      <c r="M130" s="233">
        <v>45432</v>
      </c>
      <c r="T130" s="14" t="s">
        <v>4070</v>
      </c>
      <c r="U130" s="360">
        <v>0.25694444444444442</v>
      </c>
      <c r="V130" s="360">
        <v>0.4513888888888889</v>
      </c>
    </row>
    <row r="131" spans="1:22" hidden="1" x14ac:dyDescent="0.25">
      <c r="A131" s="483">
        <v>16052024</v>
      </c>
      <c r="B131" t="s">
        <v>607</v>
      </c>
      <c r="C131" s="28" t="s">
        <v>13</v>
      </c>
      <c r="D131" s="233">
        <v>45428</v>
      </c>
      <c r="F131" s="28" t="s">
        <v>207</v>
      </c>
      <c r="G131" s="30" t="s">
        <v>4168</v>
      </c>
      <c r="H131" s="30" t="s">
        <v>4169</v>
      </c>
      <c r="I131" s="9">
        <v>36253.14</v>
      </c>
      <c r="J131" s="3">
        <f t="shared" si="9"/>
        <v>31902.763200000001</v>
      </c>
      <c r="K131" t="s">
        <v>17</v>
      </c>
      <c r="L131" s="88"/>
      <c r="M131" s="233">
        <v>45471</v>
      </c>
      <c r="T131" s="14" t="s">
        <v>4095</v>
      </c>
      <c r="U131" s="360">
        <v>0.26874999999999999</v>
      </c>
      <c r="V131" s="360"/>
    </row>
    <row r="132" spans="1:22" hidden="1" x14ac:dyDescent="0.25">
      <c r="A132" s="483">
        <v>30052024</v>
      </c>
      <c r="B132" t="s">
        <v>607</v>
      </c>
      <c r="C132" s="28" t="s">
        <v>410</v>
      </c>
      <c r="D132" s="233">
        <v>45442</v>
      </c>
      <c r="F132" s="28" t="s">
        <v>207</v>
      </c>
      <c r="G132" s="30" t="s">
        <v>4278</v>
      </c>
      <c r="H132" s="30" t="s">
        <v>4279</v>
      </c>
      <c r="I132" s="9">
        <v>36253.14</v>
      </c>
      <c r="J132" s="3">
        <f t="shared" si="9"/>
        <v>31902.763200000001</v>
      </c>
      <c r="K132" t="s">
        <v>17</v>
      </c>
      <c r="L132" s="88"/>
      <c r="M132" s="233">
        <v>45486</v>
      </c>
      <c r="T132" s="14" t="s">
        <v>4097</v>
      </c>
      <c r="U132" s="360">
        <v>0.45277777777777778</v>
      </c>
      <c r="V132" s="360"/>
    </row>
    <row r="133" spans="1:22" hidden="1" x14ac:dyDescent="0.25">
      <c r="A133" s="509">
        <v>12062024</v>
      </c>
      <c r="B133" t="s">
        <v>607</v>
      </c>
      <c r="C133" s="28" t="s">
        <v>410</v>
      </c>
      <c r="D133" s="233">
        <v>45455</v>
      </c>
      <c r="F133" s="28" t="s">
        <v>207</v>
      </c>
      <c r="G133" s="30" t="s">
        <v>4299</v>
      </c>
      <c r="H133" s="30" t="s">
        <v>4300</v>
      </c>
      <c r="I133" s="9">
        <v>36253.14</v>
      </c>
      <c r="J133" s="3">
        <f t="shared" si="9"/>
        <v>31902.763200000001</v>
      </c>
      <c r="K133" t="s">
        <v>17</v>
      </c>
      <c r="L133" s="251"/>
      <c r="M133" s="233">
        <v>45486</v>
      </c>
      <c r="T133" s="14" t="s">
        <v>4295</v>
      </c>
      <c r="U133" s="360">
        <v>0.45902777777777781</v>
      </c>
      <c r="V133" s="360">
        <v>0.66041666666666665</v>
      </c>
    </row>
    <row r="134" spans="1:22" ht="16.5" hidden="1" customHeight="1" x14ac:dyDescent="0.25">
      <c r="A134" s="509">
        <v>20062024</v>
      </c>
      <c r="B134" t="s">
        <v>607</v>
      </c>
      <c r="C134" s="28" t="s">
        <v>13</v>
      </c>
      <c r="D134" s="233">
        <v>45463</v>
      </c>
      <c r="F134" s="28" t="s">
        <v>207</v>
      </c>
      <c r="G134" s="357" t="s">
        <v>4410</v>
      </c>
      <c r="H134" s="30" t="s">
        <v>4389</v>
      </c>
      <c r="I134" s="9">
        <v>36253.14</v>
      </c>
      <c r="J134" s="3">
        <f t="shared" si="9"/>
        <v>31902.763200000001</v>
      </c>
      <c r="K134" t="s">
        <v>17</v>
      </c>
      <c r="L134" s="251"/>
      <c r="M134" s="233">
        <v>45506</v>
      </c>
      <c r="T134" s="14" t="s">
        <v>4139</v>
      </c>
      <c r="U134" s="360"/>
      <c r="V134" s="360"/>
    </row>
    <row r="135" spans="1:22" hidden="1" x14ac:dyDescent="0.25">
      <c r="A135" s="509">
        <v>26062024</v>
      </c>
      <c r="B135" t="s">
        <v>607</v>
      </c>
      <c r="C135" s="28" t="s">
        <v>13</v>
      </c>
      <c r="D135" s="233">
        <v>45469</v>
      </c>
      <c r="F135" s="28" t="s">
        <v>207</v>
      </c>
      <c r="G135" s="30" t="s">
        <v>4411</v>
      </c>
      <c r="H135" s="30" t="s">
        <v>4412</v>
      </c>
      <c r="I135" s="9">
        <v>36253.14</v>
      </c>
      <c r="J135" s="3">
        <f t="shared" si="9"/>
        <v>31902.763200000001</v>
      </c>
      <c r="K135" t="s">
        <v>17</v>
      </c>
      <c r="L135" s="251"/>
      <c r="M135" s="233">
        <v>45506</v>
      </c>
      <c r="T135" s="14" t="s">
        <v>1644</v>
      </c>
      <c r="U135" s="360">
        <v>0.28472222222222221</v>
      </c>
      <c r="V135" s="360"/>
    </row>
    <row r="136" spans="1:22" hidden="1" x14ac:dyDescent="0.25">
      <c r="A136" s="509">
        <v>28062024</v>
      </c>
      <c r="B136" t="s">
        <v>607</v>
      </c>
      <c r="C136" s="28" t="s">
        <v>4218</v>
      </c>
      <c r="D136" s="233">
        <v>45471</v>
      </c>
      <c r="F136" s="28" t="s">
        <v>207</v>
      </c>
      <c r="G136" s="30" t="s">
        <v>4442</v>
      </c>
      <c r="H136" s="30" t="s">
        <v>4443</v>
      </c>
      <c r="I136" s="9">
        <v>36253.14</v>
      </c>
      <c r="J136" s="3">
        <f t="shared" si="9"/>
        <v>31902.763200000001</v>
      </c>
      <c r="K136" t="s">
        <v>17</v>
      </c>
      <c r="L136" s="251"/>
      <c r="M136" s="233">
        <v>45506</v>
      </c>
      <c r="T136" s="14" t="s">
        <v>4365</v>
      </c>
      <c r="U136" s="360">
        <v>0.54375000000000007</v>
      </c>
      <c r="V136" s="360"/>
    </row>
    <row r="137" spans="1:22" hidden="1" x14ac:dyDescent="0.25">
      <c r="A137" s="95">
        <v>18082024</v>
      </c>
      <c r="B137" t="s">
        <v>607</v>
      </c>
      <c r="C137" s="28" t="s">
        <v>13</v>
      </c>
      <c r="D137" s="233">
        <v>45522</v>
      </c>
      <c r="F137" s="28" t="s">
        <v>207</v>
      </c>
      <c r="G137" s="30" t="s">
        <v>4673</v>
      </c>
      <c r="H137" s="373" t="s">
        <v>4675</v>
      </c>
      <c r="I137" s="9">
        <v>36253.14</v>
      </c>
      <c r="J137" s="3">
        <f t="shared" si="9"/>
        <v>31902.763200000001</v>
      </c>
      <c r="K137" t="s">
        <v>17</v>
      </c>
      <c r="L137" s="32"/>
      <c r="M137" s="233">
        <v>45555</v>
      </c>
      <c r="T137" t="s">
        <v>4022</v>
      </c>
      <c r="U137" s="360">
        <v>0.25625000000000003</v>
      </c>
      <c r="V137" s="360">
        <v>0.44791666666666669</v>
      </c>
    </row>
    <row r="138" spans="1:22" hidden="1" x14ac:dyDescent="0.25">
      <c r="A138" s="95">
        <v>21082024</v>
      </c>
      <c r="B138" t="s">
        <v>607</v>
      </c>
      <c r="C138" s="28" t="s">
        <v>13</v>
      </c>
      <c r="D138" s="233">
        <v>45525</v>
      </c>
      <c r="F138" s="28" t="s">
        <v>207</v>
      </c>
      <c r="G138" s="30" t="s">
        <v>4674</v>
      </c>
      <c r="H138" s="373" t="s">
        <v>4676</v>
      </c>
      <c r="I138" s="9">
        <v>36253.14</v>
      </c>
      <c r="J138" s="3">
        <f t="shared" si="9"/>
        <v>31902.763200000001</v>
      </c>
      <c r="K138" t="s">
        <v>17</v>
      </c>
      <c r="L138" s="32"/>
      <c r="M138" s="233">
        <v>45555</v>
      </c>
      <c r="T138" t="s">
        <v>4022</v>
      </c>
      <c r="U138" s="360">
        <v>0.26180555555555557</v>
      </c>
      <c r="V138" s="360">
        <v>0.97083333333333333</v>
      </c>
    </row>
    <row r="139" spans="1:22" hidden="1" x14ac:dyDescent="0.25">
      <c r="A139" s="95">
        <v>22082024</v>
      </c>
      <c r="B139" t="s">
        <v>607</v>
      </c>
      <c r="C139" s="28" t="s">
        <v>410</v>
      </c>
      <c r="D139" s="233">
        <v>45526</v>
      </c>
      <c r="F139" s="28" t="s">
        <v>207</v>
      </c>
      <c r="G139" s="30" t="s">
        <v>4686</v>
      </c>
      <c r="H139" s="373" t="s">
        <v>4687</v>
      </c>
      <c r="I139" s="9">
        <v>36253.14</v>
      </c>
      <c r="J139" s="3">
        <f t="shared" si="9"/>
        <v>31902.763200000001</v>
      </c>
      <c r="K139" t="s">
        <v>17</v>
      </c>
      <c r="L139" s="32"/>
      <c r="M139" s="233">
        <v>45565</v>
      </c>
      <c r="T139" t="s">
        <v>2050</v>
      </c>
      <c r="U139" s="360">
        <v>0.51944444444444449</v>
      </c>
      <c r="V139" s="360">
        <v>0.71875</v>
      </c>
    </row>
    <row r="140" spans="1:22" hidden="1" x14ac:dyDescent="0.25">
      <c r="A140" s="95">
        <v>1092024</v>
      </c>
      <c r="B140" t="s">
        <v>607</v>
      </c>
      <c r="C140" s="28" t="s">
        <v>13</v>
      </c>
      <c r="D140" s="233">
        <v>45536</v>
      </c>
      <c r="F140" s="28" t="s">
        <v>207</v>
      </c>
      <c r="G140" s="30" t="s">
        <v>4715</v>
      </c>
      <c r="H140" s="373" t="s">
        <v>4716</v>
      </c>
      <c r="I140" s="9">
        <v>36253.14</v>
      </c>
      <c r="J140" s="3">
        <f t="shared" si="9"/>
        <v>31902.763200000001</v>
      </c>
      <c r="K140" t="s">
        <v>17</v>
      </c>
      <c r="L140" s="88"/>
      <c r="M140" s="233">
        <v>45586</v>
      </c>
      <c r="T140" t="s">
        <v>4277</v>
      </c>
      <c r="U140" s="360">
        <v>0.26666666666666666</v>
      </c>
      <c r="V140" s="360">
        <v>0.46388888888888891</v>
      </c>
    </row>
    <row r="141" spans="1:22" hidden="1" x14ac:dyDescent="0.25">
      <c r="A141" s="95">
        <v>4092024</v>
      </c>
      <c r="B141" t="s">
        <v>607</v>
      </c>
      <c r="C141" s="28" t="s">
        <v>13</v>
      </c>
      <c r="D141" s="233">
        <v>45539</v>
      </c>
      <c r="F141" s="28" t="s">
        <v>207</v>
      </c>
      <c r="G141" s="30" t="s">
        <v>4755</v>
      </c>
      <c r="H141" s="373" t="s">
        <v>4756</v>
      </c>
      <c r="I141" s="9">
        <v>36253.14</v>
      </c>
      <c r="J141" s="3">
        <f t="shared" si="9"/>
        <v>31902.763200000001</v>
      </c>
      <c r="K141" t="s">
        <v>17</v>
      </c>
      <c r="L141" s="32"/>
      <c r="M141" s="233">
        <v>45586</v>
      </c>
      <c r="T141" t="s">
        <v>4509</v>
      </c>
      <c r="U141" s="360">
        <v>0.60069444444444442</v>
      </c>
      <c r="V141" s="360"/>
    </row>
    <row r="142" spans="1:22" hidden="1" x14ac:dyDescent="0.25">
      <c r="A142" s="95">
        <v>16092024</v>
      </c>
      <c r="B142" t="s">
        <v>607</v>
      </c>
      <c r="C142" s="28" t="s">
        <v>13</v>
      </c>
      <c r="D142" s="233">
        <v>45551</v>
      </c>
      <c r="F142" s="28" t="s">
        <v>207</v>
      </c>
      <c r="G142" s="30" t="s">
        <v>4839</v>
      </c>
      <c r="H142" s="373" t="s">
        <v>4840</v>
      </c>
      <c r="I142" s="3">
        <v>36253.14</v>
      </c>
      <c r="J142" s="3">
        <f t="shared" si="9"/>
        <v>31902.763200000001</v>
      </c>
      <c r="K142" t="s">
        <v>17</v>
      </c>
      <c r="L142" s="61"/>
      <c r="M142" s="233">
        <v>45586</v>
      </c>
      <c r="T142" t="s">
        <v>4759</v>
      </c>
      <c r="U142" s="360">
        <v>0.29583333333333334</v>
      </c>
      <c r="V142" s="360"/>
    </row>
    <row r="143" spans="1:22" hidden="1" x14ac:dyDescent="0.25">
      <c r="A143" s="95">
        <v>17092024</v>
      </c>
      <c r="B143" t="s">
        <v>607</v>
      </c>
      <c r="C143" s="28" t="s">
        <v>13</v>
      </c>
      <c r="D143" s="233">
        <v>45552</v>
      </c>
      <c r="F143" s="28" t="s">
        <v>207</v>
      </c>
      <c r="G143" s="30" t="s">
        <v>4838</v>
      </c>
      <c r="H143" s="30" t="s">
        <v>4885</v>
      </c>
      <c r="I143" s="3">
        <v>36253.14</v>
      </c>
      <c r="J143" s="3">
        <f t="shared" ref="J143:J150" si="10">+I143-ROUND(I143*0.12,0)</f>
        <v>31903.14</v>
      </c>
      <c r="K143" t="s">
        <v>17</v>
      </c>
      <c r="L143" s="61"/>
      <c r="M143" s="233">
        <v>45604</v>
      </c>
      <c r="T143" t="s">
        <v>4509</v>
      </c>
      <c r="U143" s="360">
        <v>0.25972222222222224</v>
      </c>
      <c r="V143" s="360">
        <v>0.4604166666666667</v>
      </c>
    </row>
    <row r="144" spans="1:22" hidden="1" x14ac:dyDescent="0.25">
      <c r="A144" s="483" t="s">
        <v>4910</v>
      </c>
      <c r="B144" t="s">
        <v>607</v>
      </c>
      <c r="C144" s="28" t="s">
        <v>13</v>
      </c>
      <c r="D144" s="233">
        <v>45577</v>
      </c>
      <c r="F144" s="28" t="s">
        <v>207</v>
      </c>
      <c r="G144" s="30" t="s">
        <v>4922</v>
      </c>
      <c r="H144" s="30" t="s">
        <v>4923</v>
      </c>
      <c r="I144" s="3">
        <v>36253.14</v>
      </c>
      <c r="J144" s="3">
        <f t="shared" si="10"/>
        <v>31903.14</v>
      </c>
      <c r="K144" t="s">
        <v>17</v>
      </c>
      <c r="L144" s="313"/>
      <c r="M144" s="233">
        <v>45604</v>
      </c>
      <c r="T144" t="s">
        <v>4617</v>
      </c>
      <c r="U144" s="360">
        <v>0.33333333333333331</v>
      </c>
      <c r="V144" s="360">
        <v>0.53402777777777777</v>
      </c>
    </row>
    <row r="145" spans="1:22" hidden="1" x14ac:dyDescent="0.25">
      <c r="A145" s="483">
        <v>21102024</v>
      </c>
      <c r="B145" t="s">
        <v>607</v>
      </c>
      <c r="C145" s="28" t="s">
        <v>4218</v>
      </c>
      <c r="D145" s="233">
        <v>45586</v>
      </c>
      <c r="F145" s="28" t="s">
        <v>207</v>
      </c>
      <c r="G145" s="30" t="s">
        <v>4994</v>
      </c>
      <c r="H145" s="30" t="s">
        <v>4995</v>
      </c>
      <c r="I145" s="3">
        <v>36253.14</v>
      </c>
      <c r="J145" s="32">
        <f t="shared" si="10"/>
        <v>31903.14</v>
      </c>
      <c r="K145" t="s">
        <v>17</v>
      </c>
      <c r="L145" s="313"/>
      <c r="M145" s="233">
        <v>45653</v>
      </c>
      <c r="T145" t="s">
        <v>4071</v>
      </c>
      <c r="U145" s="360">
        <v>0.26597222222222222</v>
      </c>
      <c r="V145" s="360">
        <v>0.47152777777777777</v>
      </c>
    </row>
    <row r="146" spans="1:22" hidden="1" x14ac:dyDescent="0.25">
      <c r="A146" s="483" t="s">
        <v>5055</v>
      </c>
      <c r="B146" t="s">
        <v>607</v>
      </c>
      <c r="C146" s="233" t="s">
        <v>4218</v>
      </c>
      <c r="D146" s="233">
        <v>45601</v>
      </c>
      <c r="E146" s="28"/>
      <c r="F146" s="28" t="s">
        <v>207</v>
      </c>
      <c r="G146" t="s">
        <v>5117</v>
      </c>
      <c r="H146" t="s">
        <v>5137</v>
      </c>
      <c r="I146" s="3">
        <v>36253.14</v>
      </c>
      <c r="J146" s="32">
        <f t="shared" si="10"/>
        <v>31903.14</v>
      </c>
      <c r="K146" t="s">
        <v>17</v>
      </c>
      <c r="L146" s="313"/>
      <c r="M146" s="233">
        <v>45653</v>
      </c>
      <c r="T146" t="s">
        <v>4550</v>
      </c>
      <c r="U146" s="360">
        <v>0.26041666666666669</v>
      </c>
      <c r="V146" s="360">
        <v>0.46319444444444446</v>
      </c>
    </row>
    <row r="147" spans="1:22" hidden="1" x14ac:dyDescent="0.25">
      <c r="A147" s="483">
        <v>18112024</v>
      </c>
      <c r="B147" t="s">
        <v>607</v>
      </c>
      <c r="C147" s="233" t="s">
        <v>13</v>
      </c>
      <c r="D147" s="233">
        <v>45614</v>
      </c>
      <c r="E147" s="28"/>
      <c r="F147" s="28" t="s">
        <v>207</v>
      </c>
      <c r="G147" t="s">
        <v>5167</v>
      </c>
      <c r="H147" s="30" t="s">
        <v>5168</v>
      </c>
      <c r="I147" s="3">
        <v>36253.14</v>
      </c>
      <c r="J147" s="32">
        <f t="shared" si="10"/>
        <v>31903.14</v>
      </c>
      <c r="K147" t="s">
        <v>17</v>
      </c>
      <c r="L147" s="313"/>
      <c r="M147" s="233">
        <v>45656</v>
      </c>
      <c r="T147" t="s">
        <v>4617</v>
      </c>
      <c r="U147" s="360">
        <v>0.24791666666666667</v>
      </c>
      <c r="V147" s="360">
        <v>0.45416666666666666</v>
      </c>
    </row>
    <row r="148" spans="1:22" hidden="1" x14ac:dyDescent="0.25">
      <c r="A148" s="483">
        <v>20112024</v>
      </c>
      <c r="B148" t="s">
        <v>607</v>
      </c>
      <c r="C148" s="233" t="s">
        <v>13</v>
      </c>
      <c r="D148" s="233">
        <v>45616</v>
      </c>
      <c r="E148" s="28"/>
      <c r="F148" s="28" t="s">
        <v>207</v>
      </c>
      <c r="G148" t="s">
        <v>5166</v>
      </c>
      <c r="H148" s="30" t="s">
        <v>5169</v>
      </c>
      <c r="I148" s="3">
        <v>36253.14</v>
      </c>
      <c r="J148" s="32">
        <f t="shared" si="10"/>
        <v>31903.14</v>
      </c>
      <c r="K148" t="s">
        <v>17</v>
      </c>
      <c r="L148" s="313"/>
      <c r="M148" s="233">
        <v>45656</v>
      </c>
      <c r="T148" t="s">
        <v>4617</v>
      </c>
      <c r="U148" s="360">
        <v>0.26180555555555557</v>
      </c>
      <c r="V148" s="360">
        <v>0.47986111111111113</v>
      </c>
    </row>
    <row r="149" spans="1:22" hidden="1" x14ac:dyDescent="0.25">
      <c r="A149" s="483">
        <v>13122024</v>
      </c>
      <c r="B149" t="s">
        <v>607</v>
      </c>
      <c r="C149" s="233" t="s">
        <v>410</v>
      </c>
      <c r="D149" s="233">
        <v>45639</v>
      </c>
      <c r="E149" s="28"/>
      <c r="F149" s="28" t="s">
        <v>207</v>
      </c>
      <c r="G149" t="s">
        <v>5358</v>
      </c>
      <c r="H149" s="30" t="s">
        <v>5359</v>
      </c>
      <c r="I149" s="3">
        <v>36253.14</v>
      </c>
      <c r="J149" s="32">
        <f t="shared" si="10"/>
        <v>31903.14</v>
      </c>
      <c r="K149" t="s">
        <v>17</v>
      </c>
      <c r="L149" s="313"/>
      <c r="M149" s="233">
        <v>45707</v>
      </c>
      <c r="T149" t="s">
        <v>4140</v>
      </c>
      <c r="U149" s="360">
        <v>0.25833333333333336</v>
      </c>
      <c r="V149" s="360">
        <v>0.45555555555555555</v>
      </c>
    </row>
    <row r="150" spans="1:22" hidden="1" x14ac:dyDescent="0.25">
      <c r="A150" s="483">
        <v>8012025</v>
      </c>
      <c r="B150" t="s">
        <v>607</v>
      </c>
      <c r="C150" s="233" t="s">
        <v>410</v>
      </c>
      <c r="D150" s="233">
        <v>45665</v>
      </c>
      <c r="E150" s="28"/>
      <c r="F150" s="28" t="s">
        <v>207</v>
      </c>
      <c r="G150" t="s">
        <v>5526</v>
      </c>
      <c r="H150" s="30" t="s">
        <v>5527</v>
      </c>
      <c r="I150" s="3">
        <v>36253.14</v>
      </c>
      <c r="J150" s="88">
        <f t="shared" si="10"/>
        <v>31903.14</v>
      </c>
      <c r="K150" t="s">
        <v>17</v>
      </c>
      <c r="L150" s="313"/>
      <c r="M150" s="233">
        <v>45735</v>
      </c>
      <c r="T150" t="s">
        <v>4867</v>
      </c>
      <c r="U150" s="360">
        <v>0.59444444444444444</v>
      </c>
      <c r="V150" s="360"/>
    </row>
    <row r="152" spans="1:22" x14ac:dyDescent="0.25">
      <c r="A152" s="95"/>
      <c r="C152" s="28"/>
      <c r="D152" s="233"/>
      <c r="F152" s="28"/>
      <c r="G152" s="30"/>
      <c r="H152" s="30"/>
      <c r="I152" s="3"/>
      <c r="J152" s="3"/>
      <c r="L152" s="61"/>
      <c r="M152" s="28"/>
      <c r="U152" s="360"/>
      <c r="V152" s="360"/>
    </row>
    <row r="153" spans="1:22" x14ac:dyDescent="0.25">
      <c r="A153" s="95"/>
      <c r="C153" s="28"/>
      <c r="D153" s="233"/>
      <c r="F153" s="28"/>
      <c r="G153" s="30"/>
      <c r="H153" s="30"/>
      <c r="I153" s="3"/>
      <c r="J153" s="3"/>
      <c r="K153" s="3"/>
      <c r="L153" s="61"/>
      <c r="M153" s="28"/>
      <c r="U153" s="360"/>
      <c r="V153" s="30"/>
    </row>
    <row r="154" spans="1:22" x14ac:dyDescent="0.25">
      <c r="A154" s="256"/>
      <c r="D154" s="122"/>
      <c r="F154" s="28"/>
      <c r="G154" s="30"/>
      <c r="H154" s="30"/>
      <c r="I154" s="3"/>
      <c r="J154" s="3"/>
      <c r="L154" s="88"/>
      <c r="M154" s="28"/>
      <c r="T154" s="14"/>
      <c r="U154" s="14"/>
      <c r="V154" s="14"/>
    </row>
    <row r="155" spans="1:22" ht="15.75" thickBot="1" x14ac:dyDescent="0.3">
      <c r="A155" s="246"/>
      <c r="D155" s="122"/>
      <c r="I155" s="3"/>
      <c r="J155" s="32"/>
      <c r="M155" s="233"/>
    </row>
    <row r="156" spans="1:22" ht="15.75" thickBot="1" x14ac:dyDescent="0.3">
      <c r="H156" t="s">
        <v>361</v>
      </c>
      <c r="I156" s="730">
        <f>SUBTOTAL(9,I33:I155)</f>
        <v>0</v>
      </c>
      <c r="J156" s="1480"/>
      <c r="K156" s="1480"/>
      <c r="L156" s="1488"/>
      <c r="M156" s="1480"/>
      <c r="N156" s="1480"/>
      <c r="O156" s="238"/>
      <c r="P156" s="238"/>
      <c r="Q156" s="25"/>
    </row>
    <row r="158" spans="1:22" hidden="1" x14ac:dyDescent="0.25">
      <c r="A158" s="95" t="s">
        <v>1854</v>
      </c>
      <c r="B158" t="s">
        <v>1855</v>
      </c>
      <c r="C158" t="s">
        <v>13</v>
      </c>
      <c r="D158" s="122">
        <v>44963</v>
      </c>
      <c r="F158" t="s">
        <v>1853</v>
      </c>
      <c r="G158" t="s">
        <v>1866</v>
      </c>
      <c r="H158" t="s">
        <v>3049</v>
      </c>
      <c r="I158" s="32">
        <v>47370</v>
      </c>
      <c r="J158" s="160">
        <f>+I158*0.88</f>
        <v>41685.599999999999</v>
      </c>
      <c r="K158" s="160" t="s">
        <v>17</v>
      </c>
      <c r="M158" s="233">
        <v>45558</v>
      </c>
      <c r="S158" t="s">
        <v>989</v>
      </c>
      <c r="T158" s="14">
        <v>0.62777777777777777</v>
      </c>
    </row>
    <row r="159" spans="1:22" x14ac:dyDescent="0.25">
      <c r="I159" s="22"/>
      <c r="K159" s="91" t="s">
        <v>4014</v>
      </c>
      <c r="L159" s="91"/>
    </row>
    <row r="160" spans="1:22" ht="17.25" customHeight="1" x14ac:dyDescent="0.25">
      <c r="H160" t="s">
        <v>1973</v>
      </c>
      <c r="I160" s="138">
        <f>SUBTOTAL(9,I158:I159)</f>
        <v>0</v>
      </c>
      <c r="J160" s="3"/>
    </row>
    <row r="161" spans="6:21" ht="15.75" thickBot="1" x14ac:dyDescent="0.3">
      <c r="K161" s="3"/>
      <c r="L161" s="3"/>
    </row>
    <row r="162" spans="6:21" ht="15.75" thickBot="1" x14ac:dyDescent="0.3">
      <c r="I162" s="731">
        <f>+I156+I160</f>
        <v>0</v>
      </c>
      <c r="J162" s="3"/>
    </row>
    <row r="164" spans="6:21" ht="15.75" thickBot="1" x14ac:dyDescent="0.3"/>
    <row r="165" spans="6:21" ht="15.75" thickBot="1" x14ac:dyDescent="0.3">
      <c r="G165" s="358"/>
      <c r="J165" s="1520" t="s">
        <v>701</v>
      </c>
      <c r="K165" s="1521"/>
      <c r="L165" s="1521"/>
      <c r="M165" s="1522"/>
      <c r="N165" s="1487" t="s">
        <v>748</v>
      </c>
      <c r="O165" s="1488"/>
      <c r="P165" s="1488"/>
      <c r="Q165" s="1488"/>
      <c r="R165" s="1489"/>
      <c r="S165" s="1499" t="s">
        <v>751</v>
      </c>
      <c r="T165" s="1502"/>
    </row>
    <row r="166" spans="6:21" s="25" customFormat="1" ht="15.75" thickBot="1" x14ac:dyDescent="0.3">
      <c r="J166" s="1531" t="s">
        <v>702</v>
      </c>
      <c r="K166" s="1532"/>
      <c r="L166" s="1532"/>
      <c r="M166" s="1533"/>
      <c r="N166" s="25" t="s">
        <v>750</v>
      </c>
      <c r="R166" s="25" t="s">
        <v>749</v>
      </c>
      <c r="S166" s="25" t="s">
        <v>750</v>
      </c>
      <c r="T166" s="25" t="s">
        <v>749</v>
      </c>
    </row>
    <row r="167" spans="6:21" ht="15.75" thickBot="1" x14ac:dyDescent="0.3">
      <c r="G167" s="358"/>
      <c r="J167" s="1534" t="s">
        <v>436</v>
      </c>
      <c r="K167" s="1534"/>
      <c r="L167" s="142"/>
      <c r="M167" s="676">
        <f>4006199.12+320495.93</f>
        <v>4326695.05</v>
      </c>
      <c r="N167" s="28"/>
      <c r="O167" s="28"/>
      <c r="P167" s="28"/>
      <c r="Q167" s="28"/>
      <c r="R167" s="17">
        <v>38524.639999999999</v>
      </c>
      <c r="S167" s="28">
        <f>110+8</f>
        <v>118</v>
      </c>
      <c r="T167">
        <v>36253.14</v>
      </c>
    </row>
    <row r="168" spans="6:21" x14ac:dyDescent="0.25">
      <c r="G168" s="358"/>
      <c r="I168" s="158"/>
      <c r="J168" s="112" t="s">
        <v>696</v>
      </c>
      <c r="K168" s="113" t="s">
        <v>697</v>
      </c>
      <c r="L168" s="144"/>
      <c r="M168" s="114" t="s">
        <v>437</v>
      </c>
    </row>
    <row r="169" spans="6:21" x14ac:dyDescent="0.25">
      <c r="H169" t="s">
        <v>752</v>
      </c>
      <c r="I169" t="s">
        <v>753</v>
      </c>
      <c r="J169" s="104">
        <f>3516554.58/M167</f>
        <v>0.81275766823455708</v>
      </c>
      <c r="K169" s="102" t="s">
        <v>366</v>
      </c>
      <c r="L169" s="102"/>
      <c r="M169" s="677" t="s">
        <v>5491</v>
      </c>
    </row>
    <row r="170" spans="6:21" x14ac:dyDescent="0.25">
      <c r="H170" s="3">
        <v>4275870.5200000042</v>
      </c>
      <c r="I170">
        <v>0</v>
      </c>
      <c r="J170" s="104">
        <f>(H170+I170)/M167</f>
        <v>0.98825326735241126</v>
      </c>
      <c r="K170" s="102" t="s">
        <v>365</v>
      </c>
      <c r="L170" s="102"/>
      <c r="M170" s="677" t="str">
        <f>+M169</f>
        <v>al 08/01/24</v>
      </c>
      <c r="N170" s="17">
        <f>+I170/R167</f>
        <v>0</v>
      </c>
      <c r="O170" s="17"/>
      <c r="P170" s="17"/>
      <c r="Q170" s="17"/>
      <c r="S170" s="61">
        <f>+H170/T167</f>
        <v>117.94483236486562</v>
      </c>
    </row>
    <row r="171" spans="6:21" ht="15.75" thickBot="1" x14ac:dyDescent="0.3">
      <c r="J171" s="104">
        <f>H170/M167</f>
        <v>0.98825326735241126</v>
      </c>
      <c r="K171" s="102" t="s">
        <v>698</v>
      </c>
      <c r="L171" s="145"/>
      <c r="M171" s="678" t="str">
        <f>+M169</f>
        <v>al 08/01/24</v>
      </c>
      <c r="S171" s="32"/>
    </row>
    <row r="172" spans="6:21" ht="15.75" thickBot="1" x14ac:dyDescent="0.3">
      <c r="H172" s="358"/>
      <c r="J172" s="1524" t="s">
        <v>756</v>
      </c>
      <c r="K172" s="1525"/>
      <c r="L172" s="146"/>
      <c r="M172" s="679">
        <f>+M167-H170</f>
        <v>50824.529999995604</v>
      </c>
      <c r="N172" s="347">
        <f>+N167-N170</f>
        <v>0</v>
      </c>
      <c r="S172" s="346">
        <f>+S167-S170</f>
        <v>5.5167635134381499E-2</v>
      </c>
    </row>
    <row r="173" spans="6:21" ht="15.75" thickBot="1" x14ac:dyDescent="0.3">
      <c r="J173" s="1526" t="s">
        <v>699</v>
      </c>
      <c r="K173" s="1527"/>
      <c r="L173" s="1527"/>
      <c r="M173" s="1528"/>
      <c r="S173" s="32"/>
    </row>
    <row r="174" spans="6:21" x14ac:dyDescent="0.25">
      <c r="J174" s="108">
        <f>+J169/J170</f>
        <v>0.82241839727176691</v>
      </c>
      <c r="K174" s="103" t="s">
        <v>700</v>
      </c>
      <c r="L174" s="103"/>
      <c r="M174" s="680" t="str">
        <f>+M169</f>
        <v>al 08/01/24</v>
      </c>
      <c r="U174" s="358"/>
    </row>
    <row r="175" spans="6:21" x14ac:dyDescent="0.25">
      <c r="F175" s="32"/>
      <c r="J175" s="104">
        <f>+J171/J170</f>
        <v>1</v>
      </c>
      <c r="K175" s="102" t="s">
        <v>703</v>
      </c>
      <c r="L175" s="102"/>
      <c r="M175" s="677" t="str">
        <f>+M169</f>
        <v>al 08/01/24</v>
      </c>
      <c r="N175" s="358"/>
    </row>
    <row r="176" spans="6:21" x14ac:dyDescent="0.25">
      <c r="F176" s="32"/>
      <c r="N176" s="358"/>
      <c r="S176" s="358"/>
    </row>
    <row r="177" spans="6:13" x14ac:dyDescent="0.25">
      <c r="F177" s="32"/>
      <c r="M177" s="61"/>
    </row>
    <row r="178" spans="6:13" x14ac:dyDescent="0.25">
      <c r="F178" s="32"/>
      <c r="M178" s="61"/>
    </row>
    <row r="184" spans="6:13" x14ac:dyDescent="0.25">
      <c r="H184" s="13"/>
      <c r="I184" s="13"/>
      <c r="J184" s="13"/>
    </row>
    <row r="185" spans="6:13" x14ac:dyDescent="0.25">
      <c r="H185" s="13"/>
      <c r="I185" s="13"/>
      <c r="J185" s="13"/>
    </row>
    <row r="186" spans="6:13" x14ac:dyDescent="0.25">
      <c r="H186" s="13"/>
      <c r="I186" s="13"/>
      <c r="J186" s="13"/>
    </row>
    <row r="187" spans="6:13" x14ac:dyDescent="0.25">
      <c r="H187" s="13"/>
      <c r="I187" s="13"/>
      <c r="J187" s="13"/>
    </row>
    <row r="188" spans="6:13" x14ac:dyDescent="0.25">
      <c r="H188" s="13"/>
      <c r="I188" s="13"/>
      <c r="J188" s="13"/>
    </row>
    <row r="189" spans="6:13" x14ac:dyDescent="0.25">
      <c r="H189" s="13"/>
      <c r="I189" s="13"/>
      <c r="J189" s="13"/>
    </row>
    <row r="190" spans="6:13" x14ac:dyDescent="0.25">
      <c r="H190" s="13"/>
      <c r="I190" s="13"/>
      <c r="J190" s="13"/>
    </row>
    <row r="191" spans="6:13" x14ac:dyDescent="0.25">
      <c r="H191" s="13"/>
      <c r="I191" s="13"/>
      <c r="J191" s="13"/>
    </row>
    <row r="192" spans="6:13" x14ac:dyDescent="0.25">
      <c r="H192" s="13"/>
      <c r="I192" s="13"/>
      <c r="J192" s="13"/>
    </row>
    <row r="193" spans="8:10" x14ac:dyDescent="0.25">
      <c r="H193" s="13"/>
      <c r="I193" s="13"/>
      <c r="J193" s="13"/>
    </row>
    <row r="194" spans="8:10" x14ac:dyDescent="0.25">
      <c r="H194" s="13"/>
      <c r="I194" s="13"/>
      <c r="J194" s="8"/>
    </row>
    <row r="195" spans="8:10" x14ac:dyDescent="0.25">
      <c r="H195" s="13"/>
      <c r="I195" s="13"/>
      <c r="J195" s="13"/>
    </row>
  </sheetData>
  <autoFilter ref="A2:X193" xr:uid="{00000000-0009-0000-0000-000009000000}">
    <filterColumn colId="10">
      <filters blank="1">
        <filter val="DESCRIPC"/>
        <filter val="Ejecutado"/>
        <filter val="ESTA EN CONCILIACIÓN CON RESOLUCION Y ACTA PARA EL PAGO"/>
        <filter val="Facturado"/>
        <filter val="Pagado"/>
        <filter val="Total facturado"/>
        <filter val="Total pagado"/>
      </filters>
    </filterColumn>
    <filterColumn colId="17" showButton="0"/>
    <filterColumn colId="18" showButton="0"/>
    <filterColumn colId="19" showButton="0"/>
  </autoFilter>
  <mergeCells count="13">
    <mergeCell ref="J172:K172"/>
    <mergeCell ref="J173:M173"/>
    <mergeCell ref="J156:N156"/>
    <mergeCell ref="R2:U2"/>
    <mergeCell ref="C14:C15"/>
    <mergeCell ref="D14:D15"/>
    <mergeCell ref="F14:F15"/>
    <mergeCell ref="B32:J32"/>
    <mergeCell ref="N165:R165"/>
    <mergeCell ref="S165:T165"/>
    <mergeCell ref="J165:M165"/>
    <mergeCell ref="J166:M166"/>
    <mergeCell ref="J167:K16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8" r:id="rId4" name="Button 1">
              <controlPr defaultSize="0" print="0" autoFill="0" autoPict="0" macro="[0]!RETORNAR">
                <anchor moveWithCells="1" sizeWithCells="1">
                  <from>
                    <xdr:col>0</xdr:col>
                    <xdr:colOff>28575</xdr:colOff>
                    <xdr:row>0</xdr:row>
                    <xdr:rowOff>0</xdr:rowOff>
                  </from>
                  <to>
                    <xdr:col>1</xdr:col>
                    <xdr:colOff>1076325</xdr:colOff>
                    <xdr:row>0</xdr:row>
                    <xdr:rowOff>257175</xdr:rowOff>
                  </to>
                </anchor>
              </controlPr>
            </control>
          </mc:Choice>
        </mc:AlternateContent>
        <mc:AlternateContent xmlns:mc="http://schemas.openxmlformats.org/markup-compatibility/2006">
          <mc:Choice Requires="x14">
            <control shapeId="1056" r:id="rId5" name="Botón 32">
              <controlPr defaultSize="0" print="0" autoFill="0" autoPict="0" macro="[0]!IR_VENTAS_B200_2026">
                <anchor moveWithCells="1" sizeWithCells="1">
                  <from>
                    <xdr:col>1</xdr:col>
                    <xdr:colOff>238125</xdr:colOff>
                    <xdr:row>177</xdr:row>
                    <xdr:rowOff>38100</xdr:rowOff>
                  </from>
                  <to>
                    <xdr:col>2</xdr:col>
                    <xdr:colOff>114300</xdr:colOff>
                    <xdr:row>180</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9" filterMode="1"/>
  <dimension ref="A1:XFC101"/>
  <sheetViews>
    <sheetView topLeftCell="B1" zoomScale="81" zoomScaleNormal="81" workbookViewId="0">
      <selection activeCell="I77" activeCellId="1" sqref="I75 I77:I80"/>
    </sheetView>
  </sheetViews>
  <sheetFormatPr baseColWidth="10" defaultColWidth="10.85546875" defaultRowHeight="15" x14ac:dyDescent="0.25"/>
  <cols>
    <col min="1" max="1" width="11.42578125" customWidth="1"/>
    <col min="3" max="3" width="13.140625" bestFit="1" customWidth="1"/>
    <col min="4" max="4" width="12.42578125" style="233" bestFit="1" customWidth="1"/>
    <col min="5" max="5" width="43.85546875" hidden="1" customWidth="1"/>
    <col min="6" max="6" width="8.5703125" style="28" customWidth="1"/>
    <col min="7" max="7" width="45.7109375" customWidth="1"/>
    <col min="8" max="8" width="21.140625" customWidth="1"/>
    <col min="9" max="9" width="14" customWidth="1"/>
    <col min="10" max="10" width="11.28515625" style="32" customWidth="1"/>
    <col min="11" max="11" width="50.85546875" customWidth="1"/>
    <col min="12" max="12" width="11.42578125" style="6"/>
  </cols>
  <sheetData>
    <row r="1" spans="1:17" ht="20.45" customHeight="1" x14ac:dyDescent="0.25"/>
    <row r="2" spans="1:17" x14ac:dyDescent="0.25">
      <c r="A2" t="s">
        <v>706</v>
      </c>
      <c r="B2" s="1" t="s">
        <v>0</v>
      </c>
      <c r="C2" s="1" t="s">
        <v>1</v>
      </c>
      <c r="D2" s="781" t="s">
        <v>2</v>
      </c>
      <c r="E2" s="1"/>
      <c r="F2" s="25" t="s">
        <v>3</v>
      </c>
      <c r="G2" s="1" t="s">
        <v>4</v>
      </c>
      <c r="H2" s="1" t="s">
        <v>5</v>
      </c>
      <c r="I2" s="1" t="s">
        <v>6</v>
      </c>
      <c r="J2" s="87" t="s">
        <v>1780</v>
      </c>
      <c r="K2" s="1" t="s">
        <v>8</v>
      </c>
      <c r="L2" s="94" t="s">
        <v>3997</v>
      </c>
      <c r="M2" s="1" t="s">
        <v>10</v>
      </c>
      <c r="N2" s="1480" t="s">
        <v>11</v>
      </c>
      <c r="O2" s="1480"/>
      <c r="P2" s="1480"/>
      <c r="Q2" s="1480"/>
    </row>
    <row r="3" spans="1:17" hidden="1" x14ac:dyDescent="0.25">
      <c r="B3" t="s">
        <v>118</v>
      </c>
      <c r="C3" t="s">
        <v>31</v>
      </c>
      <c r="D3" s="122">
        <v>44217</v>
      </c>
      <c r="E3" s="2"/>
      <c r="F3" t="s">
        <v>119</v>
      </c>
      <c r="G3" t="s">
        <v>120</v>
      </c>
      <c r="H3" t="s">
        <v>121</v>
      </c>
      <c r="I3" s="3">
        <v>35200</v>
      </c>
      <c r="K3" t="s">
        <v>17</v>
      </c>
      <c r="L3" s="122" t="s">
        <v>122</v>
      </c>
      <c r="M3" t="s">
        <v>18</v>
      </c>
      <c r="O3" t="s">
        <v>123</v>
      </c>
    </row>
    <row r="4" spans="1:17" hidden="1" x14ac:dyDescent="0.25">
      <c r="B4" t="s">
        <v>118</v>
      </c>
      <c r="D4" s="122">
        <v>44217</v>
      </c>
      <c r="E4" s="2"/>
      <c r="F4"/>
      <c r="G4" t="s">
        <v>124</v>
      </c>
      <c r="H4" t="s">
        <v>125</v>
      </c>
      <c r="I4" s="3">
        <v>6690</v>
      </c>
      <c r="K4" t="s">
        <v>17</v>
      </c>
      <c r="L4" s="122" t="s">
        <v>122</v>
      </c>
      <c r="M4" t="s">
        <v>18</v>
      </c>
    </row>
    <row r="5" spans="1:17" hidden="1" x14ac:dyDescent="0.25">
      <c r="B5" t="s">
        <v>118</v>
      </c>
      <c r="C5" t="s">
        <v>31</v>
      </c>
      <c r="D5" s="122">
        <v>44224</v>
      </c>
      <c r="E5" s="2"/>
      <c r="F5" t="s">
        <v>126</v>
      </c>
      <c r="G5" t="s">
        <v>127</v>
      </c>
      <c r="H5" t="s">
        <v>128</v>
      </c>
      <c r="I5" s="3">
        <v>34400</v>
      </c>
      <c r="K5" t="s">
        <v>17</v>
      </c>
      <c r="L5" s="122" t="s">
        <v>122</v>
      </c>
      <c r="M5" t="s">
        <v>18</v>
      </c>
    </row>
    <row r="6" spans="1:17" hidden="1" x14ac:dyDescent="0.25">
      <c r="B6" t="s">
        <v>118</v>
      </c>
      <c r="D6" s="122">
        <v>44224</v>
      </c>
      <c r="E6" s="2"/>
      <c r="F6"/>
      <c r="G6">
        <v>4503790142</v>
      </c>
      <c r="H6" t="s">
        <v>129</v>
      </c>
      <c r="I6" s="3">
        <v>2048</v>
      </c>
      <c r="K6" t="s">
        <v>17</v>
      </c>
      <c r="L6" s="122" t="s">
        <v>122</v>
      </c>
      <c r="M6" t="s">
        <v>18</v>
      </c>
    </row>
    <row r="7" spans="1:17" hidden="1" x14ac:dyDescent="0.25">
      <c r="B7" t="s">
        <v>118</v>
      </c>
      <c r="C7" t="s">
        <v>31</v>
      </c>
      <c r="D7" s="122">
        <v>44252</v>
      </c>
      <c r="E7" s="2"/>
      <c r="F7" t="s">
        <v>119</v>
      </c>
      <c r="G7" t="s">
        <v>130</v>
      </c>
      <c r="H7" t="s">
        <v>131</v>
      </c>
      <c r="I7" s="3">
        <v>35100</v>
      </c>
      <c r="K7" t="s">
        <v>17</v>
      </c>
      <c r="L7" s="122" t="s">
        <v>122</v>
      </c>
      <c r="M7" t="s">
        <v>18</v>
      </c>
    </row>
    <row r="8" spans="1:17" hidden="1" x14ac:dyDescent="0.25">
      <c r="B8" t="s">
        <v>118</v>
      </c>
      <c r="D8" s="122"/>
      <c r="E8" s="2"/>
      <c r="F8"/>
      <c r="G8" t="s">
        <v>132</v>
      </c>
      <c r="H8" t="s">
        <v>133</v>
      </c>
      <c r="I8" s="3">
        <v>4410</v>
      </c>
      <c r="K8" t="s">
        <v>17</v>
      </c>
      <c r="L8" s="122" t="s">
        <v>122</v>
      </c>
      <c r="M8" t="s">
        <v>18</v>
      </c>
    </row>
    <row r="9" spans="1:17" hidden="1" x14ac:dyDescent="0.25">
      <c r="B9" t="s">
        <v>118</v>
      </c>
      <c r="C9" t="s">
        <v>27</v>
      </c>
      <c r="D9" s="122">
        <v>44264</v>
      </c>
      <c r="E9" s="2"/>
      <c r="F9" t="s">
        <v>119</v>
      </c>
      <c r="G9" t="s">
        <v>134</v>
      </c>
      <c r="H9" t="s">
        <v>135</v>
      </c>
      <c r="I9" s="3">
        <v>35100</v>
      </c>
      <c r="K9" t="s">
        <v>17</v>
      </c>
      <c r="L9" s="122" t="s">
        <v>122</v>
      </c>
      <c r="M9" t="s">
        <v>18</v>
      </c>
      <c r="O9" t="s">
        <v>24</v>
      </c>
    </row>
    <row r="10" spans="1:17" hidden="1" x14ac:dyDescent="0.25">
      <c r="B10" t="s">
        <v>118</v>
      </c>
      <c r="D10" s="122"/>
      <c r="E10" s="2"/>
      <c r="F10"/>
      <c r="G10" t="s">
        <v>136</v>
      </c>
      <c r="H10" t="s">
        <v>137</v>
      </c>
      <c r="I10" s="3">
        <v>798</v>
      </c>
      <c r="K10" t="s">
        <v>17</v>
      </c>
      <c r="L10" s="122" t="s">
        <v>122</v>
      </c>
      <c r="M10" t="s">
        <v>18</v>
      </c>
    </row>
    <row r="11" spans="1:17" hidden="1" x14ac:dyDescent="0.25">
      <c r="B11" t="s">
        <v>118</v>
      </c>
      <c r="C11" t="s">
        <v>31</v>
      </c>
      <c r="D11" s="122">
        <v>44312</v>
      </c>
      <c r="E11" s="2"/>
      <c r="F11" t="s">
        <v>119</v>
      </c>
      <c r="G11" t="s">
        <v>138</v>
      </c>
      <c r="H11" t="s">
        <v>139</v>
      </c>
      <c r="I11" s="3">
        <v>34400</v>
      </c>
      <c r="K11" t="s">
        <v>17</v>
      </c>
      <c r="L11" s="122">
        <v>44329</v>
      </c>
      <c r="M11" t="s">
        <v>18</v>
      </c>
      <c r="O11" t="s">
        <v>140</v>
      </c>
    </row>
    <row r="12" spans="1:17" hidden="1" x14ac:dyDescent="0.25">
      <c r="B12" t="s">
        <v>118</v>
      </c>
      <c r="D12" s="122"/>
      <c r="E12" s="2"/>
      <c r="F12" t="s">
        <v>119</v>
      </c>
      <c r="G12" t="s">
        <v>141</v>
      </c>
      <c r="H12" t="s">
        <v>142</v>
      </c>
      <c r="I12" s="3">
        <v>2048</v>
      </c>
      <c r="K12" t="s">
        <v>17</v>
      </c>
      <c r="L12" s="122">
        <v>44329</v>
      </c>
      <c r="M12" t="s">
        <v>18</v>
      </c>
    </row>
    <row r="13" spans="1:17" hidden="1" x14ac:dyDescent="0.25">
      <c r="B13" t="s">
        <v>118</v>
      </c>
      <c r="C13" t="s">
        <v>67</v>
      </c>
      <c r="D13" s="122">
        <v>44516</v>
      </c>
      <c r="E13">
        <v>3.2</v>
      </c>
      <c r="F13" t="s">
        <v>143</v>
      </c>
      <c r="H13" t="s">
        <v>402</v>
      </c>
      <c r="I13" s="7">
        <v>35150</v>
      </c>
      <c r="K13" t="s">
        <v>17</v>
      </c>
      <c r="L13" s="122">
        <v>44549</v>
      </c>
      <c r="M13" t="s">
        <v>18</v>
      </c>
    </row>
    <row r="14" spans="1:17" hidden="1" x14ac:dyDescent="0.25">
      <c r="B14" t="s">
        <v>118</v>
      </c>
      <c r="C14" t="s">
        <v>67</v>
      </c>
      <c r="D14" s="122">
        <v>44526</v>
      </c>
      <c r="E14">
        <v>3.2</v>
      </c>
      <c r="F14" t="s">
        <v>143</v>
      </c>
      <c r="G14" t="s">
        <v>279</v>
      </c>
      <c r="H14" s="30" t="s">
        <v>329</v>
      </c>
      <c r="I14" s="7">
        <v>35150</v>
      </c>
      <c r="K14" t="s">
        <v>17</v>
      </c>
      <c r="L14" s="122">
        <v>44546</v>
      </c>
      <c r="M14" t="s">
        <v>18</v>
      </c>
    </row>
    <row r="15" spans="1:17" hidden="1" x14ac:dyDescent="0.25">
      <c r="B15" t="s">
        <v>118</v>
      </c>
      <c r="C15" t="s">
        <v>27</v>
      </c>
      <c r="D15" s="122">
        <v>44590</v>
      </c>
      <c r="E15">
        <v>3.2</v>
      </c>
      <c r="F15" t="s">
        <v>143</v>
      </c>
      <c r="G15" t="s">
        <v>551</v>
      </c>
      <c r="H15" t="s">
        <v>553</v>
      </c>
      <c r="I15" s="3">
        <v>35150</v>
      </c>
      <c r="K15" t="s">
        <v>17</v>
      </c>
      <c r="L15" s="122">
        <v>44610</v>
      </c>
    </row>
    <row r="16" spans="1:17" hidden="1" x14ac:dyDescent="0.25">
      <c r="B16" t="s">
        <v>118</v>
      </c>
      <c r="D16" s="122">
        <v>44596</v>
      </c>
      <c r="E16">
        <v>3.2</v>
      </c>
      <c r="F16" t="s">
        <v>143</v>
      </c>
      <c r="G16" t="s">
        <v>554</v>
      </c>
      <c r="H16" t="s">
        <v>552</v>
      </c>
      <c r="I16" s="3">
        <v>34800</v>
      </c>
      <c r="K16" t="s">
        <v>17</v>
      </c>
      <c r="L16" s="122">
        <v>44638</v>
      </c>
    </row>
    <row r="17" spans="1:19" hidden="1" x14ac:dyDescent="0.25">
      <c r="B17" t="s">
        <v>118</v>
      </c>
      <c r="C17" t="s">
        <v>67</v>
      </c>
      <c r="D17" s="122">
        <v>44619</v>
      </c>
      <c r="E17">
        <v>3.2</v>
      </c>
      <c r="F17" t="s">
        <v>143</v>
      </c>
      <c r="G17" t="s">
        <v>620</v>
      </c>
      <c r="H17" t="s">
        <v>637</v>
      </c>
      <c r="I17" s="3">
        <v>34800</v>
      </c>
      <c r="K17" t="s">
        <v>17</v>
      </c>
      <c r="L17" s="122">
        <v>44638</v>
      </c>
    </row>
    <row r="18" spans="1:19" hidden="1" x14ac:dyDescent="0.25">
      <c r="B18" t="s">
        <v>118</v>
      </c>
      <c r="C18" t="s">
        <v>67</v>
      </c>
      <c r="D18" s="122">
        <v>44641</v>
      </c>
      <c r="E18" s="32">
        <v>3.2</v>
      </c>
      <c r="F18" t="s">
        <v>126</v>
      </c>
      <c r="G18" t="s">
        <v>663</v>
      </c>
      <c r="H18" t="s">
        <v>680</v>
      </c>
      <c r="I18" s="88">
        <v>34800</v>
      </c>
      <c r="K18" t="s">
        <v>17</v>
      </c>
      <c r="L18" s="122">
        <v>44707</v>
      </c>
      <c r="M18" t="s">
        <v>18</v>
      </c>
      <c r="N18" t="s">
        <v>658</v>
      </c>
      <c r="O18" s="14">
        <v>0.33819444444444446</v>
      </c>
      <c r="P18" s="14">
        <v>7.8472222222222221E-2</v>
      </c>
    </row>
    <row r="19" spans="1:19" hidden="1" x14ac:dyDescent="0.25">
      <c r="B19" t="s">
        <v>118</v>
      </c>
      <c r="C19" t="s">
        <v>27</v>
      </c>
      <c r="D19" s="122">
        <v>44645</v>
      </c>
      <c r="E19" s="32">
        <v>3.2</v>
      </c>
      <c r="F19" t="s">
        <v>126</v>
      </c>
      <c r="G19" t="s">
        <v>685</v>
      </c>
      <c r="H19" t="s">
        <v>776</v>
      </c>
      <c r="I19" s="32">
        <v>34800</v>
      </c>
      <c r="K19" t="s">
        <v>17</v>
      </c>
      <c r="L19" s="122">
        <v>44707</v>
      </c>
      <c r="M19" t="s">
        <v>18</v>
      </c>
      <c r="N19" t="s">
        <v>683</v>
      </c>
      <c r="O19" s="14">
        <v>0.33333333333333331</v>
      </c>
      <c r="P19" s="14">
        <v>7.8472222222222221E-2</v>
      </c>
      <c r="S19" t="s">
        <v>684</v>
      </c>
    </row>
    <row r="20" spans="1:19" s="19" customFormat="1" hidden="1" x14ac:dyDescent="0.25">
      <c r="A20" s="139">
        <v>1042022</v>
      </c>
      <c r="B20" s="19" t="s">
        <v>118</v>
      </c>
      <c r="C20" s="19" t="s">
        <v>693</v>
      </c>
      <c r="D20" s="122">
        <v>44652</v>
      </c>
      <c r="E20" s="140">
        <v>3.2</v>
      </c>
      <c r="F20" s="19" t="s">
        <v>143</v>
      </c>
      <c r="G20" s="19" t="s">
        <v>734</v>
      </c>
      <c r="H20" s="19" t="s">
        <v>847</v>
      </c>
      <c r="I20" s="140">
        <v>34800</v>
      </c>
      <c r="J20" s="32"/>
      <c r="K20" t="s">
        <v>17</v>
      </c>
      <c r="L20" s="122">
        <v>44833</v>
      </c>
      <c r="M20" t="s">
        <v>18</v>
      </c>
      <c r="N20" s="19" t="s">
        <v>652</v>
      </c>
      <c r="O20" s="141">
        <v>0.30416666666666664</v>
      </c>
      <c r="P20" s="141">
        <v>0.51180555555555551</v>
      </c>
    </row>
    <row r="21" spans="1:19" hidden="1" x14ac:dyDescent="0.25">
      <c r="A21" s="115">
        <v>1042022</v>
      </c>
      <c r="B21" t="s">
        <v>118</v>
      </c>
      <c r="C21" t="s">
        <v>693</v>
      </c>
      <c r="D21" s="122">
        <v>44657</v>
      </c>
      <c r="E21" s="32">
        <v>3.2</v>
      </c>
      <c r="F21" t="s">
        <v>143</v>
      </c>
      <c r="G21" t="s">
        <v>793</v>
      </c>
      <c r="H21" t="s">
        <v>787</v>
      </c>
      <c r="I21" s="32">
        <v>34800</v>
      </c>
      <c r="K21" t="s">
        <v>17</v>
      </c>
      <c r="L21" s="122">
        <v>44728</v>
      </c>
      <c r="N21" t="s">
        <v>652</v>
      </c>
      <c r="O21" s="14">
        <v>0.30416666666666664</v>
      </c>
      <c r="P21" s="14">
        <v>0.51180555555555551</v>
      </c>
    </row>
    <row r="22" spans="1:19" hidden="1" x14ac:dyDescent="0.25">
      <c r="A22" s="115">
        <v>19042022</v>
      </c>
      <c r="B22" t="s">
        <v>118</v>
      </c>
      <c r="D22" s="122">
        <v>44670</v>
      </c>
      <c r="E22" s="32">
        <v>3.2</v>
      </c>
      <c r="F22" t="s">
        <v>143</v>
      </c>
      <c r="G22" t="s">
        <v>819</v>
      </c>
      <c r="H22" t="s">
        <v>820</v>
      </c>
      <c r="I22" s="32">
        <v>33100</v>
      </c>
      <c r="K22" t="s">
        <v>17</v>
      </c>
      <c r="L22" s="122">
        <v>44735</v>
      </c>
    </row>
    <row r="23" spans="1:19" hidden="1" x14ac:dyDescent="0.25">
      <c r="A23" s="115">
        <v>27042022</v>
      </c>
      <c r="B23" t="s">
        <v>118</v>
      </c>
      <c r="C23" t="s">
        <v>410</v>
      </c>
      <c r="D23" s="122">
        <v>44678</v>
      </c>
      <c r="E23" s="32"/>
      <c r="F23" t="s">
        <v>143</v>
      </c>
      <c r="G23" t="s">
        <v>857</v>
      </c>
      <c r="H23" s="19" t="s">
        <v>1039</v>
      </c>
      <c r="I23" s="32">
        <v>33100</v>
      </c>
      <c r="K23" t="s">
        <v>17</v>
      </c>
      <c r="L23" s="122">
        <v>44764</v>
      </c>
      <c r="O23" t="s">
        <v>651</v>
      </c>
      <c r="P23" s="14">
        <v>0.6166666666666667</v>
      </c>
    </row>
    <row r="24" spans="1:19" s="163" customFormat="1" hidden="1" x14ac:dyDescent="0.25">
      <c r="A24" s="168" t="s">
        <v>890</v>
      </c>
      <c r="B24" s="166" t="s">
        <v>611</v>
      </c>
      <c r="C24" t="s">
        <v>410</v>
      </c>
      <c r="D24" s="165">
        <v>44721</v>
      </c>
      <c r="E24" s="156"/>
      <c r="F24" s="163" t="s">
        <v>143</v>
      </c>
      <c r="G24" s="163" t="s">
        <v>902</v>
      </c>
      <c r="H24" s="163" t="s">
        <v>968</v>
      </c>
      <c r="I24" s="156">
        <v>33100</v>
      </c>
      <c r="J24" s="32"/>
      <c r="K24" t="s">
        <v>17</v>
      </c>
      <c r="L24" s="122">
        <v>44764</v>
      </c>
      <c r="O24" s="163" t="s">
        <v>893</v>
      </c>
      <c r="P24" s="167">
        <v>8.7500000000000008E-2</v>
      </c>
    </row>
    <row r="25" spans="1:19" hidden="1" x14ac:dyDescent="0.25">
      <c r="A25" s="115">
        <v>11072022</v>
      </c>
      <c r="B25" s="169" t="s">
        <v>118</v>
      </c>
      <c r="C25" s="21" t="s">
        <v>693</v>
      </c>
      <c r="D25" s="122">
        <v>44753</v>
      </c>
      <c r="E25" s="32"/>
      <c r="F25" s="163" t="s">
        <v>143</v>
      </c>
      <c r="G25" s="163" t="s">
        <v>1036</v>
      </c>
      <c r="H25" s="19" t="s">
        <v>1152</v>
      </c>
      <c r="I25" s="160">
        <v>35800</v>
      </c>
      <c r="K25" t="s">
        <v>17</v>
      </c>
      <c r="L25" s="122">
        <v>44820</v>
      </c>
      <c r="O25" s="163" t="s">
        <v>922</v>
      </c>
      <c r="P25" s="14">
        <v>0.50624999999999998</v>
      </c>
      <c r="Q25" s="14">
        <v>0.71944444444444444</v>
      </c>
    </row>
    <row r="26" spans="1:19" hidden="1" x14ac:dyDescent="0.25">
      <c r="A26" s="115">
        <v>15072022</v>
      </c>
      <c r="B26" s="169" t="s">
        <v>118</v>
      </c>
      <c r="C26" s="21" t="s">
        <v>693</v>
      </c>
      <c r="D26" s="122">
        <v>44757</v>
      </c>
      <c r="E26" s="32"/>
      <c r="F26" s="163" t="s">
        <v>143</v>
      </c>
      <c r="G26" s="163" t="s">
        <v>1172</v>
      </c>
      <c r="H26" s="19" t="s">
        <v>1170</v>
      </c>
      <c r="I26" s="159">
        <v>35800</v>
      </c>
      <c r="K26" t="s">
        <v>17</v>
      </c>
      <c r="L26" s="122">
        <v>44820</v>
      </c>
      <c r="O26" s="163" t="s">
        <v>1029</v>
      </c>
      <c r="P26" s="14">
        <v>0.47916666666666669</v>
      </c>
    </row>
    <row r="27" spans="1:19" hidden="1" x14ac:dyDescent="0.25">
      <c r="A27" s="115">
        <v>20072022</v>
      </c>
      <c r="B27" s="169" t="s">
        <v>118</v>
      </c>
      <c r="C27" s="21" t="s">
        <v>693</v>
      </c>
      <c r="D27" s="122">
        <v>44762</v>
      </c>
      <c r="E27" s="32"/>
      <c r="F27" s="163" t="s">
        <v>143</v>
      </c>
      <c r="G27" s="163" t="s">
        <v>1037</v>
      </c>
      <c r="H27" s="19" t="s">
        <v>1171</v>
      </c>
      <c r="I27" s="159">
        <v>35800</v>
      </c>
      <c r="K27" t="s">
        <v>17</v>
      </c>
      <c r="L27" s="122">
        <v>44820</v>
      </c>
      <c r="O27" s="163" t="s">
        <v>989</v>
      </c>
      <c r="P27" s="14">
        <v>0.30694444444444441</v>
      </c>
    </row>
    <row r="28" spans="1:19" hidden="1" x14ac:dyDescent="0.25">
      <c r="A28" s="116">
        <v>12102022</v>
      </c>
      <c r="B28" s="169" t="s">
        <v>118</v>
      </c>
      <c r="C28" s="30" t="s">
        <v>410</v>
      </c>
      <c r="D28" s="122">
        <v>44846</v>
      </c>
      <c r="E28" s="88"/>
      <c r="F28" t="s">
        <v>143</v>
      </c>
      <c r="G28" s="21" t="s">
        <v>1366</v>
      </c>
      <c r="H28" s="19" t="s">
        <v>1365</v>
      </c>
      <c r="I28" s="160">
        <v>38940</v>
      </c>
      <c r="J28" s="160"/>
      <c r="K28" s="88" t="s">
        <v>17</v>
      </c>
      <c r="L28" s="122">
        <v>44862</v>
      </c>
      <c r="O28" s="21" t="s">
        <v>1029</v>
      </c>
      <c r="P28" s="157">
        <v>0.31041666666666667</v>
      </c>
      <c r="Q28" s="157">
        <v>0.53194444444444444</v>
      </c>
    </row>
    <row r="29" spans="1:19" hidden="1" x14ac:dyDescent="0.25">
      <c r="A29" s="116">
        <v>13102022</v>
      </c>
      <c r="B29" s="169" t="s">
        <v>118</v>
      </c>
      <c r="C29" s="169" t="s">
        <v>693</v>
      </c>
      <c r="D29" s="122">
        <v>44847</v>
      </c>
      <c r="E29" s="88"/>
      <c r="F29" t="s">
        <v>143</v>
      </c>
      <c r="G29" s="21" t="s">
        <v>1435</v>
      </c>
      <c r="H29" s="19" t="s">
        <v>1436</v>
      </c>
      <c r="I29" s="160">
        <v>38940</v>
      </c>
      <c r="J29" s="160"/>
      <c r="K29" s="88" t="s">
        <v>17</v>
      </c>
      <c r="L29" s="122">
        <v>44862</v>
      </c>
      <c r="O29" s="21" t="s">
        <v>1029</v>
      </c>
      <c r="P29" s="157">
        <v>0.31736111111111115</v>
      </c>
      <c r="Q29" s="157">
        <v>0.54027777777777775</v>
      </c>
    </row>
    <row r="30" spans="1:19" hidden="1" x14ac:dyDescent="0.25">
      <c r="A30" s="116">
        <v>14102022</v>
      </c>
      <c r="B30" s="169" t="s">
        <v>611</v>
      </c>
      <c r="C30" s="30">
        <v>2221</v>
      </c>
      <c r="D30" s="122">
        <v>44848</v>
      </c>
      <c r="E30" s="88"/>
      <c r="F30" t="s">
        <v>143</v>
      </c>
      <c r="G30" s="21" t="s">
        <v>1474</v>
      </c>
      <c r="H30" s="19" t="s">
        <v>1487</v>
      </c>
      <c r="I30" s="160">
        <v>38940</v>
      </c>
      <c r="J30" s="160"/>
      <c r="K30" s="88" t="s">
        <v>17</v>
      </c>
      <c r="L30" s="122">
        <v>44889</v>
      </c>
      <c r="O30" s="21" t="s">
        <v>923</v>
      </c>
      <c r="P30" s="157">
        <v>0.66111111111111109</v>
      </c>
      <c r="Q30" s="157">
        <v>0.82291666666666663</v>
      </c>
    </row>
    <row r="31" spans="1:19" hidden="1" x14ac:dyDescent="0.25">
      <c r="A31" s="116">
        <v>26102022</v>
      </c>
      <c r="B31" s="169" t="s">
        <v>611</v>
      </c>
      <c r="C31" s="30" t="s">
        <v>410</v>
      </c>
      <c r="D31" s="122">
        <v>44860</v>
      </c>
      <c r="E31" s="88"/>
      <c r="F31" t="s">
        <v>143</v>
      </c>
      <c r="G31" s="21" t="s">
        <v>1414</v>
      </c>
      <c r="H31" s="19" t="s">
        <v>1413</v>
      </c>
      <c r="I31" s="160">
        <v>38940</v>
      </c>
      <c r="J31" s="160"/>
      <c r="K31" s="88" t="s">
        <v>17</v>
      </c>
      <c r="L31" s="122">
        <v>44875</v>
      </c>
      <c r="O31" s="21" t="s">
        <v>989</v>
      </c>
      <c r="P31" s="157">
        <v>0.63263888888888886</v>
      </c>
      <c r="Q31" s="21"/>
    </row>
    <row r="32" spans="1:19" hidden="1" x14ac:dyDescent="0.25">
      <c r="A32" s="116">
        <v>27102022</v>
      </c>
      <c r="B32" s="169" t="s">
        <v>118</v>
      </c>
      <c r="C32" s="30" t="s">
        <v>410</v>
      </c>
      <c r="D32" s="122">
        <v>44861</v>
      </c>
      <c r="E32" s="88"/>
      <c r="F32" t="s">
        <v>143</v>
      </c>
      <c r="G32" s="21" t="s">
        <v>1473</v>
      </c>
      <c r="H32" s="19" t="s">
        <v>1479</v>
      </c>
      <c r="I32" s="160">
        <v>38940</v>
      </c>
      <c r="J32" s="160"/>
      <c r="K32" s="88" t="s">
        <v>17</v>
      </c>
      <c r="L32" s="122">
        <v>44889</v>
      </c>
      <c r="O32" s="21" t="s">
        <v>929</v>
      </c>
      <c r="P32" s="157">
        <v>0.31111111111111112</v>
      </c>
      <c r="Q32" s="157">
        <v>0.53055555555555556</v>
      </c>
    </row>
    <row r="33" spans="1:22" hidden="1" x14ac:dyDescent="0.25">
      <c r="A33" s="116">
        <v>19112022</v>
      </c>
      <c r="B33" s="169" t="s">
        <v>118</v>
      </c>
      <c r="C33" s="169" t="s">
        <v>693</v>
      </c>
      <c r="D33" s="122">
        <v>44884</v>
      </c>
      <c r="E33" s="88"/>
      <c r="F33" t="s">
        <v>143</v>
      </c>
      <c r="G33" s="21" t="s">
        <v>1519</v>
      </c>
      <c r="H33" t="s">
        <v>1522</v>
      </c>
      <c r="I33" s="160">
        <v>38940</v>
      </c>
      <c r="J33" s="160"/>
      <c r="K33" s="88" t="s">
        <v>17</v>
      </c>
      <c r="L33" s="122">
        <v>44915</v>
      </c>
      <c r="O33" s="21" t="s">
        <v>989</v>
      </c>
      <c r="P33" s="157"/>
      <c r="Q33" s="157">
        <v>0.41805555555555557</v>
      </c>
    </row>
    <row r="34" spans="1:22" hidden="1" x14ac:dyDescent="0.25">
      <c r="A34" s="116">
        <v>22112022</v>
      </c>
      <c r="B34" s="169" t="s">
        <v>611</v>
      </c>
      <c r="C34" s="30" t="s">
        <v>27</v>
      </c>
      <c r="D34" s="122">
        <v>44887</v>
      </c>
      <c r="E34" s="88"/>
      <c r="F34" t="s">
        <v>143</v>
      </c>
      <c r="G34" s="21" t="s">
        <v>1548</v>
      </c>
      <c r="H34" t="s">
        <v>1560</v>
      </c>
      <c r="I34" s="160">
        <v>38940</v>
      </c>
      <c r="J34" s="160"/>
      <c r="K34" s="88" t="s">
        <v>17</v>
      </c>
      <c r="L34" s="122">
        <v>44915</v>
      </c>
      <c r="O34" s="21" t="s">
        <v>893</v>
      </c>
      <c r="P34" s="157">
        <v>0.31388888888888888</v>
      </c>
      <c r="Q34" s="157">
        <v>0.49236111111111108</v>
      </c>
    </row>
    <row r="35" spans="1:22" hidden="1" x14ac:dyDescent="0.25">
      <c r="A35" s="256">
        <v>28032022</v>
      </c>
      <c r="B35" t="s">
        <v>611</v>
      </c>
      <c r="C35" t="s">
        <v>410</v>
      </c>
      <c r="D35" s="122">
        <v>45013</v>
      </c>
      <c r="F35" t="s">
        <v>143</v>
      </c>
      <c r="G35" t="s">
        <v>2161</v>
      </c>
      <c r="H35" t="s">
        <v>2162</v>
      </c>
      <c r="I35" s="88">
        <v>37300</v>
      </c>
      <c r="J35" s="32">
        <f t="shared" ref="J35:J47" si="0">+I35*0.88</f>
        <v>32824</v>
      </c>
      <c r="K35" s="88" t="s">
        <v>17</v>
      </c>
      <c r="L35" s="122">
        <v>45156</v>
      </c>
      <c r="T35" t="s">
        <v>916</v>
      </c>
      <c r="U35" s="14"/>
    </row>
    <row r="36" spans="1:22" hidden="1" x14ac:dyDescent="0.25">
      <c r="A36" s="256">
        <v>15042023</v>
      </c>
      <c r="B36" t="s">
        <v>118</v>
      </c>
      <c r="C36" t="s">
        <v>410</v>
      </c>
      <c r="D36" s="122">
        <v>45031</v>
      </c>
      <c r="F36" t="s">
        <v>143</v>
      </c>
      <c r="G36" t="s">
        <v>2272</v>
      </c>
      <c r="H36" t="s">
        <v>2282</v>
      </c>
      <c r="I36" s="88">
        <v>37200</v>
      </c>
      <c r="J36" s="32">
        <f t="shared" si="0"/>
        <v>32736</v>
      </c>
      <c r="K36" s="88" t="s">
        <v>17</v>
      </c>
      <c r="L36" s="122">
        <v>45078</v>
      </c>
      <c r="M36" t="s">
        <v>18</v>
      </c>
      <c r="T36" t="s">
        <v>893</v>
      </c>
      <c r="U36" s="14">
        <v>0.65763888888888888</v>
      </c>
      <c r="V36" s="14">
        <v>0.86736111111111114</v>
      </c>
    </row>
    <row r="37" spans="1:22" hidden="1" x14ac:dyDescent="0.25">
      <c r="A37" s="256">
        <v>19042023</v>
      </c>
      <c r="B37" t="s">
        <v>118</v>
      </c>
      <c r="C37" t="s">
        <v>693</v>
      </c>
      <c r="D37" s="122">
        <v>45035</v>
      </c>
      <c r="F37" t="s">
        <v>143</v>
      </c>
      <c r="G37" t="s">
        <v>2271</v>
      </c>
      <c r="H37" t="s">
        <v>2297</v>
      </c>
      <c r="I37" s="88">
        <v>37200</v>
      </c>
      <c r="J37" s="32">
        <f t="shared" si="0"/>
        <v>32736</v>
      </c>
      <c r="K37" s="88" t="s">
        <v>17</v>
      </c>
      <c r="L37" s="122">
        <v>45078</v>
      </c>
      <c r="M37" t="s">
        <v>18</v>
      </c>
      <c r="T37" t="s">
        <v>1644</v>
      </c>
      <c r="U37" s="14"/>
      <c r="V37" s="14"/>
    </row>
    <row r="38" spans="1:22" hidden="1" x14ac:dyDescent="0.25">
      <c r="A38" s="256">
        <v>23042023</v>
      </c>
      <c r="B38" t="s">
        <v>611</v>
      </c>
      <c r="C38" s="30">
        <v>2091</v>
      </c>
      <c r="D38" s="122">
        <v>45039</v>
      </c>
      <c r="F38" s="30" t="s">
        <v>143</v>
      </c>
      <c r="G38" s="30" t="s">
        <v>2290</v>
      </c>
      <c r="H38" t="s">
        <v>2298</v>
      </c>
      <c r="I38" s="313">
        <v>37200</v>
      </c>
      <c r="J38" s="32">
        <f t="shared" si="0"/>
        <v>32736</v>
      </c>
      <c r="K38" s="88" t="s">
        <v>17</v>
      </c>
      <c r="L38" s="122">
        <v>45078</v>
      </c>
      <c r="M38" t="s">
        <v>18</v>
      </c>
      <c r="T38" t="s">
        <v>2251</v>
      </c>
      <c r="U38" s="14">
        <v>0.5805555555555556</v>
      </c>
      <c r="V38" s="14">
        <v>0.88541666666666663</v>
      </c>
    </row>
    <row r="39" spans="1:22" hidden="1" x14ac:dyDescent="0.25">
      <c r="A39" s="95" t="s">
        <v>2452</v>
      </c>
      <c r="B39" t="s">
        <v>118</v>
      </c>
      <c r="C39" t="s">
        <v>693</v>
      </c>
      <c r="D39" s="122">
        <v>45080</v>
      </c>
      <c r="F39" s="30" t="s">
        <v>143</v>
      </c>
      <c r="G39" s="30" t="s">
        <v>2519</v>
      </c>
      <c r="H39" s="30" t="s">
        <v>2560</v>
      </c>
      <c r="I39" s="236">
        <v>37200</v>
      </c>
      <c r="J39" s="32">
        <f t="shared" si="0"/>
        <v>32736</v>
      </c>
      <c r="K39" s="88" t="s">
        <v>17</v>
      </c>
      <c r="L39" s="122">
        <v>45149</v>
      </c>
      <c r="T39" s="5" t="s">
        <v>922</v>
      </c>
    </row>
    <row r="40" spans="1:22" hidden="1" x14ac:dyDescent="0.25">
      <c r="A40" s="256">
        <v>23062023</v>
      </c>
      <c r="B40" t="s">
        <v>611</v>
      </c>
      <c r="C40" t="s">
        <v>410</v>
      </c>
      <c r="D40" s="122">
        <v>45100</v>
      </c>
      <c r="F40" s="30" t="s">
        <v>143</v>
      </c>
      <c r="G40" s="30" t="s">
        <v>2568</v>
      </c>
      <c r="H40" s="30" t="s">
        <v>2654</v>
      </c>
      <c r="I40" s="368">
        <v>37200</v>
      </c>
      <c r="J40" s="32">
        <f t="shared" si="0"/>
        <v>32736</v>
      </c>
      <c r="K40" s="88" t="s">
        <v>17</v>
      </c>
      <c r="L40" s="122">
        <v>45162</v>
      </c>
      <c r="T40" s="14" t="s">
        <v>922</v>
      </c>
      <c r="U40" s="14"/>
    </row>
    <row r="41" spans="1:22" s="30" customFormat="1" hidden="1" x14ac:dyDescent="0.25">
      <c r="A41" s="256" t="s">
        <v>2707</v>
      </c>
      <c r="B41" s="30" t="s">
        <v>2708</v>
      </c>
      <c r="C41" s="30" t="s">
        <v>410</v>
      </c>
      <c r="D41" s="374">
        <v>45142</v>
      </c>
      <c r="F41" s="30" t="s">
        <v>143</v>
      </c>
      <c r="G41" s="30" t="s">
        <v>2752</v>
      </c>
      <c r="H41" s="30" t="s">
        <v>2764</v>
      </c>
      <c r="I41" s="368">
        <v>37200</v>
      </c>
      <c r="J41" s="32">
        <f t="shared" si="0"/>
        <v>32736</v>
      </c>
      <c r="K41" s="88" t="s">
        <v>17</v>
      </c>
      <c r="L41" s="122">
        <v>45169</v>
      </c>
      <c r="T41" s="360" t="s">
        <v>1644</v>
      </c>
      <c r="U41" s="360">
        <v>0.26041666666666669</v>
      </c>
      <c r="V41" s="360"/>
    </row>
    <row r="42" spans="1:22" s="30" customFormat="1" hidden="1" x14ac:dyDescent="0.25">
      <c r="A42" s="256">
        <v>10082023</v>
      </c>
      <c r="B42" s="30" t="s">
        <v>118</v>
      </c>
      <c r="D42" s="374">
        <v>45148</v>
      </c>
      <c r="F42" s="30" t="s">
        <v>143</v>
      </c>
      <c r="G42" s="30" t="s">
        <v>2795</v>
      </c>
      <c r="H42" s="30" t="s">
        <v>2796</v>
      </c>
      <c r="I42" s="236">
        <v>37200</v>
      </c>
      <c r="J42" s="32">
        <f t="shared" si="0"/>
        <v>32736</v>
      </c>
      <c r="K42" s="88" t="s">
        <v>17</v>
      </c>
      <c r="L42" s="122">
        <v>45191</v>
      </c>
      <c r="M42" s="30" t="s">
        <v>18</v>
      </c>
      <c r="T42" s="360" t="s">
        <v>1506</v>
      </c>
      <c r="U42" s="360"/>
      <c r="V42" s="360"/>
    </row>
    <row r="43" spans="1:22" s="199" customFormat="1" x14ac:dyDescent="0.25">
      <c r="A43" s="354">
        <v>22082023</v>
      </c>
      <c r="B43" s="480" t="s">
        <v>118</v>
      </c>
      <c r="C43" s="480" t="s">
        <v>13</v>
      </c>
      <c r="D43" s="682">
        <v>45160</v>
      </c>
      <c r="E43" s="30"/>
      <c r="F43" s="355" t="s">
        <v>143</v>
      </c>
      <c r="G43" s="565" t="s">
        <v>2925</v>
      </c>
      <c r="H43" s="480" t="s">
        <v>3884</v>
      </c>
      <c r="I43" s="9">
        <f>37200+I86</f>
        <v>18373.560000000001</v>
      </c>
      <c r="J43" s="32">
        <f>+I43-ROUND(I43*0.12,0)</f>
        <v>16168.560000000001</v>
      </c>
      <c r="K43" s="199" t="s">
        <v>7804</v>
      </c>
      <c r="L43" s="481"/>
      <c r="T43" s="482" t="s">
        <v>1656</v>
      </c>
      <c r="U43" s="482">
        <v>0.51736111111111105</v>
      </c>
      <c r="V43" s="482">
        <v>0.72916666666666663</v>
      </c>
    </row>
    <row r="44" spans="1:22" hidden="1" x14ac:dyDescent="0.25">
      <c r="A44" s="95" t="s">
        <v>2993</v>
      </c>
      <c r="B44" t="s">
        <v>118</v>
      </c>
      <c r="C44" t="s">
        <v>410</v>
      </c>
      <c r="D44" s="122">
        <v>45203</v>
      </c>
      <c r="F44" t="s">
        <v>143</v>
      </c>
      <c r="G44" s="102" t="s">
        <v>3012</v>
      </c>
      <c r="H44" t="s">
        <v>3078</v>
      </c>
      <c r="I44" s="414">
        <v>37200</v>
      </c>
      <c r="J44" s="32">
        <f t="shared" si="0"/>
        <v>32736</v>
      </c>
      <c r="K44" t="s">
        <v>17</v>
      </c>
      <c r="L44" s="122">
        <v>45225</v>
      </c>
      <c r="T44" s="14" t="s">
        <v>2050</v>
      </c>
      <c r="U44" s="14"/>
      <c r="V44" s="14"/>
    </row>
    <row r="45" spans="1:22" hidden="1" x14ac:dyDescent="0.25">
      <c r="A45" s="256">
        <v>18102023</v>
      </c>
      <c r="B45" t="s">
        <v>118</v>
      </c>
      <c r="C45" t="s">
        <v>13</v>
      </c>
      <c r="D45" s="122">
        <v>45217</v>
      </c>
      <c r="F45" s="30" t="s">
        <v>143</v>
      </c>
      <c r="G45" s="30" t="s">
        <v>3144</v>
      </c>
      <c r="H45" s="30" t="s">
        <v>3145</v>
      </c>
      <c r="I45" s="236">
        <v>37200</v>
      </c>
      <c r="J45" s="32">
        <f t="shared" si="0"/>
        <v>32736</v>
      </c>
      <c r="K45" t="s">
        <v>17</v>
      </c>
      <c r="L45" s="122">
        <v>45245</v>
      </c>
      <c r="T45" s="14" t="s">
        <v>1029</v>
      </c>
      <c r="U45" s="14">
        <v>0.51597222222222217</v>
      </c>
      <c r="V45" s="14">
        <v>0.71111111111111114</v>
      </c>
    </row>
    <row r="46" spans="1:22" hidden="1" x14ac:dyDescent="0.25">
      <c r="A46" s="256">
        <v>25102023</v>
      </c>
      <c r="B46" t="s">
        <v>118</v>
      </c>
      <c r="C46" t="s">
        <v>410</v>
      </c>
      <c r="D46" s="122">
        <v>45224</v>
      </c>
      <c r="F46" s="30" t="s">
        <v>143</v>
      </c>
      <c r="G46" s="30" t="s">
        <v>3143</v>
      </c>
      <c r="H46" t="s">
        <v>3188</v>
      </c>
      <c r="I46" s="313">
        <v>36300</v>
      </c>
      <c r="J46" s="32">
        <f t="shared" si="0"/>
        <v>31944</v>
      </c>
      <c r="K46" t="s">
        <v>17</v>
      </c>
      <c r="L46" s="122">
        <v>45260</v>
      </c>
      <c r="T46" s="14" t="s">
        <v>916</v>
      </c>
      <c r="U46" s="14"/>
      <c r="V46" s="14"/>
    </row>
    <row r="47" spans="1:22" s="30" customFormat="1" hidden="1" x14ac:dyDescent="0.25">
      <c r="A47" s="256" t="s">
        <v>3152</v>
      </c>
      <c r="B47" s="30" t="s">
        <v>611</v>
      </c>
      <c r="C47" s="30" t="s">
        <v>13</v>
      </c>
      <c r="D47" s="374">
        <v>45233</v>
      </c>
      <c r="F47" s="30" t="s">
        <v>126</v>
      </c>
      <c r="G47" s="30" t="s">
        <v>3248</v>
      </c>
      <c r="H47" s="30" t="s">
        <v>3250</v>
      </c>
      <c r="I47" s="236">
        <v>13629</v>
      </c>
      <c r="J47" s="32">
        <f t="shared" si="0"/>
        <v>11993.52</v>
      </c>
      <c r="K47" t="s">
        <v>17</v>
      </c>
      <c r="L47" s="122">
        <v>45283</v>
      </c>
      <c r="T47" s="360" t="s">
        <v>1506</v>
      </c>
      <c r="U47" s="360"/>
      <c r="V47" s="360"/>
    </row>
    <row r="48" spans="1:22" s="30" customFormat="1" hidden="1" x14ac:dyDescent="0.25">
      <c r="A48" s="256" t="s">
        <v>3152</v>
      </c>
      <c r="B48" s="30" t="s">
        <v>611</v>
      </c>
      <c r="C48" s="30" t="s">
        <v>13</v>
      </c>
      <c r="D48" s="374">
        <v>45233</v>
      </c>
      <c r="F48" s="30" t="s">
        <v>143</v>
      </c>
      <c r="G48" s="30" t="s">
        <v>3249</v>
      </c>
      <c r="H48" t="s">
        <v>3189</v>
      </c>
      <c r="I48" s="313">
        <v>36300</v>
      </c>
      <c r="J48" s="32">
        <f t="shared" ref="J48:J53" si="1">+I48*0.88</f>
        <v>31944</v>
      </c>
      <c r="K48" t="s">
        <v>17</v>
      </c>
      <c r="L48" s="122">
        <v>45283</v>
      </c>
      <c r="T48" s="360" t="s">
        <v>1506</v>
      </c>
      <c r="U48" s="360"/>
      <c r="V48" s="360"/>
    </row>
    <row r="49" spans="1:22" s="30" customFormat="1" hidden="1" x14ac:dyDescent="0.25">
      <c r="A49" s="430" t="s">
        <v>3259</v>
      </c>
      <c r="B49" s="30" t="s">
        <v>118</v>
      </c>
      <c r="C49" s="30" t="s">
        <v>410</v>
      </c>
      <c r="D49" s="374">
        <v>45261</v>
      </c>
      <c r="F49" s="30" t="s">
        <v>143</v>
      </c>
      <c r="G49" s="30" t="s">
        <v>3306</v>
      </c>
      <c r="H49" s="30" t="s">
        <v>3319</v>
      </c>
      <c r="I49" s="236">
        <v>36300</v>
      </c>
      <c r="J49" s="32">
        <f t="shared" si="1"/>
        <v>31944</v>
      </c>
      <c r="K49" t="s">
        <v>17</v>
      </c>
      <c r="L49" s="122">
        <v>45303</v>
      </c>
      <c r="T49" s="360" t="s">
        <v>922</v>
      </c>
      <c r="U49" s="360">
        <v>0.69166666666666676</v>
      </c>
      <c r="V49" s="360"/>
    </row>
    <row r="50" spans="1:22" s="30" customFormat="1" hidden="1" x14ac:dyDescent="0.25">
      <c r="A50" s="430" t="s">
        <v>3329</v>
      </c>
      <c r="B50" s="30" t="s">
        <v>118</v>
      </c>
      <c r="C50" s="30" t="s">
        <v>410</v>
      </c>
      <c r="D50" s="374">
        <v>45277</v>
      </c>
      <c r="F50" s="30" t="s">
        <v>143</v>
      </c>
      <c r="G50" s="30" t="s">
        <v>3356</v>
      </c>
      <c r="H50" s="30" t="s">
        <v>3432</v>
      </c>
      <c r="I50" s="236">
        <v>36000</v>
      </c>
      <c r="J50" s="32">
        <f t="shared" si="1"/>
        <v>31680</v>
      </c>
      <c r="K50" t="s">
        <v>17</v>
      </c>
      <c r="L50" s="122">
        <v>45303</v>
      </c>
      <c r="T50" s="360" t="s">
        <v>989</v>
      </c>
      <c r="U50" s="360">
        <v>0.27708333333333335</v>
      </c>
      <c r="V50" s="360">
        <v>0.46319444444444446</v>
      </c>
    </row>
    <row r="51" spans="1:22" s="30" customFormat="1" hidden="1" x14ac:dyDescent="0.25">
      <c r="A51" s="256">
        <v>17012024</v>
      </c>
      <c r="B51" s="30" t="s">
        <v>611</v>
      </c>
      <c r="C51" s="30" t="s">
        <v>3546</v>
      </c>
      <c r="D51" s="122">
        <v>45308</v>
      </c>
      <c r="F51" s="30" t="s">
        <v>143</v>
      </c>
      <c r="G51" s="30" t="s">
        <v>3639</v>
      </c>
      <c r="H51" s="30" t="s">
        <v>3913</v>
      </c>
      <c r="I51" s="237">
        <v>36000</v>
      </c>
      <c r="J51" s="32">
        <f t="shared" si="1"/>
        <v>31680</v>
      </c>
      <c r="K51" s="30" t="s">
        <v>17</v>
      </c>
      <c r="L51" s="122">
        <v>45468</v>
      </c>
      <c r="M51" s="30" t="s">
        <v>18</v>
      </c>
      <c r="T51" s="360" t="s">
        <v>3151</v>
      </c>
      <c r="U51" s="360">
        <v>0.27152777777777776</v>
      </c>
      <c r="V51" s="360"/>
    </row>
    <row r="52" spans="1:22" hidden="1" x14ac:dyDescent="0.25">
      <c r="A52" s="509" t="s">
        <v>3726</v>
      </c>
      <c r="B52" s="30" t="s">
        <v>118</v>
      </c>
      <c r="C52" s="30" t="s">
        <v>13</v>
      </c>
      <c r="D52" s="122">
        <v>45330</v>
      </c>
      <c r="F52" s="30" t="s">
        <v>143</v>
      </c>
      <c r="G52" s="30" t="s">
        <v>3730</v>
      </c>
      <c r="H52" s="30" t="s">
        <v>3914</v>
      </c>
      <c r="I52" s="236">
        <v>36000</v>
      </c>
      <c r="J52" s="32">
        <f t="shared" si="1"/>
        <v>31680</v>
      </c>
      <c r="K52" s="30" t="s">
        <v>17</v>
      </c>
      <c r="L52" s="122">
        <v>45414</v>
      </c>
      <c r="T52" s="14" t="s">
        <v>922</v>
      </c>
      <c r="U52" s="360">
        <v>0.87361111111111101</v>
      </c>
      <c r="V52" s="360">
        <v>7.1527777777777787E-2</v>
      </c>
    </row>
    <row r="53" spans="1:22" hidden="1" x14ac:dyDescent="0.25">
      <c r="A53" s="509" t="s">
        <v>3813</v>
      </c>
      <c r="B53" s="30" t="s">
        <v>611</v>
      </c>
      <c r="C53" s="30" t="s">
        <v>13</v>
      </c>
      <c r="D53" s="122">
        <v>45358</v>
      </c>
      <c r="F53" s="30" t="s">
        <v>143</v>
      </c>
      <c r="G53" s="30" t="s">
        <v>3872</v>
      </c>
      <c r="H53" s="30" t="s">
        <v>3954</v>
      </c>
      <c r="I53" s="237">
        <v>34500</v>
      </c>
      <c r="J53" s="32">
        <f t="shared" si="1"/>
        <v>30360</v>
      </c>
      <c r="K53" s="30" t="s">
        <v>17</v>
      </c>
      <c r="L53" s="122">
        <v>45414</v>
      </c>
      <c r="T53" s="14" t="s">
        <v>1506</v>
      </c>
      <c r="U53" s="360">
        <v>0.29166666666666669</v>
      </c>
      <c r="V53" s="360">
        <v>0.47847222222222219</v>
      </c>
    </row>
    <row r="54" spans="1:22" hidden="1" x14ac:dyDescent="0.25">
      <c r="A54" s="509" t="s">
        <v>3813</v>
      </c>
      <c r="B54" s="30" t="s">
        <v>611</v>
      </c>
      <c r="C54" s="30" t="s">
        <v>13</v>
      </c>
      <c r="D54" s="233">
        <v>45358</v>
      </c>
      <c r="F54" s="30" t="s">
        <v>143</v>
      </c>
      <c r="G54" s="30" t="s">
        <v>3873</v>
      </c>
      <c r="H54" s="30" t="s">
        <v>4033</v>
      </c>
      <c r="I54" s="237">
        <v>34500</v>
      </c>
      <c r="J54" s="412">
        <f t="shared" ref="J54:J61" si="2">+I54-ROUND(I54*0.12,0)</f>
        <v>30360</v>
      </c>
      <c r="K54" s="796" t="s">
        <v>17</v>
      </c>
      <c r="L54" s="122">
        <v>45688</v>
      </c>
      <c r="T54" s="14" t="s">
        <v>922</v>
      </c>
      <c r="U54" s="360">
        <v>0.9291666666666667</v>
      </c>
      <c r="V54" s="360">
        <v>0.6118055555555556</v>
      </c>
    </row>
    <row r="55" spans="1:22" hidden="1" x14ac:dyDescent="0.25">
      <c r="A55" s="483">
        <v>18052024</v>
      </c>
      <c r="B55" t="s">
        <v>611</v>
      </c>
      <c r="C55" s="30" t="s">
        <v>410</v>
      </c>
      <c r="D55" s="374">
        <v>45430</v>
      </c>
      <c r="F55" s="30" t="s">
        <v>143</v>
      </c>
      <c r="G55" s="30" t="s">
        <v>4298</v>
      </c>
      <c r="H55" s="30" t="s">
        <v>4683</v>
      </c>
      <c r="I55" s="236">
        <v>35400</v>
      </c>
      <c r="J55" s="32">
        <f t="shared" si="2"/>
        <v>31152</v>
      </c>
      <c r="K55" s="30" t="s">
        <v>17</v>
      </c>
      <c r="L55" s="122">
        <v>45624</v>
      </c>
      <c r="T55" s="14" t="s">
        <v>4139</v>
      </c>
      <c r="U55" s="360">
        <v>0.44444444444444442</v>
      </c>
      <c r="V55" s="360">
        <v>0.63750000000000007</v>
      </c>
    </row>
    <row r="56" spans="1:22" hidden="1" x14ac:dyDescent="0.25">
      <c r="A56" s="95">
        <v>21092024</v>
      </c>
      <c r="B56" t="s">
        <v>611</v>
      </c>
      <c r="C56" s="28" t="s">
        <v>410</v>
      </c>
      <c r="D56" s="374">
        <v>45556</v>
      </c>
      <c r="F56" s="30" t="s">
        <v>143</v>
      </c>
      <c r="G56" s="30" t="s">
        <v>4895</v>
      </c>
      <c r="H56" s="30" t="s">
        <v>4993</v>
      </c>
      <c r="I56" s="236">
        <v>36750</v>
      </c>
      <c r="J56" s="32">
        <f t="shared" si="2"/>
        <v>32340</v>
      </c>
      <c r="K56" s="30" t="s">
        <v>17</v>
      </c>
      <c r="L56" s="122">
        <v>45622</v>
      </c>
      <c r="T56" t="s">
        <v>4833</v>
      </c>
      <c r="U56" s="360">
        <v>0.7715277777777777</v>
      </c>
      <c r="V56" s="360">
        <v>1.8055555555555557E-2</v>
      </c>
    </row>
    <row r="57" spans="1:22" hidden="1" x14ac:dyDescent="0.25">
      <c r="A57" s="483" t="s">
        <v>5090</v>
      </c>
      <c r="B57" t="s">
        <v>611</v>
      </c>
      <c r="C57" s="233" t="s">
        <v>4218</v>
      </c>
      <c r="D57" s="233">
        <v>45606</v>
      </c>
      <c r="E57" s="28"/>
      <c r="F57" s="30" t="s">
        <v>143</v>
      </c>
      <c r="G57" t="s">
        <v>5140</v>
      </c>
      <c r="H57" t="s">
        <v>5329</v>
      </c>
      <c r="I57" s="88">
        <v>36700</v>
      </c>
      <c r="J57" s="412">
        <f t="shared" si="2"/>
        <v>32296</v>
      </c>
      <c r="K57" s="796" t="s">
        <v>17</v>
      </c>
      <c r="L57" s="122">
        <v>45688</v>
      </c>
      <c r="T57" t="s">
        <v>4345</v>
      </c>
      <c r="U57" s="360">
        <v>0.41875000000000001</v>
      </c>
      <c r="V57" s="360">
        <v>0.62222222222222223</v>
      </c>
    </row>
    <row r="58" spans="1:22" hidden="1" x14ac:dyDescent="0.25">
      <c r="A58" s="483">
        <v>26122024</v>
      </c>
      <c r="B58" t="s">
        <v>118</v>
      </c>
      <c r="C58" s="233" t="s">
        <v>4218</v>
      </c>
      <c r="D58" s="233">
        <v>45652</v>
      </c>
      <c r="E58" s="28"/>
      <c r="F58" s="30" t="s">
        <v>143</v>
      </c>
      <c r="G58" t="s">
        <v>5422</v>
      </c>
      <c r="H58" t="s">
        <v>5424</v>
      </c>
      <c r="I58" s="88">
        <v>36700</v>
      </c>
      <c r="J58" s="412">
        <f t="shared" si="2"/>
        <v>32296</v>
      </c>
      <c r="K58" s="796" t="s">
        <v>17</v>
      </c>
      <c r="L58" s="122">
        <v>45688</v>
      </c>
      <c r="T58" t="s">
        <v>5078</v>
      </c>
      <c r="U58" s="360">
        <v>0.25486111111111109</v>
      </c>
      <c r="V58" s="360"/>
    </row>
    <row r="59" spans="1:22" hidden="1" x14ac:dyDescent="0.25">
      <c r="A59" s="483">
        <v>26122024</v>
      </c>
      <c r="B59" t="s">
        <v>118</v>
      </c>
      <c r="C59" s="233" t="s">
        <v>410</v>
      </c>
      <c r="D59" s="233">
        <v>45652</v>
      </c>
      <c r="E59" s="28"/>
      <c r="F59" s="30" t="s">
        <v>143</v>
      </c>
      <c r="G59" t="s">
        <v>5423</v>
      </c>
      <c r="H59" t="s">
        <v>5425</v>
      </c>
      <c r="I59" s="88">
        <v>36700</v>
      </c>
      <c r="J59" s="412">
        <f t="shared" si="2"/>
        <v>32296</v>
      </c>
      <c r="K59" s="796" t="s">
        <v>17</v>
      </c>
      <c r="L59" s="122">
        <v>45688</v>
      </c>
      <c r="T59" t="s">
        <v>4297</v>
      </c>
      <c r="U59" s="360">
        <v>0.26805555555555555</v>
      </c>
      <c r="V59" s="360"/>
    </row>
    <row r="60" spans="1:22" x14ac:dyDescent="0.25">
      <c r="A60" s="483">
        <v>29122024</v>
      </c>
      <c r="B60" t="s">
        <v>611</v>
      </c>
      <c r="C60" s="233" t="s">
        <v>410</v>
      </c>
      <c r="D60" s="233">
        <v>45655</v>
      </c>
      <c r="E60" s="28"/>
      <c r="F60" s="28" t="s">
        <v>143</v>
      </c>
      <c r="G60" t="s">
        <v>5449</v>
      </c>
      <c r="H60" t="s">
        <v>5445</v>
      </c>
      <c r="I60" s="3">
        <v>36700</v>
      </c>
      <c r="J60" s="88">
        <f t="shared" si="2"/>
        <v>32296</v>
      </c>
      <c r="K60" t="s">
        <v>7805</v>
      </c>
      <c r="T60" t="s">
        <v>4983</v>
      </c>
      <c r="U60" s="360">
        <v>0.29375000000000001</v>
      </c>
      <c r="V60" s="360">
        <v>0.50416666666666665</v>
      </c>
    </row>
    <row r="61" spans="1:22" hidden="1" x14ac:dyDescent="0.25">
      <c r="A61" s="483">
        <v>7012025</v>
      </c>
      <c r="B61" t="s">
        <v>611</v>
      </c>
      <c r="C61" s="233" t="s">
        <v>410</v>
      </c>
      <c r="D61" s="233">
        <v>45664</v>
      </c>
      <c r="E61" s="28"/>
      <c r="F61" s="28" t="s">
        <v>143</v>
      </c>
      <c r="G61" t="s">
        <v>5544</v>
      </c>
      <c r="H61" t="s">
        <v>7419</v>
      </c>
      <c r="I61" s="3">
        <v>36700</v>
      </c>
      <c r="J61" s="88">
        <f t="shared" si="2"/>
        <v>32296</v>
      </c>
      <c r="K61" s="30" t="s">
        <v>17</v>
      </c>
      <c r="L61" s="122">
        <v>45728</v>
      </c>
      <c r="T61" t="s">
        <v>4867</v>
      </c>
      <c r="U61" s="360"/>
      <c r="V61" s="360"/>
    </row>
    <row r="62" spans="1:22" hidden="1" x14ac:dyDescent="0.25">
      <c r="A62" s="483" t="s">
        <v>5604</v>
      </c>
      <c r="B62" t="s">
        <v>611</v>
      </c>
      <c r="C62" s="28" t="s">
        <v>4218</v>
      </c>
      <c r="D62" s="233">
        <v>45690</v>
      </c>
      <c r="F62" s="28" t="s">
        <v>143</v>
      </c>
      <c r="G62" s="30" t="s">
        <v>5616</v>
      </c>
      <c r="H62" t="s">
        <v>5682</v>
      </c>
      <c r="I62" s="3">
        <v>36700</v>
      </c>
      <c r="J62" s="88">
        <f t="shared" ref="J62:J73" si="3">+I62-ROUND(I62*0.12,0)</f>
        <v>32296</v>
      </c>
      <c r="K62" s="30" t="s">
        <v>17</v>
      </c>
      <c r="L62" s="122">
        <v>45743</v>
      </c>
      <c r="T62" t="s">
        <v>4853</v>
      </c>
      <c r="U62" s="360">
        <v>0.63611111111111118</v>
      </c>
      <c r="V62" s="360">
        <v>0.86249999999999993</v>
      </c>
    </row>
    <row r="63" spans="1:22" hidden="1" x14ac:dyDescent="0.25">
      <c r="A63" s="483">
        <v>17042025</v>
      </c>
      <c r="B63" t="s">
        <v>2708</v>
      </c>
      <c r="C63" s="28" t="s">
        <v>4437</v>
      </c>
      <c r="D63" s="233">
        <v>45764</v>
      </c>
      <c r="E63" s="28"/>
      <c r="F63" s="28" t="s">
        <v>126</v>
      </c>
      <c r="G63" t="s">
        <v>5616</v>
      </c>
      <c r="H63" s="30" t="s">
        <v>6241</v>
      </c>
      <c r="I63" s="3">
        <v>36700</v>
      </c>
      <c r="J63" s="88">
        <f t="shared" si="3"/>
        <v>32296</v>
      </c>
      <c r="K63" t="s">
        <v>17</v>
      </c>
      <c r="L63" s="122">
        <v>45825</v>
      </c>
      <c r="T63" t="s">
        <v>4853</v>
      </c>
      <c r="U63" s="360">
        <v>0.65694444444444444</v>
      </c>
      <c r="V63" s="360">
        <v>0.83472222222222225</v>
      </c>
    </row>
    <row r="64" spans="1:22" hidden="1" x14ac:dyDescent="0.25">
      <c r="A64" s="483">
        <v>23052025</v>
      </c>
      <c r="B64" t="s">
        <v>6276</v>
      </c>
      <c r="C64" s="28" t="s">
        <v>4437</v>
      </c>
      <c r="D64" s="233">
        <v>45800</v>
      </c>
      <c r="E64" s="28"/>
      <c r="F64" s="28" t="s">
        <v>143</v>
      </c>
      <c r="G64" t="s">
        <v>6297</v>
      </c>
      <c r="H64" s="30" t="s">
        <v>7779</v>
      </c>
      <c r="I64" s="3">
        <v>37665</v>
      </c>
      <c r="J64" s="88">
        <f t="shared" si="3"/>
        <v>33145</v>
      </c>
      <c r="K64" t="s">
        <v>17</v>
      </c>
      <c r="L64" s="233">
        <v>46125</v>
      </c>
      <c r="T64" t="s">
        <v>5131</v>
      </c>
      <c r="U64" s="360">
        <v>0.34375</v>
      </c>
      <c r="V64" s="30"/>
    </row>
    <row r="65" spans="1:24" hidden="1" x14ac:dyDescent="0.25">
      <c r="A65" s="483">
        <v>23052025</v>
      </c>
      <c r="B65" t="s">
        <v>6276</v>
      </c>
      <c r="C65" s="28"/>
      <c r="D65" s="233">
        <v>45800</v>
      </c>
      <c r="E65" s="28"/>
      <c r="F65" s="28" t="s">
        <v>143</v>
      </c>
      <c r="G65" t="s">
        <v>6298</v>
      </c>
      <c r="H65" t="s">
        <v>6313</v>
      </c>
      <c r="I65" s="3">
        <v>37665</v>
      </c>
      <c r="J65" s="88">
        <f t="shared" si="3"/>
        <v>33145</v>
      </c>
      <c r="K65" t="s">
        <v>17</v>
      </c>
      <c r="L65" s="233">
        <v>45825</v>
      </c>
      <c r="U65" s="30"/>
      <c r="V65" s="30"/>
    </row>
    <row r="66" spans="1:24" hidden="1" x14ac:dyDescent="0.25">
      <c r="A66" s="483">
        <v>27052025</v>
      </c>
      <c r="B66" t="s">
        <v>6276</v>
      </c>
      <c r="C66" s="28" t="s">
        <v>278</v>
      </c>
      <c r="D66" s="233">
        <v>45804</v>
      </c>
      <c r="E66" s="28"/>
      <c r="F66" s="28" t="s">
        <v>143</v>
      </c>
      <c r="G66" t="s">
        <v>6299</v>
      </c>
      <c r="H66" s="30" t="s">
        <v>6379</v>
      </c>
      <c r="I66" s="3">
        <v>37665</v>
      </c>
      <c r="J66" s="88">
        <f t="shared" si="3"/>
        <v>33145</v>
      </c>
      <c r="K66" t="s">
        <v>17</v>
      </c>
      <c r="L66" s="233">
        <v>45859</v>
      </c>
      <c r="T66" t="s">
        <v>5078</v>
      </c>
      <c r="U66" s="360">
        <v>0.26458333333333334</v>
      </c>
      <c r="V66" s="360"/>
    </row>
    <row r="67" spans="1:24" hidden="1" x14ac:dyDescent="0.25">
      <c r="A67" s="483">
        <v>28052025</v>
      </c>
      <c r="B67" t="s">
        <v>611</v>
      </c>
      <c r="C67" s="28" t="s">
        <v>660</v>
      </c>
      <c r="D67" s="233">
        <v>45805</v>
      </c>
      <c r="E67" s="28"/>
      <c r="F67" s="28" t="s">
        <v>143</v>
      </c>
      <c r="G67" t="s">
        <v>6314</v>
      </c>
      <c r="H67" s="30" t="s">
        <v>6380</v>
      </c>
      <c r="I67" s="3">
        <v>37665</v>
      </c>
      <c r="J67" s="88">
        <f t="shared" si="3"/>
        <v>33145</v>
      </c>
      <c r="K67" t="s">
        <v>17</v>
      </c>
      <c r="L67" s="233">
        <v>45884</v>
      </c>
      <c r="T67" t="s">
        <v>6300</v>
      </c>
      <c r="U67" s="360">
        <v>0.25486111111111109</v>
      </c>
      <c r="V67" s="360">
        <v>0.4465277777777778</v>
      </c>
    </row>
    <row r="68" spans="1:24" hidden="1" x14ac:dyDescent="0.25">
      <c r="A68" s="483" t="s">
        <v>6624</v>
      </c>
      <c r="B68" t="s">
        <v>611</v>
      </c>
      <c r="C68" s="28" t="s">
        <v>4437</v>
      </c>
      <c r="D68" s="233">
        <v>45857</v>
      </c>
      <c r="E68" s="28"/>
      <c r="F68" s="28" t="s">
        <v>143</v>
      </c>
      <c r="G68" t="s">
        <v>6625</v>
      </c>
      <c r="H68" s="30" t="s">
        <v>7457</v>
      </c>
      <c r="I68" s="3">
        <v>37665</v>
      </c>
      <c r="J68" s="88">
        <f t="shared" si="3"/>
        <v>33145</v>
      </c>
      <c r="K68" t="s">
        <v>17</v>
      </c>
      <c r="L68" s="233">
        <v>46085</v>
      </c>
      <c r="T68" t="s">
        <v>4853</v>
      </c>
      <c r="U68" s="360">
        <v>0.30972222222222223</v>
      </c>
      <c r="V68" s="360">
        <v>0.51388888888888895</v>
      </c>
    </row>
    <row r="69" spans="1:24" hidden="1" x14ac:dyDescent="0.25">
      <c r="A69" s="483">
        <v>25072025</v>
      </c>
      <c r="B69" t="s">
        <v>6683</v>
      </c>
      <c r="C69" s="28" t="s">
        <v>4437</v>
      </c>
      <c r="D69" s="233">
        <v>45863</v>
      </c>
      <c r="E69" s="28"/>
      <c r="F69" s="28" t="s">
        <v>143</v>
      </c>
      <c r="G69" t="s">
        <v>6704</v>
      </c>
      <c r="H69" s="30" t="s">
        <v>6948</v>
      </c>
      <c r="I69" s="3">
        <v>37665</v>
      </c>
      <c r="J69" s="88">
        <f t="shared" si="3"/>
        <v>33145</v>
      </c>
      <c r="K69" t="s">
        <v>17</v>
      </c>
      <c r="L69" s="233">
        <v>46021</v>
      </c>
      <c r="M69" s="32"/>
      <c r="T69" t="s">
        <v>5004</v>
      </c>
      <c r="U69" s="360">
        <v>0.3034722222222222</v>
      </c>
      <c r="V69" s="360">
        <v>0.48125000000000001</v>
      </c>
    </row>
    <row r="70" spans="1:24" hidden="1" x14ac:dyDescent="0.25">
      <c r="A70" s="483">
        <v>26122025</v>
      </c>
      <c r="B70" t="s">
        <v>611</v>
      </c>
      <c r="C70" s="28" t="s">
        <v>4218</v>
      </c>
      <c r="D70" s="233">
        <v>46017</v>
      </c>
      <c r="E70" s="28"/>
      <c r="F70" s="28" t="s">
        <v>143</v>
      </c>
      <c r="G70" s="1067" t="s">
        <v>7484</v>
      </c>
      <c r="H70" s="3" t="s">
        <v>7667</v>
      </c>
      <c r="I70" s="3">
        <v>37665</v>
      </c>
      <c r="J70" s="88">
        <f t="shared" si="3"/>
        <v>33145</v>
      </c>
      <c r="K70" t="s">
        <v>17</v>
      </c>
      <c r="L70" s="233">
        <v>46125</v>
      </c>
      <c r="M70" s="88"/>
      <c r="T70" s="5" t="s">
        <v>5393</v>
      </c>
      <c r="U70" s="360">
        <v>0.7993055555555556</v>
      </c>
      <c r="V70" s="360">
        <v>0.98263888888888884</v>
      </c>
    </row>
    <row r="71" spans="1:24" hidden="1" x14ac:dyDescent="0.25">
      <c r="A71" s="483">
        <v>31122025</v>
      </c>
      <c r="B71" t="s">
        <v>611</v>
      </c>
      <c r="C71" s="28" t="s">
        <v>4218</v>
      </c>
      <c r="D71" s="233">
        <v>46022</v>
      </c>
      <c r="E71" s="28"/>
      <c r="F71" s="28" t="s">
        <v>143</v>
      </c>
      <c r="G71" s="1067" t="s">
        <v>7483</v>
      </c>
      <c r="H71" s="30" t="s">
        <v>7668</v>
      </c>
      <c r="I71" s="3">
        <v>37665</v>
      </c>
      <c r="J71" s="88">
        <f t="shared" si="3"/>
        <v>33145</v>
      </c>
      <c r="K71" t="s">
        <v>17</v>
      </c>
      <c r="L71" s="233">
        <v>46122</v>
      </c>
      <c r="M71" s="88"/>
      <c r="T71" s="5" t="s">
        <v>7092</v>
      </c>
      <c r="U71" s="360">
        <v>0.29583333333333334</v>
      </c>
      <c r="V71" s="360"/>
    </row>
    <row r="72" spans="1:24" x14ac:dyDescent="0.25">
      <c r="A72" s="483" t="s">
        <v>8066</v>
      </c>
      <c r="B72" t="s">
        <v>611</v>
      </c>
      <c r="C72" s="28" t="s">
        <v>4218</v>
      </c>
      <c r="D72" s="233">
        <v>46150</v>
      </c>
      <c r="E72" s="28"/>
      <c r="F72" s="28" t="s">
        <v>143</v>
      </c>
      <c r="G72" s="88" t="s">
        <v>8075</v>
      </c>
      <c r="H72" s="30" t="s">
        <v>8495</v>
      </c>
      <c r="I72" s="3">
        <v>43765</v>
      </c>
      <c r="J72" s="88">
        <f t="shared" si="3"/>
        <v>38513</v>
      </c>
      <c r="K72" s="1345" t="s">
        <v>8498</v>
      </c>
      <c r="L72"/>
      <c r="M72" s="798"/>
      <c r="U72" t="s">
        <v>7078</v>
      </c>
      <c r="V72" s="360">
        <v>0.92638888888888893</v>
      </c>
      <c r="W72" s="360">
        <v>0.12152777777777778</v>
      </c>
    </row>
    <row r="73" spans="1:24" hidden="1" x14ac:dyDescent="0.25">
      <c r="A73" s="483">
        <v>12062026</v>
      </c>
      <c r="B73" s="21" t="s">
        <v>611</v>
      </c>
      <c r="C73" s="31" t="s">
        <v>410</v>
      </c>
      <c r="D73" s="233">
        <v>46185</v>
      </c>
      <c r="E73" s="28"/>
      <c r="F73" s="28" t="s">
        <v>143</v>
      </c>
      <c r="G73" s="88" t="s">
        <v>8230</v>
      </c>
      <c r="H73" t="s">
        <v>8496</v>
      </c>
      <c r="I73" s="3">
        <v>43100</v>
      </c>
      <c r="J73" s="88">
        <f t="shared" si="3"/>
        <v>37928</v>
      </c>
      <c r="K73" s="1345" t="s">
        <v>17</v>
      </c>
      <c r="L73" s="233">
        <v>46287</v>
      </c>
      <c r="N73" s="798"/>
      <c r="V73" s="21" t="s">
        <v>7833</v>
      </c>
      <c r="W73" s="360">
        <v>0.87291666666666667</v>
      </c>
      <c r="X73" s="360">
        <v>8.1944444444444445E-2</v>
      </c>
    </row>
    <row r="74" spans="1:24" hidden="1" x14ac:dyDescent="0.25">
      <c r="A74" s="483">
        <v>19062026</v>
      </c>
      <c r="B74" s="21" t="s">
        <v>611</v>
      </c>
      <c r="C74" s="31" t="s">
        <v>4218</v>
      </c>
      <c r="D74" s="233">
        <v>46192</v>
      </c>
      <c r="E74" s="28"/>
      <c r="F74" s="28" t="s">
        <v>143</v>
      </c>
      <c r="G74" s="88" t="s">
        <v>8231</v>
      </c>
      <c r="H74" t="s">
        <v>8494</v>
      </c>
      <c r="I74" s="3">
        <v>43100</v>
      </c>
      <c r="J74" s="88">
        <f t="shared" ref="J74:J80" si="4">+I74-ROUND(I74*0.12,0)</f>
        <v>37928</v>
      </c>
      <c r="K74" s="1345" t="s">
        <v>17</v>
      </c>
      <c r="L74" s="233">
        <v>46287</v>
      </c>
      <c r="M74" s="798"/>
      <c r="N74" s="798"/>
      <c r="V74" s="21" t="s">
        <v>5021</v>
      </c>
      <c r="W74" s="360">
        <v>0.28680555555555554</v>
      </c>
      <c r="X74" s="360"/>
    </row>
    <row r="75" spans="1:24" x14ac:dyDescent="0.25">
      <c r="A75" s="483">
        <v>27062026</v>
      </c>
      <c r="B75" t="s">
        <v>611</v>
      </c>
      <c r="C75" s="31" t="s">
        <v>13</v>
      </c>
      <c r="D75" s="233">
        <v>46200</v>
      </c>
      <c r="E75" s="28"/>
      <c r="F75" s="313" t="s">
        <v>143</v>
      </c>
      <c r="G75" s="88" t="s">
        <v>8307</v>
      </c>
      <c r="I75" s="3">
        <v>40904</v>
      </c>
      <c r="J75" s="88">
        <f t="shared" si="4"/>
        <v>35996</v>
      </c>
      <c r="K75" s="1346"/>
      <c r="L75"/>
      <c r="N75" s="88"/>
      <c r="V75" t="s">
        <v>7833</v>
      </c>
      <c r="W75" s="360">
        <v>0.41388888888888892</v>
      </c>
      <c r="X75" s="360">
        <v>0.62430555555555556</v>
      </c>
    </row>
    <row r="76" spans="1:24" x14ac:dyDescent="0.25">
      <c r="A76" s="483">
        <v>13072026</v>
      </c>
      <c r="B76" s="21" t="s">
        <v>611</v>
      </c>
      <c r="C76" s="31"/>
      <c r="D76" s="233">
        <v>46216</v>
      </c>
      <c r="E76" s="28"/>
      <c r="F76" s="313" t="s">
        <v>143</v>
      </c>
      <c r="G76" s="88" t="s">
        <v>8382</v>
      </c>
      <c r="H76" t="s">
        <v>8497</v>
      </c>
      <c r="I76" s="3">
        <v>40020</v>
      </c>
      <c r="J76" s="88">
        <f t="shared" si="4"/>
        <v>35218</v>
      </c>
      <c r="K76" s="1345" t="s">
        <v>8498</v>
      </c>
      <c r="L76"/>
      <c r="N76" s="88"/>
      <c r="W76" s="360"/>
      <c r="X76" s="360"/>
    </row>
    <row r="77" spans="1:24" x14ac:dyDescent="0.25">
      <c r="A77" s="1448" t="s">
        <v>8456</v>
      </c>
      <c r="B77" t="s">
        <v>611</v>
      </c>
      <c r="C77" s="31" t="s">
        <v>13</v>
      </c>
      <c r="D77" s="233">
        <v>46242</v>
      </c>
      <c r="E77" s="28"/>
      <c r="F77" s="313" t="s">
        <v>143</v>
      </c>
      <c r="G77" s="88" t="s">
        <v>8499</v>
      </c>
      <c r="I77" s="3">
        <v>42830</v>
      </c>
      <c r="J77" s="88">
        <f t="shared" si="4"/>
        <v>37690</v>
      </c>
      <c r="K77" s="1346"/>
      <c r="L77"/>
      <c r="N77" s="558"/>
      <c r="O77" s="88"/>
      <c r="V77" t="s">
        <v>8251</v>
      </c>
      <c r="W77" s="360">
        <v>0.26319444444444445</v>
      </c>
      <c r="X77" s="360">
        <v>0.47916666666666669</v>
      </c>
    </row>
    <row r="78" spans="1:24" x14ac:dyDescent="0.25">
      <c r="A78" s="1448" t="s">
        <v>8551</v>
      </c>
      <c r="B78" s="21" t="s">
        <v>611</v>
      </c>
      <c r="C78" s="31" t="s">
        <v>13</v>
      </c>
      <c r="D78" s="233">
        <v>46263</v>
      </c>
      <c r="E78" s="28"/>
      <c r="F78" s="313" t="s">
        <v>143</v>
      </c>
      <c r="G78" s="88" t="s">
        <v>8561</v>
      </c>
      <c r="I78" s="3">
        <v>42830</v>
      </c>
      <c r="J78" s="88">
        <f t="shared" si="4"/>
        <v>37690</v>
      </c>
      <c r="L78"/>
      <c r="N78" s="558"/>
      <c r="O78" s="88"/>
      <c r="V78" t="s">
        <v>8468</v>
      </c>
      <c r="W78" s="360">
        <v>0.28333333333333333</v>
      </c>
      <c r="X78" s="360">
        <v>0.48958333333333331</v>
      </c>
    </row>
    <row r="79" spans="1:24" x14ac:dyDescent="0.25">
      <c r="A79" s="1448"/>
      <c r="B79" s="21" t="s">
        <v>611</v>
      </c>
      <c r="C79" s="31"/>
      <c r="D79" s="233" t="s">
        <v>8591</v>
      </c>
      <c r="E79" s="28"/>
      <c r="F79" s="313" t="s">
        <v>143</v>
      </c>
      <c r="G79" s="88" t="s">
        <v>8592</v>
      </c>
      <c r="I79" s="3">
        <v>43010</v>
      </c>
      <c r="J79" s="88">
        <f t="shared" si="4"/>
        <v>37849</v>
      </c>
      <c r="L79"/>
      <c r="N79" s="558"/>
      <c r="O79" s="88"/>
      <c r="W79" s="360"/>
      <c r="X79" s="360"/>
    </row>
    <row r="80" spans="1:24" x14ac:dyDescent="0.25">
      <c r="A80" s="1448"/>
      <c r="B80" s="21" t="s">
        <v>611</v>
      </c>
      <c r="D80" s="233">
        <v>46287</v>
      </c>
      <c r="E80" s="28"/>
      <c r="F80" s="313" t="s">
        <v>143</v>
      </c>
      <c r="G80" s="88" t="s">
        <v>8653</v>
      </c>
      <c r="I80" s="3">
        <v>43430</v>
      </c>
      <c r="J80" s="88">
        <f t="shared" si="4"/>
        <v>38218</v>
      </c>
      <c r="L80"/>
      <c r="N80" s="558"/>
      <c r="O80" s="88"/>
      <c r="W80" s="360"/>
      <c r="X80" s="360"/>
    </row>
    <row r="81" spans="1:16383" s="163" customFormat="1" ht="15.75" thickBot="1" x14ac:dyDescent="0.3">
      <c r="A81"/>
      <c r="E81"/>
      <c r="F81" s="28"/>
      <c r="G81"/>
      <c r="H81"/>
      <c r="I81" s="74"/>
      <c r="J81" s="32"/>
      <c r="K81" s="32"/>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c r="KT81"/>
      <c r="KU81"/>
      <c r="KV81"/>
      <c r="KW81"/>
      <c r="KX81"/>
      <c r="KY81"/>
      <c r="KZ81"/>
      <c r="LA81"/>
      <c r="LB81"/>
      <c r="LC81"/>
      <c r="LD81"/>
      <c r="LE81"/>
      <c r="LF81"/>
      <c r="LG81"/>
      <c r="LH81"/>
      <c r="LI81"/>
      <c r="LJ81"/>
      <c r="LK81"/>
      <c r="LL81"/>
      <c r="LM81"/>
      <c r="LN81"/>
      <c r="LO81"/>
      <c r="LP81"/>
      <c r="LQ81"/>
      <c r="LR81"/>
      <c r="LS81"/>
      <c r="LT81"/>
      <c r="LU81"/>
      <c r="LV81"/>
      <c r="LW81"/>
      <c r="LX81"/>
      <c r="LY81"/>
      <c r="LZ81"/>
      <c r="MA81"/>
      <c r="MB81"/>
      <c r="MC81"/>
      <c r="MD81"/>
      <c r="ME81"/>
      <c r="MF81"/>
      <c r="MG81"/>
      <c r="MH81"/>
      <c r="MI81"/>
      <c r="MJ81"/>
      <c r="MK81"/>
      <c r="ML81"/>
      <c r="MM81"/>
      <c r="MN81"/>
      <c r="MO81"/>
      <c r="MP81"/>
      <c r="MQ81"/>
      <c r="MR81"/>
      <c r="MS81"/>
      <c r="MT81"/>
      <c r="MU81"/>
      <c r="MV81"/>
      <c r="MW81"/>
      <c r="MX81"/>
      <c r="MY81"/>
      <c r="MZ81"/>
      <c r="NA81"/>
      <c r="NB81"/>
      <c r="NC81"/>
      <c r="ND81"/>
      <c r="NE81"/>
      <c r="NF81"/>
      <c r="NG81"/>
      <c r="NH81"/>
      <c r="NI81"/>
      <c r="NJ81"/>
      <c r="NK81"/>
      <c r="NL81"/>
      <c r="NM81"/>
      <c r="NN81"/>
      <c r="NO81"/>
      <c r="NP81"/>
      <c r="NQ81"/>
      <c r="NR81"/>
      <c r="NS81"/>
      <c r="NT81"/>
      <c r="NU81"/>
      <c r="NV81"/>
      <c r="NW81"/>
      <c r="NX81"/>
      <c r="NY81"/>
      <c r="NZ81"/>
      <c r="OA81"/>
      <c r="OB81"/>
      <c r="OC81"/>
      <c r="OD81"/>
      <c r="OE81"/>
      <c r="OF81"/>
      <c r="OG81"/>
      <c r="OH81"/>
      <c r="OI81"/>
      <c r="OJ81"/>
      <c r="OK81"/>
      <c r="OL81"/>
      <c r="OM81"/>
      <c r="ON81"/>
      <c r="OO81"/>
      <c r="OP81"/>
      <c r="OQ81"/>
      <c r="OR81"/>
      <c r="OS81"/>
      <c r="OT81"/>
      <c r="OU81"/>
      <c r="OV81"/>
      <c r="OW81"/>
      <c r="OX81"/>
      <c r="OY81"/>
      <c r="OZ81"/>
      <c r="PA81"/>
      <c r="PB81"/>
      <c r="PC81"/>
      <c r="PD81"/>
      <c r="PE81"/>
      <c r="PF81"/>
      <c r="PG81"/>
      <c r="PH81"/>
      <c r="PI81"/>
      <c r="PJ81"/>
      <c r="PK81"/>
      <c r="PL81"/>
      <c r="PM81"/>
      <c r="PN81"/>
      <c r="PO81"/>
      <c r="PP81"/>
      <c r="PQ81"/>
      <c r="PR81"/>
      <c r="PS81"/>
      <c r="PT81"/>
      <c r="PU81"/>
      <c r="PV81"/>
      <c r="PW81"/>
      <c r="PX81"/>
      <c r="PY81"/>
      <c r="PZ81"/>
      <c r="QA81"/>
      <c r="QB81"/>
      <c r="QC81"/>
      <c r="QD81"/>
      <c r="QE81"/>
      <c r="QF81"/>
      <c r="QG81"/>
      <c r="QH81"/>
      <c r="QI81"/>
      <c r="QJ81"/>
      <c r="QK81"/>
      <c r="QL81"/>
      <c r="QM81"/>
      <c r="QN81"/>
      <c r="QO81"/>
      <c r="QP81"/>
      <c r="QQ81"/>
      <c r="QR81"/>
      <c r="QS81"/>
      <c r="QT81"/>
      <c r="QU81"/>
      <c r="QV81"/>
      <c r="QW81"/>
      <c r="QX81"/>
      <c r="QY81"/>
      <c r="QZ81"/>
      <c r="RA81"/>
      <c r="RB81"/>
      <c r="RC81"/>
      <c r="RD81"/>
      <c r="RE81"/>
      <c r="RF81"/>
      <c r="RG81"/>
      <c r="RH81"/>
      <c r="RI81"/>
      <c r="RJ81"/>
      <c r="RK81"/>
      <c r="RL81"/>
      <c r="RM81"/>
      <c r="RN81"/>
      <c r="RO81"/>
      <c r="RP81"/>
      <c r="RQ81"/>
      <c r="RR81"/>
      <c r="RS81"/>
      <c r="RT81"/>
      <c r="RU81"/>
      <c r="RV81"/>
      <c r="RW81"/>
      <c r="RX81"/>
      <c r="RY81"/>
      <c r="RZ81"/>
      <c r="SA81"/>
      <c r="SB81"/>
      <c r="SC81"/>
      <c r="SD81"/>
      <c r="SE81"/>
      <c r="SF81"/>
      <c r="SG81"/>
      <c r="SH81"/>
      <c r="SI81"/>
      <c r="SJ81"/>
      <c r="SK81"/>
      <c r="SL81"/>
      <c r="SM81"/>
      <c r="SN81"/>
      <c r="SO81"/>
      <c r="SP81"/>
      <c r="SQ81"/>
      <c r="SR81"/>
      <c r="SS81"/>
      <c r="ST81"/>
      <c r="SU81"/>
      <c r="SV81"/>
      <c r="SW81"/>
      <c r="SX81"/>
      <c r="SY81"/>
      <c r="SZ81"/>
      <c r="TA81"/>
      <c r="TB81"/>
      <c r="TC81"/>
      <c r="TD81"/>
      <c r="TE81"/>
      <c r="TF81"/>
      <c r="TG81"/>
      <c r="TH81"/>
      <c r="TI81"/>
      <c r="TJ81"/>
      <c r="TK81"/>
      <c r="TL81"/>
      <c r="TM81"/>
      <c r="TN81"/>
      <c r="TO81"/>
      <c r="TP81"/>
      <c r="TQ81"/>
      <c r="TR81"/>
      <c r="TS81"/>
      <c r="TT81"/>
      <c r="TU81"/>
      <c r="TV81"/>
      <c r="TW81"/>
      <c r="TX81"/>
      <c r="TY81"/>
      <c r="TZ81"/>
      <c r="UA81"/>
      <c r="UB81"/>
      <c r="UC81"/>
      <c r="UD81"/>
      <c r="UE81"/>
      <c r="UF81"/>
      <c r="UG81"/>
      <c r="UH81"/>
      <c r="UI81"/>
      <c r="UJ81"/>
      <c r="UK81"/>
      <c r="UL81"/>
      <c r="UM81"/>
      <c r="UN81"/>
      <c r="UO81"/>
      <c r="UP81"/>
      <c r="UQ81"/>
      <c r="UR81"/>
      <c r="US81"/>
      <c r="UT81"/>
      <c r="UU81"/>
      <c r="UV81"/>
      <c r="UW81"/>
      <c r="UX81"/>
      <c r="UY81"/>
      <c r="UZ81"/>
      <c r="VA81"/>
      <c r="VB81"/>
      <c r="VC81"/>
      <c r="VD81"/>
      <c r="VE81"/>
      <c r="VF81"/>
      <c r="VG81"/>
      <c r="VH81"/>
      <c r="VI81"/>
      <c r="VJ81"/>
      <c r="VK81"/>
      <c r="VL81"/>
      <c r="VM81"/>
      <c r="VN81"/>
      <c r="VO81"/>
      <c r="VP81"/>
      <c r="VQ81"/>
      <c r="VR81"/>
      <c r="VS81"/>
      <c r="VT81"/>
      <c r="VU81"/>
      <c r="VV81"/>
      <c r="VW81"/>
      <c r="VX81"/>
      <c r="VY81"/>
      <c r="VZ81"/>
      <c r="WA81"/>
      <c r="WB81"/>
      <c r="WC81"/>
      <c r="WD81"/>
      <c r="WE81"/>
      <c r="WF81"/>
      <c r="WG81"/>
      <c r="WH81"/>
      <c r="WI81"/>
      <c r="WJ81"/>
      <c r="WK81"/>
      <c r="WL81"/>
      <c r="WM81"/>
      <c r="WN81"/>
      <c r="WO81"/>
      <c r="WP81"/>
      <c r="WQ81"/>
      <c r="WR81"/>
      <c r="WS81"/>
      <c r="WT81"/>
      <c r="WU81"/>
      <c r="WV81"/>
      <c r="WW81"/>
      <c r="WX81"/>
      <c r="WY81"/>
      <c r="WZ81"/>
      <c r="XA81"/>
      <c r="XB81"/>
      <c r="XC81"/>
      <c r="XD81"/>
      <c r="XE81"/>
      <c r="XF81"/>
      <c r="XG81"/>
      <c r="XH81"/>
      <c r="XI81"/>
      <c r="XJ81"/>
      <c r="XK81"/>
      <c r="XL81"/>
      <c r="XM81"/>
      <c r="XN81"/>
      <c r="XO81"/>
      <c r="XP81"/>
      <c r="XQ81"/>
      <c r="XR81"/>
      <c r="XS81"/>
      <c r="XT81"/>
      <c r="XU81"/>
      <c r="XV81"/>
      <c r="XW81"/>
      <c r="XX81"/>
      <c r="XY81"/>
      <c r="XZ81"/>
      <c r="YA81"/>
      <c r="YB81"/>
      <c r="YC81"/>
      <c r="YD81"/>
      <c r="YE81"/>
      <c r="YF81"/>
      <c r="YG81"/>
      <c r="YH81"/>
      <c r="YI81"/>
      <c r="YJ81"/>
      <c r="YK81"/>
      <c r="YL81"/>
      <c r="YM81"/>
      <c r="YN81"/>
      <c r="YO81"/>
      <c r="YP81"/>
      <c r="YQ81"/>
      <c r="YR81"/>
      <c r="YS81"/>
      <c r="YT81"/>
      <c r="YU81"/>
      <c r="YV81"/>
      <c r="YW81"/>
      <c r="YX81"/>
      <c r="YY81"/>
      <c r="YZ81"/>
      <c r="ZA81"/>
      <c r="ZB81"/>
      <c r="ZC81"/>
      <c r="ZD81"/>
      <c r="ZE81"/>
      <c r="ZF81"/>
      <c r="ZG81"/>
      <c r="ZH81"/>
      <c r="ZI81"/>
      <c r="ZJ81"/>
      <c r="ZK81"/>
      <c r="ZL81"/>
      <c r="ZM81"/>
      <c r="ZN81"/>
      <c r="ZO81"/>
      <c r="ZP81"/>
      <c r="ZQ81"/>
      <c r="ZR81"/>
      <c r="ZS81"/>
      <c r="ZT81"/>
      <c r="ZU81"/>
      <c r="ZV81"/>
      <c r="ZW81"/>
      <c r="ZX81"/>
      <c r="ZY81"/>
      <c r="ZZ81"/>
      <c r="AAA81"/>
      <c r="AAB81"/>
      <c r="AAC81"/>
      <c r="AAD81"/>
      <c r="AAE81"/>
      <c r="AAF81"/>
      <c r="AAG81"/>
      <c r="AAH81"/>
      <c r="AAI81"/>
      <c r="AAJ81"/>
      <c r="AAK81"/>
      <c r="AAL81"/>
      <c r="AAM81"/>
      <c r="AAN81"/>
      <c r="AAO81"/>
      <c r="AAP81"/>
      <c r="AAQ81"/>
      <c r="AAR81"/>
      <c r="AAS81"/>
      <c r="AAT81"/>
      <c r="AAU81"/>
      <c r="AAV81"/>
      <c r="AAW81"/>
      <c r="AAX81"/>
      <c r="AAY81"/>
      <c r="AAZ81"/>
      <c r="ABA81"/>
      <c r="ABB81"/>
      <c r="ABC81"/>
      <c r="ABD81"/>
      <c r="ABE81"/>
      <c r="ABF81"/>
      <c r="ABG81"/>
      <c r="ABH81"/>
      <c r="ABI81"/>
      <c r="ABJ81"/>
      <c r="ABK81"/>
      <c r="ABL81"/>
      <c r="ABM81"/>
      <c r="ABN81"/>
      <c r="ABO81"/>
      <c r="ABP81"/>
      <c r="ABQ81"/>
      <c r="ABR81"/>
      <c r="ABS81"/>
      <c r="ABT81"/>
      <c r="ABU81"/>
      <c r="ABV81"/>
      <c r="ABW81"/>
      <c r="ABX81"/>
      <c r="ABY81"/>
      <c r="ABZ81"/>
      <c r="ACA81"/>
      <c r="ACB81"/>
      <c r="ACC81"/>
      <c r="ACD81"/>
      <c r="ACE81"/>
      <c r="ACF81"/>
      <c r="ACG81"/>
      <c r="ACH81"/>
      <c r="ACI81"/>
      <c r="ACJ81"/>
      <c r="ACK81"/>
      <c r="ACL81"/>
      <c r="ACM81"/>
      <c r="ACN81"/>
      <c r="ACO81"/>
      <c r="ACP81"/>
      <c r="ACQ81"/>
      <c r="ACR81"/>
      <c r="ACS81"/>
      <c r="ACT81"/>
      <c r="ACU81"/>
      <c r="ACV81"/>
      <c r="ACW81"/>
      <c r="ACX81"/>
      <c r="ACY81"/>
      <c r="ACZ81"/>
      <c r="ADA81"/>
      <c r="ADB81"/>
      <c r="ADC81"/>
      <c r="ADD81"/>
      <c r="ADE81"/>
      <c r="ADF81"/>
      <c r="ADG81"/>
      <c r="ADH81"/>
      <c r="ADI81"/>
      <c r="ADJ81"/>
      <c r="ADK81"/>
      <c r="ADL81"/>
      <c r="ADM81"/>
      <c r="ADN81"/>
      <c r="ADO81"/>
      <c r="ADP81"/>
      <c r="ADQ81"/>
      <c r="ADR81"/>
      <c r="ADS81"/>
      <c r="ADT81"/>
      <c r="ADU81"/>
      <c r="ADV81"/>
      <c r="ADW81"/>
      <c r="ADX81"/>
      <c r="ADY81"/>
      <c r="ADZ81"/>
      <c r="AEA81"/>
      <c r="AEB81"/>
      <c r="AEC81"/>
      <c r="AED81"/>
      <c r="AEE81"/>
      <c r="AEF81"/>
      <c r="AEG81"/>
      <c r="AEH81"/>
      <c r="AEI81"/>
      <c r="AEJ81"/>
      <c r="AEK81"/>
      <c r="AEL81"/>
      <c r="AEM81"/>
      <c r="AEN81"/>
      <c r="AEO81"/>
      <c r="AEP81"/>
      <c r="AEQ81"/>
      <c r="AER81"/>
      <c r="AES81"/>
      <c r="AET81"/>
      <c r="AEU81"/>
      <c r="AEV81"/>
      <c r="AEW81"/>
      <c r="AEX81"/>
      <c r="AEY81"/>
      <c r="AEZ81"/>
      <c r="AFA81"/>
      <c r="AFB81"/>
      <c r="AFC81"/>
      <c r="AFD81"/>
      <c r="AFE81"/>
      <c r="AFF81"/>
      <c r="AFG81"/>
      <c r="AFH81"/>
      <c r="AFI81"/>
      <c r="AFJ81"/>
      <c r="AFK81"/>
      <c r="AFL81"/>
      <c r="AFM81"/>
      <c r="AFN81"/>
      <c r="AFO81"/>
      <c r="AFP81"/>
      <c r="AFQ81"/>
      <c r="AFR81"/>
      <c r="AFS81"/>
      <c r="AFT81"/>
      <c r="AFU81"/>
      <c r="AFV81"/>
      <c r="AFW81"/>
      <c r="AFX81"/>
      <c r="AFY81"/>
      <c r="AFZ81"/>
      <c r="AGA81"/>
      <c r="AGB81"/>
      <c r="AGC81"/>
      <c r="AGD81"/>
      <c r="AGE81"/>
      <c r="AGF81"/>
      <c r="AGG81"/>
      <c r="AGH81"/>
      <c r="AGI81"/>
      <c r="AGJ81"/>
      <c r="AGK81"/>
      <c r="AGL81"/>
      <c r="AGM81"/>
      <c r="AGN81"/>
      <c r="AGO81"/>
      <c r="AGP81"/>
      <c r="AGQ81"/>
      <c r="AGR81"/>
      <c r="AGS81"/>
      <c r="AGT81"/>
      <c r="AGU81"/>
      <c r="AGV81"/>
      <c r="AGW81"/>
      <c r="AGX81"/>
      <c r="AGY81"/>
      <c r="AGZ81"/>
      <c r="AHA81"/>
      <c r="AHB81"/>
      <c r="AHC81"/>
      <c r="AHD81"/>
      <c r="AHE81"/>
      <c r="AHF81"/>
      <c r="AHG81"/>
      <c r="AHH81"/>
      <c r="AHI81"/>
      <c r="AHJ81"/>
      <c r="AHK81"/>
      <c r="AHL81"/>
      <c r="AHM81"/>
      <c r="AHN81"/>
      <c r="AHO81"/>
      <c r="AHP81"/>
      <c r="AHQ81"/>
      <c r="AHR81"/>
      <c r="AHS81"/>
      <c r="AHT81"/>
      <c r="AHU81"/>
      <c r="AHV81"/>
      <c r="AHW81"/>
      <c r="AHX81"/>
      <c r="AHY81"/>
      <c r="AHZ81"/>
      <c r="AIA81"/>
      <c r="AIB81"/>
      <c r="AIC81"/>
      <c r="AID81"/>
      <c r="AIE81"/>
      <c r="AIF81"/>
      <c r="AIG81"/>
      <c r="AIH81"/>
      <c r="AII81"/>
      <c r="AIJ81"/>
      <c r="AIK81"/>
      <c r="AIL81"/>
      <c r="AIM81"/>
      <c r="AIN81"/>
      <c r="AIO81"/>
      <c r="AIP81"/>
      <c r="AIQ81"/>
      <c r="AIR81"/>
      <c r="AIS81"/>
      <c r="AIT81"/>
      <c r="AIU81"/>
      <c r="AIV81"/>
      <c r="AIW81"/>
      <c r="AIX81"/>
      <c r="AIY81"/>
      <c r="AIZ81"/>
      <c r="AJA81"/>
      <c r="AJB81"/>
      <c r="AJC81"/>
      <c r="AJD81"/>
      <c r="AJE81"/>
      <c r="AJF81"/>
      <c r="AJG81"/>
      <c r="AJH81"/>
      <c r="AJI81"/>
      <c r="AJJ81"/>
      <c r="AJK81"/>
      <c r="AJL81"/>
      <c r="AJM81"/>
      <c r="AJN81"/>
      <c r="AJO81"/>
      <c r="AJP81"/>
      <c r="AJQ81"/>
      <c r="AJR81"/>
      <c r="AJS81"/>
      <c r="AJT81"/>
      <c r="AJU81"/>
      <c r="AJV81"/>
      <c r="AJW81"/>
      <c r="AJX81"/>
      <c r="AJY81"/>
      <c r="AJZ81"/>
      <c r="AKA81"/>
      <c r="AKB81"/>
      <c r="AKC81"/>
      <c r="AKD81"/>
      <c r="AKE81"/>
      <c r="AKF81"/>
      <c r="AKG81"/>
      <c r="AKH81"/>
      <c r="AKI81"/>
      <c r="AKJ81"/>
      <c r="AKK81"/>
      <c r="AKL81"/>
      <c r="AKM81"/>
      <c r="AKN81"/>
      <c r="AKO81"/>
      <c r="AKP81"/>
      <c r="AKQ81"/>
      <c r="AKR81"/>
      <c r="AKS81"/>
      <c r="AKT81"/>
      <c r="AKU81"/>
      <c r="AKV81"/>
      <c r="AKW81"/>
      <c r="AKX81"/>
      <c r="AKY81"/>
      <c r="AKZ81"/>
      <c r="ALA81"/>
      <c r="ALB81"/>
      <c r="ALC81"/>
      <c r="ALD81"/>
      <c r="ALE81"/>
      <c r="ALF81"/>
      <c r="ALG81"/>
      <c r="ALH81"/>
      <c r="ALI81"/>
      <c r="ALJ81"/>
      <c r="ALK81"/>
      <c r="ALL81"/>
      <c r="ALM81"/>
      <c r="ALN81"/>
      <c r="ALO81"/>
      <c r="ALP81"/>
      <c r="ALQ81"/>
      <c r="ALR81"/>
      <c r="ALS81"/>
      <c r="ALT81"/>
      <c r="ALU81"/>
      <c r="ALV81"/>
      <c r="ALW81"/>
      <c r="ALX81"/>
      <c r="ALY81"/>
      <c r="ALZ81"/>
      <c r="AMA81"/>
      <c r="AMB81"/>
      <c r="AMC81"/>
      <c r="AMD81"/>
      <c r="AME81"/>
      <c r="AMF81"/>
      <c r="AMG81"/>
      <c r="AMH81"/>
      <c r="AMI81"/>
      <c r="AMJ81"/>
      <c r="AMK81"/>
      <c r="AML81"/>
      <c r="AMM81"/>
      <c r="AMN81"/>
      <c r="AMO81"/>
      <c r="AMP81"/>
      <c r="AMQ81"/>
      <c r="AMR81"/>
      <c r="AMS81"/>
      <c r="AMT81"/>
      <c r="AMU81"/>
      <c r="AMV81"/>
      <c r="AMW81"/>
      <c r="AMX81"/>
      <c r="AMY81"/>
      <c r="AMZ81"/>
      <c r="ANA81"/>
      <c r="ANB81"/>
      <c r="ANC81"/>
      <c r="AND81"/>
      <c r="ANE81"/>
      <c r="ANF81"/>
      <c r="ANG81"/>
      <c r="ANH81"/>
      <c r="ANI81"/>
      <c r="ANJ81"/>
      <c r="ANK81"/>
      <c r="ANL81"/>
      <c r="ANM81"/>
      <c r="ANN81"/>
      <c r="ANO81"/>
      <c r="ANP81"/>
      <c r="ANQ81"/>
      <c r="ANR81"/>
      <c r="ANS81"/>
      <c r="ANT81"/>
      <c r="ANU81"/>
      <c r="ANV81"/>
      <c r="ANW81"/>
      <c r="ANX81"/>
      <c r="ANY81"/>
      <c r="ANZ81"/>
      <c r="AOA81"/>
      <c r="AOB81"/>
      <c r="AOC81"/>
      <c r="AOD81"/>
      <c r="AOE81"/>
      <c r="AOF81"/>
      <c r="AOG81"/>
      <c r="AOH81"/>
      <c r="AOI81"/>
      <c r="AOJ81"/>
      <c r="AOK81"/>
      <c r="AOL81"/>
      <c r="AOM81"/>
      <c r="AON81"/>
      <c r="AOO81"/>
      <c r="AOP81"/>
      <c r="AOQ81"/>
      <c r="AOR81"/>
      <c r="AOS81"/>
      <c r="AOT81"/>
      <c r="AOU81"/>
      <c r="AOV81"/>
      <c r="AOW81"/>
      <c r="AOX81"/>
      <c r="AOY81"/>
      <c r="AOZ81"/>
      <c r="APA81"/>
      <c r="APB81"/>
      <c r="APC81"/>
      <c r="APD81"/>
      <c r="APE81"/>
      <c r="APF81"/>
      <c r="APG81"/>
      <c r="APH81"/>
      <c r="API81"/>
      <c r="APJ81"/>
      <c r="APK81"/>
      <c r="APL81"/>
      <c r="APM81"/>
      <c r="APN81"/>
      <c r="APO81"/>
      <c r="APP81"/>
      <c r="APQ81"/>
      <c r="APR81"/>
      <c r="APS81"/>
      <c r="APT81"/>
      <c r="APU81"/>
      <c r="APV81"/>
      <c r="APW81"/>
      <c r="APX81"/>
      <c r="APY81"/>
      <c r="APZ81"/>
      <c r="AQA81"/>
      <c r="AQB81"/>
      <c r="AQC81"/>
      <c r="AQD81"/>
      <c r="AQE81"/>
      <c r="AQF81"/>
      <c r="AQG81"/>
      <c r="AQH81"/>
      <c r="AQI81"/>
      <c r="AQJ81"/>
      <c r="AQK81"/>
      <c r="AQL81"/>
      <c r="AQM81"/>
      <c r="AQN81"/>
      <c r="AQO81"/>
      <c r="AQP81"/>
      <c r="AQQ81"/>
      <c r="AQR81"/>
      <c r="AQS81"/>
      <c r="AQT81"/>
      <c r="AQU81"/>
      <c r="AQV81"/>
      <c r="AQW81"/>
      <c r="AQX81"/>
      <c r="AQY81"/>
      <c r="AQZ81"/>
      <c r="ARA81"/>
      <c r="ARB81"/>
      <c r="ARC81"/>
      <c r="ARD81"/>
      <c r="ARE81"/>
      <c r="ARF81"/>
      <c r="ARG81"/>
      <c r="ARH81"/>
      <c r="ARI81"/>
      <c r="ARJ81"/>
      <c r="ARK81"/>
      <c r="ARL81"/>
      <c r="ARM81"/>
      <c r="ARN81"/>
      <c r="ARO81"/>
      <c r="ARP81"/>
      <c r="ARQ81"/>
      <c r="ARR81"/>
      <c r="ARS81"/>
      <c r="ART81"/>
      <c r="ARU81"/>
      <c r="ARV81"/>
      <c r="ARW81"/>
      <c r="ARX81"/>
      <c r="ARY81"/>
      <c r="ARZ81"/>
      <c r="ASA81"/>
      <c r="ASB81"/>
      <c r="ASC81"/>
      <c r="ASD81"/>
      <c r="ASE81"/>
      <c r="ASF81"/>
      <c r="ASG81"/>
      <c r="ASH81"/>
      <c r="ASI81"/>
      <c r="ASJ81"/>
      <c r="ASK81"/>
      <c r="ASL81"/>
      <c r="ASM81"/>
      <c r="ASN81"/>
      <c r="ASO81"/>
      <c r="ASP81"/>
      <c r="ASQ81"/>
      <c r="ASR81"/>
      <c r="ASS81"/>
      <c r="AST81"/>
      <c r="ASU81"/>
      <c r="ASV81"/>
      <c r="ASW81"/>
      <c r="ASX81"/>
      <c r="ASY81"/>
      <c r="ASZ81"/>
      <c r="ATA81"/>
      <c r="ATB81"/>
      <c r="ATC81"/>
      <c r="ATD81"/>
      <c r="ATE81"/>
      <c r="ATF81"/>
      <c r="ATG81"/>
      <c r="ATH81"/>
      <c r="ATI81"/>
      <c r="ATJ81"/>
      <c r="ATK81"/>
      <c r="ATL81"/>
      <c r="ATM81"/>
      <c r="ATN81"/>
      <c r="ATO81"/>
      <c r="ATP81"/>
      <c r="ATQ81"/>
      <c r="ATR81"/>
      <c r="ATS81"/>
      <c r="ATT81"/>
      <c r="ATU81"/>
      <c r="ATV81"/>
      <c r="ATW81"/>
      <c r="ATX81"/>
      <c r="ATY81"/>
      <c r="ATZ81"/>
      <c r="AUA81"/>
      <c r="AUB81"/>
      <c r="AUC81"/>
      <c r="AUD81"/>
      <c r="AUE81"/>
      <c r="AUF81"/>
      <c r="AUG81"/>
      <c r="AUH81"/>
      <c r="AUI81"/>
      <c r="AUJ81"/>
      <c r="AUK81"/>
      <c r="AUL81"/>
      <c r="AUM81"/>
      <c r="AUN81"/>
      <c r="AUO81"/>
      <c r="AUP81"/>
      <c r="AUQ81"/>
      <c r="AUR81"/>
      <c r="AUS81"/>
      <c r="AUT81"/>
      <c r="AUU81"/>
      <c r="AUV81"/>
      <c r="AUW81"/>
      <c r="AUX81"/>
      <c r="AUY81"/>
      <c r="AUZ81"/>
      <c r="AVA81"/>
      <c r="AVB81"/>
      <c r="AVC81"/>
      <c r="AVD81"/>
      <c r="AVE81"/>
      <c r="AVF81"/>
      <c r="AVG81"/>
      <c r="AVH81"/>
      <c r="AVI81"/>
      <c r="AVJ81"/>
      <c r="AVK81"/>
      <c r="AVL81"/>
      <c r="AVM81"/>
      <c r="AVN81"/>
      <c r="AVO81"/>
      <c r="AVP81"/>
      <c r="AVQ81"/>
      <c r="AVR81"/>
      <c r="AVS81"/>
      <c r="AVT81"/>
      <c r="AVU81"/>
      <c r="AVV81"/>
      <c r="AVW81"/>
      <c r="AVX81"/>
      <c r="AVY81"/>
      <c r="AVZ81"/>
      <c r="AWA81"/>
      <c r="AWB81"/>
      <c r="AWC81"/>
      <c r="AWD81"/>
      <c r="AWE81"/>
      <c r="AWF81"/>
      <c r="AWG81"/>
      <c r="AWH81"/>
      <c r="AWI81"/>
      <c r="AWJ81"/>
      <c r="AWK81"/>
      <c r="AWL81"/>
      <c r="AWM81"/>
      <c r="AWN81"/>
      <c r="AWO81"/>
      <c r="AWP81"/>
      <c r="AWQ81"/>
      <c r="AWR81"/>
      <c r="AWS81"/>
      <c r="AWT81"/>
      <c r="AWU81"/>
      <c r="AWV81"/>
      <c r="AWW81"/>
      <c r="AWX81"/>
      <c r="AWY81"/>
      <c r="AWZ81"/>
      <c r="AXA81"/>
      <c r="AXB81"/>
      <c r="AXC81"/>
      <c r="AXD81"/>
      <c r="AXE81"/>
      <c r="AXF81"/>
      <c r="AXG81"/>
      <c r="AXH81"/>
      <c r="AXI81"/>
      <c r="AXJ81"/>
      <c r="AXK81"/>
      <c r="AXL81"/>
      <c r="AXM81"/>
      <c r="AXN81"/>
      <c r="AXO81"/>
      <c r="AXP81"/>
      <c r="AXQ81"/>
      <c r="AXR81"/>
      <c r="AXS81"/>
      <c r="AXT81"/>
      <c r="AXU81"/>
      <c r="AXV81"/>
      <c r="AXW81"/>
      <c r="AXX81"/>
      <c r="AXY81"/>
      <c r="AXZ81"/>
      <c r="AYA81"/>
      <c r="AYB81"/>
      <c r="AYC81"/>
      <c r="AYD81"/>
      <c r="AYE81"/>
      <c r="AYF81"/>
      <c r="AYG81"/>
      <c r="AYH81"/>
      <c r="AYI81"/>
      <c r="AYJ81"/>
      <c r="AYK81"/>
      <c r="AYL81"/>
      <c r="AYM81"/>
      <c r="AYN81"/>
      <c r="AYO81"/>
      <c r="AYP81"/>
      <c r="AYQ81"/>
      <c r="AYR81"/>
      <c r="AYS81"/>
      <c r="AYT81"/>
      <c r="AYU81"/>
      <c r="AYV81"/>
      <c r="AYW81"/>
      <c r="AYX81"/>
      <c r="AYY81"/>
      <c r="AYZ81"/>
      <c r="AZA81"/>
      <c r="AZB81"/>
      <c r="AZC81"/>
      <c r="AZD81"/>
      <c r="AZE81"/>
      <c r="AZF81"/>
      <c r="AZG81"/>
      <c r="AZH81"/>
      <c r="AZI81"/>
      <c r="AZJ81"/>
      <c r="AZK81"/>
      <c r="AZL81"/>
      <c r="AZM81"/>
      <c r="AZN81"/>
      <c r="AZO81"/>
      <c r="AZP81"/>
      <c r="AZQ81"/>
      <c r="AZR81"/>
      <c r="AZS81"/>
      <c r="AZT81"/>
      <c r="AZU81"/>
      <c r="AZV81"/>
      <c r="AZW81"/>
      <c r="AZX81"/>
      <c r="AZY81"/>
      <c r="AZZ81"/>
      <c r="BAA81"/>
      <c r="BAB81"/>
      <c r="BAC81"/>
      <c r="BAD81"/>
      <c r="BAE81"/>
      <c r="BAF81"/>
      <c r="BAG81"/>
      <c r="BAH81"/>
      <c r="BAI81"/>
      <c r="BAJ81"/>
      <c r="BAK81"/>
      <c r="BAL81"/>
      <c r="BAM81"/>
      <c r="BAN81"/>
      <c r="BAO81"/>
      <c r="BAP81"/>
      <c r="BAQ81"/>
      <c r="BAR81"/>
      <c r="BAS81"/>
      <c r="BAT81"/>
      <c r="BAU81"/>
      <c r="BAV81"/>
      <c r="BAW81"/>
      <c r="BAX81"/>
      <c r="BAY81"/>
      <c r="BAZ81"/>
      <c r="BBA81"/>
      <c r="BBB81"/>
      <c r="BBC81"/>
      <c r="BBD81"/>
      <c r="BBE81"/>
      <c r="BBF81"/>
      <c r="BBG81"/>
      <c r="BBH81"/>
      <c r="BBI81"/>
      <c r="BBJ81"/>
      <c r="BBK81"/>
      <c r="BBL81"/>
      <c r="BBM81"/>
      <c r="BBN81"/>
      <c r="BBO81"/>
      <c r="BBP81"/>
      <c r="BBQ81"/>
      <c r="BBR81"/>
      <c r="BBS81"/>
      <c r="BBT81"/>
      <c r="BBU81"/>
      <c r="BBV81"/>
      <c r="BBW81"/>
      <c r="BBX81"/>
      <c r="BBY81"/>
      <c r="BBZ81"/>
      <c r="BCA81"/>
      <c r="BCB81"/>
      <c r="BCC81"/>
      <c r="BCD81"/>
      <c r="BCE81"/>
      <c r="BCF81"/>
      <c r="BCG81"/>
      <c r="BCH81"/>
      <c r="BCI81"/>
      <c r="BCJ81"/>
      <c r="BCK81"/>
      <c r="BCL81"/>
      <c r="BCM81"/>
      <c r="BCN81"/>
      <c r="BCO81"/>
      <c r="BCP81"/>
      <c r="BCQ81"/>
      <c r="BCR81"/>
      <c r="BCS81"/>
      <c r="BCT81"/>
      <c r="BCU81"/>
      <c r="BCV81"/>
      <c r="BCW81"/>
      <c r="BCX81"/>
      <c r="BCY81"/>
      <c r="BCZ81"/>
      <c r="BDA81"/>
      <c r="BDB81"/>
      <c r="BDC81"/>
      <c r="BDD81"/>
      <c r="BDE81"/>
      <c r="BDF81"/>
      <c r="BDG81"/>
      <c r="BDH81"/>
      <c r="BDI81"/>
      <c r="BDJ81"/>
      <c r="BDK81"/>
      <c r="BDL81"/>
      <c r="BDM81"/>
      <c r="BDN81"/>
      <c r="BDO81"/>
      <c r="BDP81"/>
      <c r="BDQ81"/>
      <c r="BDR81"/>
      <c r="BDS81"/>
      <c r="BDT81"/>
      <c r="BDU81"/>
      <c r="BDV81"/>
      <c r="BDW81"/>
      <c r="BDX81"/>
      <c r="BDY81"/>
      <c r="BDZ81"/>
      <c r="BEA81"/>
      <c r="BEB81"/>
      <c r="BEC81"/>
      <c r="BED81"/>
      <c r="BEE81"/>
      <c r="BEF81"/>
      <c r="BEG81"/>
      <c r="BEH81"/>
      <c r="BEI81"/>
      <c r="BEJ81"/>
      <c r="BEK81"/>
      <c r="BEL81"/>
      <c r="BEM81"/>
      <c r="BEN81"/>
      <c r="BEO81"/>
      <c r="BEP81"/>
      <c r="BEQ81"/>
      <c r="BER81"/>
      <c r="BES81"/>
      <c r="BET81"/>
      <c r="BEU81"/>
      <c r="BEV81"/>
      <c r="BEW81"/>
      <c r="BEX81"/>
      <c r="BEY81"/>
      <c r="BEZ81"/>
      <c r="BFA81"/>
      <c r="BFB81"/>
      <c r="BFC81"/>
      <c r="BFD81"/>
      <c r="BFE81"/>
      <c r="BFF81"/>
      <c r="BFG81"/>
      <c r="BFH81"/>
      <c r="BFI81"/>
      <c r="BFJ81"/>
      <c r="BFK81"/>
      <c r="BFL81"/>
      <c r="BFM81"/>
      <c r="BFN81"/>
      <c r="BFO81"/>
      <c r="BFP81"/>
      <c r="BFQ81"/>
      <c r="BFR81"/>
      <c r="BFS81"/>
      <c r="BFT81"/>
      <c r="BFU81"/>
      <c r="BFV81"/>
      <c r="BFW81"/>
      <c r="BFX81"/>
      <c r="BFY81"/>
      <c r="BFZ81"/>
      <c r="BGA81"/>
      <c r="BGB81"/>
      <c r="BGC81"/>
      <c r="BGD81"/>
      <c r="BGE81"/>
      <c r="BGF81"/>
      <c r="BGG81"/>
      <c r="BGH81"/>
      <c r="BGI81"/>
      <c r="BGJ81"/>
      <c r="BGK81"/>
      <c r="BGL81"/>
      <c r="BGM81"/>
      <c r="BGN81"/>
      <c r="BGO81"/>
      <c r="BGP81"/>
      <c r="BGQ81"/>
      <c r="BGR81"/>
      <c r="BGS81"/>
      <c r="BGT81"/>
      <c r="BGU81"/>
      <c r="BGV81"/>
      <c r="BGW81"/>
      <c r="BGX81"/>
      <c r="BGY81"/>
      <c r="BGZ81"/>
      <c r="BHA81"/>
      <c r="BHB81"/>
      <c r="BHC81"/>
      <c r="BHD81"/>
      <c r="BHE81"/>
      <c r="BHF81"/>
      <c r="BHG81"/>
      <c r="BHH81"/>
      <c r="BHI81"/>
      <c r="BHJ81"/>
      <c r="BHK81"/>
      <c r="BHL81"/>
      <c r="BHM81"/>
      <c r="BHN81"/>
      <c r="BHO81"/>
      <c r="BHP81"/>
      <c r="BHQ81"/>
      <c r="BHR81"/>
      <c r="BHS81"/>
      <c r="BHT81"/>
      <c r="BHU81"/>
      <c r="BHV81"/>
      <c r="BHW81"/>
      <c r="BHX81"/>
      <c r="BHY81"/>
      <c r="BHZ81"/>
      <c r="BIA81"/>
      <c r="BIB81"/>
      <c r="BIC81"/>
      <c r="BID81"/>
      <c r="BIE81"/>
      <c r="BIF81"/>
      <c r="BIG81"/>
      <c r="BIH81"/>
      <c r="BII81"/>
      <c r="BIJ81"/>
      <c r="BIK81"/>
      <c r="BIL81"/>
      <c r="BIM81"/>
      <c r="BIN81"/>
      <c r="BIO81"/>
      <c r="BIP81"/>
      <c r="BIQ81"/>
      <c r="BIR81"/>
      <c r="BIS81"/>
      <c r="BIT81"/>
      <c r="BIU81"/>
      <c r="BIV81"/>
      <c r="BIW81"/>
      <c r="BIX81"/>
      <c r="BIY81"/>
      <c r="BIZ81"/>
      <c r="BJA81"/>
      <c r="BJB81"/>
      <c r="BJC81"/>
      <c r="BJD81"/>
      <c r="BJE81"/>
      <c r="BJF81"/>
      <c r="BJG81"/>
      <c r="BJH81"/>
      <c r="BJI81"/>
      <c r="BJJ81"/>
      <c r="BJK81"/>
      <c r="BJL81"/>
      <c r="BJM81"/>
      <c r="BJN81"/>
      <c r="BJO81"/>
      <c r="BJP81"/>
      <c r="BJQ81"/>
      <c r="BJR81"/>
      <c r="BJS81"/>
      <c r="BJT81"/>
      <c r="BJU81"/>
      <c r="BJV81"/>
      <c r="BJW81"/>
      <c r="BJX81"/>
      <c r="BJY81"/>
      <c r="BJZ81"/>
      <c r="BKA81"/>
      <c r="BKB81"/>
      <c r="BKC81"/>
      <c r="BKD81"/>
      <c r="BKE81"/>
      <c r="BKF81"/>
      <c r="BKG81"/>
      <c r="BKH81"/>
      <c r="BKI81"/>
      <c r="BKJ81"/>
      <c r="BKK81"/>
      <c r="BKL81"/>
      <c r="BKM81"/>
      <c r="BKN81"/>
      <c r="BKO81"/>
      <c r="BKP81"/>
      <c r="BKQ81"/>
      <c r="BKR81"/>
      <c r="BKS81"/>
      <c r="BKT81"/>
      <c r="BKU81"/>
      <c r="BKV81"/>
      <c r="BKW81"/>
      <c r="BKX81"/>
      <c r="BKY81"/>
      <c r="BKZ81"/>
      <c r="BLA81"/>
      <c r="BLB81"/>
      <c r="BLC81"/>
      <c r="BLD81"/>
      <c r="BLE81"/>
      <c r="BLF81"/>
      <c r="BLG81"/>
      <c r="BLH81"/>
      <c r="BLI81"/>
      <c r="BLJ81"/>
      <c r="BLK81"/>
      <c r="BLL81"/>
      <c r="BLM81"/>
      <c r="BLN81"/>
      <c r="BLO81"/>
      <c r="BLP81"/>
      <c r="BLQ81"/>
      <c r="BLR81"/>
      <c r="BLS81"/>
      <c r="BLT81"/>
      <c r="BLU81"/>
      <c r="BLV81"/>
      <c r="BLW81"/>
      <c r="BLX81"/>
      <c r="BLY81"/>
      <c r="BLZ81"/>
      <c r="BMA81"/>
      <c r="BMB81"/>
      <c r="BMC81"/>
      <c r="BMD81"/>
      <c r="BME81"/>
      <c r="BMF81"/>
      <c r="BMG81"/>
      <c r="BMH81"/>
      <c r="BMI81"/>
      <c r="BMJ81"/>
      <c r="BMK81"/>
      <c r="BML81"/>
      <c r="BMM81"/>
      <c r="BMN81"/>
      <c r="BMO81"/>
      <c r="BMP81"/>
      <c r="BMQ81"/>
      <c r="BMR81"/>
      <c r="BMS81"/>
      <c r="BMT81"/>
      <c r="BMU81"/>
      <c r="BMV81"/>
      <c r="BMW81"/>
      <c r="BMX81"/>
      <c r="BMY81"/>
      <c r="BMZ81"/>
      <c r="BNA81"/>
      <c r="BNB81"/>
      <c r="BNC81"/>
      <c r="BND81"/>
      <c r="BNE81"/>
      <c r="BNF81"/>
      <c r="BNG81"/>
      <c r="BNH81"/>
      <c r="BNI81"/>
      <c r="BNJ81"/>
      <c r="BNK81"/>
      <c r="BNL81"/>
      <c r="BNM81"/>
      <c r="BNN81"/>
      <c r="BNO81"/>
      <c r="BNP81"/>
      <c r="BNQ81"/>
      <c r="BNR81"/>
      <c r="BNS81"/>
      <c r="BNT81"/>
      <c r="BNU81"/>
      <c r="BNV81"/>
      <c r="BNW81"/>
      <c r="BNX81"/>
      <c r="BNY81"/>
      <c r="BNZ81"/>
      <c r="BOA81"/>
      <c r="BOB81"/>
      <c r="BOC81"/>
      <c r="BOD81"/>
      <c r="BOE81"/>
      <c r="BOF81"/>
      <c r="BOG81"/>
      <c r="BOH81"/>
      <c r="BOI81"/>
      <c r="BOJ81"/>
      <c r="BOK81"/>
      <c r="BOL81"/>
      <c r="BOM81"/>
      <c r="BON81"/>
      <c r="BOO81"/>
      <c r="BOP81"/>
      <c r="BOQ81"/>
      <c r="BOR81"/>
      <c r="BOS81"/>
      <c r="BOT81"/>
      <c r="BOU81"/>
      <c r="BOV81"/>
      <c r="BOW81"/>
      <c r="BOX81"/>
      <c r="BOY81"/>
      <c r="BOZ81"/>
      <c r="BPA81"/>
      <c r="BPB81"/>
      <c r="BPC81"/>
      <c r="BPD81"/>
      <c r="BPE81"/>
      <c r="BPF81"/>
      <c r="BPG81"/>
      <c r="BPH81"/>
      <c r="BPI81"/>
      <c r="BPJ81"/>
      <c r="BPK81"/>
      <c r="BPL81"/>
      <c r="BPM81"/>
      <c r="BPN81"/>
      <c r="BPO81"/>
      <c r="BPP81"/>
      <c r="BPQ81"/>
      <c r="BPR81"/>
      <c r="BPS81"/>
      <c r="BPT81"/>
      <c r="BPU81"/>
      <c r="BPV81"/>
      <c r="BPW81"/>
      <c r="BPX81"/>
      <c r="BPY81"/>
      <c r="BPZ81"/>
      <c r="BQA81"/>
      <c r="BQB81"/>
      <c r="BQC81"/>
      <c r="BQD81"/>
      <c r="BQE81"/>
      <c r="BQF81"/>
      <c r="BQG81"/>
      <c r="BQH81"/>
      <c r="BQI81"/>
      <c r="BQJ81"/>
      <c r="BQK81"/>
      <c r="BQL81"/>
      <c r="BQM81"/>
      <c r="BQN81"/>
      <c r="BQO81"/>
      <c r="BQP81"/>
      <c r="BQQ81"/>
      <c r="BQR81"/>
      <c r="BQS81"/>
      <c r="BQT81"/>
      <c r="BQU81"/>
      <c r="BQV81"/>
      <c r="BQW81"/>
      <c r="BQX81"/>
      <c r="BQY81"/>
      <c r="BQZ81"/>
      <c r="BRA81"/>
      <c r="BRB81"/>
      <c r="BRC81"/>
      <c r="BRD81"/>
      <c r="BRE81"/>
      <c r="BRF81"/>
      <c r="BRG81"/>
      <c r="BRH81"/>
      <c r="BRI81"/>
      <c r="BRJ81"/>
      <c r="BRK81"/>
      <c r="BRL81"/>
      <c r="BRM81"/>
      <c r="BRN81"/>
      <c r="BRO81"/>
      <c r="BRP81"/>
      <c r="BRQ81"/>
      <c r="BRR81"/>
      <c r="BRS81"/>
      <c r="BRT81"/>
      <c r="BRU81"/>
      <c r="BRV81"/>
      <c r="BRW81"/>
      <c r="BRX81"/>
      <c r="BRY81"/>
      <c r="BRZ81"/>
      <c r="BSA81"/>
      <c r="BSB81"/>
      <c r="BSC81"/>
      <c r="BSD81"/>
      <c r="BSE81"/>
      <c r="BSF81"/>
      <c r="BSG81"/>
      <c r="BSH81"/>
      <c r="BSI81"/>
      <c r="BSJ81"/>
      <c r="BSK81"/>
      <c r="BSL81"/>
      <c r="BSM81"/>
      <c r="BSN81"/>
      <c r="BSO81"/>
      <c r="BSP81"/>
      <c r="BSQ81"/>
      <c r="BSR81"/>
      <c r="BSS81"/>
      <c r="BST81"/>
      <c r="BSU81"/>
      <c r="BSV81"/>
      <c r="BSW81"/>
      <c r="BSX81"/>
      <c r="BSY81"/>
      <c r="BSZ81"/>
      <c r="BTA81"/>
      <c r="BTB81"/>
      <c r="BTC81"/>
      <c r="BTD81"/>
      <c r="BTE81"/>
      <c r="BTF81"/>
      <c r="BTG81"/>
      <c r="BTH81"/>
      <c r="BTI81"/>
      <c r="BTJ81"/>
      <c r="BTK81"/>
      <c r="BTL81"/>
      <c r="BTM81"/>
      <c r="BTN81"/>
      <c r="BTO81"/>
      <c r="BTP81"/>
      <c r="BTQ81"/>
      <c r="BTR81"/>
      <c r="BTS81"/>
      <c r="BTT81"/>
      <c r="BTU81"/>
      <c r="BTV81"/>
      <c r="BTW81"/>
      <c r="BTX81"/>
      <c r="BTY81"/>
      <c r="BTZ81"/>
      <c r="BUA81"/>
      <c r="BUB81"/>
      <c r="BUC81"/>
      <c r="BUD81"/>
      <c r="BUE81"/>
      <c r="BUF81"/>
      <c r="BUG81"/>
      <c r="BUH81"/>
      <c r="BUI81"/>
      <c r="BUJ81"/>
      <c r="BUK81"/>
      <c r="BUL81"/>
      <c r="BUM81"/>
      <c r="BUN81"/>
      <c r="BUO81"/>
      <c r="BUP81"/>
      <c r="BUQ81"/>
      <c r="BUR81"/>
      <c r="BUS81"/>
      <c r="BUT81"/>
      <c r="BUU81"/>
      <c r="BUV81"/>
      <c r="BUW81"/>
      <c r="BUX81"/>
      <c r="BUY81"/>
      <c r="BUZ81"/>
      <c r="BVA81"/>
      <c r="BVB81"/>
      <c r="BVC81"/>
      <c r="BVD81"/>
      <c r="BVE81"/>
      <c r="BVF81"/>
      <c r="BVG81"/>
      <c r="BVH81"/>
      <c r="BVI81"/>
      <c r="BVJ81"/>
      <c r="BVK81"/>
      <c r="BVL81"/>
      <c r="BVM81"/>
      <c r="BVN81"/>
      <c r="BVO81"/>
      <c r="BVP81"/>
      <c r="BVQ81"/>
      <c r="BVR81"/>
      <c r="BVS81"/>
      <c r="BVT81"/>
      <c r="BVU81"/>
      <c r="BVV81"/>
      <c r="BVW81"/>
      <c r="BVX81"/>
      <c r="BVY81"/>
      <c r="BVZ81"/>
      <c r="BWA81"/>
      <c r="BWB81"/>
      <c r="BWC81"/>
      <c r="BWD81"/>
      <c r="BWE81"/>
      <c r="BWF81"/>
      <c r="BWG81"/>
      <c r="BWH81"/>
      <c r="BWI81"/>
      <c r="BWJ81"/>
      <c r="BWK81"/>
      <c r="BWL81"/>
      <c r="BWM81"/>
      <c r="BWN81"/>
      <c r="BWO81"/>
      <c r="BWP81"/>
      <c r="BWQ81"/>
      <c r="BWR81"/>
      <c r="BWS81"/>
      <c r="BWT81"/>
      <c r="BWU81"/>
      <c r="BWV81"/>
      <c r="BWW81"/>
      <c r="BWX81"/>
      <c r="BWY81"/>
      <c r="BWZ81"/>
      <c r="BXA81"/>
      <c r="BXB81"/>
      <c r="BXC81"/>
      <c r="BXD81"/>
      <c r="BXE81"/>
      <c r="BXF81"/>
      <c r="BXG81"/>
      <c r="BXH81"/>
      <c r="BXI81"/>
      <c r="BXJ81"/>
      <c r="BXK81"/>
      <c r="BXL81"/>
      <c r="BXM81"/>
      <c r="BXN81"/>
      <c r="BXO81"/>
      <c r="BXP81"/>
      <c r="BXQ81"/>
      <c r="BXR81"/>
      <c r="BXS81"/>
      <c r="BXT81"/>
      <c r="BXU81"/>
      <c r="BXV81"/>
      <c r="BXW81"/>
      <c r="BXX81"/>
      <c r="BXY81"/>
      <c r="BXZ81"/>
      <c r="BYA81"/>
      <c r="BYB81"/>
      <c r="BYC81"/>
      <c r="BYD81"/>
      <c r="BYE81"/>
      <c r="BYF81"/>
      <c r="BYG81"/>
      <c r="BYH81"/>
      <c r="BYI81"/>
      <c r="BYJ81"/>
      <c r="BYK81"/>
      <c r="BYL81"/>
      <c r="BYM81"/>
      <c r="BYN81"/>
      <c r="BYO81"/>
      <c r="BYP81"/>
      <c r="BYQ81"/>
      <c r="BYR81"/>
      <c r="BYS81"/>
      <c r="BYT81"/>
      <c r="BYU81"/>
      <c r="BYV81"/>
      <c r="BYW81"/>
      <c r="BYX81"/>
      <c r="BYY81"/>
      <c r="BYZ81"/>
      <c r="BZA81"/>
      <c r="BZB81"/>
      <c r="BZC81"/>
      <c r="BZD81"/>
      <c r="BZE81"/>
      <c r="BZF81"/>
      <c r="BZG81"/>
      <c r="BZH81"/>
      <c r="BZI81"/>
      <c r="BZJ81"/>
      <c r="BZK81"/>
      <c r="BZL81"/>
      <c r="BZM81"/>
      <c r="BZN81"/>
      <c r="BZO81"/>
      <c r="BZP81"/>
      <c r="BZQ81"/>
      <c r="BZR81"/>
      <c r="BZS81"/>
      <c r="BZT81"/>
      <c r="BZU81"/>
      <c r="BZV81"/>
      <c r="BZW81"/>
      <c r="BZX81"/>
      <c r="BZY81"/>
      <c r="BZZ81"/>
      <c r="CAA81"/>
      <c r="CAB81"/>
      <c r="CAC81"/>
      <c r="CAD81"/>
      <c r="CAE81"/>
      <c r="CAF81"/>
      <c r="CAG81"/>
      <c r="CAH81"/>
      <c r="CAI81"/>
      <c r="CAJ81"/>
      <c r="CAK81"/>
      <c r="CAL81"/>
      <c r="CAM81"/>
      <c r="CAN81"/>
      <c r="CAO81"/>
      <c r="CAP81"/>
      <c r="CAQ81"/>
      <c r="CAR81"/>
      <c r="CAS81"/>
      <c r="CAT81"/>
      <c r="CAU81"/>
      <c r="CAV81"/>
      <c r="CAW81"/>
      <c r="CAX81"/>
      <c r="CAY81"/>
      <c r="CAZ81"/>
      <c r="CBA81"/>
      <c r="CBB81"/>
      <c r="CBC81"/>
      <c r="CBD81"/>
      <c r="CBE81"/>
      <c r="CBF81"/>
      <c r="CBG81"/>
      <c r="CBH81"/>
      <c r="CBI81"/>
      <c r="CBJ81"/>
      <c r="CBK81"/>
      <c r="CBL81"/>
      <c r="CBM81"/>
      <c r="CBN81"/>
      <c r="CBO81"/>
      <c r="CBP81"/>
      <c r="CBQ81"/>
      <c r="CBR81"/>
      <c r="CBS81"/>
      <c r="CBT81"/>
      <c r="CBU81"/>
      <c r="CBV81"/>
      <c r="CBW81"/>
      <c r="CBX81"/>
      <c r="CBY81"/>
      <c r="CBZ81"/>
      <c r="CCA81"/>
      <c r="CCB81"/>
      <c r="CCC81"/>
      <c r="CCD81"/>
      <c r="CCE81"/>
      <c r="CCF81"/>
      <c r="CCG81"/>
      <c r="CCH81"/>
      <c r="CCI81"/>
      <c r="CCJ81"/>
      <c r="CCK81"/>
      <c r="CCL81"/>
      <c r="CCM81"/>
      <c r="CCN81"/>
      <c r="CCO81"/>
      <c r="CCP81"/>
      <c r="CCQ81"/>
      <c r="CCR81"/>
      <c r="CCS81"/>
      <c r="CCT81"/>
      <c r="CCU81"/>
      <c r="CCV81"/>
      <c r="CCW81"/>
      <c r="CCX81"/>
      <c r="CCY81"/>
      <c r="CCZ81"/>
      <c r="CDA81"/>
      <c r="CDB81"/>
      <c r="CDC81"/>
      <c r="CDD81"/>
      <c r="CDE81"/>
      <c r="CDF81"/>
      <c r="CDG81"/>
      <c r="CDH81"/>
      <c r="CDI81"/>
      <c r="CDJ81"/>
      <c r="CDK81"/>
      <c r="CDL81"/>
      <c r="CDM81"/>
      <c r="CDN81"/>
      <c r="CDO81"/>
      <c r="CDP81"/>
      <c r="CDQ81"/>
      <c r="CDR81"/>
      <c r="CDS81"/>
      <c r="CDT81"/>
      <c r="CDU81"/>
      <c r="CDV81"/>
      <c r="CDW81"/>
      <c r="CDX81"/>
      <c r="CDY81"/>
      <c r="CDZ81"/>
      <c r="CEA81"/>
      <c r="CEB81"/>
      <c r="CEC81"/>
      <c r="CED81"/>
      <c r="CEE81"/>
      <c r="CEF81"/>
      <c r="CEG81"/>
      <c r="CEH81"/>
      <c r="CEI81"/>
      <c r="CEJ81"/>
      <c r="CEK81"/>
      <c r="CEL81"/>
      <c r="CEM81"/>
      <c r="CEN81"/>
      <c r="CEO81"/>
      <c r="CEP81"/>
      <c r="CEQ81"/>
      <c r="CER81"/>
      <c r="CES81"/>
      <c r="CET81"/>
      <c r="CEU81"/>
      <c r="CEV81"/>
      <c r="CEW81"/>
      <c r="CEX81"/>
      <c r="CEY81"/>
      <c r="CEZ81"/>
      <c r="CFA81"/>
      <c r="CFB81"/>
      <c r="CFC81"/>
      <c r="CFD81"/>
      <c r="CFE81"/>
      <c r="CFF81"/>
      <c r="CFG81"/>
      <c r="CFH81"/>
      <c r="CFI81"/>
      <c r="CFJ81"/>
      <c r="CFK81"/>
      <c r="CFL81"/>
      <c r="CFM81"/>
      <c r="CFN81"/>
      <c r="CFO81"/>
      <c r="CFP81"/>
      <c r="CFQ81"/>
      <c r="CFR81"/>
      <c r="CFS81"/>
      <c r="CFT81"/>
      <c r="CFU81"/>
      <c r="CFV81"/>
      <c r="CFW81"/>
      <c r="CFX81"/>
      <c r="CFY81"/>
      <c r="CFZ81"/>
      <c r="CGA81"/>
      <c r="CGB81"/>
      <c r="CGC81"/>
      <c r="CGD81"/>
      <c r="CGE81"/>
      <c r="CGF81"/>
      <c r="CGG81"/>
      <c r="CGH81"/>
      <c r="CGI81"/>
      <c r="CGJ81"/>
      <c r="CGK81"/>
      <c r="CGL81"/>
      <c r="CGM81"/>
      <c r="CGN81"/>
      <c r="CGO81"/>
      <c r="CGP81"/>
      <c r="CGQ81"/>
      <c r="CGR81"/>
      <c r="CGS81"/>
      <c r="CGT81"/>
      <c r="CGU81"/>
      <c r="CGV81"/>
      <c r="CGW81"/>
      <c r="CGX81"/>
      <c r="CGY81"/>
      <c r="CGZ81"/>
      <c r="CHA81"/>
      <c r="CHB81"/>
      <c r="CHC81"/>
      <c r="CHD81"/>
      <c r="CHE81"/>
      <c r="CHF81"/>
      <c r="CHG81"/>
      <c r="CHH81"/>
      <c r="CHI81"/>
      <c r="CHJ81"/>
      <c r="CHK81"/>
      <c r="CHL81"/>
      <c r="CHM81"/>
      <c r="CHN81"/>
      <c r="CHO81"/>
      <c r="CHP81"/>
      <c r="CHQ81"/>
      <c r="CHR81"/>
      <c r="CHS81"/>
      <c r="CHT81"/>
      <c r="CHU81"/>
      <c r="CHV81"/>
      <c r="CHW81"/>
      <c r="CHX81"/>
      <c r="CHY81"/>
      <c r="CHZ81"/>
      <c r="CIA81"/>
      <c r="CIB81"/>
      <c r="CIC81"/>
      <c r="CID81"/>
      <c r="CIE81"/>
      <c r="CIF81"/>
      <c r="CIG81"/>
      <c r="CIH81"/>
      <c r="CII81"/>
      <c r="CIJ81"/>
      <c r="CIK81"/>
      <c r="CIL81"/>
      <c r="CIM81"/>
      <c r="CIN81"/>
      <c r="CIO81"/>
      <c r="CIP81"/>
      <c r="CIQ81"/>
      <c r="CIR81"/>
      <c r="CIS81"/>
      <c r="CIT81"/>
      <c r="CIU81"/>
      <c r="CIV81"/>
      <c r="CIW81"/>
      <c r="CIX81"/>
      <c r="CIY81"/>
      <c r="CIZ81"/>
      <c r="CJA81"/>
      <c r="CJB81"/>
      <c r="CJC81"/>
      <c r="CJD81"/>
      <c r="CJE81"/>
      <c r="CJF81"/>
      <c r="CJG81"/>
      <c r="CJH81"/>
      <c r="CJI81"/>
      <c r="CJJ81"/>
      <c r="CJK81"/>
      <c r="CJL81"/>
      <c r="CJM81"/>
      <c r="CJN81"/>
      <c r="CJO81"/>
      <c r="CJP81"/>
      <c r="CJQ81"/>
      <c r="CJR81"/>
      <c r="CJS81"/>
      <c r="CJT81"/>
      <c r="CJU81"/>
      <c r="CJV81"/>
      <c r="CJW81"/>
      <c r="CJX81"/>
      <c r="CJY81"/>
      <c r="CJZ81"/>
      <c r="CKA81"/>
      <c r="CKB81"/>
      <c r="CKC81"/>
      <c r="CKD81"/>
      <c r="CKE81"/>
      <c r="CKF81"/>
      <c r="CKG81"/>
      <c r="CKH81"/>
      <c r="CKI81"/>
      <c r="CKJ81"/>
      <c r="CKK81"/>
      <c r="CKL81"/>
      <c r="CKM81"/>
      <c r="CKN81"/>
      <c r="CKO81"/>
      <c r="CKP81"/>
      <c r="CKQ81"/>
      <c r="CKR81"/>
      <c r="CKS81"/>
      <c r="CKT81"/>
      <c r="CKU81"/>
      <c r="CKV81"/>
      <c r="CKW81"/>
      <c r="CKX81"/>
      <c r="CKY81"/>
      <c r="CKZ81"/>
      <c r="CLA81"/>
      <c r="CLB81"/>
      <c r="CLC81"/>
      <c r="CLD81"/>
      <c r="CLE81"/>
      <c r="CLF81"/>
      <c r="CLG81"/>
      <c r="CLH81"/>
      <c r="CLI81"/>
      <c r="CLJ81"/>
      <c r="CLK81"/>
      <c r="CLL81"/>
      <c r="CLM81"/>
      <c r="CLN81"/>
      <c r="CLO81"/>
      <c r="CLP81"/>
      <c r="CLQ81"/>
      <c r="CLR81"/>
      <c r="CLS81"/>
      <c r="CLT81"/>
      <c r="CLU81"/>
      <c r="CLV81"/>
      <c r="CLW81"/>
      <c r="CLX81"/>
      <c r="CLY81"/>
      <c r="CLZ81"/>
      <c r="CMA81"/>
      <c r="CMB81"/>
      <c r="CMC81"/>
      <c r="CMD81"/>
      <c r="CME81"/>
      <c r="CMF81"/>
      <c r="CMG81"/>
      <c r="CMH81"/>
      <c r="CMI81"/>
      <c r="CMJ81"/>
      <c r="CMK81"/>
      <c r="CML81"/>
      <c r="CMM81"/>
      <c r="CMN81"/>
      <c r="CMO81"/>
      <c r="CMP81"/>
      <c r="CMQ81"/>
      <c r="CMR81"/>
      <c r="CMS81"/>
      <c r="CMT81"/>
      <c r="CMU81"/>
      <c r="CMV81"/>
      <c r="CMW81"/>
      <c r="CMX81"/>
      <c r="CMY81"/>
      <c r="CMZ81"/>
      <c r="CNA81"/>
      <c r="CNB81"/>
      <c r="CNC81"/>
      <c r="CND81"/>
      <c r="CNE81"/>
      <c r="CNF81"/>
      <c r="CNG81"/>
      <c r="CNH81"/>
      <c r="CNI81"/>
      <c r="CNJ81"/>
      <c r="CNK81"/>
      <c r="CNL81"/>
      <c r="CNM81"/>
      <c r="CNN81"/>
      <c r="CNO81"/>
      <c r="CNP81"/>
      <c r="CNQ81"/>
      <c r="CNR81"/>
      <c r="CNS81"/>
      <c r="CNT81"/>
      <c r="CNU81"/>
      <c r="CNV81"/>
      <c r="CNW81"/>
      <c r="CNX81"/>
      <c r="CNY81"/>
      <c r="CNZ81"/>
      <c r="COA81"/>
      <c r="COB81"/>
      <c r="COC81"/>
      <c r="COD81"/>
      <c r="COE81"/>
      <c r="COF81"/>
      <c r="COG81"/>
      <c r="COH81"/>
      <c r="COI81"/>
      <c r="COJ81"/>
      <c r="COK81"/>
      <c r="COL81"/>
      <c r="COM81"/>
      <c r="CON81"/>
      <c r="COO81"/>
      <c r="COP81"/>
      <c r="COQ81"/>
      <c r="COR81"/>
      <c r="COS81"/>
      <c r="COT81"/>
      <c r="COU81"/>
      <c r="COV81"/>
      <c r="COW81"/>
      <c r="COX81"/>
      <c r="COY81"/>
      <c r="COZ81"/>
      <c r="CPA81"/>
      <c r="CPB81"/>
      <c r="CPC81"/>
      <c r="CPD81"/>
      <c r="CPE81"/>
      <c r="CPF81"/>
      <c r="CPG81"/>
      <c r="CPH81"/>
      <c r="CPI81"/>
      <c r="CPJ81"/>
      <c r="CPK81"/>
      <c r="CPL81"/>
      <c r="CPM81"/>
      <c r="CPN81"/>
      <c r="CPO81"/>
      <c r="CPP81"/>
      <c r="CPQ81"/>
      <c r="CPR81"/>
      <c r="CPS81"/>
      <c r="CPT81"/>
      <c r="CPU81"/>
      <c r="CPV81"/>
      <c r="CPW81"/>
      <c r="CPX81"/>
      <c r="CPY81"/>
      <c r="CPZ81"/>
      <c r="CQA81"/>
      <c r="CQB81"/>
      <c r="CQC81"/>
      <c r="CQD81"/>
      <c r="CQE81"/>
      <c r="CQF81"/>
      <c r="CQG81"/>
      <c r="CQH81"/>
      <c r="CQI81"/>
      <c r="CQJ81"/>
      <c r="CQK81"/>
      <c r="CQL81"/>
      <c r="CQM81"/>
      <c r="CQN81"/>
      <c r="CQO81"/>
      <c r="CQP81"/>
      <c r="CQQ81"/>
      <c r="CQR81"/>
      <c r="CQS81"/>
      <c r="CQT81"/>
      <c r="CQU81"/>
      <c r="CQV81"/>
      <c r="CQW81"/>
      <c r="CQX81"/>
      <c r="CQY81"/>
      <c r="CQZ81"/>
      <c r="CRA81"/>
      <c r="CRB81"/>
      <c r="CRC81"/>
      <c r="CRD81"/>
      <c r="CRE81"/>
      <c r="CRF81"/>
      <c r="CRG81"/>
      <c r="CRH81"/>
      <c r="CRI81"/>
      <c r="CRJ81"/>
      <c r="CRK81"/>
      <c r="CRL81"/>
      <c r="CRM81"/>
      <c r="CRN81"/>
      <c r="CRO81"/>
      <c r="CRP81"/>
      <c r="CRQ81"/>
      <c r="CRR81"/>
      <c r="CRS81"/>
      <c r="CRT81"/>
      <c r="CRU81"/>
      <c r="CRV81"/>
      <c r="CRW81"/>
      <c r="CRX81"/>
      <c r="CRY81"/>
      <c r="CRZ81"/>
      <c r="CSA81"/>
      <c r="CSB81"/>
      <c r="CSC81"/>
      <c r="CSD81"/>
      <c r="CSE81"/>
      <c r="CSF81"/>
      <c r="CSG81"/>
      <c r="CSH81"/>
      <c r="CSI81"/>
      <c r="CSJ81"/>
      <c r="CSK81"/>
      <c r="CSL81"/>
      <c r="CSM81"/>
      <c r="CSN81"/>
      <c r="CSO81"/>
      <c r="CSP81"/>
      <c r="CSQ81"/>
      <c r="CSR81"/>
      <c r="CSS81"/>
      <c r="CST81"/>
      <c r="CSU81"/>
      <c r="CSV81"/>
      <c r="CSW81"/>
      <c r="CSX81"/>
      <c r="CSY81"/>
      <c r="CSZ81"/>
      <c r="CTA81"/>
      <c r="CTB81"/>
      <c r="CTC81"/>
      <c r="CTD81"/>
      <c r="CTE81"/>
      <c r="CTF81"/>
      <c r="CTG81"/>
      <c r="CTH81"/>
      <c r="CTI81"/>
      <c r="CTJ81"/>
      <c r="CTK81"/>
      <c r="CTL81"/>
      <c r="CTM81"/>
      <c r="CTN81"/>
      <c r="CTO81"/>
      <c r="CTP81"/>
      <c r="CTQ81"/>
      <c r="CTR81"/>
      <c r="CTS81"/>
      <c r="CTT81"/>
      <c r="CTU81"/>
      <c r="CTV81"/>
      <c r="CTW81"/>
      <c r="CTX81"/>
      <c r="CTY81"/>
      <c r="CTZ81"/>
      <c r="CUA81"/>
      <c r="CUB81"/>
      <c r="CUC81"/>
      <c r="CUD81"/>
      <c r="CUE81"/>
      <c r="CUF81"/>
      <c r="CUG81"/>
      <c r="CUH81"/>
      <c r="CUI81"/>
      <c r="CUJ81"/>
      <c r="CUK81"/>
      <c r="CUL81"/>
      <c r="CUM81"/>
      <c r="CUN81"/>
      <c r="CUO81"/>
      <c r="CUP81"/>
      <c r="CUQ81"/>
      <c r="CUR81"/>
      <c r="CUS81"/>
      <c r="CUT81"/>
      <c r="CUU81"/>
      <c r="CUV81"/>
      <c r="CUW81"/>
      <c r="CUX81"/>
      <c r="CUY81"/>
      <c r="CUZ81"/>
      <c r="CVA81"/>
      <c r="CVB81"/>
      <c r="CVC81"/>
      <c r="CVD81"/>
      <c r="CVE81"/>
      <c r="CVF81"/>
      <c r="CVG81"/>
      <c r="CVH81"/>
      <c r="CVI81"/>
      <c r="CVJ81"/>
      <c r="CVK81"/>
      <c r="CVL81"/>
      <c r="CVM81"/>
      <c r="CVN81"/>
      <c r="CVO81"/>
      <c r="CVP81"/>
      <c r="CVQ81"/>
      <c r="CVR81"/>
      <c r="CVS81"/>
      <c r="CVT81"/>
      <c r="CVU81"/>
      <c r="CVV81"/>
      <c r="CVW81"/>
      <c r="CVX81"/>
      <c r="CVY81"/>
      <c r="CVZ81"/>
      <c r="CWA81"/>
      <c r="CWB81"/>
      <c r="CWC81"/>
      <c r="CWD81"/>
      <c r="CWE81"/>
      <c r="CWF81"/>
      <c r="CWG81"/>
      <c r="CWH81"/>
      <c r="CWI81"/>
      <c r="CWJ81"/>
      <c r="CWK81"/>
      <c r="CWL81"/>
      <c r="CWM81"/>
      <c r="CWN81"/>
      <c r="CWO81"/>
      <c r="CWP81"/>
      <c r="CWQ81"/>
      <c r="CWR81"/>
      <c r="CWS81"/>
      <c r="CWT81"/>
      <c r="CWU81"/>
      <c r="CWV81"/>
      <c r="CWW81"/>
      <c r="CWX81"/>
      <c r="CWY81"/>
      <c r="CWZ81"/>
      <c r="CXA81"/>
      <c r="CXB81"/>
      <c r="CXC81"/>
      <c r="CXD81"/>
      <c r="CXE81"/>
      <c r="CXF81"/>
      <c r="CXG81"/>
      <c r="CXH81"/>
      <c r="CXI81"/>
      <c r="CXJ81"/>
      <c r="CXK81"/>
      <c r="CXL81"/>
      <c r="CXM81"/>
      <c r="CXN81"/>
      <c r="CXO81"/>
      <c r="CXP81"/>
      <c r="CXQ81"/>
      <c r="CXR81"/>
      <c r="CXS81"/>
      <c r="CXT81"/>
      <c r="CXU81"/>
      <c r="CXV81"/>
      <c r="CXW81"/>
      <c r="CXX81"/>
      <c r="CXY81"/>
      <c r="CXZ81"/>
      <c r="CYA81"/>
      <c r="CYB81"/>
      <c r="CYC81"/>
      <c r="CYD81"/>
      <c r="CYE81"/>
      <c r="CYF81"/>
      <c r="CYG81"/>
      <c r="CYH81"/>
      <c r="CYI81"/>
      <c r="CYJ81"/>
      <c r="CYK81"/>
      <c r="CYL81"/>
      <c r="CYM81"/>
      <c r="CYN81"/>
      <c r="CYO81"/>
      <c r="CYP81"/>
      <c r="CYQ81"/>
      <c r="CYR81"/>
      <c r="CYS81"/>
      <c r="CYT81"/>
      <c r="CYU81"/>
      <c r="CYV81"/>
      <c r="CYW81"/>
      <c r="CYX81"/>
      <c r="CYY81"/>
      <c r="CYZ81"/>
      <c r="CZA81"/>
      <c r="CZB81"/>
      <c r="CZC81"/>
      <c r="CZD81"/>
      <c r="CZE81"/>
      <c r="CZF81"/>
      <c r="CZG81"/>
      <c r="CZH81"/>
      <c r="CZI81"/>
      <c r="CZJ81"/>
      <c r="CZK81"/>
      <c r="CZL81"/>
      <c r="CZM81"/>
      <c r="CZN81"/>
      <c r="CZO81"/>
      <c r="CZP81"/>
      <c r="CZQ81"/>
      <c r="CZR81"/>
      <c r="CZS81"/>
      <c r="CZT81"/>
      <c r="CZU81"/>
      <c r="CZV81"/>
      <c r="CZW81"/>
      <c r="CZX81"/>
      <c r="CZY81"/>
      <c r="CZZ81"/>
      <c r="DAA81"/>
      <c r="DAB81"/>
      <c r="DAC81"/>
      <c r="DAD81"/>
      <c r="DAE81"/>
      <c r="DAF81"/>
      <c r="DAG81"/>
      <c r="DAH81"/>
      <c r="DAI81"/>
      <c r="DAJ81"/>
      <c r="DAK81"/>
      <c r="DAL81"/>
      <c r="DAM81"/>
      <c r="DAN81"/>
      <c r="DAO81"/>
      <c r="DAP81"/>
      <c r="DAQ81"/>
      <c r="DAR81"/>
      <c r="DAS81"/>
      <c r="DAT81"/>
      <c r="DAU81"/>
      <c r="DAV81"/>
      <c r="DAW81"/>
      <c r="DAX81"/>
      <c r="DAY81"/>
      <c r="DAZ81"/>
      <c r="DBA81"/>
      <c r="DBB81"/>
      <c r="DBC81"/>
      <c r="DBD81"/>
      <c r="DBE81"/>
      <c r="DBF81"/>
      <c r="DBG81"/>
      <c r="DBH81"/>
      <c r="DBI81"/>
      <c r="DBJ81"/>
      <c r="DBK81"/>
      <c r="DBL81"/>
      <c r="DBM81"/>
      <c r="DBN81"/>
      <c r="DBO81"/>
      <c r="DBP81"/>
      <c r="DBQ81"/>
      <c r="DBR81"/>
      <c r="DBS81"/>
      <c r="DBT81"/>
      <c r="DBU81"/>
      <c r="DBV81"/>
      <c r="DBW81"/>
      <c r="DBX81"/>
      <c r="DBY81"/>
      <c r="DBZ81"/>
      <c r="DCA81"/>
      <c r="DCB81"/>
      <c r="DCC81"/>
      <c r="DCD81"/>
      <c r="DCE81"/>
      <c r="DCF81"/>
      <c r="DCG81"/>
      <c r="DCH81"/>
      <c r="DCI81"/>
      <c r="DCJ81"/>
      <c r="DCK81"/>
      <c r="DCL81"/>
      <c r="DCM81"/>
      <c r="DCN81"/>
      <c r="DCO81"/>
      <c r="DCP81"/>
      <c r="DCQ81"/>
      <c r="DCR81"/>
      <c r="DCS81"/>
      <c r="DCT81"/>
      <c r="DCU81"/>
      <c r="DCV81"/>
      <c r="DCW81"/>
      <c r="DCX81"/>
      <c r="DCY81"/>
      <c r="DCZ81"/>
      <c r="DDA81"/>
      <c r="DDB81"/>
      <c r="DDC81"/>
      <c r="DDD81"/>
      <c r="DDE81"/>
      <c r="DDF81"/>
      <c r="DDG81"/>
      <c r="DDH81"/>
      <c r="DDI81"/>
      <c r="DDJ81"/>
      <c r="DDK81"/>
      <c r="DDL81"/>
      <c r="DDM81"/>
      <c r="DDN81"/>
      <c r="DDO81"/>
      <c r="DDP81"/>
      <c r="DDQ81"/>
      <c r="DDR81"/>
      <c r="DDS81"/>
      <c r="DDT81"/>
      <c r="DDU81"/>
      <c r="DDV81"/>
      <c r="DDW81"/>
      <c r="DDX81"/>
      <c r="DDY81"/>
      <c r="DDZ81"/>
      <c r="DEA81"/>
      <c r="DEB81"/>
      <c r="DEC81"/>
      <c r="DED81"/>
      <c r="DEE81"/>
      <c r="DEF81"/>
      <c r="DEG81"/>
      <c r="DEH81"/>
      <c r="DEI81"/>
      <c r="DEJ81"/>
      <c r="DEK81"/>
      <c r="DEL81"/>
      <c r="DEM81"/>
      <c r="DEN81"/>
      <c r="DEO81"/>
      <c r="DEP81"/>
      <c r="DEQ81"/>
      <c r="DER81"/>
      <c r="DES81"/>
      <c r="DET81"/>
      <c r="DEU81"/>
      <c r="DEV81"/>
      <c r="DEW81"/>
      <c r="DEX81"/>
      <c r="DEY81"/>
      <c r="DEZ81"/>
      <c r="DFA81"/>
      <c r="DFB81"/>
      <c r="DFC81"/>
      <c r="DFD81"/>
      <c r="DFE81"/>
      <c r="DFF81"/>
      <c r="DFG81"/>
      <c r="DFH81"/>
      <c r="DFI81"/>
      <c r="DFJ81"/>
      <c r="DFK81"/>
      <c r="DFL81"/>
      <c r="DFM81"/>
      <c r="DFN81"/>
      <c r="DFO81"/>
      <c r="DFP81"/>
      <c r="DFQ81"/>
      <c r="DFR81"/>
      <c r="DFS81"/>
      <c r="DFT81"/>
      <c r="DFU81"/>
      <c r="DFV81"/>
      <c r="DFW81"/>
      <c r="DFX81"/>
      <c r="DFY81"/>
      <c r="DFZ81"/>
      <c r="DGA81"/>
      <c r="DGB81"/>
      <c r="DGC81"/>
      <c r="DGD81"/>
      <c r="DGE81"/>
      <c r="DGF81"/>
      <c r="DGG81"/>
      <c r="DGH81"/>
      <c r="DGI81"/>
      <c r="DGJ81"/>
      <c r="DGK81"/>
      <c r="DGL81"/>
      <c r="DGM81"/>
      <c r="DGN81"/>
      <c r="DGO81"/>
      <c r="DGP81"/>
      <c r="DGQ81"/>
      <c r="DGR81"/>
      <c r="DGS81"/>
      <c r="DGT81"/>
      <c r="DGU81"/>
      <c r="DGV81"/>
      <c r="DGW81"/>
      <c r="DGX81"/>
      <c r="DGY81"/>
      <c r="DGZ81"/>
      <c r="DHA81"/>
      <c r="DHB81"/>
      <c r="DHC81"/>
      <c r="DHD81"/>
      <c r="DHE81"/>
      <c r="DHF81"/>
      <c r="DHG81"/>
      <c r="DHH81"/>
      <c r="DHI81"/>
      <c r="DHJ81"/>
      <c r="DHK81"/>
      <c r="DHL81"/>
      <c r="DHM81"/>
      <c r="DHN81"/>
      <c r="DHO81"/>
      <c r="DHP81"/>
      <c r="DHQ81"/>
      <c r="DHR81"/>
      <c r="DHS81"/>
      <c r="DHT81"/>
      <c r="DHU81"/>
      <c r="DHV81"/>
      <c r="DHW81"/>
      <c r="DHX81"/>
      <c r="DHY81"/>
      <c r="DHZ81"/>
      <c r="DIA81"/>
      <c r="DIB81"/>
      <c r="DIC81"/>
      <c r="DID81"/>
      <c r="DIE81"/>
      <c r="DIF81"/>
      <c r="DIG81"/>
      <c r="DIH81"/>
      <c r="DII81"/>
      <c r="DIJ81"/>
      <c r="DIK81"/>
      <c r="DIL81"/>
      <c r="DIM81"/>
      <c r="DIN81"/>
      <c r="DIO81"/>
      <c r="DIP81"/>
      <c r="DIQ81"/>
      <c r="DIR81"/>
      <c r="DIS81"/>
      <c r="DIT81"/>
      <c r="DIU81"/>
      <c r="DIV81"/>
      <c r="DIW81"/>
      <c r="DIX81"/>
      <c r="DIY81"/>
      <c r="DIZ81"/>
      <c r="DJA81"/>
      <c r="DJB81"/>
      <c r="DJC81"/>
      <c r="DJD81"/>
      <c r="DJE81"/>
      <c r="DJF81"/>
      <c r="DJG81"/>
      <c r="DJH81"/>
      <c r="DJI81"/>
      <c r="DJJ81"/>
      <c r="DJK81"/>
      <c r="DJL81"/>
      <c r="DJM81"/>
      <c r="DJN81"/>
      <c r="DJO81"/>
      <c r="DJP81"/>
      <c r="DJQ81"/>
      <c r="DJR81"/>
      <c r="DJS81"/>
      <c r="DJT81"/>
      <c r="DJU81"/>
      <c r="DJV81"/>
      <c r="DJW81"/>
      <c r="DJX81"/>
      <c r="DJY81"/>
      <c r="DJZ81"/>
      <c r="DKA81"/>
      <c r="DKB81"/>
      <c r="DKC81"/>
      <c r="DKD81"/>
      <c r="DKE81"/>
      <c r="DKF81"/>
      <c r="DKG81"/>
      <c r="DKH81"/>
      <c r="DKI81"/>
      <c r="DKJ81"/>
      <c r="DKK81"/>
      <c r="DKL81"/>
      <c r="DKM81"/>
      <c r="DKN81"/>
      <c r="DKO81"/>
      <c r="DKP81"/>
      <c r="DKQ81"/>
      <c r="DKR81"/>
      <c r="DKS81"/>
      <c r="DKT81"/>
      <c r="DKU81"/>
      <c r="DKV81"/>
      <c r="DKW81"/>
      <c r="DKX81"/>
      <c r="DKY81"/>
      <c r="DKZ81"/>
      <c r="DLA81"/>
      <c r="DLB81"/>
      <c r="DLC81"/>
      <c r="DLD81"/>
      <c r="DLE81"/>
      <c r="DLF81"/>
      <c r="DLG81"/>
      <c r="DLH81"/>
      <c r="DLI81"/>
      <c r="DLJ81"/>
      <c r="DLK81"/>
      <c r="DLL81"/>
      <c r="DLM81"/>
      <c r="DLN81"/>
      <c r="DLO81"/>
      <c r="DLP81"/>
      <c r="DLQ81"/>
      <c r="DLR81"/>
      <c r="DLS81"/>
      <c r="DLT81"/>
      <c r="DLU81"/>
      <c r="DLV81"/>
      <c r="DLW81"/>
      <c r="DLX81"/>
      <c r="DLY81"/>
      <c r="DLZ81"/>
      <c r="DMA81"/>
      <c r="DMB81"/>
      <c r="DMC81"/>
      <c r="DMD81"/>
      <c r="DME81"/>
      <c r="DMF81"/>
      <c r="DMG81"/>
      <c r="DMH81"/>
      <c r="DMI81"/>
      <c r="DMJ81"/>
      <c r="DMK81"/>
      <c r="DML81"/>
      <c r="DMM81"/>
      <c r="DMN81"/>
      <c r="DMO81"/>
      <c r="DMP81"/>
      <c r="DMQ81"/>
      <c r="DMR81"/>
      <c r="DMS81"/>
      <c r="DMT81"/>
      <c r="DMU81"/>
      <c r="DMV81"/>
      <c r="DMW81"/>
      <c r="DMX81"/>
      <c r="DMY81"/>
      <c r="DMZ81"/>
      <c r="DNA81"/>
      <c r="DNB81"/>
      <c r="DNC81"/>
      <c r="DND81"/>
      <c r="DNE81"/>
      <c r="DNF81"/>
      <c r="DNG81"/>
      <c r="DNH81"/>
      <c r="DNI81"/>
      <c r="DNJ81"/>
      <c r="DNK81"/>
      <c r="DNL81"/>
      <c r="DNM81"/>
      <c r="DNN81"/>
      <c r="DNO81"/>
      <c r="DNP81"/>
      <c r="DNQ81"/>
      <c r="DNR81"/>
      <c r="DNS81"/>
      <c r="DNT81"/>
      <c r="DNU81"/>
      <c r="DNV81"/>
      <c r="DNW81"/>
      <c r="DNX81"/>
      <c r="DNY81"/>
      <c r="DNZ81"/>
      <c r="DOA81"/>
      <c r="DOB81"/>
      <c r="DOC81"/>
      <c r="DOD81"/>
      <c r="DOE81"/>
      <c r="DOF81"/>
      <c r="DOG81"/>
      <c r="DOH81"/>
      <c r="DOI81"/>
      <c r="DOJ81"/>
      <c r="DOK81"/>
      <c r="DOL81"/>
      <c r="DOM81"/>
      <c r="DON81"/>
      <c r="DOO81"/>
      <c r="DOP81"/>
      <c r="DOQ81"/>
      <c r="DOR81"/>
      <c r="DOS81"/>
      <c r="DOT81"/>
      <c r="DOU81"/>
      <c r="DOV81"/>
      <c r="DOW81"/>
      <c r="DOX81"/>
      <c r="DOY81"/>
      <c r="DOZ81"/>
      <c r="DPA81"/>
      <c r="DPB81"/>
      <c r="DPC81"/>
      <c r="DPD81"/>
      <c r="DPE81"/>
      <c r="DPF81"/>
      <c r="DPG81"/>
      <c r="DPH81"/>
      <c r="DPI81"/>
      <c r="DPJ81"/>
      <c r="DPK81"/>
      <c r="DPL81"/>
      <c r="DPM81"/>
      <c r="DPN81"/>
      <c r="DPO81"/>
      <c r="DPP81"/>
      <c r="DPQ81"/>
      <c r="DPR81"/>
      <c r="DPS81"/>
      <c r="DPT81"/>
      <c r="DPU81"/>
      <c r="DPV81"/>
      <c r="DPW81"/>
      <c r="DPX81"/>
      <c r="DPY81"/>
      <c r="DPZ81"/>
      <c r="DQA81"/>
      <c r="DQB81"/>
      <c r="DQC81"/>
      <c r="DQD81"/>
      <c r="DQE81"/>
      <c r="DQF81"/>
      <c r="DQG81"/>
      <c r="DQH81"/>
      <c r="DQI81"/>
      <c r="DQJ81"/>
      <c r="DQK81"/>
      <c r="DQL81"/>
      <c r="DQM81"/>
      <c r="DQN81"/>
      <c r="DQO81"/>
      <c r="DQP81"/>
      <c r="DQQ81"/>
      <c r="DQR81"/>
      <c r="DQS81"/>
      <c r="DQT81"/>
      <c r="DQU81"/>
      <c r="DQV81"/>
      <c r="DQW81"/>
      <c r="DQX81"/>
      <c r="DQY81"/>
      <c r="DQZ81"/>
      <c r="DRA81"/>
      <c r="DRB81"/>
      <c r="DRC81"/>
      <c r="DRD81"/>
      <c r="DRE81"/>
      <c r="DRF81"/>
      <c r="DRG81"/>
      <c r="DRH81"/>
      <c r="DRI81"/>
      <c r="DRJ81"/>
      <c r="DRK81"/>
      <c r="DRL81"/>
      <c r="DRM81"/>
      <c r="DRN81"/>
      <c r="DRO81"/>
      <c r="DRP81"/>
      <c r="DRQ81"/>
      <c r="DRR81"/>
      <c r="DRS81"/>
      <c r="DRT81"/>
      <c r="DRU81"/>
      <c r="DRV81"/>
      <c r="DRW81"/>
      <c r="DRX81"/>
      <c r="DRY81"/>
      <c r="DRZ81"/>
      <c r="DSA81"/>
      <c r="DSB81"/>
      <c r="DSC81"/>
      <c r="DSD81"/>
      <c r="DSE81"/>
      <c r="DSF81"/>
      <c r="DSG81"/>
      <c r="DSH81"/>
      <c r="DSI81"/>
      <c r="DSJ81"/>
      <c r="DSK81"/>
      <c r="DSL81"/>
      <c r="DSM81"/>
      <c r="DSN81"/>
      <c r="DSO81"/>
      <c r="DSP81"/>
      <c r="DSQ81"/>
      <c r="DSR81"/>
      <c r="DSS81"/>
      <c r="DST81"/>
      <c r="DSU81"/>
      <c r="DSV81"/>
      <c r="DSW81"/>
      <c r="DSX81"/>
      <c r="DSY81"/>
      <c r="DSZ81"/>
      <c r="DTA81"/>
      <c r="DTB81"/>
      <c r="DTC81"/>
      <c r="DTD81"/>
      <c r="DTE81"/>
      <c r="DTF81"/>
      <c r="DTG81"/>
      <c r="DTH81"/>
      <c r="DTI81"/>
      <c r="DTJ81"/>
      <c r="DTK81"/>
      <c r="DTL81"/>
      <c r="DTM81"/>
      <c r="DTN81"/>
      <c r="DTO81"/>
      <c r="DTP81"/>
      <c r="DTQ81"/>
      <c r="DTR81"/>
      <c r="DTS81"/>
      <c r="DTT81"/>
      <c r="DTU81"/>
      <c r="DTV81"/>
      <c r="DTW81"/>
      <c r="DTX81"/>
      <c r="DTY81"/>
      <c r="DTZ81"/>
      <c r="DUA81"/>
      <c r="DUB81"/>
      <c r="DUC81"/>
      <c r="DUD81"/>
      <c r="DUE81"/>
      <c r="DUF81"/>
      <c r="DUG81"/>
      <c r="DUH81"/>
      <c r="DUI81"/>
      <c r="DUJ81"/>
      <c r="DUK81"/>
      <c r="DUL81"/>
      <c r="DUM81"/>
      <c r="DUN81"/>
      <c r="DUO81"/>
      <c r="DUP81"/>
      <c r="DUQ81"/>
      <c r="DUR81"/>
      <c r="DUS81"/>
      <c r="DUT81"/>
      <c r="DUU81"/>
      <c r="DUV81"/>
      <c r="DUW81"/>
      <c r="DUX81"/>
      <c r="DUY81"/>
      <c r="DUZ81"/>
      <c r="DVA81"/>
      <c r="DVB81"/>
      <c r="DVC81"/>
      <c r="DVD81"/>
      <c r="DVE81"/>
      <c r="DVF81"/>
      <c r="DVG81"/>
      <c r="DVH81"/>
      <c r="DVI81"/>
      <c r="DVJ81"/>
      <c r="DVK81"/>
      <c r="DVL81"/>
      <c r="DVM81"/>
      <c r="DVN81"/>
      <c r="DVO81"/>
      <c r="DVP81"/>
      <c r="DVQ81"/>
      <c r="DVR81"/>
      <c r="DVS81"/>
      <c r="DVT81"/>
      <c r="DVU81"/>
      <c r="DVV81"/>
      <c r="DVW81"/>
      <c r="DVX81"/>
      <c r="DVY81"/>
      <c r="DVZ81"/>
      <c r="DWA81"/>
      <c r="DWB81"/>
      <c r="DWC81"/>
      <c r="DWD81"/>
      <c r="DWE81"/>
      <c r="DWF81"/>
      <c r="DWG81"/>
      <c r="DWH81"/>
      <c r="DWI81"/>
      <c r="DWJ81"/>
      <c r="DWK81"/>
      <c r="DWL81"/>
      <c r="DWM81"/>
      <c r="DWN81"/>
      <c r="DWO81"/>
      <c r="DWP81"/>
      <c r="DWQ81"/>
      <c r="DWR81"/>
      <c r="DWS81"/>
      <c r="DWT81"/>
      <c r="DWU81"/>
      <c r="DWV81"/>
      <c r="DWW81"/>
      <c r="DWX81"/>
      <c r="DWY81"/>
      <c r="DWZ81"/>
      <c r="DXA81"/>
      <c r="DXB81"/>
      <c r="DXC81"/>
      <c r="DXD81"/>
      <c r="DXE81"/>
      <c r="DXF81"/>
      <c r="DXG81"/>
      <c r="DXH81"/>
      <c r="DXI81"/>
      <c r="DXJ81"/>
      <c r="DXK81"/>
      <c r="DXL81"/>
      <c r="DXM81"/>
      <c r="DXN81"/>
      <c r="DXO81"/>
      <c r="DXP81"/>
      <c r="DXQ81"/>
      <c r="DXR81"/>
      <c r="DXS81"/>
      <c r="DXT81"/>
      <c r="DXU81"/>
      <c r="DXV81"/>
      <c r="DXW81"/>
      <c r="DXX81"/>
      <c r="DXY81"/>
      <c r="DXZ81"/>
      <c r="DYA81"/>
      <c r="DYB81"/>
      <c r="DYC81"/>
      <c r="DYD81"/>
      <c r="DYE81"/>
      <c r="DYF81"/>
      <c r="DYG81"/>
      <c r="DYH81"/>
      <c r="DYI81"/>
      <c r="DYJ81"/>
      <c r="DYK81"/>
      <c r="DYL81"/>
      <c r="DYM81"/>
      <c r="DYN81"/>
      <c r="DYO81"/>
      <c r="DYP81"/>
      <c r="DYQ81"/>
      <c r="DYR81"/>
      <c r="DYS81"/>
      <c r="DYT81"/>
      <c r="DYU81"/>
      <c r="DYV81"/>
      <c r="DYW81"/>
      <c r="DYX81"/>
      <c r="DYY81"/>
      <c r="DYZ81"/>
      <c r="DZA81"/>
      <c r="DZB81"/>
      <c r="DZC81"/>
      <c r="DZD81"/>
      <c r="DZE81"/>
      <c r="DZF81"/>
      <c r="DZG81"/>
      <c r="DZH81"/>
      <c r="DZI81"/>
      <c r="DZJ81"/>
      <c r="DZK81"/>
      <c r="DZL81"/>
      <c r="DZM81"/>
      <c r="DZN81"/>
      <c r="DZO81"/>
      <c r="DZP81"/>
      <c r="DZQ81"/>
      <c r="DZR81"/>
      <c r="DZS81"/>
      <c r="DZT81"/>
      <c r="DZU81"/>
      <c r="DZV81"/>
      <c r="DZW81"/>
      <c r="DZX81"/>
      <c r="DZY81"/>
      <c r="DZZ81"/>
      <c r="EAA81"/>
      <c r="EAB81"/>
      <c r="EAC81"/>
      <c r="EAD81"/>
      <c r="EAE81"/>
      <c r="EAF81"/>
      <c r="EAG81"/>
      <c r="EAH81"/>
      <c r="EAI81"/>
      <c r="EAJ81"/>
      <c r="EAK81"/>
      <c r="EAL81"/>
      <c r="EAM81"/>
      <c r="EAN81"/>
      <c r="EAO81"/>
      <c r="EAP81"/>
      <c r="EAQ81"/>
      <c r="EAR81"/>
      <c r="EAS81"/>
      <c r="EAT81"/>
      <c r="EAU81"/>
      <c r="EAV81"/>
      <c r="EAW81"/>
      <c r="EAX81"/>
      <c r="EAY81"/>
      <c r="EAZ81"/>
      <c r="EBA81"/>
      <c r="EBB81"/>
      <c r="EBC81"/>
      <c r="EBD81"/>
      <c r="EBE81"/>
      <c r="EBF81"/>
      <c r="EBG81"/>
      <c r="EBH81"/>
      <c r="EBI81"/>
      <c r="EBJ81"/>
      <c r="EBK81"/>
      <c r="EBL81"/>
      <c r="EBM81"/>
      <c r="EBN81"/>
      <c r="EBO81"/>
      <c r="EBP81"/>
      <c r="EBQ81"/>
      <c r="EBR81"/>
      <c r="EBS81"/>
      <c r="EBT81"/>
      <c r="EBU81"/>
      <c r="EBV81"/>
      <c r="EBW81"/>
      <c r="EBX81"/>
      <c r="EBY81"/>
      <c r="EBZ81"/>
      <c r="ECA81"/>
      <c r="ECB81"/>
      <c r="ECC81"/>
      <c r="ECD81"/>
      <c r="ECE81"/>
      <c r="ECF81"/>
      <c r="ECG81"/>
      <c r="ECH81"/>
      <c r="ECI81"/>
      <c r="ECJ81"/>
      <c r="ECK81"/>
      <c r="ECL81"/>
      <c r="ECM81"/>
      <c r="ECN81"/>
      <c r="ECO81"/>
      <c r="ECP81"/>
      <c r="ECQ81"/>
      <c r="ECR81"/>
      <c r="ECS81"/>
      <c r="ECT81"/>
      <c r="ECU81"/>
      <c r="ECV81"/>
      <c r="ECW81"/>
      <c r="ECX81"/>
      <c r="ECY81"/>
      <c r="ECZ81"/>
      <c r="EDA81"/>
      <c r="EDB81"/>
      <c r="EDC81"/>
      <c r="EDD81"/>
      <c r="EDE81"/>
      <c r="EDF81"/>
      <c r="EDG81"/>
      <c r="EDH81"/>
      <c r="EDI81"/>
      <c r="EDJ81"/>
      <c r="EDK81"/>
      <c r="EDL81"/>
      <c r="EDM81"/>
      <c r="EDN81"/>
      <c r="EDO81"/>
      <c r="EDP81"/>
      <c r="EDQ81"/>
      <c r="EDR81"/>
      <c r="EDS81"/>
      <c r="EDT81"/>
      <c r="EDU81"/>
      <c r="EDV81"/>
      <c r="EDW81"/>
      <c r="EDX81"/>
      <c r="EDY81"/>
      <c r="EDZ81"/>
      <c r="EEA81"/>
      <c r="EEB81"/>
      <c r="EEC81"/>
      <c r="EED81"/>
      <c r="EEE81"/>
      <c r="EEF81"/>
      <c r="EEG81"/>
      <c r="EEH81"/>
      <c r="EEI81"/>
      <c r="EEJ81"/>
      <c r="EEK81"/>
      <c r="EEL81"/>
      <c r="EEM81"/>
      <c r="EEN81"/>
      <c r="EEO81"/>
      <c r="EEP81"/>
      <c r="EEQ81"/>
      <c r="EER81"/>
      <c r="EES81"/>
      <c r="EET81"/>
      <c r="EEU81"/>
      <c r="EEV81"/>
      <c r="EEW81"/>
      <c r="EEX81"/>
      <c r="EEY81"/>
      <c r="EEZ81"/>
      <c r="EFA81"/>
      <c r="EFB81"/>
      <c r="EFC81"/>
      <c r="EFD81"/>
      <c r="EFE81"/>
      <c r="EFF81"/>
      <c r="EFG81"/>
      <c r="EFH81"/>
      <c r="EFI81"/>
      <c r="EFJ81"/>
      <c r="EFK81"/>
      <c r="EFL81"/>
      <c r="EFM81"/>
      <c r="EFN81"/>
      <c r="EFO81"/>
      <c r="EFP81"/>
      <c r="EFQ81"/>
      <c r="EFR81"/>
      <c r="EFS81"/>
      <c r="EFT81"/>
      <c r="EFU81"/>
      <c r="EFV81"/>
      <c r="EFW81"/>
      <c r="EFX81"/>
      <c r="EFY81"/>
      <c r="EFZ81"/>
      <c r="EGA81"/>
      <c r="EGB81"/>
      <c r="EGC81"/>
      <c r="EGD81"/>
      <c r="EGE81"/>
      <c r="EGF81"/>
      <c r="EGG81"/>
      <c r="EGH81"/>
      <c r="EGI81"/>
      <c r="EGJ81"/>
      <c r="EGK81"/>
      <c r="EGL81"/>
      <c r="EGM81"/>
      <c r="EGN81"/>
      <c r="EGO81"/>
      <c r="EGP81"/>
      <c r="EGQ81"/>
      <c r="EGR81"/>
      <c r="EGS81"/>
      <c r="EGT81"/>
      <c r="EGU81"/>
      <c r="EGV81"/>
      <c r="EGW81"/>
      <c r="EGX81"/>
      <c r="EGY81"/>
      <c r="EGZ81"/>
      <c r="EHA81"/>
      <c r="EHB81"/>
      <c r="EHC81"/>
      <c r="EHD81"/>
      <c r="EHE81"/>
      <c r="EHF81"/>
      <c r="EHG81"/>
      <c r="EHH81"/>
      <c r="EHI81"/>
      <c r="EHJ81"/>
      <c r="EHK81"/>
      <c r="EHL81"/>
      <c r="EHM81"/>
      <c r="EHN81"/>
      <c r="EHO81"/>
      <c r="EHP81"/>
      <c r="EHQ81"/>
      <c r="EHR81"/>
      <c r="EHS81"/>
      <c r="EHT81"/>
      <c r="EHU81"/>
      <c r="EHV81"/>
      <c r="EHW81"/>
      <c r="EHX81"/>
      <c r="EHY81"/>
      <c r="EHZ81"/>
      <c r="EIA81"/>
      <c r="EIB81"/>
      <c r="EIC81"/>
      <c r="EID81"/>
      <c r="EIE81"/>
      <c r="EIF81"/>
      <c r="EIG81"/>
      <c r="EIH81"/>
      <c r="EII81"/>
      <c r="EIJ81"/>
      <c r="EIK81"/>
      <c r="EIL81"/>
      <c r="EIM81"/>
      <c r="EIN81"/>
      <c r="EIO81"/>
      <c r="EIP81"/>
      <c r="EIQ81"/>
      <c r="EIR81"/>
      <c r="EIS81"/>
      <c r="EIT81"/>
      <c r="EIU81"/>
      <c r="EIV81"/>
      <c r="EIW81"/>
      <c r="EIX81"/>
      <c r="EIY81"/>
      <c r="EIZ81"/>
      <c r="EJA81"/>
      <c r="EJB81"/>
      <c r="EJC81"/>
      <c r="EJD81"/>
      <c r="EJE81"/>
      <c r="EJF81"/>
      <c r="EJG81"/>
      <c r="EJH81"/>
      <c r="EJI81"/>
      <c r="EJJ81"/>
      <c r="EJK81"/>
      <c r="EJL81"/>
      <c r="EJM81"/>
      <c r="EJN81"/>
      <c r="EJO81"/>
      <c r="EJP81"/>
      <c r="EJQ81"/>
      <c r="EJR81"/>
      <c r="EJS81"/>
      <c r="EJT81"/>
      <c r="EJU81"/>
      <c r="EJV81"/>
      <c r="EJW81"/>
      <c r="EJX81"/>
      <c r="EJY81"/>
      <c r="EJZ81"/>
      <c r="EKA81"/>
      <c r="EKB81"/>
      <c r="EKC81"/>
      <c r="EKD81"/>
      <c r="EKE81"/>
      <c r="EKF81"/>
      <c r="EKG81"/>
      <c r="EKH81"/>
      <c r="EKI81"/>
      <c r="EKJ81"/>
      <c r="EKK81"/>
      <c r="EKL81"/>
      <c r="EKM81"/>
      <c r="EKN81"/>
      <c r="EKO81"/>
      <c r="EKP81"/>
      <c r="EKQ81"/>
      <c r="EKR81"/>
      <c r="EKS81"/>
      <c r="EKT81"/>
      <c r="EKU81"/>
      <c r="EKV81"/>
      <c r="EKW81"/>
      <c r="EKX81"/>
      <c r="EKY81"/>
      <c r="EKZ81"/>
      <c r="ELA81"/>
      <c r="ELB81"/>
      <c r="ELC81"/>
      <c r="ELD81"/>
      <c r="ELE81"/>
      <c r="ELF81"/>
      <c r="ELG81"/>
      <c r="ELH81"/>
      <c r="ELI81"/>
      <c r="ELJ81"/>
      <c r="ELK81"/>
      <c r="ELL81"/>
      <c r="ELM81"/>
      <c r="ELN81"/>
      <c r="ELO81"/>
      <c r="ELP81"/>
      <c r="ELQ81"/>
      <c r="ELR81"/>
      <c r="ELS81"/>
      <c r="ELT81"/>
      <c r="ELU81"/>
      <c r="ELV81"/>
      <c r="ELW81"/>
      <c r="ELX81"/>
      <c r="ELY81"/>
      <c r="ELZ81"/>
      <c r="EMA81"/>
      <c r="EMB81"/>
      <c r="EMC81"/>
      <c r="EMD81"/>
      <c r="EME81"/>
      <c r="EMF81"/>
      <c r="EMG81"/>
      <c r="EMH81"/>
      <c r="EMI81"/>
      <c r="EMJ81"/>
      <c r="EMK81"/>
      <c r="EML81"/>
      <c r="EMM81"/>
      <c r="EMN81"/>
      <c r="EMO81"/>
      <c r="EMP81"/>
      <c r="EMQ81"/>
      <c r="EMR81"/>
      <c r="EMS81"/>
      <c r="EMT81"/>
      <c r="EMU81"/>
      <c r="EMV81"/>
      <c r="EMW81"/>
      <c r="EMX81"/>
      <c r="EMY81"/>
      <c r="EMZ81"/>
      <c r="ENA81"/>
      <c r="ENB81"/>
      <c r="ENC81"/>
      <c r="END81"/>
      <c r="ENE81"/>
      <c r="ENF81"/>
      <c r="ENG81"/>
      <c r="ENH81"/>
      <c r="ENI81"/>
      <c r="ENJ81"/>
      <c r="ENK81"/>
      <c r="ENL81"/>
      <c r="ENM81"/>
      <c r="ENN81"/>
      <c r="ENO81"/>
      <c r="ENP81"/>
      <c r="ENQ81"/>
      <c r="ENR81"/>
      <c r="ENS81"/>
      <c r="ENT81"/>
      <c r="ENU81"/>
      <c r="ENV81"/>
      <c r="ENW81"/>
      <c r="ENX81"/>
      <c r="ENY81"/>
      <c r="ENZ81"/>
      <c r="EOA81"/>
      <c r="EOB81"/>
      <c r="EOC81"/>
      <c r="EOD81"/>
      <c r="EOE81"/>
      <c r="EOF81"/>
      <c r="EOG81"/>
      <c r="EOH81"/>
      <c r="EOI81"/>
      <c r="EOJ81"/>
      <c r="EOK81"/>
      <c r="EOL81"/>
      <c r="EOM81"/>
      <c r="EON81"/>
      <c r="EOO81"/>
      <c r="EOP81"/>
      <c r="EOQ81"/>
      <c r="EOR81"/>
      <c r="EOS81"/>
      <c r="EOT81"/>
      <c r="EOU81"/>
      <c r="EOV81"/>
      <c r="EOW81"/>
      <c r="EOX81"/>
      <c r="EOY81"/>
      <c r="EOZ81"/>
      <c r="EPA81"/>
      <c r="EPB81"/>
      <c r="EPC81"/>
      <c r="EPD81"/>
      <c r="EPE81"/>
      <c r="EPF81"/>
      <c r="EPG81"/>
      <c r="EPH81"/>
      <c r="EPI81"/>
      <c r="EPJ81"/>
      <c r="EPK81"/>
      <c r="EPL81"/>
      <c r="EPM81"/>
      <c r="EPN81"/>
      <c r="EPO81"/>
      <c r="EPP81"/>
      <c r="EPQ81"/>
      <c r="EPR81"/>
      <c r="EPS81"/>
      <c r="EPT81"/>
      <c r="EPU81"/>
      <c r="EPV81"/>
      <c r="EPW81"/>
      <c r="EPX81"/>
      <c r="EPY81"/>
      <c r="EPZ81"/>
      <c r="EQA81"/>
      <c r="EQB81"/>
      <c r="EQC81"/>
      <c r="EQD81"/>
      <c r="EQE81"/>
      <c r="EQF81"/>
      <c r="EQG81"/>
      <c r="EQH81"/>
      <c r="EQI81"/>
      <c r="EQJ81"/>
      <c r="EQK81"/>
      <c r="EQL81"/>
      <c r="EQM81"/>
      <c r="EQN81"/>
      <c r="EQO81"/>
      <c r="EQP81"/>
      <c r="EQQ81"/>
      <c r="EQR81"/>
      <c r="EQS81"/>
      <c r="EQT81"/>
      <c r="EQU81"/>
      <c r="EQV81"/>
      <c r="EQW81"/>
      <c r="EQX81"/>
      <c r="EQY81"/>
      <c r="EQZ81"/>
      <c r="ERA81"/>
      <c r="ERB81"/>
      <c r="ERC81"/>
      <c r="ERD81"/>
      <c r="ERE81"/>
      <c r="ERF81"/>
      <c r="ERG81"/>
      <c r="ERH81"/>
      <c r="ERI81"/>
      <c r="ERJ81"/>
      <c r="ERK81"/>
      <c r="ERL81"/>
      <c r="ERM81"/>
      <c r="ERN81"/>
      <c r="ERO81"/>
      <c r="ERP81"/>
      <c r="ERQ81"/>
      <c r="ERR81"/>
      <c r="ERS81"/>
      <c r="ERT81"/>
      <c r="ERU81"/>
      <c r="ERV81"/>
      <c r="ERW81"/>
      <c r="ERX81"/>
      <c r="ERY81"/>
      <c r="ERZ81"/>
      <c r="ESA81"/>
      <c r="ESB81"/>
      <c r="ESC81"/>
      <c r="ESD81"/>
      <c r="ESE81"/>
      <c r="ESF81"/>
      <c r="ESG81"/>
      <c r="ESH81"/>
      <c r="ESI81"/>
      <c r="ESJ81"/>
      <c r="ESK81"/>
      <c r="ESL81"/>
      <c r="ESM81"/>
      <c r="ESN81"/>
      <c r="ESO81"/>
      <c r="ESP81"/>
      <c r="ESQ81"/>
      <c r="ESR81"/>
      <c r="ESS81"/>
      <c r="EST81"/>
      <c r="ESU81"/>
      <c r="ESV81"/>
      <c r="ESW81"/>
      <c r="ESX81"/>
      <c r="ESY81"/>
      <c r="ESZ81"/>
      <c r="ETA81"/>
      <c r="ETB81"/>
      <c r="ETC81"/>
      <c r="ETD81"/>
      <c r="ETE81"/>
      <c r="ETF81"/>
      <c r="ETG81"/>
      <c r="ETH81"/>
      <c r="ETI81"/>
      <c r="ETJ81"/>
      <c r="ETK81"/>
      <c r="ETL81"/>
      <c r="ETM81"/>
      <c r="ETN81"/>
      <c r="ETO81"/>
      <c r="ETP81"/>
      <c r="ETQ81"/>
      <c r="ETR81"/>
      <c r="ETS81"/>
      <c r="ETT81"/>
      <c r="ETU81"/>
      <c r="ETV81"/>
      <c r="ETW81"/>
      <c r="ETX81"/>
      <c r="ETY81"/>
      <c r="ETZ81"/>
      <c r="EUA81"/>
      <c r="EUB81"/>
      <c r="EUC81"/>
      <c r="EUD81"/>
      <c r="EUE81"/>
      <c r="EUF81"/>
      <c r="EUG81"/>
      <c r="EUH81"/>
      <c r="EUI81"/>
      <c r="EUJ81"/>
      <c r="EUK81"/>
      <c r="EUL81"/>
      <c r="EUM81"/>
      <c r="EUN81"/>
      <c r="EUO81"/>
      <c r="EUP81"/>
      <c r="EUQ81"/>
      <c r="EUR81"/>
      <c r="EUS81"/>
      <c r="EUT81"/>
      <c r="EUU81"/>
      <c r="EUV81"/>
      <c r="EUW81"/>
      <c r="EUX81"/>
      <c r="EUY81"/>
      <c r="EUZ81"/>
      <c r="EVA81"/>
      <c r="EVB81"/>
      <c r="EVC81"/>
      <c r="EVD81"/>
      <c r="EVE81"/>
      <c r="EVF81"/>
      <c r="EVG81"/>
      <c r="EVH81"/>
      <c r="EVI81"/>
      <c r="EVJ81"/>
      <c r="EVK81"/>
      <c r="EVL81"/>
      <c r="EVM81"/>
      <c r="EVN81"/>
      <c r="EVO81"/>
      <c r="EVP81"/>
      <c r="EVQ81"/>
      <c r="EVR81"/>
      <c r="EVS81"/>
      <c r="EVT81"/>
      <c r="EVU81"/>
      <c r="EVV81"/>
      <c r="EVW81"/>
      <c r="EVX81"/>
      <c r="EVY81"/>
      <c r="EVZ81"/>
      <c r="EWA81"/>
      <c r="EWB81"/>
      <c r="EWC81"/>
      <c r="EWD81"/>
      <c r="EWE81"/>
      <c r="EWF81"/>
      <c r="EWG81"/>
      <c r="EWH81"/>
      <c r="EWI81"/>
      <c r="EWJ81"/>
      <c r="EWK81"/>
      <c r="EWL81"/>
      <c r="EWM81"/>
      <c r="EWN81"/>
      <c r="EWO81"/>
      <c r="EWP81"/>
      <c r="EWQ81"/>
      <c r="EWR81"/>
      <c r="EWS81"/>
      <c r="EWT81"/>
      <c r="EWU81"/>
      <c r="EWV81"/>
      <c r="EWW81"/>
      <c r="EWX81"/>
      <c r="EWY81"/>
      <c r="EWZ81"/>
      <c r="EXA81"/>
      <c r="EXB81"/>
      <c r="EXC81"/>
      <c r="EXD81"/>
      <c r="EXE81"/>
      <c r="EXF81"/>
      <c r="EXG81"/>
      <c r="EXH81"/>
      <c r="EXI81"/>
      <c r="EXJ81"/>
      <c r="EXK81"/>
      <c r="EXL81"/>
      <c r="EXM81"/>
      <c r="EXN81"/>
      <c r="EXO81"/>
      <c r="EXP81"/>
      <c r="EXQ81"/>
      <c r="EXR81"/>
      <c r="EXS81"/>
      <c r="EXT81"/>
      <c r="EXU81"/>
      <c r="EXV81"/>
      <c r="EXW81"/>
      <c r="EXX81"/>
      <c r="EXY81"/>
      <c r="EXZ81"/>
      <c r="EYA81"/>
      <c r="EYB81"/>
      <c r="EYC81"/>
      <c r="EYD81"/>
      <c r="EYE81"/>
      <c r="EYF81"/>
      <c r="EYG81"/>
      <c r="EYH81"/>
      <c r="EYI81"/>
      <c r="EYJ81"/>
      <c r="EYK81"/>
      <c r="EYL81"/>
      <c r="EYM81"/>
      <c r="EYN81"/>
      <c r="EYO81"/>
      <c r="EYP81"/>
      <c r="EYQ81"/>
      <c r="EYR81"/>
      <c r="EYS81"/>
      <c r="EYT81"/>
      <c r="EYU81"/>
      <c r="EYV81"/>
      <c r="EYW81"/>
      <c r="EYX81"/>
      <c r="EYY81"/>
      <c r="EYZ81"/>
      <c r="EZA81"/>
      <c r="EZB81"/>
      <c r="EZC81"/>
      <c r="EZD81"/>
      <c r="EZE81"/>
      <c r="EZF81"/>
      <c r="EZG81"/>
      <c r="EZH81"/>
      <c r="EZI81"/>
      <c r="EZJ81"/>
      <c r="EZK81"/>
      <c r="EZL81"/>
      <c r="EZM81"/>
      <c r="EZN81"/>
      <c r="EZO81"/>
      <c r="EZP81"/>
      <c r="EZQ81"/>
      <c r="EZR81"/>
      <c r="EZS81"/>
      <c r="EZT81"/>
      <c r="EZU81"/>
      <c r="EZV81"/>
      <c r="EZW81"/>
      <c r="EZX81"/>
      <c r="EZY81"/>
      <c r="EZZ81"/>
      <c r="FAA81"/>
      <c r="FAB81"/>
      <c r="FAC81"/>
      <c r="FAD81"/>
      <c r="FAE81"/>
      <c r="FAF81"/>
      <c r="FAG81"/>
      <c r="FAH81"/>
      <c r="FAI81"/>
      <c r="FAJ81"/>
      <c r="FAK81"/>
      <c r="FAL81"/>
      <c r="FAM81"/>
      <c r="FAN81"/>
      <c r="FAO81"/>
      <c r="FAP81"/>
      <c r="FAQ81"/>
      <c r="FAR81"/>
      <c r="FAS81"/>
      <c r="FAT81"/>
      <c r="FAU81"/>
      <c r="FAV81"/>
      <c r="FAW81"/>
      <c r="FAX81"/>
      <c r="FAY81"/>
      <c r="FAZ81"/>
      <c r="FBA81"/>
      <c r="FBB81"/>
      <c r="FBC81"/>
      <c r="FBD81"/>
      <c r="FBE81"/>
      <c r="FBF81"/>
      <c r="FBG81"/>
      <c r="FBH81"/>
      <c r="FBI81"/>
      <c r="FBJ81"/>
      <c r="FBK81"/>
      <c r="FBL81"/>
      <c r="FBM81"/>
      <c r="FBN81"/>
      <c r="FBO81"/>
      <c r="FBP81"/>
      <c r="FBQ81"/>
      <c r="FBR81"/>
      <c r="FBS81"/>
      <c r="FBT81"/>
      <c r="FBU81"/>
      <c r="FBV81"/>
      <c r="FBW81"/>
      <c r="FBX81"/>
      <c r="FBY81"/>
      <c r="FBZ81"/>
      <c r="FCA81"/>
      <c r="FCB81"/>
      <c r="FCC81"/>
      <c r="FCD81"/>
      <c r="FCE81"/>
      <c r="FCF81"/>
      <c r="FCG81"/>
      <c r="FCH81"/>
      <c r="FCI81"/>
      <c r="FCJ81"/>
      <c r="FCK81"/>
      <c r="FCL81"/>
      <c r="FCM81"/>
      <c r="FCN81"/>
      <c r="FCO81"/>
      <c r="FCP81"/>
      <c r="FCQ81"/>
      <c r="FCR81"/>
      <c r="FCS81"/>
      <c r="FCT81"/>
      <c r="FCU81"/>
      <c r="FCV81"/>
      <c r="FCW81"/>
      <c r="FCX81"/>
      <c r="FCY81"/>
      <c r="FCZ81"/>
      <c r="FDA81"/>
      <c r="FDB81"/>
      <c r="FDC81"/>
      <c r="FDD81"/>
      <c r="FDE81"/>
      <c r="FDF81"/>
      <c r="FDG81"/>
      <c r="FDH81"/>
      <c r="FDI81"/>
      <c r="FDJ81"/>
      <c r="FDK81"/>
      <c r="FDL81"/>
      <c r="FDM81"/>
      <c r="FDN81"/>
      <c r="FDO81"/>
      <c r="FDP81"/>
      <c r="FDQ81"/>
      <c r="FDR81"/>
      <c r="FDS81"/>
      <c r="FDT81"/>
      <c r="FDU81"/>
      <c r="FDV81"/>
      <c r="FDW81"/>
      <c r="FDX81"/>
      <c r="FDY81"/>
      <c r="FDZ81"/>
      <c r="FEA81"/>
      <c r="FEB81"/>
      <c r="FEC81"/>
      <c r="FED81"/>
      <c r="FEE81"/>
      <c r="FEF81"/>
      <c r="FEG81"/>
      <c r="FEH81"/>
      <c r="FEI81"/>
      <c r="FEJ81"/>
      <c r="FEK81"/>
      <c r="FEL81"/>
      <c r="FEM81"/>
      <c r="FEN81"/>
      <c r="FEO81"/>
      <c r="FEP81"/>
      <c r="FEQ81"/>
      <c r="FER81"/>
      <c r="FES81"/>
      <c r="FET81"/>
      <c r="FEU81"/>
      <c r="FEV81"/>
      <c r="FEW81"/>
      <c r="FEX81"/>
      <c r="FEY81"/>
      <c r="FEZ81"/>
      <c r="FFA81"/>
      <c r="FFB81"/>
      <c r="FFC81"/>
      <c r="FFD81"/>
      <c r="FFE81"/>
      <c r="FFF81"/>
      <c r="FFG81"/>
      <c r="FFH81"/>
      <c r="FFI81"/>
      <c r="FFJ81"/>
      <c r="FFK81"/>
      <c r="FFL81"/>
      <c r="FFM81"/>
      <c r="FFN81"/>
      <c r="FFO81"/>
      <c r="FFP81"/>
      <c r="FFQ81"/>
      <c r="FFR81"/>
      <c r="FFS81"/>
      <c r="FFT81"/>
      <c r="FFU81"/>
      <c r="FFV81"/>
      <c r="FFW81"/>
      <c r="FFX81"/>
      <c r="FFY81"/>
      <c r="FFZ81"/>
      <c r="FGA81"/>
      <c r="FGB81"/>
      <c r="FGC81"/>
      <c r="FGD81"/>
      <c r="FGE81"/>
      <c r="FGF81"/>
      <c r="FGG81"/>
      <c r="FGH81"/>
      <c r="FGI81"/>
      <c r="FGJ81"/>
      <c r="FGK81"/>
      <c r="FGL81"/>
      <c r="FGM81"/>
      <c r="FGN81"/>
      <c r="FGO81"/>
      <c r="FGP81"/>
      <c r="FGQ81"/>
      <c r="FGR81"/>
      <c r="FGS81"/>
      <c r="FGT81"/>
      <c r="FGU81"/>
      <c r="FGV81"/>
      <c r="FGW81"/>
      <c r="FGX81"/>
      <c r="FGY81"/>
      <c r="FGZ81"/>
      <c r="FHA81"/>
      <c r="FHB81"/>
      <c r="FHC81"/>
      <c r="FHD81"/>
      <c r="FHE81"/>
      <c r="FHF81"/>
      <c r="FHG81"/>
      <c r="FHH81"/>
      <c r="FHI81"/>
      <c r="FHJ81"/>
      <c r="FHK81"/>
      <c r="FHL81"/>
      <c r="FHM81"/>
      <c r="FHN81"/>
      <c r="FHO81"/>
      <c r="FHP81"/>
      <c r="FHQ81"/>
      <c r="FHR81"/>
      <c r="FHS81"/>
      <c r="FHT81"/>
      <c r="FHU81"/>
      <c r="FHV81"/>
      <c r="FHW81"/>
      <c r="FHX81"/>
      <c r="FHY81"/>
      <c r="FHZ81"/>
      <c r="FIA81"/>
      <c r="FIB81"/>
      <c r="FIC81"/>
      <c r="FID81"/>
      <c r="FIE81"/>
      <c r="FIF81"/>
      <c r="FIG81"/>
      <c r="FIH81"/>
      <c r="FII81"/>
      <c r="FIJ81"/>
      <c r="FIK81"/>
      <c r="FIL81"/>
      <c r="FIM81"/>
      <c r="FIN81"/>
      <c r="FIO81"/>
      <c r="FIP81"/>
      <c r="FIQ81"/>
      <c r="FIR81"/>
      <c r="FIS81"/>
      <c r="FIT81"/>
      <c r="FIU81"/>
      <c r="FIV81"/>
      <c r="FIW81"/>
      <c r="FIX81"/>
      <c r="FIY81"/>
      <c r="FIZ81"/>
      <c r="FJA81"/>
      <c r="FJB81"/>
      <c r="FJC81"/>
      <c r="FJD81"/>
      <c r="FJE81"/>
      <c r="FJF81"/>
      <c r="FJG81"/>
      <c r="FJH81"/>
      <c r="FJI81"/>
      <c r="FJJ81"/>
      <c r="FJK81"/>
      <c r="FJL81"/>
      <c r="FJM81"/>
      <c r="FJN81"/>
      <c r="FJO81"/>
      <c r="FJP81"/>
      <c r="FJQ81"/>
      <c r="FJR81"/>
      <c r="FJS81"/>
      <c r="FJT81"/>
      <c r="FJU81"/>
      <c r="FJV81"/>
      <c r="FJW81"/>
      <c r="FJX81"/>
      <c r="FJY81"/>
      <c r="FJZ81"/>
      <c r="FKA81"/>
      <c r="FKB81"/>
      <c r="FKC81"/>
      <c r="FKD81"/>
      <c r="FKE81"/>
      <c r="FKF81"/>
      <c r="FKG81"/>
      <c r="FKH81"/>
      <c r="FKI81"/>
      <c r="FKJ81"/>
      <c r="FKK81"/>
      <c r="FKL81"/>
      <c r="FKM81"/>
      <c r="FKN81"/>
      <c r="FKO81"/>
      <c r="FKP81"/>
      <c r="FKQ81"/>
      <c r="FKR81"/>
      <c r="FKS81"/>
      <c r="FKT81"/>
      <c r="FKU81"/>
      <c r="FKV81"/>
      <c r="FKW81"/>
      <c r="FKX81"/>
      <c r="FKY81"/>
      <c r="FKZ81"/>
      <c r="FLA81"/>
      <c r="FLB81"/>
      <c r="FLC81"/>
      <c r="FLD81"/>
      <c r="FLE81"/>
      <c r="FLF81"/>
      <c r="FLG81"/>
      <c r="FLH81"/>
      <c r="FLI81"/>
      <c r="FLJ81"/>
      <c r="FLK81"/>
      <c r="FLL81"/>
      <c r="FLM81"/>
      <c r="FLN81"/>
      <c r="FLO81"/>
      <c r="FLP81"/>
      <c r="FLQ81"/>
      <c r="FLR81"/>
      <c r="FLS81"/>
      <c r="FLT81"/>
      <c r="FLU81"/>
      <c r="FLV81"/>
      <c r="FLW81"/>
      <c r="FLX81"/>
      <c r="FLY81"/>
      <c r="FLZ81"/>
      <c r="FMA81"/>
      <c r="FMB81"/>
      <c r="FMC81"/>
      <c r="FMD81"/>
      <c r="FME81"/>
      <c r="FMF81"/>
      <c r="FMG81"/>
      <c r="FMH81"/>
      <c r="FMI81"/>
      <c r="FMJ81"/>
      <c r="FMK81"/>
      <c r="FML81"/>
      <c r="FMM81"/>
      <c r="FMN81"/>
      <c r="FMO81"/>
      <c r="FMP81"/>
      <c r="FMQ81"/>
      <c r="FMR81"/>
      <c r="FMS81"/>
      <c r="FMT81"/>
      <c r="FMU81"/>
      <c r="FMV81"/>
      <c r="FMW81"/>
      <c r="FMX81"/>
      <c r="FMY81"/>
      <c r="FMZ81"/>
      <c r="FNA81"/>
      <c r="FNB81"/>
      <c r="FNC81"/>
      <c r="FND81"/>
      <c r="FNE81"/>
      <c r="FNF81"/>
      <c r="FNG81"/>
      <c r="FNH81"/>
      <c r="FNI81"/>
      <c r="FNJ81"/>
      <c r="FNK81"/>
      <c r="FNL81"/>
      <c r="FNM81"/>
      <c r="FNN81"/>
      <c r="FNO81"/>
      <c r="FNP81"/>
      <c r="FNQ81"/>
      <c r="FNR81"/>
      <c r="FNS81"/>
      <c r="FNT81"/>
      <c r="FNU81"/>
      <c r="FNV81"/>
      <c r="FNW81"/>
      <c r="FNX81"/>
      <c r="FNY81"/>
      <c r="FNZ81"/>
      <c r="FOA81"/>
      <c r="FOB81"/>
      <c r="FOC81"/>
      <c r="FOD81"/>
      <c r="FOE81"/>
      <c r="FOF81"/>
      <c r="FOG81"/>
      <c r="FOH81"/>
      <c r="FOI81"/>
      <c r="FOJ81"/>
      <c r="FOK81"/>
      <c r="FOL81"/>
      <c r="FOM81"/>
      <c r="FON81"/>
      <c r="FOO81"/>
      <c r="FOP81"/>
      <c r="FOQ81"/>
      <c r="FOR81"/>
      <c r="FOS81"/>
      <c r="FOT81"/>
      <c r="FOU81"/>
      <c r="FOV81"/>
      <c r="FOW81"/>
      <c r="FOX81"/>
      <c r="FOY81"/>
      <c r="FOZ81"/>
      <c r="FPA81"/>
      <c r="FPB81"/>
      <c r="FPC81"/>
      <c r="FPD81"/>
      <c r="FPE81"/>
      <c r="FPF81"/>
      <c r="FPG81"/>
      <c r="FPH81"/>
      <c r="FPI81"/>
      <c r="FPJ81"/>
      <c r="FPK81"/>
      <c r="FPL81"/>
      <c r="FPM81"/>
      <c r="FPN81"/>
      <c r="FPO81"/>
      <c r="FPP81"/>
      <c r="FPQ81"/>
      <c r="FPR81"/>
      <c r="FPS81"/>
      <c r="FPT81"/>
      <c r="FPU81"/>
      <c r="FPV81"/>
      <c r="FPW81"/>
      <c r="FPX81"/>
      <c r="FPY81"/>
      <c r="FPZ81"/>
      <c r="FQA81"/>
      <c r="FQB81"/>
      <c r="FQC81"/>
      <c r="FQD81"/>
      <c r="FQE81"/>
      <c r="FQF81"/>
      <c r="FQG81"/>
      <c r="FQH81"/>
      <c r="FQI81"/>
      <c r="FQJ81"/>
      <c r="FQK81"/>
      <c r="FQL81"/>
      <c r="FQM81"/>
      <c r="FQN81"/>
      <c r="FQO81"/>
      <c r="FQP81"/>
      <c r="FQQ81"/>
      <c r="FQR81"/>
      <c r="FQS81"/>
      <c r="FQT81"/>
      <c r="FQU81"/>
      <c r="FQV81"/>
      <c r="FQW81"/>
      <c r="FQX81"/>
      <c r="FQY81"/>
      <c r="FQZ81"/>
      <c r="FRA81"/>
      <c r="FRB81"/>
      <c r="FRC81"/>
      <c r="FRD81"/>
      <c r="FRE81"/>
      <c r="FRF81"/>
      <c r="FRG81"/>
      <c r="FRH81"/>
      <c r="FRI81"/>
      <c r="FRJ81"/>
      <c r="FRK81"/>
      <c r="FRL81"/>
      <c r="FRM81"/>
      <c r="FRN81"/>
      <c r="FRO81"/>
      <c r="FRP81"/>
      <c r="FRQ81"/>
      <c r="FRR81"/>
      <c r="FRS81"/>
      <c r="FRT81"/>
      <c r="FRU81"/>
      <c r="FRV81"/>
      <c r="FRW81"/>
      <c r="FRX81"/>
      <c r="FRY81"/>
      <c r="FRZ81"/>
      <c r="FSA81"/>
      <c r="FSB81"/>
      <c r="FSC81"/>
      <c r="FSD81"/>
      <c r="FSE81"/>
      <c r="FSF81"/>
      <c r="FSG81"/>
      <c r="FSH81"/>
      <c r="FSI81"/>
      <c r="FSJ81"/>
      <c r="FSK81"/>
      <c r="FSL81"/>
      <c r="FSM81"/>
      <c r="FSN81"/>
      <c r="FSO81"/>
      <c r="FSP81"/>
      <c r="FSQ81"/>
      <c r="FSR81"/>
      <c r="FSS81"/>
      <c r="FST81"/>
      <c r="FSU81"/>
      <c r="FSV81"/>
      <c r="FSW81"/>
      <c r="FSX81"/>
      <c r="FSY81"/>
      <c r="FSZ81"/>
      <c r="FTA81"/>
      <c r="FTB81"/>
      <c r="FTC81"/>
      <c r="FTD81"/>
      <c r="FTE81"/>
      <c r="FTF81"/>
      <c r="FTG81"/>
      <c r="FTH81"/>
      <c r="FTI81"/>
      <c r="FTJ81"/>
      <c r="FTK81"/>
      <c r="FTL81"/>
      <c r="FTM81"/>
      <c r="FTN81"/>
      <c r="FTO81"/>
      <c r="FTP81"/>
      <c r="FTQ81"/>
      <c r="FTR81"/>
      <c r="FTS81"/>
      <c r="FTT81"/>
      <c r="FTU81"/>
      <c r="FTV81"/>
      <c r="FTW81"/>
      <c r="FTX81"/>
      <c r="FTY81"/>
      <c r="FTZ81"/>
      <c r="FUA81"/>
      <c r="FUB81"/>
      <c r="FUC81"/>
      <c r="FUD81"/>
      <c r="FUE81"/>
      <c r="FUF81"/>
      <c r="FUG81"/>
      <c r="FUH81"/>
      <c r="FUI81"/>
      <c r="FUJ81"/>
      <c r="FUK81"/>
      <c r="FUL81"/>
      <c r="FUM81"/>
      <c r="FUN81"/>
      <c r="FUO81"/>
      <c r="FUP81"/>
      <c r="FUQ81"/>
      <c r="FUR81"/>
      <c r="FUS81"/>
      <c r="FUT81"/>
      <c r="FUU81"/>
      <c r="FUV81"/>
      <c r="FUW81"/>
      <c r="FUX81"/>
      <c r="FUY81"/>
      <c r="FUZ81"/>
      <c r="FVA81"/>
      <c r="FVB81"/>
      <c r="FVC81"/>
      <c r="FVD81"/>
      <c r="FVE81"/>
      <c r="FVF81"/>
      <c r="FVG81"/>
      <c r="FVH81"/>
      <c r="FVI81"/>
      <c r="FVJ81"/>
      <c r="FVK81"/>
      <c r="FVL81"/>
      <c r="FVM81"/>
      <c r="FVN81"/>
      <c r="FVO81"/>
      <c r="FVP81"/>
      <c r="FVQ81"/>
      <c r="FVR81"/>
      <c r="FVS81"/>
      <c r="FVT81"/>
      <c r="FVU81"/>
      <c r="FVV81"/>
      <c r="FVW81"/>
      <c r="FVX81"/>
      <c r="FVY81"/>
      <c r="FVZ81"/>
      <c r="FWA81"/>
      <c r="FWB81"/>
      <c r="FWC81"/>
      <c r="FWD81"/>
      <c r="FWE81"/>
      <c r="FWF81"/>
      <c r="FWG81"/>
      <c r="FWH81"/>
      <c r="FWI81"/>
      <c r="FWJ81"/>
      <c r="FWK81"/>
      <c r="FWL81"/>
      <c r="FWM81"/>
      <c r="FWN81"/>
      <c r="FWO81"/>
      <c r="FWP81"/>
      <c r="FWQ81"/>
      <c r="FWR81"/>
      <c r="FWS81"/>
      <c r="FWT81"/>
      <c r="FWU81"/>
      <c r="FWV81"/>
      <c r="FWW81"/>
      <c r="FWX81"/>
      <c r="FWY81"/>
      <c r="FWZ81"/>
      <c r="FXA81"/>
      <c r="FXB81"/>
      <c r="FXC81"/>
      <c r="FXD81"/>
      <c r="FXE81"/>
      <c r="FXF81"/>
      <c r="FXG81"/>
      <c r="FXH81"/>
      <c r="FXI81"/>
      <c r="FXJ81"/>
      <c r="FXK81"/>
      <c r="FXL81"/>
      <c r="FXM81"/>
      <c r="FXN81"/>
      <c r="FXO81"/>
      <c r="FXP81"/>
      <c r="FXQ81"/>
      <c r="FXR81"/>
      <c r="FXS81"/>
      <c r="FXT81"/>
      <c r="FXU81"/>
      <c r="FXV81"/>
      <c r="FXW81"/>
      <c r="FXX81"/>
      <c r="FXY81"/>
      <c r="FXZ81"/>
      <c r="FYA81"/>
      <c r="FYB81"/>
      <c r="FYC81"/>
      <c r="FYD81"/>
      <c r="FYE81"/>
      <c r="FYF81"/>
      <c r="FYG81"/>
      <c r="FYH81"/>
      <c r="FYI81"/>
      <c r="FYJ81"/>
      <c r="FYK81"/>
      <c r="FYL81"/>
      <c r="FYM81"/>
      <c r="FYN81"/>
      <c r="FYO81"/>
      <c r="FYP81"/>
      <c r="FYQ81"/>
      <c r="FYR81"/>
      <c r="FYS81"/>
      <c r="FYT81"/>
      <c r="FYU81"/>
      <c r="FYV81"/>
      <c r="FYW81"/>
      <c r="FYX81"/>
      <c r="FYY81"/>
      <c r="FYZ81"/>
      <c r="FZA81"/>
      <c r="FZB81"/>
      <c r="FZC81"/>
      <c r="FZD81"/>
      <c r="FZE81"/>
      <c r="FZF81"/>
      <c r="FZG81"/>
      <c r="FZH81"/>
      <c r="FZI81"/>
      <c r="FZJ81"/>
      <c r="FZK81"/>
      <c r="FZL81"/>
      <c r="FZM81"/>
      <c r="FZN81"/>
      <c r="FZO81"/>
      <c r="FZP81"/>
      <c r="FZQ81"/>
      <c r="FZR81"/>
      <c r="FZS81"/>
      <c r="FZT81"/>
      <c r="FZU81"/>
      <c r="FZV81"/>
      <c r="FZW81"/>
      <c r="FZX81"/>
      <c r="FZY81"/>
      <c r="FZZ81"/>
      <c r="GAA81"/>
      <c r="GAB81"/>
      <c r="GAC81"/>
      <c r="GAD81"/>
      <c r="GAE81"/>
      <c r="GAF81"/>
      <c r="GAG81"/>
      <c r="GAH81"/>
      <c r="GAI81"/>
      <c r="GAJ81"/>
      <c r="GAK81"/>
      <c r="GAL81"/>
      <c r="GAM81"/>
      <c r="GAN81"/>
      <c r="GAO81"/>
      <c r="GAP81"/>
      <c r="GAQ81"/>
      <c r="GAR81"/>
      <c r="GAS81"/>
      <c r="GAT81"/>
      <c r="GAU81"/>
      <c r="GAV81"/>
      <c r="GAW81"/>
      <c r="GAX81"/>
      <c r="GAY81"/>
      <c r="GAZ81"/>
      <c r="GBA81"/>
      <c r="GBB81"/>
      <c r="GBC81"/>
      <c r="GBD81"/>
      <c r="GBE81"/>
      <c r="GBF81"/>
      <c r="GBG81"/>
      <c r="GBH81"/>
      <c r="GBI81"/>
      <c r="GBJ81"/>
      <c r="GBK81"/>
      <c r="GBL81"/>
      <c r="GBM81"/>
      <c r="GBN81"/>
      <c r="GBO81"/>
      <c r="GBP81"/>
      <c r="GBQ81"/>
      <c r="GBR81"/>
      <c r="GBS81"/>
      <c r="GBT81"/>
      <c r="GBU81"/>
      <c r="GBV81"/>
      <c r="GBW81"/>
      <c r="GBX81"/>
      <c r="GBY81"/>
      <c r="GBZ81"/>
      <c r="GCA81"/>
      <c r="GCB81"/>
      <c r="GCC81"/>
      <c r="GCD81"/>
      <c r="GCE81"/>
      <c r="GCF81"/>
      <c r="GCG81"/>
      <c r="GCH81"/>
      <c r="GCI81"/>
      <c r="GCJ81"/>
      <c r="GCK81"/>
      <c r="GCL81"/>
      <c r="GCM81"/>
      <c r="GCN81"/>
      <c r="GCO81"/>
      <c r="GCP81"/>
      <c r="GCQ81"/>
      <c r="GCR81"/>
      <c r="GCS81"/>
      <c r="GCT81"/>
      <c r="GCU81"/>
      <c r="GCV81"/>
      <c r="GCW81"/>
      <c r="GCX81"/>
      <c r="GCY81"/>
      <c r="GCZ81"/>
      <c r="GDA81"/>
      <c r="GDB81"/>
      <c r="GDC81"/>
      <c r="GDD81"/>
      <c r="GDE81"/>
      <c r="GDF81"/>
      <c r="GDG81"/>
      <c r="GDH81"/>
      <c r="GDI81"/>
      <c r="GDJ81"/>
      <c r="GDK81"/>
      <c r="GDL81"/>
      <c r="GDM81"/>
      <c r="GDN81"/>
      <c r="GDO81"/>
      <c r="GDP81"/>
      <c r="GDQ81"/>
      <c r="GDR81"/>
      <c r="GDS81"/>
      <c r="GDT81"/>
      <c r="GDU81"/>
      <c r="GDV81"/>
      <c r="GDW81"/>
      <c r="GDX81"/>
      <c r="GDY81"/>
      <c r="GDZ81"/>
      <c r="GEA81"/>
      <c r="GEB81"/>
      <c r="GEC81"/>
      <c r="GED81"/>
      <c r="GEE81"/>
      <c r="GEF81"/>
      <c r="GEG81"/>
      <c r="GEH81"/>
      <c r="GEI81"/>
      <c r="GEJ81"/>
      <c r="GEK81"/>
      <c r="GEL81"/>
      <c r="GEM81"/>
      <c r="GEN81"/>
      <c r="GEO81"/>
      <c r="GEP81"/>
      <c r="GEQ81"/>
      <c r="GER81"/>
      <c r="GES81"/>
      <c r="GET81"/>
      <c r="GEU81"/>
      <c r="GEV81"/>
      <c r="GEW81"/>
      <c r="GEX81"/>
      <c r="GEY81"/>
      <c r="GEZ81"/>
      <c r="GFA81"/>
      <c r="GFB81"/>
      <c r="GFC81"/>
      <c r="GFD81"/>
      <c r="GFE81"/>
      <c r="GFF81"/>
      <c r="GFG81"/>
      <c r="GFH81"/>
      <c r="GFI81"/>
      <c r="GFJ81"/>
      <c r="GFK81"/>
      <c r="GFL81"/>
      <c r="GFM81"/>
      <c r="GFN81"/>
      <c r="GFO81"/>
      <c r="GFP81"/>
      <c r="GFQ81"/>
      <c r="GFR81"/>
      <c r="GFS81"/>
      <c r="GFT81"/>
      <c r="GFU81"/>
      <c r="GFV81"/>
      <c r="GFW81"/>
      <c r="GFX81"/>
      <c r="GFY81"/>
      <c r="GFZ81"/>
      <c r="GGA81"/>
      <c r="GGB81"/>
      <c r="GGC81"/>
      <c r="GGD81"/>
      <c r="GGE81"/>
      <c r="GGF81"/>
      <c r="GGG81"/>
      <c r="GGH81"/>
      <c r="GGI81"/>
      <c r="GGJ81"/>
      <c r="GGK81"/>
      <c r="GGL81"/>
      <c r="GGM81"/>
      <c r="GGN81"/>
      <c r="GGO81"/>
      <c r="GGP81"/>
      <c r="GGQ81"/>
      <c r="GGR81"/>
      <c r="GGS81"/>
      <c r="GGT81"/>
      <c r="GGU81"/>
      <c r="GGV81"/>
      <c r="GGW81"/>
      <c r="GGX81"/>
      <c r="GGY81"/>
      <c r="GGZ81"/>
      <c r="GHA81"/>
      <c r="GHB81"/>
      <c r="GHC81"/>
      <c r="GHD81"/>
      <c r="GHE81"/>
      <c r="GHF81"/>
      <c r="GHG81"/>
      <c r="GHH81"/>
      <c r="GHI81"/>
      <c r="GHJ81"/>
      <c r="GHK81"/>
      <c r="GHL81"/>
      <c r="GHM81"/>
      <c r="GHN81"/>
      <c r="GHO81"/>
      <c r="GHP81"/>
      <c r="GHQ81"/>
      <c r="GHR81"/>
      <c r="GHS81"/>
      <c r="GHT81"/>
      <c r="GHU81"/>
      <c r="GHV81"/>
      <c r="GHW81"/>
      <c r="GHX81"/>
      <c r="GHY81"/>
      <c r="GHZ81"/>
      <c r="GIA81"/>
      <c r="GIB81"/>
      <c r="GIC81"/>
      <c r="GID81"/>
      <c r="GIE81"/>
      <c r="GIF81"/>
      <c r="GIG81"/>
      <c r="GIH81"/>
      <c r="GII81"/>
      <c r="GIJ81"/>
      <c r="GIK81"/>
      <c r="GIL81"/>
      <c r="GIM81"/>
      <c r="GIN81"/>
      <c r="GIO81"/>
      <c r="GIP81"/>
      <c r="GIQ81"/>
      <c r="GIR81"/>
      <c r="GIS81"/>
      <c r="GIT81"/>
      <c r="GIU81"/>
      <c r="GIV81"/>
      <c r="GIW81"/>
      <c r="GIX81"/>
      <c r="GIY81"/>
      <c r="GIZ81"/>
      <c r="GJA81"/>
      <c r="GJB81"/>
      <c r="GJC81"/>
      <c r="GJD81"/>
      <c r="GJE81"/>
      <c r="GJF81"/>
      <c r="GJG81"/>
      <c r="GJH81"/>
      <c r="GJI81"/>
      <c r="GJJ81"/>
      <c r="GJK81"/>
      <c r="GJL81"/>
      <c r="GJM81"/>
      <c r="GJN81"/>
      <c r="GJO81"/>
      <c r="GJP81"/>
      <c r="GJQ81"/>
      <c r="GJR81"/>
      <c r="GJS81"/>
      <c r="GJT81"/>
      <c r="GJU81"/>
      <c r="GJV81"/>
      <c r="GJW81"/>
      <c r="GJX81"/>
      <c r="GJY81"/>
      <c r="GJZ81"/>
      <c r="GKA81"/>
      <c r="GKB81"/>
      <c r="GKC81"/>
      <c r="GKD81"/>
      <c r="GKE81"/>
      <c r="GKF81"/>
      <c r="GKG81"/>
      <c r="GKH81"/>
      <c r="GKI81"/>
      <c r="GKJ81"/>
      <c r="GKK81"/>
      <c r="GKL81"/>
      <c r="GKM81"/>
      <c r="GKN81"/>
      <c r="GKO81"/>
      <c r="GKP81"/>
      <c r="GKQ81"/>
      <c r="GKR81"/>
      <c r="GKS81"/>
      <c r="GKT81"/>
      <c r="GKU81"/>
      <c r="GKV81"/>
      <c r="GKW81"/>
      <c r="GKX81"/>
      <c r="GKY81"/>
      <c r="GKZ81"/>
      <c r="GLA81"/>
      <c r="GLB81"/>
      <c r="GLC81"/>
      <c r="GLD81"/>
      <c r="GLE81"/>
      <c r="GLF81"/>
      <c r="GLG81"/>
      <c r="GLH81"/>
      <c r="GLI81"/>
      <c r="GLJ81"/>
      <c r="GLK81"/>
      <c r="GLL81"/>
      <c r="GLM81"/>
      <c r="GLN81"/>
      <c r="GLO81"/>
      <c r="GLP81"/>
      <c r="GLQ81"/>
      <c r="GLR81"/>
      <c r="GLS81"/>
      <c r="GLT81"/>
      <c r="GLU81"/>
      <c r="GLV81"/>
      <c r="GLW81"/>
      <c r="GLX81"/>
      <c r="GLY81"/>
      <c r="GLZ81"/>
      <c r="GMA81"/>
      <c r="GMB81"/>
      <c r="GMC81"/>
      <c r="GMD81"/>
      <c r="GME81"/>
      <c r="GMF81"/>
      <c r="GMG81"/>
      <c r="GMH81"/>
      <c r="GMI81"/>
      <c r="GMJ81"/>
      <c r="GMK81"/>
      <c r="GML81"/>
      <c r="GMM81"/>
      <c r="GMN81"/>
      <c r="GMO81"/>
      <c r="GMP81"/>
      <c r="GMQ81"/>
      <c r="GMR81"/>
      <c r="GMS81"/>
      <c r="GMT81"/>
      <c r="GMU81"/>
      <c r="GMV81"/>
      <c r="GMW81"/>
      <c r="GMX81"/>
      <c r="GMY81"/>
      <c r="GMZ81"/>
      <c r="GNA81"/>
      <c r="GNB81"/>
      <c r="GNC81"/>
      <c r="GND81"/>
      <c r="GNE81"/>
      <c r="GNF81"/>
      <c r="GNG81"/>
      <c r="GNH81"/>
      <c r="GNI81"/>
      <c r="GNJ81"/>
      <c r="GNK81"/>
      <c r="GNL81"/>
      <c r="GNM81"/>
      <c r="GNN81"/>
      <c r="GNO81"/>
      <c r="GNP81"/>
      <c r="GNQ81"/>
      <c r="GNR81"/>
      <c r="GNS81"/>
      <c r="GNT81"/>
      <c r="GNU81"/>
      <c r="GNV81"/>
      <c r="GNW81"/>
      <c r="GNX81"/>
      <c r="GNY81"/>
      <c r="GNZ81"/>
      <c r="GOA81"/>
      <c r="GOB81"/>
      <c r="GOC81"/>
      <c r="GOD81"/>
      <c r="GOE81"/>
      <c r="GOF81"/>
      <c r="GOG81"/>
      <c r="GOH81"/>
      <c r="GOI81"/>
      <c r="GOJ81"/>
      <c r="GOK81"/>
      <c r="GOL81"/>
      <c r="GOM81"/>
      <c r="GON81"/>
      <c r="GOO81"/>
      <c r="GOP81"/>
      <c r="GOQ81"/>
      <c r="GOR81"/>
      <c r="GOS81"/>
      <c r="GOT81"/>
      <c r="GOU81"/>
      <c r="GOV81"/>
      <c r="GOW81"/>
      <c r="GOX81"/>
      <c r="GOY81"/>
      <c r="GOZ81"/>
      <c r="GPA81"/>
      <c r="GPB81"/>
      <c r="GPC81"/>
      <c r="GPD81"/>
      <c r="GPE81"/>
      <c r="GPF81"/>
      <c r="GPG81"/>
      <c r="GPH81"/>
      <c r="GPI81"/>
      <c r="GPJ81"/>
      <c r="GPK81"/>
      <c r="GPL81"/>
      <c r="GPM81"/>
      <c r="GPN81"/>
      <c r="GPO81"/>
      <c r="GPP81"/>
      <c r="GPQ81"/>
      <c r="GPR81"/>
      <c r="GPS81"/>
      <c r="GPT81"/>
      <c r="GPU81"/>
      <c r="GPV81"/>
      <c r="GPW81"/>
      <c r="GPX81"/>
      <c r="GPY81"/>
      <c r="GPZ81"/>
      <c r="GQA81"/>
      <c r="GQB81"/>
      <c r="GQC81"/>
      <c r="GQD81"/>
      <c r="GQE81"/>
      <c r="GQF81"/>
      <c r="GQG81"/>
      <c r="GQH81"/>
      <c r="GQI81"/>
      <c r="GQJ81"/>
      <c r="GQK81"/>
      <c r="GQL81"/>
      <c r="GQM81"/>
      <c r="GQN81"/>
      <c r="GQO81"/>
      <c r="GQP81"/>
      <c r="GQQ81"/>
      <c r="GQR81"/>
      <c r="GQS81"/>
      <c r="GQT81"/>
      <c r="GQU81"/>
      <c r="GQV81"/>
      <c r="GQW81"/>
      <c r="GQX81"/>
      <c r="GQY81"/>
      <c r="GQZ81"/>
      <c r="GRA81"/>
      <c r="GRB81"/>
      <c r="GRC81"/>
      <c r="GRD81"/>
      <c r="GRE81"/>
      <c r="GRF81"/>
      <c r="GRG81"/>
      <c r="GRH81"/>
      <c r="GRI81"/>
      <c r="GRJ81"/>
      <c r="GRK81"/>
      <c r="GRL81"/>
      <c r="GRM81"/>
      <c r="GRN81"/>
      <c r="GRO81"/>
      <c r="GRP81"/>
      <c r="GRQ81"/>
      <c r="GRR81"/>
      <c r="GRS81"/>
      <c r="GRT81"/>
      <c r="GRU81"/>
      <c r="GRV81"/>
      <c r="GRW81"/>
      <c r="GRX81"/>
      <c r="GRY81"/>
      <c r="GRZ81"/>
      <c r="GSA81"/>
      <c r="GSB81"/>
      <c r="GSC81"/>
      <c r="GSD81"/>
      <c r="GSE81"/>
      <c r="GSF81"/>
      <c r="GSG81"/>
      <c r="GSH81"/>
      <c r="GSI81"/>
      <c r="GSJ81"/>
      <c r="GSK81"/>
      <c r="GSL81"/>
      <c r="GSM81"/>
      <c r="GSN81"/>
      <c r="GSO81"/>
      <c r="GSP81"/>
      <c r="GSQ81"/>
      <c r="GSR81"/>
      <c r="GSS81"/>
      <c r="GST81"/>
      <c r="GSU81"/>
      <c r="GSV81"/>
      <c r="GSW81"/>
      <c r="GSX81"/>
      <c r="GSY81"/>
      <c r="GSZ81"/>
      <c r="GTA81"/>
      <c r="GTB81"/>
      <c r="GTC81"/>
      <c r="GTD81"/>
      <c r="GTE81"/>
      <c r="GTF81"/>
      <c r="GTG81"/>
      <c r="GTH81"/>
      <c r="GTI81"/>
      <c r="GTJ81"/>
      <c r="GTK81"/>
      <c r="GTL81"/>
      <c r="GTM81"/>
      <c r="GTN81"/>
      <c r="GTO81"/>
      <c r="GTP81"/>
      <c r="GTQ81"/>
      <c r="GTR81"/>
      <c r="GTS81"/>
      <c r="GTT81"/>
      <c r="GTU81"/>
      <c r="GTV81"/>
      <c r="GTW81"/>
      <c r="GTX81"/>
      <c r="GTY81"/>
      <c r="GTZ81"/>
      <c r="GUA81"/>
      <c r="GUB81"/>
      <c r="GUC81"/>
      <c r="GUD81"/>
      <c r="GUE81"/>
      <c r="GUF81"/>
      <c r="GUG81"/>
      <c r="GUH81"/>
      <c r="GUI81"/>
      <c r="GUJ81"/>
      <c r="GUK81"/>
      <c r="GUL81"/>
      <c r="GUM81"/>
      <c r="GUN81"/>
      <c r="GUO81"/>
      <c r="GUP81"/>
      <c r="GUQ81"/>
      <c r="GUR81"/>
      <c r="GUS81"/>
      <c r="GUT81"/>
      <c r="GUU81"/>
      <c r="GUV81"/>
      <c r="GUW81"/>
      <c r="GUX81"/>
      <c r="GUY81"/>
      <c r="GUZ81"/>
      <c r="GVA81"/>
      <c r="GVB81"/>
      <c r="GVC81"/>
      <c r="GVD81"/>
      <c r="GVE81"/>
      <c r="GVF81"/>
      <c r="GVG81"/>
      <c r="GVH81"/>
      <c r="GVI81"/>
      <c r="GVJ81"/>
      <c r="GVK81"/>
      <c r="GVL81"/>
      <c r="GVM81"/>
      <c r="GVN81"/>
      <c r="GVO81"/>
      <c r="GVP81"/>
      <c r="GVQ81"/>
      <c r="GVR81"/>
      <c r="GVS81"/>
      <c r="GVT81"/>
      <c r="GVU81"/>
      <c r="GVV81"/>
      <c r="GVW81"/>
      <c r="GVX81"/>
      <c r="GVY81"/>
      <c r="GVZ81"/>
      <c r="GWA81"/>
      <c r="GWB81"/>
      <c r="GWC81"/>
      <c r="GWD81"/>
      <c r="GWE81"/>
      <c r="GWF81"/>
      <c r="GWG81"/>
      <c r="GWH81"/>
      <c r="GWI81"/>
      <c r="GWJ81"/>
      <c r="GWK81"/>
      <c r="GWL81"/>
      <c r="GWM81"/>
      <c r="GWN81"/>
      <c r="GWO81"/>
      <c r="GWP81"/>
      <c r="GWQ81"/>
      <c r="GWR81"/>
      <c r="GWS81"/>
      <c r="GWT81"/>
      <c r="GWU81"/>
      <c r="GWV81"/>
      <c r="GWW81"/>
      <c r="GWX81"/>
      <c r="GWY81"/>
      <c r="GWZ81"/>
      <c r="GXA81"/>
      <c r="GXB81"/>
      <c r="GXC81"/>
      <c r="GXD81"/>
      <c r="GXE81"/>
      <c r="GXF81"/>
      <c r="GXG81"/>
      <c r="GXH81"/>
      <c r="GXI81"/>
      <c r="GXJ81"/>
      <c r="GXK81"/>
      <c r="GXL81"/>
      <c r="GXM81"/>
      <c r="GXN81"/>
      <c r="GXO81"/>
      <c r="GXP81"/>
      <c r="GXQ81"/>
      <c r="GXR81"/>
      <c r="GXS81"/>
      <c r="GXT81"/>
      <c r="GXU81"/>
      <c r="GXV81"/>
      <c r="GXW81"/>
      <c r="GXX81"/>
      <c r="GXY81"/>
      <c r="GXZ81"/>
      <c r="GYA81"/>
      <c r="GYB81"/>
      <c r="GYC81"/>
      <c r="GYD81"/>
      <c r="GYE81"/>
      <c r="GYF81"/>
      <c r="GYG81"/>
      <c r="GYH81"/>
      <c r="GYI81"/>
      <c r="GYJ81"/>
      <c r="GYK81"/>
      <c r="GYL81"/>
      <c r="GYM81"/>
      <c r="GYN81"/>
      <c r="GYO81"/>
      <c r="GYP81"/>
      <c r="GYQ81"/>
      <c r="GYR81"/>
      <c r="GYS81"/>
      <c r="GYT81"/>
      <c r="GYU81"/>
      <c r="GYV81"/>
      <c r="GYW81"/>
      <c r="GYX81"/>
      <c r="GYY81"/>
      <c r="GYZ81"/>
      <c r="GZA81"/>
      <c r="GZB81"/>
      <c r="GZC81"/>
      <c r="GZD81"/>
      <c r="GZE81"/>
      <c r="GZF81"/>
      <c r="GZG81"/>
      <c r="GZH81"/>
      <c r="GZI81"/>
      <c r="GZJ81"/>
      <c r="GZK81"/>
      <c r="GZL81"/>
      <c r="GZM81"/>
      <c r="GZN81"/>
      <c r="GZO81"/>
      <c r="GZP81"/>
      <c r="GZQ81"/>
      <c r="GZR81"/>
      <c r="GZS81"/>
      <c r="GZT81"/>
      <c r="GZU81"/>
      <c r="GZV81"/>
      <c r="GZW81"/>
      <c r="GZX81"/>
      <c r="GZY81"/>
      <c r="GZZ81"/>
      <c r="HAA81"/>
      <c r="HAB81"/>
      <c r="HAC81"/>
      <c r="HAD81"/>
      <c r="HAE81"/>
      <c r="HAF81"/>
      <c r="HAG81"/>
      <c r="HAH81"/>
      <c r="HAI81"/>
      <c r="HAJ81"/>
      <c r="HAK81"/>
      <c r="HAL81"/>
      <c r="HAM81"/>
      <c r="HAN81"/>
      <c r="HAO81"/>
      <c r="HAP81"/>
      <c r="HAQ81"/>
      <c r="HAR81"/>
      <c r="HAS81"/>
      <c r="HAT81"/>
      <c r="HAU81"/>
      <c r="HAV81"/>
      <c r="HAW81"/>
      <c r="HAX81"/>
      <c r="HAY81"/>
      <c r="HAZ81"/>
      <c r="HBA81"/>
      <c r="HBB81"/>
      <c r="HBC81"/>
      <c r="HBD81"/>
      <c r="HBE81"/>
      <c r="HBF81"/>
      <c r="HBG81"/>
      <c r="HBH81"/>
      <c r="HBI81"/>
      <c r="HBJ81"/>
      <c r="HBK81"/>
      <c r="HBL81"/>
      <c r="HBM81"/>
      <c r="HBN81"/>
      <c r="HBO81"/>
      <c r="HBP81"/>
      <c r="HBQ81"/>
      <c r="HBR81"/>
      <c r="HBS81"/>
      <c r="HBT81"/>
      <c r="HBU81"/>
      <c r="HBV81"/>
      <c r="HBW81"/>
      <c r="HBX81"/>
      <c r="HBY81"/>
      <c r="HBZ81"/>
      <c r="HCA81"/>
      <c r="HCB81"/>
      <c r="HCC81"/>
      <c r="HCD81"/>
      <c r="HCE81"/>
      <c r="HCF81"/>
      <c r="HCG81"/>
      <c r="HCH81"/>
      <c r="HCI81"/>
      <c r="HCJ81"/>
      <c r="HCK81"/>
      <c r="HCL81"/>
      <c r="HCM81"/>
      <c r="HCN81"/>
      <c r="HCO81"/>
      <c r="HCP81"/>
      <c r="HCQ81"/>
      <c r="HCR81"/>
      <c r="HCS81"/>
      <c r="HCT81"/>
      <c r="HCU81"/>
      <c r="HCV81"/>
      <c r="HCW81"/>
      <c r="HCX81"/>
      <c r="HCY81"/>
      <c r="HCZ81"/>
      <c r="HDA81"/>
      <c r="HDB81"/>
      <c r="HDC81"/>
      <c r="HDD81"/>
      <c r="HDE81"/>
      <c r="HDF81"/>
      <c r="HDG81"/>
      <c r="HDH81"/>
      <c r="HDI81"/>
      <c r="HDJ81"/>
      <c r="HDK81"/>
      <c r="HDL81"/>
      <c r="HDM81"/>
      <c r="HDN81"/>
      <c r="HDO81"/>
      <c r="HDP81"/>
      <c r="HDQ81"/>
      <c r="HDR81"/>
      <c r="HDS81"/>
      <c r="HDT81"/>
      <c r="HDU81"/>
      <c r="HDV81"/>
      <c r="HDW81"/>
      <c r="HDX81"/>
      <c r="HDY81"/>
      <c r="HDZ81"/>
      <c r="HEA81"/>
      <c r="HEB81"/>
      <c r="HEC81"/>
      <c r="HED81"/>
      <c r="HEE81"/>
      <c r="HEF81"/>
      <c r="HEG81"/>
      <c r="HEH81"/>
      <c r="HEI81"/>
      <c r="HEJ81"/>
      <c r="HEK81"/>
      <c r="HEL81"/>
      <c r="HEM81"/>
      <c r="HEN81"/>
      <c r="HEO81"/>
      <c r="HEP81"/>
      <c r="HEQ81"/>
      <c r="HER81"/>
      <c r="HES81"/>
      <c r="HET81"/>
      <c r="HEU81"/>
      <c r="HEV81"/>
      <c r="HEW81"/>
      <c r="HEX81"/>
      <c r="HEY81"/>
      <c r="HEZ81"/>
      <c r="HFA81"/>
      <c r="HFB81"/>
      <c r="HFC81"/>
      <c r="HFD81"/>
      <c r="HFE81"/>
      <c r="HFF81"/>
      <c r="HFG81"/>
      <c r="HFH81"/>
      <c r="HFI81"/>
      <c r="HFJ81"/>
      <c r="HFK81"/>
      <c r="HFL81"/>
      <c r="HFM81"/>
      <c r="HFN81"/>
      <c r="HFO81"/>
      <c r="HFP81"/>
      <c r="HFQ81"/>
      <c r="HFR81"/>
      <c r="HFS81"/>
      <c r="HFT81"/>
      <c r="HFU81"/>
      <c r="HFV81"/>
      <c r="HFW81"/>
      <c r="HFX81"/>
      <c r="HFY81"/>
      <c r="HFZ81"/>
      <c r="HGA81"/>
      <c r="HGB81"/>
      <c r="HGC81"/>
      <c r="HGD81"/>
      <c r="HGE81"/>
      <c r="HGF81"/>
      <c r="HGG81"/>
      <c r="HGH81"/>
      <c r="HGI81"/>
      <c r="HGJ81"/>
      <c r="HGK81"/>
      <c r="HGL81"/>
      <c r="HGM81"/>
      <c r="HGN81"/>
      <c r="HGO81"/>
      <c r="HGP81"/>
      <c r="HGQ81"/>
      <c r="HGR81"/>
      <c r="HGS81"/>
      <c r="HGT81"/>
      <c r="HGU81"/>
      <c r="HGV81"/>
      <c r="HGW81"/>
      <c r="HGX81"/>
      <c r="HGY81"/>
      <c r="HGZ81"/>
      <c r="HHA81"/>
      <c r="HHB81"/>
      <c r="HHC81"/>
      <c r="HHD81"/>
      <c r="HHE81"/>
      <c r="HHF81"/>
      <c r="HHG81"/>
      <c r="HHH81"/>
      <c r="HHI81"/>
      <c r="HHJ81"/>
      <c r="HHK81"/>
      <c r="HHL81"/>
      <c r="HHM81"/>
      <c r="HHN81"/>
      <c r="HHO81"/>
      <c r="HHP81"/>
      <c r="HHQ81"/>
      <c r="HHR81"/>
      <c r="HHS81"/>
      <c r="HHT81"/>
      <c r="HHU81"/>
      <c r="HHV81"/>
      <c r="HHW81"/>
      <c r="HHX81"/>
      <c r="HHY81"/>
      <c r="HHZ81"/>
      <c r="HIA81"/>
      <c r="HIB81"/>
      <c r="HIC81"/>
      <c r="HID81"/>
      <c r="HIE81"/>
      <c r="HIF81"/>
      <c r="HIG81"/>
      <c r="HIH81"/>
      <c r="HII81"/>
      <c r="HIJ81"/>
      <c r="HIK81"/>
      <c r="HIL81"/>
      <c r="HIM81"/>
      <c r="HIN81"/>
      <c r="HIO81"/>
      <c r="HIP81"/>
      <c r="HIQ81"/>
      <c r="HIR81"/>
      <c r="HIS81"/>
      <c r="HIT81"/>
      <c r="HIU81"/>
      <c r="HIV81"/>
      <c r="HIW81"/>
      <c r="HIX81"/>
      <c r="HIY81"/>
      <c r="HIZ81"/>
      <c r="HJA81"/>
      <c r="HJB81"/>
      <c r="HJC81"/>
      <c r="HJD81"/>
      <c r="HJE81"/>
      <c r="HJF81"/>
      <c r="HJG81"/>
      <c r="HJH81"/>
      <c r="HJI81"/>
      <c r="HJJ81"/>
      <c r="HJK81"/>
      <c r="HJL81"/>
      <c r="HJM81"/>
      <c r="HJN81"/>
      <c r="HJO81"/>
      <c r="HJP81"/>
      <c r="HJQ81"/>
      <c r="HJR81"/>
      <c r="HJS81"/>
      <c r="HJT81"/>
      <c r="HJU81"/>
      <c r="HJV81"/>
      <c r="HJW81"/>
      <c r="HJX81"/>
      <c r="HJY81"/>
      <c r="HJZ81"/>
      <c r="HKA81"/>
      <c r="HKB81"/>
      <c r="HKC81"/>
      <c r="HKD81"/>
      <c r="HKE81"/>
      <c r="HKF81"/>
      <c r="HKG81"/>
      <c r="HKH81"/>
      <c r="HKI81"/>
      <c r="HKJ81"/>
      <c r="HKK81"/>
      <c r="HKL81"/>
      <c r="HKM81"/>
      <c r="HKN81"/>
      <c r="HKO81"/>
      <c r="HKP81"/>
      <c r="HKQ81"/>
      <c r="HKR81"/>
      <c r="HKS81"/>
      <c r="HKT81"/>
      <c r="HKU81"/>
      <c r="HKV81"/>
      <c r="HKW81"/>
      <c r="HKX81"/>
      <c r="HKY81"/>
      <c r="HKZ81"/>
      <c r="HLA81"/>
      <c r="HLB81"/>
      <c r="HLC81"/>
      <c r="HLD81"/>
      <c r="HLE81"/>
      <c r="HLF81"/>
      <c r="HLG81"/>
      <c r="HLH81"/>
      <c r="HLI81"/>
      <c r="HLJ81"/>
      <c r="HLK81"/>
      <c r="HLL81"/>
      <c r="HLM81"/>
      <c r="HLN81"/>
      <c r="HLO81"/>
      <c r="HLP81"/>
      <c r="HLQ81"/>
      <c r="HLR81"/>
      <c r="HLS81"/>
      <c r="HLT81"/>
      <c r="HLU81"/>
      <c r="HLV81"/>
      <c r="HLW81"/>
      <c r="HLX81"/>
      <c r="HLY81"/>
      <c r="HLZ81"/>
      <c r="HMA81"/>
      <c r="HMB81"/>
      <c r="HMC81"/>
      <c r="HMD81"/>
      <c r="HME81"/>
      <c r="HMF81"/>
      <c r="HMG81"/>
      <c r="HMH81"/>
      <c r="HMI81"/>
      <c r="HMJ81"/>
      <c r="HMK81"/>
      <c r="HML81"/>
      <c r="HMM81"/>
      <c r="HMN81"/>
      <c r="HMO81"/>
      <c r="HMP81"/>
      <c r="HMQ81"/>
      <c r="HMR81"/>
      <c r="HMS81"/>
      <c r="HMT81"/>
      <c r="HMU81"/>
      <c r="HMV81"/>
      <c r="HMW81"/>
      <c r="HMX81"/>
      <c r="HMY81"/>
      <c r="HMZ81"/>
      <c r="HNA81"/>
      <c r="HNB81"/>
      <c r="HNC81"/>
      <c r="HND81"/>
      <c r="HNE81"/>
      <c r="HNF81"/>
      <c r="HNG81"/>
      <c r="HNH81"/>
      <c r="HNI81"/>
      <c r="HNJ81"/>
      <c r="HNK81"/>
      <c r="HNL81"/>
      <c r="HNM81"/>
      <c r="HNN81"/>
      <c r="HNO81"/>
      <c r="HNP81"/>
      <c r="HNQ81"/>
      <c r="HNR81"/>
      <c r="HNS81"/>
      <c r="HNT81"/>
      <c r="HNU81"/>
      <c r="HNV81"/>
      <c r="HNW81"/>
      <c r="HNX81"/>
      <c r="HNY81"/>
      <c r="HNZ81"/>
      <c r="HOA81"/>
      <c r="HOB81"/>
      <c r="HOC81"/>
      <c r="HOD81"/>
      <c r="HOE81"/>
      <c r="HOF81"/>
      <c r="HOG81"/>
      <c r="HOH81"/>
      <c r="HOI81"/>
      <c r="HOJ81"/>
      <c r="HOK81"/>
      <c r="HOL81"/>
      <c r="HOM81"/>
      <c r="HON81"/>
      <c r="HOO81"/>
      <c r="HOP81"/>
      <c r="HOQ81"/>
      <c r="HOR81"/>
      <c r="HOS81"/>
      <c r="HOT81"/>
      <c r="HOU81"/>
      <c r="HOV81"/>
      <c r="HOW81"/>
      <c r="HOX81"/>
      <c r="HOY81"/>
      <c r="HOZ81"/>
      <c r="HPA81"/>
      <c r="HPB81"/>
      <c r="HPC81"/>
      <c r="HPD81"/>
      <c r="HPE81"/>
      <c r="HPF81"/>
      <c r="HPG81"/>
      <c r="HPH81"/>
      <c r="HPI81"/>
      <c r="HPJ81"/>
      <c r="HPK81"/>
      <c r="HPL81"/>
      <c r="HPM81"/>
      <c r="HPN81"/>
      <c r="HPO81"/>
      <c r="HPP81"/>
      <c r="HPQ81"/>
      <c r="HPR81"/>
      <c r="HPS81"/>
      <c r="HPT81"/>
      <c r="HPU81"/>
      <c r="HPV81"/>
      <c r="HPW81"/>
      <c r="HPX81"/>
      <c r="HPY81"/>
      <c r="HPZ81"/>
      <c r="HQA81"/>
      <c r="HQB81"/>
      <c r="HQC81"/>
      <c r="HQD81"/>
      <c r="HQE81"/>
      <c r="HQF81"/>
      <c r="HQG81"/>
      <c r="HQH81"/>
      <c r="HQI81"/>
      <c r="HQJ81"/>
      <c r="HQK81"/>
      <c r="HQL81"/>
      <c r="HQM81"/>
      <c r="HQN81"/>
      <c r="HQO81"/>
      <c r="HQP81"/>
      <c r="HQQ81"/>
      <c r="HQR81"/>
      <c r="HQS81"/>
      <c r="HQT81"/>
      <c r="HQU81"/>
      <c r="HQV81"/>
      <c r="HQW81"/>
      <c r="HQX81"/>
      <c r="HQY81"/>
      <c r="HQZ81"/>
      <c r="HRA81"/>
      <c r="HRB81"/>
      <c r="HRC81"/>
      <c r="HRD81"/>
      <c r="HRE81"/>
      <c r="HRF81"/>
      <c r="HRG81"/>
      <c r="HRH81"/>
      <c r="HRI81"/>
      <c r="HRJ81"/>
      <c r="HRK81"/>
      <c r="HRL81"/>
      <c r="HRM81"/>
      <c r="HRN81"/>
      <c r="HRO81"/>
      <c r="HRP81"/>
      <c r="HRQ81"/>
      <c r="HRR81"/>
      <c r="HRS81"/>
      <c r="HRT81"/>
      <c r="HRU81"/>
      <c r="HRV81"/>
      <c r="HRW81"/>
      <c r="HRX81"/>
      <c r="HRY81"/>
      <c r="HRZ81"/>
      <c r="HSA81"/>
      <c r="HSB81"/>
      <c r="HSC81"/>
      <c r="HSD81"/>
      <c r="HSE81"/>
      <c r="HSF81"/>
      <c r="HSG81"/>
      <c r="HSH81"/>
      <c r="HSI81"/>
      <c r="HSJ81"/>
      <c r="HSK81"/>
      <c r="HSL81"/>
      <c r="HSM81"/>
      <c r="HSN81"/>
      <c r="HSO81"/>
      <c r="HSP81"/>
      <c r="HSQ81"/>
      <c r="HSR81"/>
      <c r="HSS81"/>
      <c r="HST81"/>
      <c r="HSU81"/>
      <c r="HSV81"/>
      <c r="HSW81"/>
      <c r="HSX81"/>
      <c r="HSY81"/>
      <c r="HSZ81"/>
      <c r="HTA81"/>
      <c r="HTB81"/>
      <c r="HTC81"/>
      <c r="HTD81"/>
      <c r="HTE81"/>
      <c r="HTF81"/>
      <c r="HTG81"/>
      <c r="HTH81"/>
      <c r="HTI81"/>
      <c r="HTJ81"/>
      <c r="HTK81"/>
      <c r="HTL81"/>
      <c r="HTM81"/>
      <c r="HTN81"/>
      <c r="HTO81"/>
      <c r="HTP81"/>
      <c r="HTQ81"/>
      <c r="HTR81"/>
      <c r="HTS81"/>
      <c r="HTT81"/>
      <c r="HTU81"/>
      <c r="HTV81"/>
      <c r="HTW81"/>
      <c r="HTX81"/>
      <c r="HTY81"/>
      <c r="HTZ81"/>
      <c r="HUA81"/>
      <c r="HUB81"/>
      <c r="HUC81"/>
      <c r="HUD81"/>
      <c r="HUE81"/>
      <c r="HUF81"/>
      <c r="HUG81"/>
      <c r="HUH81"/>
      <c r="HUI81"/>
      <c r="HUJ81"/>
      <c r="HUK81"/>
      <c r="HUL81"/>
      <c r="HUM81"/>
      <c r="HUN81"/>
      <c r="HUO81"/>
      <c r="HUP81"/>
      <c r="HUQ81"/>
      <c r="HUR81"/>
      <c r="HUS81"/>
      <c r="HUT81"/>
      <c r="HUU81"/>
      <c r="HUV81"/>
      <c r="HUW81"/>
      <c r="HUX81"/>
      <c r="HUY81"/>
      <c r="HUZ81"/>
      <c r="HVA81"/>
      <c r="HVB81"/>
      <c r="HVC81"/>
      <c r="HVD81"/>
      <c r="HVE81"/>
      <c r="HVF81"/>
      <c r="HVG81"/>
      <c r="HVH81"/>
      <c r="HVI81"/>
      <c r="HVJ81"/>
      <c r="HVK81"/>
      <c r="HVL81"/>
      <c r="HVM81"/>
      <c r="HVN81"/>
      <c r="HVO81"/>
      <c r="HVP81"/>
      <c r="HVQ81"/>
      <c r="HVR81"/>
      <c r="HVS81"/>
      <c r="HVT81"/>
      <c r="HVU81"/>
      <c r="HVV81"/>
      <c r="HVW81"/>
      <c r="HVX81"/>
      <c r="HVY81"/>
      <c r="HVZ81"/>
      <c r="HWA81"/>
      <c r="HWB81"/>
      <c r="HWC81"/>
      <c r="HWD81"/>
      <c r="HWE81"/>
      <c r="HWF81"/>
      <c r="HWG81"/>
      <c r="HWH81"/>
      <c r="HWI81"/>
      <c r="HWJ81"/>
      <c r="HWK81"/>
      <c r="HWL81"/>
      <c r="HWM81"/>
      <c r="HWN81"/>
      <c r="HWO81"/>
      <c r="HWP81"/>
      <c r="HWQ81"/>
      <c r="HWR81"/>
      <c r="HWS81"/>
      <c r="HWT81"/>
      <c r="HWU81"/>
      <c r="HWV81"/>
      <c r="HWW81"/>
      <c r="HWX81"/>
      <c r="HWY81"/>
      <c r="HWZ81"/>
      <c r="HXA81"/>
      <c r="HXB81"/>
      <c r="HXC81"/>
      <c r="HXD81"/>
      <c r="HXE81"/>
      <c r="HXF81"/>
      <c r="HXG81"/>
      <c r="HXH81"/>
      <c r="HXI81"/>
      <c r="HXJ81"/>
      <c r="HXK81"/>
      <c r="HXL81"/>
      <c r="HXM81"/>
      <c r="HXN81"/>
      <c r="HXO81"/>
      <c r="HXP81"/>
      <c r="HXQ81"/>
      <c r="HXR81"/>
      <c r="HXS81"/>
      <c r="HXT81"/>
      <c r="HXU81"/>
      <c r="HXV81"/>
      <c r="HXW81"/>
      <c r="HXX81"/>
      <c r="HXY81"/>
      <c r="HXZ81"/>
      <c r="HYA81"/>
      <c r="HYB81"/>
      <c r="HYC81"/>
      <c r="HYD81"/>
      <c r="HYE81"/>
      <c r="HYF81"/>
      <c r="HYG81"/>
      <c r="HYH81"/>
      <c r="HYI81"/>
      <c r="HYJ81"/>
      <c r="HYK81"/>
      <c r="HYL81"/>
      <c r="HYM81"/>
      <c r="HYN81"/>
      <c r="HYO81"/>
      <c r="HYP81"/>
      <c r="HYQ81"/>
      <c r="HYR81"/>
      <c r="HYS81"/>
      <c r="HYT81"/>
      <c r="HYU81"/>
      <c r="HYV81"/>
      <c r="HYW81"/>
      <c r="HYX81"/>
      <c r="HYY81"/>
      <c r="HYZ81"/>
      <c r="HZA81"/>
      <c r="HZB81"/>
      <c r="HZC81"/>
      <c r="HZD81"/>
      <c r="HZE81"/>
      <c r="HZF81"/>
      <c r="HZG81"/>
      <c r="HZH81"/>
      <c r="HZI81"/>
      <c r="HZJ81"/>
      <c r="HZK81"/>
      <c r="HZL81"/>
      <c r="HZM81"/>
      <c r="HZN81"/>
      <c r="HZO81"/>
      <c r="HZP81"/>
      <c r="HZQ81"/>
      <c r="HZR81"/>
      <c r="HZS81"/>
      <c r="HZT81"/>
      <c r="HZU81"/>
      <c r="HZV81"/>
      <c r="HZW81"/>
      <c r="HZX81"/>
      <c r="HZY81"/>
      <c r="HZZ81"/>
      <c r="IAA81"/>
      <c r="IAB81"/>
      <c r="IAC81"/>
      <c r="IAD81"/>
      <c r="IAE81"/>
      <c r="IAF81"/>
      <c r="IAG81"/>
      <c r="IAH81"/>
      <c r="IAI81"/>
      <c r="IAJ81"/>
      <c r="IAK81"/>
      <c r="IAL81"/>
      <c r="IAM81"/>
      <c r="IAN81"/>
      <c r="IAO81"/>
      <c r="IAP81"/>
      <c r="IAQ81"/>
      <c r="IAR81"/>
      <c r="IAS81"/>
      <c r="IAT81"/>
      <c r="IAU81"/>
      <c r="IAV81"/>
      <c r="IAW81"/>
      <c r="IAX81"/>
      <c r="IAY81"/>
      <c r="IAZ81"/>
      <c r="IBA81"/>
      <c r="IBB81"/>
      <c r="IBC81"/>
      <c r="IBD81"/>
      <c r="IBE81"/>
      <c r="IBF81"/>
      <c r="IBG81"/>
      <c r="IBH81"/>
      <c r="IBI81"/>
      <c r="IBJ81"/>
      <c r="IBK81"/>
      <c r="IBL81"/>
      <c r="IBM81"/>
      <c r="IBN81"/>
      <c r="IBO81"/>
      <c r="IBP81"/>
      <c r="IBQ81"/>
      <c r="IBR81"/>
      <c r="IBS81"/>
      <c r="IBT81"/>
      <c r="IBU81"/>
      <c r="IBV81"/>
      <c r="IBW81"/>
      <c r="IBX81"/>
      <c r="IBY81"/>
      <c r="IBZ81"/>
      <c r="ICA81"/>
      <c r="ICB81"/>
      <c r="ICC81"/>
      <c r="ICD81"/>
      <c r="ICE81"/>
      <c r="ICF81"/>
      <c r="ICG81"/>
      <c r="ICH81"/>
      <c r="ICI81"/>
      <c r="ICJ81"/>
      <c r="ICK81"/>
      <c r="ICL81"/>
      <c r="ICM81"/>
      <c r="ICN81"/>
      <c r="ICO81"/>
      <c r="ICP81"/>
      <c r="ICQ81"/>
      <c r="ICR81"/>
      <c r="ICS81"/>
      <c r="ICT81"/>
      <c r="ICU81"/>
      <c r="ICV81"/>
      <c r="ICW81"/>
      <c r="ICX81"/>
      <c r="ICY81"/>
      <c r="ICZ81"/>
      <c r="IDA81"/>
      <c r="IDB81"/>
      <c r="IDC81"/>
      <c r="IDD81"/>
      <c r="IDE81"/>
      <c r="IDF81"/>
      <c r="IDG81"/>
      <c r="IDH81"/>
      <c r="IDI81"/>
      <c r="IDJ81"/>
      <c r="IDK81"/>
      <c r="IDL81"/>
      <c r="IDM81"/>
      <c r="IDN81"/>
      <c r="IDO81"/>
      <c r="IDP81"/>
      <c r="IDQ81"/>
      <c r="IDR81"/>
      <c r="IDS81"/>
      <c r="IDT81"/>
      <c r="IDU81"/>
      <c r="IDV81"/>
      <c r="IDW81"/>
      <c r="IDX81"/>
      <c r="IDY81"/>
      <c r="IDZ81"/>
      <c r="IEA81"/>
      <c r="IEB81"/>
      <c r="IEC81"/>
      <c r="IED81"/>
      <c r="IEE81"/>
      <c r="IEF81"/>
      <c r="IEG81"/>
      <c r="IEH81"/>
      <c r="IEI81"/>
      <c r="IEJ81"/>
      <c r="IEK81"/>
      <c r="IEL81"/>
      <c r="IEM81"/>
      <c r="IEN81"/>
      <c r="IEO81"/>
      <c r="IEP81"/>
      <c r="IEQ81"/>
      <c r="IER81"/>
      <c r="IES81"/>
      <c r="IET81"/>
      <c r="IEU81"/>
      <c r="IEV81"/>
      <c r="IEW81"/>
      <c r="IEX81"/>
      <c r="IEY81"/>
      <c r="IEZ81"/>
      <c r="IFA81"/>
      <c r="IFB81"/>
      <c r="IFC81"/>
      <c r="IFD81"/>
      <c r="IFE81"/>
      <c r="IFF81"/>
      <c r="IFG81"/>
      <c r="IFH81"/>
      <c r="IFI81"/>
      <c r="IFJ81"/>
      <c r="IFK81"/>
      <c r="IFL81"/>
      <c r="IFM81"/>
      <c r="IFN81"/>
      <c r="IFO81"/>
      <c r="IFP81"/>
      <c r="IFQ81"/>
      <c r="IFR81"/>
      <c r="IFS81"/>
      <c r="IFT81"/>
      <c r="IFU81"/>
      <c r="IFV81"/>
      <c r="IFW81"/>
      <c r="IFX81"/>
      <c r="IFY81"/>
      <c r="IFZ81"/>
      <c r="IGA81"/>
      <c r="IGB81"/>
      <c r="IGC81"/>
      <c r="IGD81"/>
      <c r="IGE81"/>
      <c r="IGF81"/>
      <c r="IGG81"/>
      <c r="IGH81"/>
      <c r="IGI81"/>
      <c r="IGJ81"/>
      <c r="IGK81"/>
      <c r="IGL81"/>
      <c r="IGM81"/>
      <c r="IGN81"/>
      <c r="IGO81"/>
      <c r="IGP81"/>
      <c r="IGQ81"/>
      <c r="IGR81"/>
      <c r="IGS81"/>
      <c r="IGT81"/>
      <c r="IGU81"/>
      <c r="IGV81"/>
      <c r="IGW81"/>
      <c r="IGX81"/>
      <c r="IGY81"/>
      <c r="IGZ81"/>
      <c r="IHA81"/>
      <c r="IHB81"/>
      <c r="IHC81"/>
      <c r="IHD81"/>
      <c r="IHE81"/>
      <c r="IHF81"/>
      <c r="IHG81"/>
      <c r="IHH81"/>
      <c r="IHI81"/>
      <c r="IHJ81"/>
      <c r="IHK81"/>
      <c r="IHL81"/>
      <c r="IHM81"/>
      <c r="IHN81"/>
      <c r="IHO81"/>
      <c r="IHP81"/>
      <c r="IHQ81"/>
      <c r="IHR81"/>
      <c r="IHS81"/>
      <c r="IHT81"/>
      <c r="IHU81"/>
      <c r="IHV81"/>
      <c r="IHW81"/>
      <c r="IHX81"/>
      <c r="IHY81"/>
      <c r="IHZ81"/>
      <c r="IIA81"/>
      <c r="IIB81"/>
      <c r="IIC81"/>
      <c r="IID81"/>
      <c r="IIE81"/>
      <c r="IIF81"/>
      <c r="IIG81"/>
      <c r="IIH81"/>
      <c r="III81"/>
      <c r="IIJ81"/>
      <c r="IIK81"/>
      <c r="IIL81"/>
      <c r="IIM81"/>
      <c r="IIN81"/>
      <c r="IIO81"/>
      <c r="IIP81"/>
      <c r="IIQ81"/>
      <c r="IIR81"/>
      <c r="IIS81"/>
      <c r="IIT81"/>
      <c r="IIU81"/>
      <c r="IIV81"/>
      <c r="IIW81"/>
      <c r="IIX81"/>
      <c r="IIY81"/>
      <c r="IIZ81"/>
      <c r="IJA81"/>
      <c r="IJB81"/>
      <c r="IJC81"/>
      <c r="IJD81"/>
      <c r="IJE81"/>
      <c r="IJF81"/>
      <c r="IJG81"/>
      <c r="IJH81"/>
      <c r="IJI81"/>
      <c r="IJJ81"/>
      <c r="IJK81"/>
      <c r="IJL81"/>
      <c r="IJM81"/>
      <c r="IJN81"/>
      <c r="IJO81"/>
      <c r="IJP81"/>
      <c r="IJQ81"/>
      <c r="IJR81"/>
      <c r="IJS81"/>
      <c r="IJT81"/>
      <c r="IJU81"/>
      <c r="IJV81"/>
      <c r="IJW81"/>
      <c r="IJX81"/>
      <c r="IJY81"/>
      <c r="IJZ81"/>
      <c r="IKA81"/>
      <c r="IKB81"/>
      <c r="IKC81"/>
      <c r="IKD81"/>
      <c r="IKE81"/>
      <c r="IKF81"/>
      <c r="IKG81"/>
      <c r="IKH81"/>
      <c r="IKI81"/>
      <c r="IKJ81"/>
      <c r="IKK81"/>
      <c r="IKL81"/>
      <c r="IKM81"/>
      <c r="IKN81"/>
      <c r="IKO81"/>
      <c r="IKP81"/>
      <c r="IKQ81"/>
      <c r="IKR81"/>
      <c r="IKS81"/>
      <c r="IKT81"/>
      <c r="IKU81"/>
      <c r="IKV81"/>
      <c r="IKW81"/>
      <c r="IKX81"/>
      <c r="IKY81"/>
      <c r="IKZ81"/>
      <c r="ILA81"/>
      <c r="ILB81"/>
      <c r="ILC81"/>
      <c r="ILD81"/>
      <c r="ILE81"/>
      <c r="ILF81"/>
      <c r="ILG81"/>
      <c r="ILH81"/>
      <c r="ILI81"/>
      <c r="ILJ81"/>
      <c r="ILK81"/>
      <c r="ILL81"/>
      <c r="ILM81"/>
      <c r="ILN81"/>
      <c r="ILO81"/>
      <c r="ILP81"/>
      <c r="ILQ81"/>
      <c r="ILR81"/>
      <c r="ILS81"/>
      <c r="ILT81"/>
      <c r="ILU81"/>
      <c r="ILV81"/>
      <c r="ILW81"/>
      <c r="ILX81"/>
      <c r="ILY81"/>
      <c r="ILZ81"/>
      <c r="IMA81"/>
      <c r="IMB81"/>
      <c r="IMC81"/>
      <c r="IMD81"/>
      <c r="IME81"/>
      <c r="IMF81"/>
      <c r="IMG81"/>
      <c r="IMH81"/>
      <c r="IMI81"/>
      <c r="IMJ81"/>
      <c r="IMK81"/>
      <c r="IML81"/>
      <c r="IMM81"/>
      <c r="IMN81"/>
      <c r="IMO81"/>
      <c r="IMP81"/>
      <c r="IMQ81"/>
      <c r="IMR81"/>
      <c r="IMS81"/>
      <c r="IMT81"/>
      <c r="IMU81"/>
      <c r="IMV81"/>
      <c r="IMW81"/>
      <c r="IMX81"/>
      <c r="IMY81"/>
      <c r="IMZ81"/>
      <c r="INA81"/>
      <c r="INB81"/>
      <c r="INC81"/>
      <c r="IND81"/>
      <c r="INE81"/>
      <c r="INF81"/>
      <c r="ING81"/>
      <c r="INH81"/>
      <c r="INI81"/>
      <c r="INJ81"/>
      <c r="INK81"/>
      <c r="INL81"/>
      <c r="INM81"/>
      <c r="INN81"/>
      <c r="INO81"/>
      <c r="INP81"/>
      <c r="INQ81"/>
      <c r="INR81"/>
      <c r="INS81"/>
      <c r="INT81"/>
      <c r="INU81"/>
      <c r="INV81"/>
      <c r="INW81"/>
      <c r="INX81"/>
      <c r="INY81"/>
      <c r="INZ81"/>
      <c r="IOA81"/>
      <c r="IOB81"/>
      <c r="IOC81"/>
      <c r="IOD81"/>
      <c r="IOE81"/>
      <c r="IOF81"/>
      <c r="IOG81"/>
      <c r="IOH81"/>
      <c r="IOI81"/>
      <c r="IOJ81"/>
      <c r="IOK81"/>
      <c r="IOL81"/>
      <c r="IOM81"/>
      <c r="ION81"/>
      <c r="IOO81"/>
      <c r="IOP81"/>
      <c r="IOQ81"/>
      <c r="IOR81"/>
      <c r="IOS81"/>
      <c r="IOT81"/>
      <c r="IOU81"/>
      <c r="IOV81"/>
      <c r="IOW81"/>
      <c r="IOX81"/>
      <c r="IOY81"/>
      <c r="IOZ81"/>
      <c r="IPA81"/>
      <c r="IPB81"/>
      <c r="IPC81"/>
      <c r="IPD81"/>
      <c r="IPE81"/>
      <c r="IPF81"/>
      <c r="IPG81"/>
      <c r="IPH81"/>
      <c r="IPI81"/>
      <c r="IPJ81"/>
      <c r="IPK81"/>
      <c r="IPL81"/>
      <c r="IPM81"/>
      <c r="IPN81"/>
      <c r="IPO81"/>
      <c r="IPP81"/>
      <c r="IPQ81"/>
      <c r="IPR81"/>
      <c r="IPS81"/>
      <c r="IPT81"/>
      <c r="IPU81"/>
      <c r="IPV81"/>
      <c r="IPW81"/>
      <c r="IPX81"/>
      <c r="IPY81"/>
      <c r="IPZ81"/>
      <c r="IQA81"/>
      <c r="IQB81"/>
      <c r="IQC81"/>
      <c r="IQD81"/>
      <c r="IQE81"/>
      <c r="IQF81"/>
      <c r="IQG81"/>
      <c r="IQH81"/>
      <c r="IQI81"/>
      <c r="IQJ81"/>
      <c r="IQK81"/>
      <c r="IQL81"/>
      <c r="IQM81"/>
      <c r="IQN81"/>
      <c r="IQO81"/>
      <c r="IQP81"/>
      <c r="IQQ81"/>
      <c r="IQR81"/>
      <c r="IQS81"/>
      <c r="IQT81"/>
      <c r="IQU81"/>
      <c r="IQV81"/>
      <c r="IQW81"/>
      <c r="IQX81"/>
      <c r="IQY81"/>
      <c r="IQZ81"/>
      <c r="IRA81"/>
      <c r="IRB81"/>
      <c r="IRC81"/>
      <c r="IRD81"/>
      <c r="IRE81"/>
      <c r="IRF81"/>
      <c r="IRG81"/>
      <c r="IRH81"/>
      <c r="IRI81"/>
      <c r="IRJ81"/>
      <c r="IRK81"/>
      <c r="IRL81"/>
      <c r="IRM81"/>
      <c r="IRN81"/>
      <c r="IRO81"/>
      <c r="IRP81"/>
      <c r="IRQ81"/>
      <c r="IRR81"/>
      <c r="IRS81"/>
      <c r="IRT81"/>
      <c r="IRU81"/>
      <c r="IRV81"/>
      <c r="IRW81"/>
      <c r="IRX81"/>
      <c r="IRY81"/>
      <c r="IRZ81"/>
      <c r="ISA81"/>
      <c r="ISB81"/>
      <c r="ISC81"/>
      <c r="ISD81"/>
      <c r="ISE81"/>
      <c r="ISF81"/>
      <c r="ISG81"/>
      <c r="ISH81"/>
      <c r="ISI81"/>
      <c r="ISJ81"/>
      <c r="ISK81"/>
      <c r="ISL81"/>
      <c r="ISM81"/>
      <c r="ISN81"/>
      <c r="ISO81"/>
      <c r="ISP81"/>
      <c r="ISQ81"/>
      <c r="ISR81"/>
      <c r="ISS81"/>
      <c r="IST81"/>
      <c r="ISU81"/>
      <c r="ISV81"/>
      <c r="ISW81"/>
      <c r="ISX81"/>
      <c r="ISY81"/>
      <c r="ISZ81"/>
      <c r="ITA81"/>
      <c r="ITB81"/>
      <c r="ITC81"/>
      <c r="ITD81"/>
      <c r="ITE81"/>
      <c r="ITF81"/>
      <c r="ITG81"/>
      <c r="ITH81"/>
      <c r="ITI81"/>
      <c r="ITJ81"/>
      <c r="ITK81"/>
      <c r="ITL81"/>
      <c r="ITM81"/>
      <c r="ITN81"/>
      <c r="ITO81"/>
      <c r="ITP81"/>
      <c r="ITQ81"/>
      <c r="ITR81"/>
      <c r="ITS81"/>
      <c r="ITT81"/>
      <c r="ITU81"/>
      <c r="ITV81"/>
      <c r="ITW81"/>
      <c r="ITX81"/>
      <c r="ITY81"/>
      <c r="ITZ81"/>
      <c r="IUA81"/>
      <c r="IUB81"/>
      <c r="IUC81"/>
      <c r="IUD81"/>
      <c r="IUE81"/>
      <c r="IUF81"/>
      <c r="IUG81"/>
      <c r="IUH81"/>
      <c r="IUI81"/>
      <c r="IUJ81"/>
      <c r="IUK81"/>
      <c r="IUL81"/>
      <c r="IUM81"/>
      <c r="IUN81"/>
      <c r="IUO81"/>
      <c r="IUP81"/>
      <c r="IUQ81"/>
      <c r="IUR81"/>
      <c r="IUS81"/>
      <c r="IUT81"/>
      <c r="IUU81"/>
      <c r="IUV81"/>
      <c r="IUW81"/>
      <c r="IUX81"/>
      <c r="IUY81"/>
      <c r="IUZ81"/>
      <c r="IVA81"/>
      <c r="IVB81"/>
      <c r="IVC81"/>
      <c r="IVD81"/>
      <c r="IVE81"/>
      <c r="IVF81"/>
      <c r="IVG81"/>
      <c r="IVH81"/>
      <c r="IVI81"/>
      <c r="IVJ81"/>
      <c r="IVK81"/>
      <c r="IVL81"/>
      <c r="IVM81"/>
      <c r="IVN81"/>
      <c r="IVO81"/>
      <c r="IVP81"/>
      <c r="IVQ81"/>
      <c r="IVR81"/>
      <c r="IVS81"/>
      <c r="IVT81"/>
      <c r="IVU81"/>
      <c r="IVV81"/>
      <c r="IVW81"/>
      <c r="IVX81"/>
      <c r="IVY81"/>
      <c r="IVZ81"/>
      <c r="IWA81"/>
      <c r="IWB81"/>
      <c r="IWC81"/>
      <c r="IWD81"/>
      <c r="IWE81"/>
      <c r="IWF81"/>
      <c r="IWG81"/>
      <c r="IWH81"/>
      <c r="IWI81"/>
      <c r="IWJ81"/>
      <c r="IWK81"/>
      <c r="IWL81"/>
      <c r="IWM81"/>
      <c r="IWN81"/>
      <c r="IWO81"/>
      <c r="IWP81"/>
      <c r="IWQ81"/>
      <c r="IWR81"/>
      <c r="IWS81"/>
      <c r="IWT81"/>
      <c r="IWU81"/>
      <c r="IWV81"/>
      <c r="IWW81"/>
      <c r="IWX81"/>
      <c r="IWY81"/>
      <c r="IWZ81"/>
      <c r="IXA81"/>
      <c r="IXB81"/>
      <c r="IXC81"/>
      <c r="IXD81"/>
      <c r="IXE81"/>
      <c r="IXF81"/>
      <c r="IXG81"/>
      <c r="IXH81"/>
      <c r="IXI81"/>
      <c r="IXJ81"/>
      <c r="IXK81"/>
      <c r="IXL81"/>
      <c r="IXM81"/>
      <c r="IXN81"/>
      <c r="IXO81"/>
      <c r="IXP81"/>
      <c r="IXQ81"/>
      <c r="IXR81"/>
      <c r="IXS81"/>
      <c r="IXT81"/>
      <c r="IXU81"/>
      <c r="IXV81"/>
      <c r="IXW81"/>
      <c r="IXX81"/>
      <c r="IXY81"/>
      <c r="IXZ81"/>
      <c r="IYA81"/>
      <c r="IYB81"/>
      <c r="IYC81"/>
      <c r="IYD81"/>
      <c r="IYE81"/>
      <c r="IYF81"/>
      <c r="IYG81"/>
      <c r="IYH81"/>
      <c r="IYI81"/>
      <c r="IYJ81"/>
      <c r="IYK81"/>
      <c r="IYL81"/>
      <c r="IYM81"/>
      <c r="IYN81"/>
      <c r="IYO81"/>
      <c r="IYP81"/>
      <c r="IYQ81"/>
      <c r="IYR81"/>
      <c r="IYS81"/>
      <c r="IYT81"/>
      <c r="IYU81"/>
      <c r="IYV81"/>
      <c r="IYW81"/>
      <c r="IYX81"/>
      <c r="IYY81"/>
      <c r="IYZ81"/>
      <c r="IZA81"/>
      <c r="IZB81"/>
      <c r="IZC81"/>
      <c r="IZD81"/>
      <c r="IZE81"/>
      <c r="IZF81"/>
      <c r="IZG81"/>
      <c r="IZH81"/>
      <c r="IZI81"/>
      <c r="IZJ81"/>
      <c r="IZK81"/>
      <c r="IZL81"/>
      <c r="IZM81"/>
      <c r="IZN81"/>
      <c r="IZO81"/>
      <c r="IZP81"/>
      <c r="IZQ81"/>
      <c r="IZR81"/>
      <c r="IZS81"/>
      <c r="IZT81"/>
      <c r="IZU81"/>
      <c r="IZV81"/>
      <c r="IZW81"/>
      <c r="IZX81"/>
      <c r="IZY81"/>
      <c r="IZZ81"/>
      <c r="JAA81"/>
      <c r="JAB81"/>
      <c r="JAC81"/>
      <c r="JAD81"/>
      <c r="JAE81"/>
      <c r="JAF81"/>
      <c r="JAG81"/>
      <c r="JAH81"/>
      <c r="JAI81"/>
      <c r="JAJ81"/>
      <c r="JAK81"/>
      <c r="JAL81"/>
      <c r="JAM81"/>
      <c r="JAN81"/>
      <c r="JAO81"/>
      <c r="JAP81"/>
      <c r="JAQ81"/>
      <c r="JAR81"/>
      <c r="JAS81"/>
      <c r="JAT81"/>
      <c r="JAU81"/>
      <c r="JAV81"/>
      <c r="JAW81"/>
      <c r="JAX81"/>
      <c r="JAY81"/>
      <c r="JAZ81"/>
      <c r="JBA81"/>
      <c r="JBB81"/>
      <c r="JBC81"/>
      <c r="JBD81"/>
      <c r="JBE81"/>
      <c r="JBF81"/>
      <c r="JBG81"/>
      <c r="JBH81"/>
      <c r="JBI81"/>
      <c r="JBJ81"/>
      <c r="JBK81"/>
      <c r="JBL81"/>
      <c r="JBM81"/>
      <c r="JBN81"/>
      <c r="JBO81"/>
      <c r="JBP81"/>
      <c r="JBQ81"/>
      <c r="JBR81"/>
      <c r="JBS81"/>
      <c r="JBT81"/>
      <c r="JBU81"/>
      <c r="JBV81"/>
      <c r="JBW81"/>
      <c r="JBX81"/>
      <c r="JBY81"/>
      <c r="JBZ81"/>
      <c r="JCA81"/>
      <c r="JCB81"/>
      <c r="JCC81"/>
      <c r="JCD81"/>
      <c r="JCE81"/>
      <c r="JCF81"/>
      <c r="JCG81"/>
      <c r="JCH81"/>
      <c r="JCI81"/>
      <c r="JCJ81"/>
      <c r="JCK81"/>
      <c r="JCL81"/>
      <c r="JCM81"/>
      <c r="JCN81"/>
      <c r="JCO81"/>
      <c r="JCP81"/>
      <c r="JCQ81"/>
      <c r="JCR81"/>
      <c r="JCS81"/>
      <c r="JCT81"/>
      <c r="JCU81"/>
      <c r="JCV81"/>
      <c r="JCW81"/>
      <c r="JCX81"/>
      <c r="JCY81"/>
      <c r="JCZ81"/>
      <c r="JDA81"/>
      <c r="JDB81"/>
      <c r="JDC81"/>
      <c r="JDD81"/>
      <c r="JDE81"/>
      <c r="JDF81"/>
      <c r="JDG81"/>
      <c r="JDH81"/>
      <c r="JDI81"/>
      <c r="JDJ81"/>
      <c r="JDK81"/>
      <c r="JDL81"/>
      <c r="JDM81"/>
      <c r="JDN81"/>
      <c r="JDO81"/>
      <c r="JDP81"/>
      <c r="JDQ81"/>
      <c r="JDR81"/>
      <c r="JDS81"/>
      <c r="JDT81"/>
      <c r="JDU81"/>
      <c r="JDV81"/>
      <c r="JDW81"/>
      <c r="JDX81"/>
      <c r="JDY81"/>
      <c r="JDZ81"/>
      <c r="JEA81"/>
      <c r="JEB81"/>
      <c r="JEC81"/>
      <c r="JED81"/>
      <c r="JEE81"/>
      <c r="JEF81"/>
      <c r="JEG81"/>
      <c r="JEH81"/>
      <c r="JEI81"/>
      <c r="JEJ81"/>
      <c r="JEK81"/>
      <c r="JEL81"/>
      <c r="JEM81"/>
      <c r="JEN81"/>
      <c r="JEO81"/>
      <c r="JEP81"/>
      <c r="JEQ81"/>
      <c r="JER81"/>
      <c r="JES81"/>
      <c r="JET81"/>
      <c r="JEU81"/>
      <c r="JEV81"/>
      <c r="JEW81"/>
      <c r="JEX81"/>
      <c r="JEY81"/>
      <c r="JEZ81"/>
      <c r="JFA81"/>
      <c r="JFB81"/>
      <c r="JFC81"/>
      <c r="JFD81"/>
      <c r="JFE81"/>
      <c r="JFF81"/>
      <c r="JFG81"/>
      <c r="JFH81"/>
      <c r="JFI81"/>
      <c r="JFJ81"/>
      <c r="JFK81"/>
      <c r="JFL81"/>
      <c r="JFM81"/>
      <c r="JFN81"/>
      <c r="JFO81"/>
      <c r="JFP81"/>
      <c r="JFQ81"/>
      <c r="JFR81"/>
      <c r="JFS81"/>
      <c r="JFT81"/>
      <c r="JFU81"/>
      <c r="JFV81"/>
      <c r="JFW81"/>
      <c r="JFX81"/>
      <c r="JFY81"/>
      <c r="JFZ81"/>
      <c r="JGA81"/>
      <c r="JGB81"/>
      <c r="JGC81"/>
      <c r="JGD81"/>
      <c r="JGE81"/>
      <c r="JGF81"/>
      <c r="JGG81"/>
      <c r="JGH81"/>
      <c r="JGI81"/>
      <c r="JGJ81"/>
      <c r="JGK81"/>
      <c r="JGL81"/>
      <c r="JGM81"/>
      <c r="JGN81"/>
      <c r="JGO81"/>
      <c r="JGP81"/>
      <c r="JGQ81"/>
      <c r="JGR81"/>
      <c r="JGS81"/>
      <c r="JGT81"/>
      <c r="JGU81"/>
      <c r="JGV81"/>
      <c r="JGW81"/>
      <c r="JGX81"/>
      <c r="JGY81"/>
      <c r="JGZ81"/>
      <c r="JHA81"/>
      <c r="JHB81"/>
      <c r="JHC81"/>
      <c r="JHD81"/>
      <c r="JHE81"/>
      <c r="JHF81"/>
      <c r="JHG81"/>
      <c r="JHH81"/>
      <c r="JHI81"/>
      <c r="JHJ81"/>
      <c r="JHK81"/>
      <c r="JHL81"/>
      <c r="JHM81"/>
      <c r="JHN81"/>
      <c r="JHO81"/>
      <c r="JHP81"/>
      <c r="JHQ81"/>
      <c r="JHR81"/>
      <c r="JHS81"/>
      <c r="JHT81"/>
      <c r="JHU81"/>
      <c r="JHV81"/>
      <c r="JHW81"/>
      <c r="JHX81"/>
      <c r="JHY81"/>
      <c r="JHZ81"/>
      <c r="JIA81"/>
      <c r="JIB81"/>
      <c r="JIC81"/>
      <c r="JID81"/>
      <c r="JIE81"/>
      <c r="JIF81"/>
      <c r="JIG81"/>
      <c r="JIH81"/>
      <c r="JII81"/>
      <c r="JIJ81"/>
      <c r="JIK81"/>
      <c r="JIL81"/>
      <c r="JIM81"/>
      <c r="JIN81"/>
      <c r="JIO81"/>
      <c r="JIP81"/>
      <c r="JIQ81"/>
      <c r="JIR81"/>
      <c r="JIS81"/>
      <c r="JIT81"/>
      <c r="JIU81"/>
      <c r="JIV81"/>
      <c r="JIW81"/>
      <c r="JIX81"/>
      <c r="JIY81"/>
      <c r="JIZ81"/>
      <c r="JJA81"/>
      <c r="JJB81"/>
      <c r="JJC81"/>
      <c r="JJD81"/>
      <c r="JJE81"/>
      <c r="JJF81"/>
      <c r="JJG81"/>
      <c r="JJH81"/>
      <c r="JJI81"/>
      <c r="JJJ81"/>
      <c r="JJK81"/>
      <c r="JJL81"/>
      <c r="JJM81"/>
      <c r="JJN81"/>
      <c r="JJO81"/>
      <c r="JJP81"/>
      <c r="JJQ81"/>
      <c r="JJR81"/>
      <c r="JJS81"/>
      <c r="JJT81"/>
      <c r="JJU81"/>
      <c r="JJV81"/>
      <c r="JJW81"/>
      <c r="JJX81"/>
      <c r="JJY81"/>
      <c r="JJZ81"/>
      <c r="JKA81"/>
      <c r="JKB81"/>
      <c r="JKC81"/>
      <c r="JKD81"/>
      <c r="JKE81"/>
      <c r="JKF81"/>
      <c r="JKG81"/>
      <c r="JKH81"/>
      <c r="JKI81"/>
      <c r="JKJ81"/>
      <c r="JKK81"/>
      <c r="JKL81"/>
      <c r="JKM81"/>
      <c r="JKN81"/>
      <c r="JKO81"/>
      <c r="JKP81"/>
      <c r="JKQ81"/>
      <c r="JKR81"/>
      <c r="JKS81"/>
      <c r="JKT81"/>
      <c r="JKU81"/>
      <c r="JKV81"/>
      <c r="JKW81"/>
      <c r="JKX81"/>
      <c r="JKY81"/>
      <c r="JKZ81"/>
      <c r="JLA81"/>
      <c r="JLB81"/>
      <c r="JLC81"/>
      <c r="JLD81"/>
      <c r="JLE81"/>
      <c r="JLF81"/>
      <c r="JLG81"/>
      <c r="JLH81"/>
      <c r="JLI81"/>
      <c r="JLJ81"/>
      <c r="JLK81"/>
      <c r="JLL81"/>
      <c r="JLM81"/>
      <c r="JLN81"/>
      <c r="JLO81"/>
      <c r="JLP81"/>
      <c r="JLQ81"/>
      <c r="JLR81"/>
      <c r="JLS81"/>
      <c r="JLT81"/>
      <c r="JLU81"/>
      <c r="JLV81"/>
      <c r="JLW81"/>
      <c r="JLX81"/>
      <c r="JLY81"/>
      <c r="JLZ81"/>
      <c r="JMA81"/>
      <c r="JMB81"/>
      <c r="JMC81"/>
      <c r="JMD81"/>
      <c r="JME81"/>
      <c r="JMF81"/>
      <c r="JMG81"/>
      <c r="JMH81"/>
      <c r="JMI81"/>
      <c r="JMJ81"/>
      <c r="JMK81"/>
      <c r="JML81"/>
      <c r="JMM81"/>
      <c r="JMN81"/>
      <c r="JMO81"/>
      <c r="JMP81"/>
      <c r="JMQ81"/>
      <c r="JMR81"/>
      <c r="JMS81"/>
      <c r="JMT81"/>
      <c r="JMU81"/>
      <c r="JMV81"/>
      <c r="JMW81"/>
      <c r="JMX81"/>
      <c r="JMY81"/>
      <c r="JMZ81"/>
      <c r="JNA81"/>
      <c r="JNB81"/>
      <c r="JNC81"/>
      <c r="JND81"/>
      <c r="JNE81"/>
      <c r="JNF81"/>
      <c r="JNG81"/>
      <c r="JNH81"/>
      <c r="JNI81"/>
      <c r="JNJ81"/>
      <c r="JNK81"/>
      <c r="JNL81"/>
      <c r="JNM81"/>
      <c r="JNN81"/>
      <c r="JNO81"/>
      <c r="JNP81"/>
      <c r="JNQ81"/>
      <c r="JNR81"/>
      <c r="JNS81"/>
      <c r="JNT81"/>
      <c r="JNU81"/>
      <c r="JNV81"/>
      <c r="JNW81"/>
      <c r="JNX81"/>
      <c r="JNY81"/>
      <c r="JNZ81"/>
      <c r="JOA81"/>
      <c r="JOB81"/>
      <c r="JOC81"/>
      <c r="JOD81"/>
      <c r="JOE81"/>
      <c r="JOF81"/>
      <c r="JOG81"/>
      <c r="JOH81"/>
      <c r="JOI81"/>
      <c r="JOJ81"/>
      <c r="JOK81"/>
      <c r="JOL81"/>
      <c r="JOM81"/>
      <c r="JON81"/>
      <c r="JOO81"/>
      <c r="JOP81"/>
      <c r="JOQ81"/>
      <c r="JOR81"/>
      <c r="JOS81"/>
      <c r="JOT81"/>
      <c r="JOU81"/>
      <c r="JOV81"/>
      <c r="JOW81"/>
      <c r="JOX81"/>
      <c r="JOY81"/>
      <c r="JOZ81"/>
      <c r="JPA81"/>
      <c r="JPB81"/>
      <c r="JPC81"/>
      <c r="JPD81"/>
      <c r="JPE81"/>
      <c r="JPF81"/>
      <c r="JPG81"/>
      <c r="JPH81"/>
      <c r="JPI81"/>
      <c r="JPJ81"/>
      <c r="JPK81"/>
      <c r="JPL81"/>
      <c r="JPM81"/>
      <c r="JPN81"/>
      <c r="JPO81"/>
      <c r="JPP81"/>
      <c r="JPQ81"/>
      <c r="JPR81"/>
      <c r="JPS81"/>
      <c r="JPT81"/>
      <c r="JPU81"/>
      <c r="JPV81"/>
      <c r="JPW81"/>
      <c r="JPX81"/>
      <c r="JPY81"/>
      <c r="JPZ81"/>
      <c r="JQA81"/>
      <c r="JQB81"/>
      <c r="JQC81"/>
      <c r="JQD81"/>
      <c r="JQE81"/>
      <c r="JQF81"/>
      <c r="JQG81"/>
      <c r="JQH81"/>
      <c r="JQI81"/>
      <c r="JQJ81"/>
      <c r="JQK81"/>
      <c r="JQL81"/>
      <c r="JQM81"/>
      <c r="JQN81"/>
      <c r="JQO81"/>
      <c r="JQP81"/>
      <c r="JQQ81"/>
      <c r="JQR81"/>
      <c r="JQS81"/>
      <c r="JQT81"/>
      <c r="JQU81"/>
      <c r="JQV81"/>
      <c r="JQW81"/>
      <c r="JQX81"/>
      <c r="JQY81"/>
      <c r="JQZ81"/>
      <c r="JRA81"/>
      <c r="JRB81"/>
      <c r="JRC81"/>
      <c r="JRD81"/>
      <c r="JRE81"/>
      <c r="JRF81"/>
      <c r="JRG81"/>
      <c r="JRH81"/>
      <c r="JRI81"/>
      <c r="JRJ81"/>
      <c r="JRK81"/>
      <c r="JRL81"/>
      <c r="JRM81"/>
      <c r="JRN81"/>
      <c r="JRO81"/>
      <c r="JRP81"/>
      <c r="JRQ81"/>
      <c r="JRR81"/>
      <c r="JRS81"/>
      <c r="JRT81"/>
      <c r="JRU81"/>
      <c r="JRV81"/>
      <c r="JRW81"/>
      <c r="JRX81"/>
      <c r="JRY81"/>
      <c r="JRZ81"/>
      <c r="JSA81"/>
      <c r="JSB81"/>
      <c r="JSC81"/>
      <c r="JSD81"/>
      <c r="JSE81"/>
      <c r="JSF81"/>
      <c r="JSG81"/>
      <c r="JSH81"/>
      <c r="JSI81"/>
      <c r="JSJ81"/>
      <c r="JSK81"/>
      <c r="JSL81"/>
      <c r="JSM81"/>
      <c r="JSN81"/>
      <c r="JSO81"/>
      <c r="JSP81"/>
      <c r="JSQ81"/>
      <c r="JSR81"/>
      <c r="JSS81"/>
      <c r="JST81"/>
      <c r="JSU81"/>
      <c r="JSV81"/>
      <c r="JSW81"/>
      <c r="JSX81"/>
      <c r="JSY81"/>
      <c r="JSZ81"/>
      <c r="JTA81"/>
      <c r="JTB81"/>
      <c r="JTC81"/>
      <c r="JTD81"/>
      <c r="JTE81"/>
      <c r="JTF81"/>
      <c r="JTG81"/>
      <c r="JTH81"/>
      <c r="JTI81"/>
      <c r="JTJ81"/>
      <c r="JTK81"/>
      <c r="JTL81"/>
      <c r="JTM81"/>
      <c r="JTN81"/>
      <c r="JTO81"/>
      <c r="JTP81"/>
      <c r="JTQ81"/>
      <c r="JTR81"/>
      <c r="JTS81"/>
      <c r="JTT81"/>
      <c r="JTU81"/>
      <c r="JTV81"/>
      <c r="JTW81"/>
      <c r="JTX81"/>
      <c r="JTY81"/>
      <c r="JTZ81"/>
      <c r="JUA81"/>
      <c r="JUB81"/>
      <c r="JUC81"/>
      <c r="JUD81"/>
      <c r="JUE81"/>
      <c r="JUF81"/>
      <c r="JUG81"/>
      <c r="JUH81"/>
      <c r="JUI81"/>
      <c r="JUJ81"/>
      <c r="JUK81"/>
      <c r="JUL81"/>
      <c r="JUM81"/>
      <c r="JUN81"/>
      <c r="JUO81"/>
      <c r="JUP81"/>
      <c r="JUQ81"/>
      <c r="JUR81"/>
      <c r="JUS81"/>
      <c r="JUT81"/>
      <c r="JUU81"/>
      <c r="JUV81"/>
      <c r="JUW81"/>
      <c r="JUX81"/>
      <c r="JUY81"/>
      <c r="JUZ81"/>
      <c r="JVA81"/>
      <c r="JVB81"/>
      <c r="JVC81"/>
      <c r="JVD81"/>
      <c r="JVE81"/>
      <c r="JVF81"/>
      <c r="JVG81"/>
      <c r="JVH81"/>
      <c r="JVI81"/>
      <c r="JVJ81"/>
      <c r="JVK81"/>
      <c r="JVL81"/>
      <c r="JVM81"/>
      <c r="JVN81"/>
      <c r="JVO81"/>
      <c r="JVP81"/>
      <c r="JVQ81"/>
      <c r="JVR81"/>
      <c r="JVS81"/>
      <c r="JVT81"/>
      <c r="JVU81"/>
      <c r="JVV81"/>
      <c r="JVW81"/>
      <c r="JVX81"/>
      <c r="JVY81"/>
      <c r="JVZ81"/>
      <c r="JWA81"/>
      <c r="JWB81"/>
      <c r="JWC81"/>
      <c r="JWD81"/>
      <c r="JWE81"/>
      <c r="JWF81"/>
      <c r="JWG81"/>
      <c r="JWH81"/>
      <c r="JWI81"/>
      <c r="JWJ81"/>
      <c r="JWK81"/>
      <c r="JWL81"/>
      <c r="JWM81"/>
      <c r="JWN81"/>
      <c r="JWO81"/>
      <c r="JWP81"/>
      <c r="JWQ81"/>
      <c r="JWR81"/>
      <c r="JWS81"/>
      <c r="JWT81"/>
      <c r="JWU81"/>
      <c r="JWV81"/>
      <c r="JWW81"/>
      <c r="JWX81"/>
      <c r="JWY81"/>
      <c r="JWZ81"/>
      <c r="JXA81"/>
      <c r="JXB81"/>
      <c r="JXC81"/>
      <c r="JXD81"/>
      <c r="JXE81"/>
      <c r="JXF81"/>
      <c r="JXG81"/>
      <c r="JXH81"/>
      <c r="JXI81"/>
      <c r="JXJ81"/>
      <c r="JXK81"/>
      <c r="JXL81"/>
      <c r="JXM81"/>
      <c r="JXN81"/>
      <c r="JXO81"/>
      <c r="JXP81"/>
      <c r="JXQ81"/>
      <c r="JXR81"/>
      <c r="JXS81"/>
      <c r="JXT81"/>
      <c r="JXU81"/>
      <c r="JXV81"/>
      <c r="JXW81"/>
      <c r="JXX81"/>
      <c r="JXY81"/>
      <c r="JXZ81"/>
      <c r="JYA81"/>
      <c r="JYB81"/>
      <c r="JYC81"/>
      <c r="JYD81"/>
      <c r="JYE81"/>
      <c r="JYF81"/>
      <c r="JYG81"/>
      <c r="JYH81"/>
      <c r="JYI81"/>
      <c r="JYJ81"/>
      <c r="JYK81"/>
      <c r="JYL81"/>
      <c r="JYM81"/>
      <c r="JYN81"/>
      <c r="JYO81"/>
      <c r="JYP81"/>
      <c r="JYQ81"/>
      <c r="JYR81"/>
      <c r="JYS81"/>
      <c r="JYT81"/>
      <c r="JYU81"/>
      <c r="JYV81"/>
      <c r="JYW81"/>
      <c r="JYX81"/>
      <c r="JYY81"/>
      <c r="JYZ81"/>
      <c r="JZA81"/>
      <c r="JZB81"/>
      <c r="JZC81"/>
      <c r="JZD81"/>
      <c r="JZE81"/>
      <c r="JZF81"/>
      <c r="JZG81"/>
      <c r="JZH81"/>
      <c r="JZI81"/>
      <c r="JZJ81"/>
      <c r="JZK81"/>
      <c r="JZL81"/>
      <c r="JZM81"/>
      <c r="JZN81"/>
      <c r="JZO81"/>
      <c r="JZP81"/>
      <c r="JZQ81"/>
      <c r="JZR81"/>
      <c r="JZS81"/>
      <c r="JZT81"/>
      <c r="JZU81"/>
      <c r="JZV81"/>
      <c r="JZW81"/>
      <c r="JZX81"/>
      <c r="JZY81"/>
      <c r="JZZ81"/>
      <c r="KAA81"/>
      <c r="KAB81"/>
      <c r="KAC81"/>
      <c r="KAD81"/>
      <c r="KAE81"/>
      <c r="KAF81"/>
      <c r="KAG81"/>
      <c r="KAH81"/>
      <c r="KAI81"/>
      <c r="KAJ81"/>
      <c r="KAK81"/>
      <c r="KAL81"/>
      <c r="KAM81"/>
      <c r="KAN81"/>
      <c r="KAO81"/>
      <c r="KAP81"/>
      <c r="KAQ81"/>
      <c r="KAR81"/>
      <c r="KAS81"/>
      <c r="KAT81"/>
      <c r="KAU81"/>
      <c r="KAV81"/>
      <c r="KAW81"/>
      <c r="KAX81"/>
      <c r="KAY81"/>
      <c r="KAZ81"/>
      <c r="KBA81"/>
      <c r="KBB81"/>
      <c r="KBC81"/>
      <c r="KBD81"/>
      <c r="KBE81"/>
      <c r="KBF81"/>
      <c r="KBG81"/>
      <c r="KBH81"/>
      <c r="KBI81"/>
      <c r="KBJ81"/>
      <c r="KBK81"/>
      <c r="KBL81"/>
      <c r="KBM81"/>
      <c r="KBN81"/>
      <c r="KBO81"/>
      <c r="KBP81"/>
      <c r="KBQ81"/>
      <c r="KBR81"/>
      <c r="KBS81"/>
      <c r="KBT81"/>
      <c r="KBU81"/>
      <c r="KBV81"/>
      <c r="KBW81"/>
      <c r="KBX81"/>
      <c r="KBY81"/>
      <c r="KBZ81"/>
      <c r="KCA81"/>
      <c r="KCB81"/>
      <c r="KCC81"/>
      <c r="KCD81"/>
      <c r="KCE81"/>
      <c r="KCF81"/>
      <c r="KCG81"/>
      <c r="KCH81"/>
      <c r="KCI81"/>
      <c r="KCJ81"/>
      <c r="KCK81"/>
      <c r="KCL81"/>
      <c r="KCM81"/>
      <c r="KCN81"/>
      <c r="KCO81"/>
      <c r="KCP81"/>
      <c r="KCQ81"/>
      <c r="KCR81"/>
      <c r="KCS81"/>
      <c r="KCT81"/>
      <c r="KCU81"/>
      <c r="KCV81"/>
      <c r="KCW81"/>
      <c r="KCX81"/>
      <c r="KCY81"/>
      <c r="KCZ81"/>
      <c r="KDA81"/>
      <c r="KDB81"/>
      <c r="KDC81"/>
      <c r="KDD81"/>
      <c r="KDE81"/>
      <c r="KDF81"/>
      <c r="KDG81"/>
      <c r="KDH81"/>
      <c r="KDI81"/>
      <c r="KDJ81"/>
      <c r="KDK81"/>
      <c r="KDL81"/>
      <c r="KDM81"/>
      <c r="KDN81"/>
      <c r="KDO81"/>
      <c r="KDP81"/>
      <c r="KDQ81"/>
      <c r="KDR81"/>
      <c r="KDS81"/>
      <c r="KDT81"/>
      <c r="KDU81"/>
      <c r="KDV81"/>
      <c r="KDW81"/>
      <c r="KDX81"/>
      <c r="KDY81"/>
      <c r="KDZ81"/>
      <c r="KEA81"/>
      <c r="KEB81"/>
      <c r="KEC81"/>
      <c r="KED81"/>
      <c r="KEE81"/>
      <c r="KEF81"/>
      <c r="KEG81"/>
      <c r="KEH81"/>
      <c r="KEI81"/>
      <c r="KEJ81"/>
      <c r="KEK81"/>
      <c r="KEL81"/>
      <c r="KEM81"/>
      <c r="KEN81"/>
      <c r="KEO81"/>
      <c r="KEP81"/>
      <c r="KEQ81"/>
      <c r="KER81"/>
      <c r="KES81"/>
      <c r="KET81"/>
      <c r="KEU81"/>
      <c r="KEV81"/>
      <c r="KEW81"/>
      <c r="KEX81"/>
      <c r="KEY81"/>
      <c r="KEZ81"/>
      <c r="KFA81"/>
      <c r="KFB81"/>
      <c r="KFC81"/>
      <c r="KFD81"/>
      <c r="KFE81"/>
      <c r="KFF81"/>
      <c r="KFG81"/>
      <c r="KFH81"/>
      <c r="KFI81"/>
      <c r="KFJ81"/>
      <c r="KFK81"/>
      <c r="KFL81"/>
      <c r="KFM81"/>
      <c r="KFN81"/>
      <c r="KFO81"/>
      <c r="KFP81"/>
      <c r="KFQ81"/>
      <c r="KFR81"/>
      <c r="KFS81"/>
      <c r="KFT81"/>
      <c r="KFU81"/>
      <c r="KFV81"/>
      <c r="KFW81"/>
      <c r="KFX81"/>
      <c r="KFY81"/>
      <c r="KFZ81"/>
      <c r="KGA81"/>
      <c r="KGB81"/>
      <c r="KGC81"/>
      <c r="KGD81"/>
      <c r="KGE81"/>
      <c r="KGF81"/>
      <c r="KGG81"/>
      <c r="KGH81"/>
      <c r="KGI81"/>
      <c r="KGJ81"/>
      <c r="KGK81"/>
      <c r="KGL81"/>
      <c r="KGM81"/>
      <c r="KGN81"/>
      <c r="KGO81"/>
      <c r="KGP81"/>
      <c r="KGQ81"/>
      <c r="KGR81"/>
      <c r="KGS81"/>
      <c r="KGT81"/>
      <c r="KGU81"/>
      <c r="KGV81"/>
      <c r="KGW81"/>
      <c r="KGX81"/>
      <c r="KGY81"/>
      <c r="KGZ81"/>
      <c r="KHA81"/>
      <c r="KHB81"/>
      <c r="KHC81"/>
      <c r="KHD81"/>
      <c r="KHE81"/>
      <c r="KHF81"/>
      <c r="KHG81"/>
      <c r="KHH81"/>
      <c r="KHI81"/>
      <c r="KHJ81"/>
      <c r="KHK81"/>
      <c r="KHL81"/>
      <c r="KHM81"/>
      <c r="KHN81"/>
      <c r="KHO81"/>
      <c r="KHP81"/>
      <c r="KHQ81"/>
      <c r="KHR81"/>
      <c r="KHS81"/>
      <c r="KHT81"/>
      <c r="KHU81"/>
      <c r="KHV81"/>
      <c r="KHW81"/>
      <c r="KHX81"/>
      <c r="KHY81"/>
      <c r="KHZ81"/>
      <c r="KIA81"/>
      <c r="KIB81"/>
      <c r="KIC81"/>
      <c r="KID81"/>
      <c r="KIE81"/>
      <c r="KIF81"/>
      <c r="KIG81"/>
      <c r="KIH81"/>
      <c r="KII81"/>
      <c r="KIJ81"/>
      <c r="KIK81"/>
      <c r="KIL81"/>
      <c r="KIM81"/>
      <c r="KIN81"/>
      <c r="KIO81"/>
      <c r="KIP81"/>
      <c r="KIQ81"/>
      <c r="KIR81"/>
      <c r="KIS81"/>
      <c r="KIT81"/>
      <c r="KIU81"/>
      <c r="KIV81"/>
      <c r="KIW81"/>
      <c r="KIX81"/>
      <c r="KIY81"/>
      <c r="KIZ81"/>
      <c r="KJA81"/>
      <c r="KJB81"/>
      <c r="KJC81"/>
      <c r="KJD81"/>
      <c r="KJE81"/>
      <c r="KJF81"/>
      <c r="KJG81"/>
      <c r="KJH81"/>
      <c r="KJI81"/>
      <c r="KJJ81"/>
      <c r="KJK81"/>
      <c r="KJL81"/>
      <c r="KJM81"/>
      <c r="KJN81"/>
      <c r="KJO81"/>
      <c r="KJP81"/>
      <c r="KJQ81"/>
      <c r="KJR81"/>
      <c r="KJS81"/>
      <c r="KJT81"/>
      <c r="KJU81"/>
      <c r="KJV81"/>
      <c r="KJW81"/>
      <c r="KJX81"/>
      <c r="KJY81"/>
      <c r="KJZ81"/>
      <c r="KKA81"/>
      <c r="KKB81"/>
      <c r="KKC81"/>
      <c r="KKD81"/>
      <c r="KKE81"/>
      <c r="KKF81"/>
      <c r="KKG81"/>
      <c r="KKH81"/>
      <c r="KKI81"/>
      <c r="KKJ81"/>
      <c r="KKK81"/>
      <c r="KKL81"/>
      <c r="KKM81"/>
      <c r="KKN81"/>
      <c r="KKO81"/>
      <c r="KKP81"/>
      <c r="KKQ81"/>
      <c r="KKR81"/>
      <c r="KKS81"/>
      <c r="KKT81"/>
      <c r="KKU81"/>
      <c r="KKV81"/>
      <c r="KKW81"/>
      <c r="KKX81"/>
      <c r="KKY81"/>
      <c r="KKZ81"/>
      <c r="KLA81"/>
      <c r="KLB81"/>
      <c r="KLC81"/>
      <c r="KLD81"/>
      <c r="KLE81"/>
      <c r="KLF81"/>
      <c r="KLG81"/>
      <c r="KLH81"/>
      <c r="KLI81"/>
      <c r="KLJ81"/>
      <c r="KLK81"/>
      <c r="KLL81"/>
      <c r="KLM81"/>
      <c r="KLN81"/>
      <c r="KLO81"/>
      <c r="KLP81"/>
      <c r="KLQ81"/>
      <c r="KLR81"/>
      <c r="KLS81"/>
      <c r="KLT81"/>
      <c r="KLU81"/>
      <c r="KLV81"/>
      <c r="KLW81"/>
      <c r="KLX81"/>
      <c r="KLY81"/>
      <c r="KLZ81"/>
      <c r="KMA81"/>
      <c r="KMB81"/>
      <c r="KMC81"/>
      <c r="KMD81"/>
      <c r="KME81"/>
      <c r="KMF81"/>
      <c r="KMG81"/>
      <c r="KMH81"/>
      <c r="KMI81"/>
      <c r="KMJ81"/>
      <c r="KMK81"/>
      <c r="KML81"/>
      <c r="KMM81"/>
      <c r="KMN81"/>
      <c r="KMO81"/>
      <c r="KMP81"/>
      <c r="KMQ81"/>
      <c r="KMR81"/>
      <c r="KMS81"/>
      <c r="KMT81"/>
      <c r="KMU81"/>
      <c r="KMV81"/>
      <c r="KMW81"/>
      <c r="KMX81"/>
      <c r="KMY81"/>
      <c r="KMZ81"/>
      <c r="KNA81"/>
      <c r="KNB81"/>
      <c r="KNC81"/>
      <c r="KND81"/>
      <c r="KNE81"/>
      <c r="KNF81"/>
      <c r="KNG81"/>
      <c r="KNH81"/>
      <c r="KNI81"/>
      <c r="KNJ81"/>
      <c r="KNK81"/>
      <c r="KNL81"/>
      <c r="KNM81"/>
      <c r="KNN81"/>
      <c r="KNO81"/>
      <c r="KNP81"/>
      <c r="KNQ81"/>
      <c r="KNR81"/>
      <c r="KNS81"/>
      <c r="KNT81"/>
      <c r="KNU81"/>
      <c r="KNV81"/>
      <c r="KNW81"/>
      <c r="KNX81"/>
      <c r="KNY81"/>
      <c r="KNZ81"/>
      <c r="KOA81"/>
      <c r="KOB81"/>
      <c r="KOC81"/>
      <c r="KOD81"/>
      <c r="KOE81"/>
      <c r="KOF81"/>
      <c r="KOG81"/>
      <c r="KOH81"/>
      <c r="KOI81"/>
      <c r="KOJ81"/>
      <c r="KOK81"/>
      <c r="KOL81"/>
      <c r="KOM81"/>
      <c r="KON81"/>
      <c r="KOO81"/>
      <c r="KOP81"/>
      <c r="KOQ81"/>
      <c r="KOR81"/>
      <c r="KOS81"/>
      <c r="KOT81"/>
      <c r="KOU81"/>
      <c r="KOV81"/>
      <c r="KOW81"/>
      <c r="KOX81"/>
      <c r="KOY81"/>
      <c r="KOZ81"/>
      <c r="KPA81"/>
      <c r="KPB81"/>
      <c r="KPC81"/>
      <c r="KPD81"/>
      <c r="KPE81"/>
      <c r="KPF81"/>
      <c r="KPG81"/>
      <c r="KPH81"/>
      <c r="KPI81"/>
      <c r="KPJ81"/>
      <c r="KPK81"/>
      <c r="KPL81"/>
      <c r="KPM81"/>
      <c r="KPN81"/>
      <c r="KPO81"/>
      <c r="KPP81"/>
      <c r="KPQ81"/>
      <c r="KPR81"/>
      <c r="KPS81"/>
      <c r="KPT81"/>
      <c r="KPU81"/>
      <c r="KPV81"/>
      <c r="KPW81"/>
      <c r="KPX81"/>
      <c r="KPY81"/>
      <c r="KPZ81"/>
      <c r="KQA81"/>
      <c r="KQB81"/>
      <c r="KQC81"/>
      <c r="KQD81"/>
      <c r="KQE81"/>
      <c r="KQF81"/>
      <c r="KQG81"/>
      <c r="KQH81"/>
      <c r="KQI81"/>
      <c r="KQJ81"/>
      <c r="KQK81"/>
      <c r="KQL81"/>
      <c r="KQM81"/>
      <c r="KQN81"/>
      <c r="KQO81"/>
      <c r="KQP81"/>
      <c r="KQQ81"/>
      <c r="KQR81"/>
      <c r="KQS81"/>
      <c r="KQT81"/>
      <c r="KQU81"/>
      <c r="KQV81"/>
      <c r="KQW81"/>
      <c r="KQX81"/>
      <c r="KQY81"/>
      <c r="KQZ81"/>
      <c r="KRA81"/>
      <c r="KRB81"/>
      <c r="KRC81"/>
      <c r="KRD81"/>
      <c r="KRE81"/>
      <c r="KRF81"/>
      <c r="KRG81"/>
      <c r="KRH81"/>
      <c r="KRI81"/>
      <c r="KRJ81"/>
      <c r="KRK81"/>
      <c r="KRL81"/>
      <c r="KRM81"/>
      <c r="KRN81"/>
      <c r="KRO81"/>
      <c r="KRP81"/>
      <c r="KRQ81"/>
      <c r="KRR81"/>
      <c r="KRS81"/>
      <c r="KRT81"/>
      <c r="KRU81"/>
      <c r="KRV81"/>
      <c r="KRW81"/>
      <c r="KRX81"/>
      <c r="KRY81"/>
      <c r="KRZ81"/>
      <c r="KSA81"/>
      <c r="KSB81"/>
      <c r="KSC81"/>
      <c r="KSD81"/>
      <c r="KSE81"/>
      <c r="KSF81"/>
      <c r="KSG81"/>
      <c r="KSH81"/>
      <c r="KSI81"/>
      <c r="KSJ81"/>
      <c r="KSK81"/>
      <c r="KSL81"/>
      <c r="KSM81"/>
      <c r="KSN81"/>
      <c r="KSO81"/>
      <c r="KSP81"/>
      <c r="KSQ81"/>
      <c r="KSR81"/>
      <c r="KSS81"/>
      <c r="KST81"/>
      <c r="KSU81"/>
      <c r="KSV81"/>
      <c r="KSW81"/>
      <c r="KSX81"/>
      <c r="KSY81"/>
      <c r="KSZ81"/>
      <c r="KTA81"/>
      <c r="KTB81"/>
      <c r="KTC81"/>
      <c r="KTD81"/>
      <c r="KTE81"/>
      <c r="KTF81"/>
      <c r="KTG81"/>
      <c r="KTH81"/>
      <c r="KTI81"/>
      <c r="KTJ81"/>
      <c r="KTK81"/>
      <c r="KTL81"/>
      <c r="KTM81"/>
      <c r="KTN81"/>
      <c r="KTO81"/>
      <c r="KTP81"/>
      <c r="KTQ81"/>
      <c r="KTR81"/>
      <c r="KTS81"/>
      <c r="KTT81"/>
      <c r="KTU81"/>
      <c r="KTV81"/>
      <c r="KTW81"/>
      <c r="KTX81"/>
      <c r="KTY81"/>
      <c r="KTZ81"/>
      <c r="KUA81"/>
      <c r="KUB81"/>
      <c r="KUC81"/>
      <c r="KUD81"/>
      <c r="KUE81"/>
      <c r="KUF81"/>
      <c r="KUG81"/>
      <c r="KUH81"/>
      <c r="KUI81"/>
      <c r="KUJ81"/>
      <c r="KUK81"/>
      <c r="KUL81"/>
      <c r="KUM81"/>
      <c r="KUN81"/>
      <c r="KUO81"/>
      <c r="KUP81"/>
      <c r="KUQ81"/>
      <c r="KUR81"/>
      <c r="KUS81"/>
      <c r="KUT81"/>
      <c r="KUU81"/>
      <c r="KUV81"/>
      <c r="KUW81"/>
      <c r="KUX81"/>
      <c r="KUY81"/>
      <c r="KUZ81"/>
      <c r="KVA81"/>
      <c r="KVB81"/>
      <c r="KVC81"/>
      <c r="KVD81"/>
      <c r="KVE81"/>
      <c r="KVF81"/>
      <c r="KVG81"/>
      <c r="KVH81"/>
      <c r="KVI81"/>
      <c r="KVJ81"/>
      <c r="KVK81"/>
      <c r="KVL81"/>
      <c r="KVM81"/>
      <c r="KVN81"/>
      <c r="KVO81"/>
      <c r="KVP81"/>
      <c r="KVQ81"/>
      <c r="KVR81"/>
      <c r="KVS81"/>
      <c r="KVT81"/>
      <c r="KVU81"/>
      <c r="KVV81"/>
      <c r="KVW81"/>
      <c r="KVX81"/>
      <c r="KVY81"/>
      <c r="KVZ81"/>
      <c r="KWA81"/>
      <c r="KWB81"/>
      <c r="KWC81"/>
      <c r="KWD81"/>
      <c r="KWE81"/>
      <c r="KWF81"/>
      <c r="KWG81"/>
      <c r="KWH81"/>
      <c r="KWI81"/>
      <c r="KWJ81"/>
      <c r="KWK81"/>
      <c r="KWL81"/>
      <c r="KWM81"/>
      <c r="KWN81"/>
      <c r="KWO81"/>
      <c r="KWP81"/>
      <c r="KWQ81"/>
      <c r="KWR81"/>
      <c r="KWS81"/>
      <c r="KWT81"/>
      <c r="KWU81"/>
      <c r="KWV81"/>
      <c r="KWW81"/>
      <c r="KWX81"/>
      <c r="KWY81"/>
      <c r="KWZ81"/>
      <c r="KXA81"/>
      <c r="KXB81"/>
      <c r="KXC81"/>
      <c r="KXD81"/>
      <c r="KXE81"/>
      <c r="KXF81"/>
      <c r="KXG81"/>
      <c r="KXH81"/>
      <c r="KXI81"/>
      <c r="KXJ81"/>
      <c r="KXK81"/>
      <c r="KXL81"/>
      <c r="KXM81"/>
      <c r="KXN81"/>
      <c r="KXO81"/>
      <c r="KXP81"/>
      <c r="KXQ81"/>
      <c r="KXR81"/>
      <c r="KXS81"/>
      <c r="KXT81"/>
      <c r="KXU81"/>
      <c r="KXV81"/>
      <c r="KXW81"/>
      <c r="KXX81"/>
      <c r="KXY81"/>
      <c r="KXZ81"/>
      <c r="KYA81"/>
      <c r="KYB81"/>
      <c r="KYC81"/>
      <c r="KYD81"/>
      <c r="KYE81"/>
      <c r="KYF81"/>
      <c r="KYG81"/>
      <c r="KYH81"/>
      <c r="KYI81"/>
      <c r="KYJ81"/>
      <c r="KYK81"/>
      <c r="KYL81"/>
      <c r="KYM81"/>
      <c r="KYN81"/>
      <c r="KYO81"/>
      <c r="KYP81"/>
      <c r="KYQ81"/>
      <c r="KYR81"/>
      <c r="KYS81"/>
      <c r="KYT81"/>
      <c r="KYU81"/>
      <c r="KYV81"/>
      <c r="KYW81"/>
      <c r="KYX81"/>
      <c r="KYY81"/>
      <c r="KYZ81"/>
      <c r="KZA81"/>
      <c r="KZB81"/>
      <c r="KZC81"/>
      <c r="KZD81"/>
      <c r="KZE81"/>
      <c r="KZF81"/>
      <c r="KZG81"/>
      <c r="KZH81"/>
      <c r="KZI81"/>
      <c r="KZJ81"/>
      <c r="KZK81"/>
      <c r="KZL81"/>
      <c r="KZM81"/>
      <c r="KZN81"/>
      <c r="KZO81"/>
      <c r="KZP81"/>
      <c r="KZQ81"/>
      <c r="KZR81"/>
      <c r="KZS81"/>
      <c r="KZT81"/>
      <c r="KZU81"/>
      <c r="KZV81"/>
      <c r="KZW81"/>
      <c r="KZX81"/>
      <c r="KZY81"/>
      <c r="KZZ81"/>
      <c r="LAA81"/>
      <c r="LAB81"/>
      <c r="LAC81"/>
      <c r="LAD81"/>
      <c r="LAE81"/>
      <c r="LAF81"/>
      <c r="LAG81"/>
      <c r="LAH81"/>
      <c r="LAI81"/>
      <c r="LAJ81"/>
      <c r="LAK81"/>
      <c r="LAL81"/>
      <c r="LAM81"/>
      <c r="LAN81"/>
      <c r="LAO81"/>
      <c r="LAP81"/>
      <c r="LAQ81"/>
      <c r="LAR81"/>
      <c r="LAS81"/>
      <c r="LAT81"/>
      <c r="LAU81"/>
      <c r="LAV81"/>
      <c r="LAW81"/>
      <c r="LAX81"/>
      <c r="LAY81"/>
      <c r="LAZ81"/>
      <c r="LBA81"/>
      <c r="LBB81"/>
      <c r="LBC81"/>
      <c r="LBD81"/>
      <c r="LBE81"/>
      <c r="LBF81"/>
      <c r="LBG81"/>
      <c r="LBH81"/>
      <c r="LBI81"/>
      <c r="LBJ81"/>
      <c r="LBK81"/>
      <c r="LBL81"/>
      <c r="LBM81"/>
      <c r="LBN81"/>
      <c r="LBO81"/>
      <c r="LBP81"/>
      <c r="LBQ81"/>
      <c r="LBR81"/>
      <c r="LBS81"/>
      <c r="LBT81"/>
      <c r="LBU81"/>
      <c r="LBV81"/>
      <c r="LBW81"/>
      <c r="LBX81"/>
      <c r="LBY81"/>
      <c r="LBZ81"/>
      <c r="LCA81"/>
      <c r="LCB81"/>
      <c r="LCC81"/>
      <c r="LCD81"/>
      <c r="LCE81"/>
      <c r="LCF81"/>
      <c r="LCG81"/>
      <c r="LCH81"/>
      <c r="LCI81"/>
      <c r="LCJ81"/>
      <c r="LCK81"/>
      <c r="LCL81"/>
      <c r="LCM81"/>
      <c r="LCN81"/>
      <c r="LCO81"/>
      <c r="LCP81"/>
      <c r="LCQ81"/>
      <c r="LCR81"/>
      <c r="LCS81"/>
      <c r="LCT81"/>
      <c r="LCU81"/>
      <c r="LCV81"/>
      <c r="LCW81"/>
      <c r="LCX81"/>
      <c r="LCY81"/>
      <c r="LCZ81"/>
      <c r="LDA81"/>
      <c r="LDB81"/>
      <c r="LDC81"/>
      <c r="LDD81"/>
      <c r="LDE81"/>
      <c r="LDF81"/>
      <c r="LDG81"/>
      <c r="LDH81"/>
      <c r="LDI81"/>
      <c r="LDJ81"/>
      <c r="LDK81"/>
      <c r="LDL81"/>
      <c r="LDM81"/>
      <c r="LDN81"/>
      <c r="LDO81"/>
      <c r="LDP81"/>
      <c r="LDQ81"/>
      <c r="LDR81"/>
      <c r="LDS81"/>
      <c r="LDT81"/>
      <c r="LDU81"/>
      <c r="LDV81"/>
      <c r="LDW81"/>
      <c r="LDX81"/>
      <c r="LDY81"/>
      <c r="LDZ81"/>
      <c r="LEA81"/>
      <c r="LEB81"/>
      <c r="LEC81"/>
      <c r="LED81"/>
      <c r="LEE81"/>
      <c r="LEF81"/>
      <c r="LEG81"/>
      <c r="LEH81"/>
      <c r="LEI81"/>
      <c r="LEJ81"/>
      <c r="LEK81"/>
      <c r="LEL81"/>
      <c r="LEM81"/>
      <c r="LEN81"/>
      <c r="LEO81"/>
      <c r="LEP81"/>
      <c r="LEQ81"/>
      <c r="LER81"/>
      <c r="LES81"/>
      <c r="LET81"/>
      <c r="LEU81"/>
      <c r="LEV81"/>
      <c r="LEW81"/>
      <c r="LEX81"/>
      <c r="LEY81"/>
      <c r="LEZ81"/>
      <c r="LFA81"/>
      <c r="LFB81"/>
      <c r="LFC81"/>
      <c r="LFD81"/>
      <c r="LFE81"/>
      <c r="LFF81"/>
      <c r="LFG81"/>
      <c r="LFH81"/>
      <c r="LFI81"/>
      <c r="LFJ81"/>
      <c r="LFK81"/>
      <c r="LFL81"/>
      <c r="LFM81"/>
      <c r="LFN81"/>
      <c r="LFO81"/>
      <c r="LFP81"/>
      <c r="LFQ81"/>
      <c r="LFR81"/>
      <c r="LFS81"/>
      <c r="LFT81"/>
      <c r="LFU81"/>
      <c r="LFV81"/>
      <c r="LFW81"/>
      <c r="LFX81"/>
      <c r="LFY81"/>
      <c r="LFZ81"/>
      <c r="LGA81"/>
      <c r="LGB81"/>
      <c r="LGC81"/>
      <c r="LGD81"/>
      <c r="LGE81"/>
      <c r="LGF81"/>
      <c r="LGG81"/>
      <c r="LGH81"/>
      <c r="LGI81"/>
      <c r="LGJ81"/>
      <c r="LGK81"/>
      <c r="LGL81"/>
      <c r="LGM81"/>
      <c r="LGN81"/>
      <c r="LGO81"/>
      <c r="LGP81"/>
      <c r="LGQ81"/>
      <c r="LGR81"/>
      <c r="LGS81"/>
      <c r="LGT81"/>
      <c r="LGU81"/>
      <c r="LGV81"/>
      <c r="LGW81"/>
      <c r="LGX81"/>
      <c r="LGY81"/>
      <c r="LGZ81"/>
      <c r="LHA81"/>
      <c r="LHB81"/>
      <c r="LHC81"/>
      <c r="LHD81"/>
      <c r="LHE81"/>
      <c r="LHF81"/>
      <c r="LHG81"/>
      <c r="LHH81"/>
      <c r="LHI81"/>
      <c r="LHJ81"/>
      <c r="LHK81"/>
      <c r="LHL81"/>
      <c r="LHM81"/>
      <c r="LHN81"/>
      <c r="LHO81"/>
      <c r="LHP81"/>
      <c r="LHQ81"/>
      <c r="LHR81"/>
      <c r="LHS81"/>
      <c r="LHT81"/>
      <c r="LHU81"/>
      <c r="LHV81"/>
      <c r="LHW81"/>
      <c r="LHX81"/>
      <c r="LHY81"/>
      <c r="LHZ81"/>
      <c r="LIA81"/>
      <c r="LIB81"/>
      <c r="LIC81"/>
      <c r="LID81"/>
      <c r="LIE81"/>
      <c r="LIF81"/>
      <c r="LIG81"/>
      <c r="LIH81"/>
      <c r="LII81"/>
      <c r="LIJ81"/>
      <c r="LIK81"/>
      <c r="LIL81"/>
      <c r="LIM81"/>
      <c r="LIN81"/>
      <c r="LIO81"/>
      <c r="LIP81"/>
      <c r="LIQ81"/>
      <c r="LIR81"/>
      <c r="LIS81"/>
      <c r="LIT81"/>
      <c r="LIU81"/>
      <c r="LIV81"/>
      <c r="LIW81"/>
      <c r="LIX81"/>
      <c r="LIY81"/>
      <c r="LIZ81"/>
      <c r="LJA81"/>
      <c r="LJB81"/>
      <c r="LJC81"/>
      <c r="LJD81"/>
      <c r="LJE81"/>
      <c r="LJF81"/>
      <c r="LJG81"/>
      <c r="LJH81"/>
      <c r="LJI81"/>
      <c r="LJJ81"/>
      <c r="LJK81"/>
      <c r="LJL81"/>
      <c r="LJM81"/>
      <c r="LJN81"/>
      <c r="LJO81"/>
      <c r="LJP81"/>
      <c r="LJQ81"/>
      <c r="LJR81"/>
      <c r="LJS81"/>
      <c r="LJT81"/>
      <c r="LJU81"/>
      <c r="LJV81"/>
      <c r="LJW81"/>
      <c r="LJX81"/>
      <c r="LJY81"/>
      <c r="LJZ81"/>
      <c r="LKA81"/>
      <c r="LKB81"/>
      <c r="LKC81"/>
      <c r="LKD81"/>
      <c r="LKE81"/>
      <c r="LKF81"/>
      <c r="LKG81"/>
      <c r="LKH81"/>
      <c r="LKI81"/>
      <c r="LKJ81"/>
      <c r="LKK81"/>
      <c r="LKL81"/>
      <c r="LKM81"/>
      <c r="LKN81"/>
      <c r="LKO81"/>
      <c r="LKP81"/>
      <c r="LKQ81"/>
      <c r="LKR81"/>
      <c r="LKS81"/>
      <c r="LKT81"/>
      <c r="LKU81"/>
      <c r="LKV81"/>
      <c r="LKW81"/>
      <c r="LKX81"/>
      <c r="LKY81"/>
      <c r="LKZ81"/>
      <c r="LLA81"/>
      <c r="LLB81"/>
      <c r="LLC81"/>
      <c r="LLD81"/>
      <c r="LLE81"/>
      <c r="LLF81"/>
      <c r="LLG81"/>
      <c r="LLH81"/>
      <c r="LLI81"/>
      <c r="LLJ81"/>
      <c r="LLK81"/>
      <c r="LLL81"/>
      <c r="LLM81"/>
      <c r="LLN81"/>
      <c r="LLO81"/>
      <c r="LLP81"/>
      <c r="LLQ81"/>
      <c r="LLR81"/>
      <c r="LLS81"/>
      <c r="LLT81"/>
      <c r="LLU81"/>
      <c r="LLV81"/>
      <c r="LLW81"/>
      <c r="LLX81"/>
      <c r="LLY81"/>
      <c r="LLZ81"/>
      <c r="LMA81"/>
      <c r="LMB81"/>
      <c r="LMC81"/>
      <c r="LMD81"/>
      <c r="LME81"/>
      <c r="LMF81"/>
      <c r="LMG81"/>
      <c r="LMH81"/>
      <c r="LMI81"/>
      <c r="LMJ81"/>
      <c r="LMK81"/>
      <c r="LML81"/>
      <c r="LMM81"/>
      <c r="LMN81"/>
      <c r="LMO81"/>
      <c r="LMP81"/>
      <c r="LMQ81"/>
      <c r="LMR81"/>
      <c r="LMS81"/>
      <c r="LMT81"/>
      <c r="LMU81"/>
      <c r="LMV81"/>
      <c r="LMW81"/>
      <c r="LMX81"/>
      <c r="LMY81"/>
      <c r="LMZ81"/>
      <c r="LNA81"/>
      <c r="LNB81"/>
      <c r="LNC81"/>
      <c r="LND81"/>
      <c r="LNE81"/>
      <c r="LNF81"/>
      <c r="LNG81"/>
      <c r="LNH81"/>
      <c r="LNI81"/>
      <c r="LNJ81"/>
      <c r="LNK81"/>
      <c r="LNL81"/>
      <c r="LNM81"/>
      <c r="LNN81"/>
      <c r="LNO81"/>
      <c r="LNP81"/>
      <c r="LNQ81"/>
      <c r="LNR81"/>
      <c r="LNS81"/>
      <c r="LNT81"/>
      <c r="LNU81"/>
      <c r="LNV81"/>
      <c r="LNW81"/>
      <c r="LNX81"/>
      <c r="LNY81"/>
      <c r="LNZ81"/>
      <c r="LOA81"/>
      <c r="LOB81"/>
      <c r="LOC81"/>
      <c r="LOD81"/>
      <c r="LOE81"/>
      <c r="LOF81"/>
      <c r="LOG81"/>
      <c r="LOH81"/>
      <c r="LOI81"/>
      <c r="LOJ81"/>
      <c r="LOK81"/>
      <c r="LOL81"/>
      <c r="LOM81"/>
      <c r="LON81"/>
      <c r="LOO81"/>
      <c r="LOP81"/>
      <c r="LOQ81"/>
      <c r="LOR81"/>
      <c r="LOS81"/>
      <c r="LOT81"/>
      <c r="LOU81"/>
      <c r="LOV81"/>
      <c r="LOW81"/>
      <c r="LOX81"/>
      <c r="LOY81"/>
      <c r="LOZ81"/>
      <c r="LPA81"/>
      <c r="LPB81"/>
      <c r="LPC81"/>
      <c r="LPD81"/>
      <c r="LPE81"/>
      <c r="LPF81"/>
      <c r="LPG81"/>
      <c r="LPH81"/>
      <c r="LPI81"/>
      <c r="LPJ81"/>
      <c r="LPK81"/>
      <c r="LPL81"/>
      <c r="LPM81"/>
      <c r="LPN81"/>
      <c r="LPO81"/>
      <c r="LPP81"/>
      <c r="LPQ81"/>
      <c r="LPR81"/>
      <c r="LPS81"/>
      <c r="LPT81"/>
      <c r="LPU81"/>
      <c r="LPV81"/>
      <c r="LPW81"/>
      <c r="LPX81"/>
      <c r="LPY81"/>
      <c r="LPZ81"/>
      <c r="LQA81"/>
      <c r="LQB81"/>
      <c r="LQC81"/>
      <c r="LQD81"/>
      <c r="LQE81"/>
      <c r="LQF81"/>
      <c r="LQG81"/>
      <c r="LQH81"/>
      <c r="LQI81"/>
      <c r="LQJ81"/>
      <c r="LQK81"/>
      <c r="LQL81"/>
      <c r="LQM81"/>
      <c r="LQN81"/>
      <c r="LQO81"/>
      <c r="LQP81"/>
      <c r="LQQ81"/>
      <c r="LQR81"/>
      <c r="LQS81"/>
      <c r="LQT81"/>
      <c r="LQU81"/>
      <c r="LQV81"/>
      <c r="LQW81"/>
      <c r="LQX81"/>
      <c r="LQY81"/>
      <c r="LQZ81"/>
      <c r="LRA81"/>
      <c r="LRB81"/>
      <c r="LRC81"/>
      <c r="LRD81"/>
      <c r="LRE81"/>
      <c r="LRF81"/>
      <c r="LRG81"/>
      <c r="LRH81"/>
      <c r="LRI81"/>
      <c r="LRJ81"/>
      <c r="LRK81"/>
      <c r="LRL81"/>
      <c r="LRM81"/>
      <c r="LRN81"/>
      <c r="LRO81"/>
      <c r="LRP81"/>
      <c r="LRQ81"/>
      <c r="LRR81"/>
      <c r="LRS81"/>
      <c r="LRT81"/>
      <c r="LRU81"/>
      <c r="LRV81"/>
      <c r="LRW81"/>
      <c r="LRX81"/>
      <c r="LRY81"/>
      <c r="LRZ81"/>
      <c r="LSA81"/>
      <c r="LSB81"/>
      <c r="LSC81"/>
      <c r="LSD81"/>
      <c r="LSE81"/>
      <c r="LSF81"/>
      <c r="LSG81"/>
      <c r="LSH81"/>
      <c r="LSI81"/>
      <c r="LSJ81"/>
      <c r="LSK81"/>
      <c r="LSL81"/>
      <c r="LSM81"/>
      <c r="LSN81"/>
      <c r="LSO81"/>
      <c r="LSP81"/>
      <c r="LSQ81"/>
      <c r="LSR81"/>
      <c r="LSS81"/>
      <c r="LST81"/>
      <c r="LSU81"/>
      <c r="LSV81"/>
      <c r="LSW81"/>
      <c r="LSX81"/>
      <c r="LSY81"/>
      <c r="LSZ81"/>
      <c r="LTA81"/>
      <c r="LTB81"/>
      <c r="LTC81"/>
      <c r="LTD81"/>
      <c r="LTE81"/>
      <c r="LTF81"/>
      <c r="LTG81"/>
      <c r="LTH81"/>
      <c r="LTI81"/>
      <c r="LTJ81"/>
      <c r="LTK81"/>
      <c r="LTL81"/>
      <c r="LTM81"/>
      <c r="LTN81"/>
      <c r="LTO81"/>
      <c r="LTP81"/>
      <c r="LTQ81"/>
      <c r="LTR81"/>
      <c r="LTS81"/>
      <c r="LTT81"/>
      <c r="LTU81"/>
      <c r="LTV81"/>
      <c r="LTW81"/>
      <c r="LTX81"/>
      <c r="LTY81"/>
      <c r="LTZ81"/>
      <c r="LUA81"/>
      <c r="LUB81"/>
      <c r="LUC81"/>
      <c r="LUD81"/>
      <c r="LUE81"/>
      <c r="LUF81"/>
      <c r="LUG81"/>
      <c r="LUH81"/>
      <c r="LUI81"/>
      <c r="LUJ81"/>
      <c r="LUK81"/>
      <c r="LUL81"/>
      <c r="LUM81"/>
      <c r="LUN81"/>
      <c r="LUO81"/>
      <c r="LUP81"/>
      <c r="LUQ81"/>
      <c r="LUR81"/>
      <c r="LUS81"/>
      <c r="LUT81"/>
      <c r="LUU81"/>
      <c r="LUV81"/>
      <c r="LUW81"/>
      <c r="LUX81"/>
      <c r="LUY81"/>
      <c r="LUZ81"/>
      <c r="LVA81"/>
      <c r="LVB81"/>
      <c r="LVC81"/>
      <c r="LVD81"/>
      <c r="LVE81"/>
      <c r="LVF81"/>
      <c r="LVG81"/>
      <c r="LVH81"/>
      <c r="LVI81"/>
      <c r="LVJ81"/>
      <c r="LVK81"/>
      <c r="LVL81"/>
      <c r="LVM81"/>
      <c r="LVN81"/>
      <c r="LVO81"/>
      <c r="LVP81"/>
      <c r="LVQ81"/>
      <c r="LVR81"/>
      <c r="LVS81"/>
      <c r="LVT81"/>
      <c r="LVU81"/>
      <c r="LVV81"/>
      <c r="LVW81"/>
      <c r="LVX81"/>
      <c r="LVY81"/>
      <c r="LVZ81"/>
      <c r="LWA81"/>
      <c r="LWB81"/>
      <c r="LWC81"/>
      <c r="LWD81"/>
      <c r="LWE81"/>
      <c r="LWF81"/>
      <c r="LWG81"/>
      <c r="LWH81"/>
      <c r="LWI81"/>
      <c r="LWJ81"/>
      <c r="LWK81"/>
      <c r="LWL81"/>
      <c r="LWM81"/>
      <c r="LWN81"/>
      <c r="LWO81"/>
      <c r="LWP81"/>
      <c r="LWQ81"/>
      <c r="LWR81"/>
      <c r="LWS81"/>
      <c r="LWT81"/>
      <c r="LWU81"/>
      <c r="LWV81"/>
      <c r="LWW81"/>
      <c r="LWX81"/>
      <c r="LWY81"/>
      <c r="LWZ81"/>
      <c r="LXA81"/>
      <c r="LXB81"/>
      <c r="LXC81"/>
      <c r="LXD81"/>
      <c r="LXE81"/>
      <c r="LXF81"/>
      <c r="LXG81"/>
      <c r="LXH81"/>
      <c r="LXI81"/>
      <c r="LXJ81"/>
      <c r="LXK81"/>
      <c r="LXL81"/>
      <c r="LXM81"/>
      <c r="LXN81"/>
      <c r="LXO81"/>
      <c r="LXP81"/>
      <c r="LXQ81"/>
      <c r="LXR81"/>
      <c r="LXS81"/>
      <c r="LXT81"/>
      <c r="LXU81"/>
      <c r="LXV81"/>
      <c r="LXW81"/>
      <c r="LXX81"/>
      <c r="LXY81"/>
      <c r="LXZ81"/>
      <c r="LYA81"/>
      <c r="LYB81"/>
      <c r="LYC81"/>
      <c r="LYD81"/>
      <c r="LYE81"/>
      <c r="LYF81"/>
      <c r="LYG81"/>
      <c r="LYH81"/>
      <c r="LYI81"/>
      <c r="LYJ81"/>
      <c r="LYK81"/>
      <c r="LYL81"/>
      <c r="LYM81"/>
      <c r="LYN81"/>
      <c r="LYO81"/>
      <c r="LYP81"/>
      <c r="LYQ81"/>
      <c r="LYR81"/>
      <c r="LYS81"/>
      <c r="LYT81"/>
      <c r="LYU81"/>
      <c r="LYV81"/>
      <c r="LYW81"/>
      <c r="LYX81"/>
      <c r="LYY81"/>
      <c r="LYZ81"/>
      <c r="LZA81"/>
      <c r="LZB81"/>
      <c r="LZC81"/>
      <c r="LZD81"/>
      <c r="LZE81"/>
      <c r="LZF81"/>
      <c r="LZG81"/>
      <c r="LZH81"/>
      <c r="LZI81"/>
      <c r="LZJ81"/>
      <c r="LZK81"/>
      <c r="LZL81"/>
      <c r="LZM81"/>
      <c r="LZN81"/>
      <c r="LZO81"/>
      <c r="LZP81"/>
      <c r="LZQ81"/>
      <c r="LZR81"/>
      <c r="LZS81"/>
      <c r="LZT81"/>
      <c r="LZU81"/>
      <c r="LZV81"/>
      <c r="LZW81"/>
      <c r="LZX81"/>
      <c r="LZY81"/>
      <c r="LZZ81"/>
      <c r="MAA81"/>
      <c r="MAB81"/>
      <c r="MAC81"/>
      <c r="MAD81"/>
      <c r="MAE81"/>
      <c r="MAF81"/>
      <c r="MAG81"/>
      <c r="MAH81"/>
      <c r="MAI81"/>
      <c r="MAJ81"/>
      <c r="MAK81"/>
      <c r="MAL81"/>
      <c r="MAM81"/>
      <c r="MAN81"/>
      <c r="MAO81"/>
      <c r="MAP81"/>
      <c r="MAQ81"/>
      <c r="MAR81"/>
      <c r="MAS81"/>
      <c r="MAT81"/>
      <c r="MAU81"/>
      <c r="MAV81"/>
      <c r="MAW81"/>
      <c r="MAX81"/>
      <c r="MAY81"/>
      <c r="MAZ81"/>
      <c r="MBA81"/>
      <c r="MBB81"/>
      <c r="MBC81"/>
      <c r="MBD81"/>
      <c r="MBE81"/>
      <c r="MBF81"/>
      <c r="MBG81"/>
      <c r="MBH81"/>
      <c r="MBI81"/>
      <c r="MBJ81"/>
      <c r="MBK81"/>
      <c r="MBL81"/>
      <c r="MBM81"/>
      <c r="MBN81"/>
      <c r="MBO81"/>
      <c r="MBP81"/>
      <c r="MBQ81"/>
      <c r="MBR81"/>
      <c r="MBS81"/>
      <c r="MBT81"/>
      <c r="MBU81"/>
      <c r="MBV81"/>
      <c r="MBW81"/>
      <c r="MBX81"/>
      <c r="MBY81"/>
      <c r="MBZ81"/>
      <c r="MCA81"/>
      <c r="MCB81"/>
      <c r="MCC81"/>
      <c r="MCD81"/>
      <c r="MCE81"/>
      <c r="MCF81"/>
      <c r="MCG81"/>
      <c r="MCH81"/>
      <c r="MCI81"/>
      <c r="MCJ81"/>
      <c r="MCK81"/>
      <c r="MCL81"/>
      <c r="MCM81"/>
      <c r="MCN81"/>
      <c r="MCO81"/>
      <c r="MCP81"/>
      <c r="MCQ81"/>
      <c r="MCR81"/>
      <c r="MCS81"/>
      <c r="MCT81"/>
      <c r="MCU81"/>
      <c r="MCV81"/>
      <c r="MCW81"/>
      <c r="MCX81"/>
      <c r="MCY81"/>
      <c r="MCZ81"/>
      <c r="MDA81"/>
      <c r="MDB81"/>
      <c r="MDC81"/>
      <c r="MDD81"/>
      <c r="MDE81"/>
      <c r="MDF81"/>
      <c r="MDG81"/>
      <c r="MDH81"/>
      <c r="MDI81"/>
      <c r="MDJ81"/>
      <c r="MDK81"/>
      <c r="MDL81"/>
      <c r="MDM81"/>
      <c r="MDN81"/>
      <c r="MDO81"/>
      <c r="MDP81"/>
      <c r="MDQ81"/>
      <c r="MDR81"/>
      <c r="MDS81"/>
      <c r="MDT81"/>
      <c r="MDU81"/>
      <c r="MDV81"/>
      <c r="MDW81"/>
      <c r="MDX81"/>
      <c r="MDY81"/>
      <c r="MDZ81"/>
      <c r="MEA81"/>
      <c r="MEB81"/>
      <c r="MEC81"/>
      <c r="MED81"/>
      <c r="MEE81"/>
      <c r="MEF81"/>
      <c r="MEG81"/>
      <c r="MEH81"/>
      <c r="MEI81"/>
      <c r="MEJ81"/>
      <c r="MEK81"/>
      <c r="MEL81"/>
      <c r="MEM81"/>
      <c r="MEN81"/>
      <c r="MEO81"/>
      <c r="MEP81"/>
      <c r="MEQ81"/>
      <c r="MER81"/>
      <c r="MES81"/>
      <c r="MET81"/>
      <c r="MEU81"/>
      <c r="MEV81"/>
      <c r="MEW81"/>
      <c r="MEX81"/>
      <c r="MEY81"/>
      <c r="MEZ81"/>
      <c r="MFA81"/>
      <c r="MFB81"/>
      <c r="MFC81"/>
      <c r="MFD81"/>
      <c r="MFE81"/>
      <c r="MFF81"/>
      <c r="MFG81"/>
      <c r="MFH81"/>
      <c r="MFI81"/>
      <c r="MFJ81"/>
      <c r="MFK81"/>
      <c r="MFL81"/>
      <c r="MFM81"/>
      <c r="MFN81"/>
      <c r="MFO81"/>
      <c r="MFP81"/>
      <c r="MFQ81"/>
      <c r="MFR81"/>
      <c r="MFS81"/>
      <c r="MFT81"/>
      <c r="MFU81"/>
      <c r="MFV81"/>
      <c r="MFW81"/>
      <c r="MFX81"/>
      <c r="MFY81"/>
      <c r="MFZ81"/>
      <c r="MGA81"/>
      <c r="MGB81"/>
      <c r="MGC81"/>
      <c r="MGD81"/>
      <c r="MGE81"/>
      <c r="MGF81"/>
      <c r="MGG81"/>
      <c r="MGH81"/>
      <c r="MGI81"/>
      <c r="MGJ81"/>
      <c r="MGK81"/>
      <c r="MGL81"/>
      <c r="MGM81"/>
      <c r="MGN81"/>
      <c r="MGO81"/>
      <c r="MGP81"/>
      <c r="MGQ81"/>
      <c r="MGR81"/>
      <c r="MGS81"/>
      <c r="MGT81"/>
      <c r="MGU81"/>
      <c r="MGV81"/>
      <c r="MGW81"/>
      <c r="MGX81"/>
      <c r="MGY81"/>
      <c r="MGZ81"/>
      <c r="MHA81"/>
      <c r="MHB81"/>
      <c r="MHC81"/>
      <c r="MHD81"/>
      <c r="MHE81"/>
      <c r="MHF81"/>
      <c r="MHG81"/>
      <c r="MHH81"/>
      <c r="MHI81"/>
      <c r="MHJ81"/>
      <c r="MHK81"/>
      <c r="MHL81"/>
      <c r="MHM81"/>
      <c r="MHN81"/>
      <c r="MHO81"/>
      <c r="MHP81"/>
      <c r="MHQ81"/>
      <c r="MHR81"/>
      <c r="MHS81"/>
      <c r="MHT81"/>
      <c r="MHU81"/>
      <c r="MHV81"/>
      <c r="MHW81"/>
      <c r="MHX81"/>
      <c r="MHY81"/>
      <c r="MHZ81"/>
      <c r="MIA81"/>
      <c r="MIB81"/>
      <c r="MIC81"/>
      <c r="MID81"/>
      <c r="MIE81"/>
      <c r="MIF81"/>
      <c r="MIG81"/>
      <c r="MIH81"/>
      <c r="MII81"/>
      <c r="MIJ81"/>
      <c r="MIK81"/>
      <c r="MIL81"/>
      <c r="MIM81"/>
      <c r="MIN81"/>
      <c r="MIO81"/>
      <c r="MIP81"/>
      <c r="MIQ81"/>
      <c r="MIR81"/>
      <c r="MIS81"/>
      <c r="MIT81"/>
      <c r="MIU81"/>
      <c r="MIV81"/>
      <c r="MIW81"/>
      <c r="MIX81"/>
      <c r="MIY81"/>
      <c r="MIZ81"/>
      <c r="MJA81"/>
      <c r="MJB81"/>
      <c r="MJC81"/>
      <c r="MJD81"/>
      <c r="MJE81"/>
      <c r="MJF81"/>
      <c r="MJG81"/>
      <c r="MJH81"/>
      <c r="MJI81"/>
      <c r="MJJ81"/>
      <c r="MJK81"/>
      <c r="MJL81"/>
      <c r="MJM81"/>
      <c r="MJN81"/>
      <c r="MJO81"/>
      <c r="MJP81"/>
      <c r="MJQ81"/>
      <c r="MJR81"/>
      <c r="MJS81"/>
      <c r="MJT81"/>
      <c r="MJU81"/>
      <c r="MJV81"/>
      <c r="MJW81"/>
      <c r="MJX81"/>
      <c r="MJY81"/>
      <c r="MJZ81"/>
      <c r="MKA81"/>
      <c r="MKB81"/>
      <c r="MKC81"/>
      <c r="MKD81"/>
      <c r="MKE81"/>
      <c r="MKF81"/>
      <c r="MKG81"/>
      <c r="MKH81"/>
      <c r="MKI81"/>
      <c r="MKJ81"/>
      <c r="MKK81"/>
      <c r="MKL81"/>
      <c r="MKM81"/>
      <c r="MKN81"/>
      <c r="MKO81"/>
      <c r="MKP81"/>
      <c r="MKQ81"/>
      <c r="MKR81"/>
      <c r="MKS81"/>
      <c r="MKT81"/>
      <c r="MKU81"/>
      <c r="MKV81"/>
      <c r="MKW81"/>
      <c r="MKX81"/>
      <c r="MKY81"/>
      <c r="MKZ81"/>
      <c r="MLA81"/>
      <c r="MLB81"/>
      <c r="MLC81"/>
      <c r="MLD81"/>
      <c r="MLE81"/>
      <c r="MLF81"/>
      <c r="MLG81"/>
      <c r="MLH81"/>
      <c r="MLI81"/>
      <c r="MLJ81"/>
      <c r="MLK81"/>
      <c r="MLL81"/>
      <c r="MLM81"/>
      <c r="MLN81"/>
      <c r="MLO81"/>
      <c r="MLP81"/>
      <c r="MLQ81"/>
      <c r="MLR81"/>
      <c r="MLS81"/>
      <c r="MLT81"/>
      <c r="MLU81"/>
      <c r="MLV81"/>
      <c r="MLW81"/>
      <c r="MLX81"/>
      <c r="MLY81"/>
      <c r="MLZ81"/>
      <c r="MMA81"/>
      <c r="MMB81"/>
      <c r="MMC81"/>
      <c r="MMD81"/>
      <c r="MME81"/>
      <c r="MMF81"/>
      <c r="MMG81"/>
      <c r="MMH81"/>
      <c r="MMI81"/>
      <c r="MMJ81"/>
      <c r="MMK81"/>
      <c r="MML81"/>
      <c r="MMM81"/>
      <c r="MMN81"/>
      <c r="MMO81"/>
      <c r="MMP81"/>
      <c r="MMQ81"/>
      <c r="MMR81"/>
      <c r="MMS81"/>
      <c r="MMT81"/>
      <c r="MMU81"/>
      <c r="MMV81"/>
      <c r="MMW81"/>
      <c r="MMX81"/>
      <c r="MMY81"/>
      <c r="MMZ81"/>
      <c r="MNA81"/>
      <c r="MNB81"/>
      <c r="MNC81"/>
      <c r="MND81"/>
      <c r="MNE81"/>
      <c r="MNF81"/>
      <c r="MNG81"/>
      <c r="MNH81"/>
      <c r="MNI81"/>
      <c r="MNJ81"/>
      <c r="MNK81"/>
      <c r="MNL81"/>
      <c r="MNM81"/>
      <c r="MNN81"/>
      <c r="MNO81"/>
      <c r="MNP81"/>
      <c r="MNQ81"/>
      <c r="MNR81"/>
      <c r="MNS81"/>
      <c r="MNT81"/>
      <c r="MNU81"/>
      <c r="MNV81"/>
      <c r="MNW81"/>
      <c r="MNX81"/>
      <c r="MNY81"/>
      <c r="MNZ81"/>
      <c r="MOA81"/>
      <c r="MOB81"/>
      <c r="MOC81"/>
      <c r="MOD81"/>
      <c r="MOE81"/>
      <c r="MOF81"/>
      <c r="MOG81"/>
      <c r="MOH81"/>
      <c r="MOI81"/>
      <c r="MOJ81"/>
      <c r="MOK81"/>
      <c r="MOL81"/>
      <c r="MOM81"/>
      <c r="MON81"/>
      <c r="MOO81"/>
      <c r="MOP81"/>
      <c r="MOQ81"/>
      <c r="MOR81"/>
      <c r="MOS81"/>
      <c r="MOT81"/>
      <c r="MOU81"/>
      <c r="MOV81"/>
      <c r="MOW81"/>
      <c r="MOX81"/>
      <c r="MOY81"/>
      <c r="MOZ81"/>
      <c r="MPA81"/>
      <c r="MPB81"/>
      <c r="MPC81"/>
      <c r="MPD81"/>
      <c r="MPE81"/>
      <c r="MPF81"/>
      <c r="MPG81"/>
      <c r="MPH81"/>
      <c r="MPI81"/>
      <c r="MPJ81"/>
      <c r="MPK81"/>
      <c r="MPL81"/>
      <c r="MPM81"/>
      <c r="MPN81"/>
      <c r="MPO81"/>
      <c r="MPP81"/>
      <c r="MPQ81"/>
      <c r="MPR81"/>
      <c r="MPS81"/>
      <c r="MPT81"/>
      <c r="MPU81"/>
      <c r="MPV81"/>
      <c r="MPW81"/>
      <c r="MPX81"/>
      <c r="MPY81"/>
      <c r="MPZ81"/>
      <c r="MQA81"/>
      <c r="MQB81"/>
      <c r="MQC81"/>
      <c r="MQD81"/>
      <c r="MQE81"/>
      <c r="MQF81"/>
      <c r="MQG81"/>
      <c r="MQH81"/>
      <c r="MQI81"/>
      <c r="MQJ81"/>
      <c r="MQK81"/>
      <c r="MQL81"/>
      <c r="MQM81"/>
      <c r="MQN81"/>
      <c r="MQO81"/>
      <c r="MQP81"/>
      <c r="MQQ81"/>
      <c r="MQR81"/>
      <c r="MQS81"/>
      <c r="MQT81"/>
      <c r="MQU81"/>
      <c r="MQV81"/>
      <c r="MQW81"/>
      <c r="MQX81"/>
      <c r="MQY81"/>
      <c r="MQZ81"/>
      <c r="MRA81"/>
      <c r="MRB81"/>
      <c r="MRC81"/>
      <c r="MRD81"/>
      <c r="MRE81"/>
      <c r="MRF81"/>
      <c r="MRG81"/>
      <c r="MRH81"/>
      <c r="MRI81"/>
      <c r="MRJ81"/>
      <c r="MRK81"/>
      <c r="MRL81"/>
      <c r="MRM81"/>
      <c r="MRN81"/>
      <c r="MRO81"/>
      <c r="MRP81"/>
      <c r="MRQ81"/>
      <c r="MRR81"/>
      <c r="MRS81"/>
      <c r="MRT81"/>
      <c r="MRU81"/>
      <c r="MRV81"/>
      <c r="MRW81"/>
      <c r="MRX81"/>
      <c r="MRY81"/>
      <c r="MRZ81"/>
      <c r="MSA81"/>
      <c r="MSB81"/>
      <c r="MSC81"/>
      <c r="MSD81"/>
      <c r="MSE81"/>
      <c r="MSF81"/>
      <c r="MSG81"/>
      <c r="MSH81"/>
      <c r="MSI81"/>
      <c r="MSJ81"/>
      <c r="MSK81"/>
      <c r="MSL81"/>
      <c r="MSM81"/>
      <c r="MSN81"/>
      <c r="MSO81"/>
      <c r="MSP81"/>
      <c r="MSQ81"/>
      <c r="MSR81"/>
      <c r="MSS81"/>
      <c r="MST81"/>
      <c r="MSU81"/>
      <c r="MSV81"/>
      <c r="MSW81"/>
      <c r="MSX81"/>
      <c r="MSY81"/>
      <c r="MSZ81"/>
      <c r="MTA81"/>
      <c r="MTB81"/>
      <c r="MTC81"/>
      <c r="MTD81"/>
      <c r="MTE81"/>
      <c r="MTF81"/>
      <c r="MTG81"/>
      <c r="MTH81"/>
      <c r="MTI81"/>
      <c r="MTJ81"/>
      <c r="MTK81"/>
      <c r="MTL81"/>
      <c r="MTM81"/>
      <c r="MTN81"/>
      <c r="MTO81"/>
      <c r="MTP81"/>
      <c r="MTQ81"/>
      <c r="MTR81"/>
      <c r="MTS81"/>
      <c r="MTT81"/>
      <c r="MTU81"/>
      <c r="MTV81"/>
      <c r="MTW81"/>
      <c r="MTX81"/>
      <c r="MTY81"/>
      <c r="MTZ81"/>
      <c r="MUA81"/>
      <c r="MUB81"/>
      <c r="MUC81"/>
      <c r="MUD81"/>
      <c r="MUE81"/>
      <c r="MUF81"/>
      <c r="MUG81"/>
      <c r="MUH81"/>
      <c r="MUI81"/>
      <c r="MUJ81"/>
      <c r="MUK81"/>
      <c r="MUL81"/>
      <c r="MUM81"/>
      <c r="MUN81"/>
      <c r="MUO81"/>
      <c r="MUP81"/>
      <c r="MUQ81"/>
      <c r="MUR81"/>
      <c r="MUS81"/>
      <c r="MUT81"/>
      <c r="MUU81"/>
      <c r="MUV81"/>
      <c r="MUW81"/>
      <c r="MUX81"/>
      <c r="MUY81"/>
      <c r="MUZ81"/>
      <c r="MVA81"/>
      <c r="MVB81"/>
      <c r="MVC81"/>
      <c r="MVD81"/>
      <c r="MVE81"/>
      <c r="MVF81"/>
      <c r="MVG81"/>
      <c r="MVH81"/>
      <c r="MVI81"/>
      <c r="MVJ81"/>
      <c r="MVK81"/>
      <c r="MVL81"/>
      <c r="MVM81"/>
      <c r="MVN81"/>
      <c r="MVO81"/>
      <c r="MVP81"/>
      <c r="MVQ81"/>
      <c r="MVR81"/>
      <c r="MVS81"/>
      <c r="MVT81"/>
      <c r="MVU81"/>
      <c r="MVV81"/>
      <c r="MVW81"/>
      <c r="MVX81"/>
      <c r="MVY81"/>
      <c r="MVZ81"/>
      <c r="MWA81"/>
      <c r="MWB81"/>
      <c r="MWC81"/>
      <c r="MWD81"/>
      <c r="MWE81"/>
      <c r="MWF81"/>
      <c r="MWG81"/>
      <c r="MWH81"/>
      <c r="MWI81"/>
      <c r="MWJ81"/>
      <c r="MWK81"/>
      <c r="MWL81"/>
      <c r="MWM81"/>
      <c r="MWN81"/>
      <c r="MWO81"/>
      <c r="MWP81"/>
      <c r="MWQ81"/>
      <c r="MWR81"/>
      <c r="MWS81"/>
      <c r="MWT81"/>
      <c r="MWU81"/>
      <c r="MWV81"/>
      <c r="MWW81"/>
      <c r="MWX81"/>
      <c r="MWY81"/>
      <c r="MWZ81"/>
      <c r="MXA81"/>
      <c r="MXB81"/>
      <c r="MXC81"/>
      <c r="MXD81"/>
      <c r="MXE81"/>
      <c r="MXF81"/>
      <c r="MXG81"/>
      <c r="MXH81"/>
      <c r="MXI81"/>
      <c r="MXJ81"/>
      <c r="MXK81"/>
      <c r="MXL81"/>
      <c r="MXM81"/>
      <c r="MXN81"/>
      <c r="MXO81"/>
      <c r="MXP81"/>
      <c r="MXQ81"/>
      <c r="MXR81"/>
      <c r="MXS81"/>
      <c r="MXT81"/>
      <c r="MXU81"/>
      <c r="MXV81"/>
      <c r="MXW81"/>
      <c r="MXX81"/>
      <c r="MXY81"/>
      <c r="MXZ81"/>
      <c r="MYA81"/>
      <c r="MYB81"/>
      <c r="MYC81"/>
      <c r="MYD81"/>
      <c r="MYE81"/>
      <c r="MYF81"/>
      <c r="MYG81"/>
      <c r="MYH81"/>
      <c r="MYI81"/>
      <c r="MYJ81"/>
      <c r="MYK81"/>
      <c r="MYL81"/>
      <c r="MYM81"/>
      <c r="MYN81"/>
      <c r="MYO81"/>
      <c r="MYP81"/>
      <c r="MYQ81"/>
      <c r="MYR81"/>
      <c r="MYS81"/>
      <c r="MYT81"/>
      <c r="MYU81"/>
      <c r="MYV81"/>
      <c r="MYW81"/>
      <c r="MYX81"/>
      <c r="MYY81"/>
      <c r="MYZ81"/>
      <c r="MZA81"/>
      <c r="MZB81"/>
      <c r="MZC81"/>
      <c r="MZD81"/>
      <c r="MZE81"/>
      <c r="MZF81"/>
      <c r="MZG81"/>
      <c r="MZH81"/>
      <c r="MZI81"/>
      <c r="MZJ81"/>
      <c r="MZK81"/>
      <c r="MZL81"/>
      <c r="MZM81"/>
      <c r="MZN81"/>
      <c r="MZO81"/>
      <c r="MZP81"/>
      <c r="MZQ81"/>
      <c r="MZR81"/>
      <c r="MZS81"/>
      <c r="MZT81"/>
      <c r="MZU81"/>
      <c r="MZV81"/>
      <c r="MZW81"/>
      <c r="MZX81"/>
      <c r="MZY81"/>
      <c r="MZZ81"/>
      <c r="NAA81"/>
      <c r="NAB81"/>
      <c r="NAC81"/>
      <c r="NAD81"/>
      <c r="NAE81"/>
      <c r="NAF81"/>
      <c r="NAG81"/>
      <c r="NAH81"/>
      <c r="NAI81"/>
      <c r="NAJ81"/>
      <c r="NAK81"/>
      <c r="NAL81"/>
      <c r="NAM81"/>
      <c r="NAN81"/>
      <c r="NAO81"/>
      <c r="NAP81"/>
      <c r="NAQ81"/>
      <c r="NAR81"/>
      <c r="NAS81"/>
      <c r="NAT81"/>
      <c r="NAU81"/>
      <c r="NAV81"/>
      <c r="NAW81"/>
      <c r="NAX81"/>
      <c r="NAY81"/>
      <c r="NAZ81"/>
      <c r="NBA81"/>
      <c r="NBB81"/>
      <c r="NBC81"/>
      <c r="NBD81"/>
      <c r="NBE81"/>
      <c r="NBF81"/>
      <c r="NBG81"/>
      <c r="NBH81"/>
      <c r="NBI81"/>
      <c r="NBJ81"/>
      <c r="NBK81"/>
      <c r="NBL81"/>
      <c r="NBM81"/>
      <c r="NBN81"/>
      <c r="NBO81"/>
      <c r="NBP81"/>
      <c r="NBQ81"/>
      <c r="NBR81"/>
      <c r="NBS81"/>
      <c r="NBT81"/>
      <c r="NBU81"/>
      <c r="NBV81"/>
      <c r="NBW81"/>
      <c r="NBX81"/>
      <c r="NBY81"/>
      <c r="NBZ81"/>
      <c r="NCA81"/>
      <c r="NCB81"/>
      <c r="NCC81"/>
      <c r="NCD81"/>
      <c r="NCE81"/>
      <c r="NCF81"/>
      <c r="NCG81"/>
      <c r="NCH81"/>
      <c r="NCI81"/>
      <c r="NCJ81"/>
      <c r="NCK81"/>
      <c r="NCL81"/>
      <c r="NCM81"/>
      <c r="NCN81"/>
      <c r="NCO81"/>
      <c r="NCP81"/>
      <c r="NCQ81"/>
      <c r="NCR81"/>
      <c r="NCS81"/>
      <c r="NCT81"/>
      <c r="NCU81"/>
      <c r="NCV81"/>
      <c r="NCW81"/>
      <c r="NCX81"/>
      <c r="NCY81"/>
      <c r="NCZ81"/>
      <c r="NDA81"/>
      <c r="NDB81"/>
      <c r="NDC81"/>
      <c r="NDD81"/>
      <c r="NDE81"/>
      <c r="NDF81"/>
      <c r="NDG81"/>
      <c r="NDH81"/>
      <c r="NDI81"/>
      <c r="NDJ81"/>
      <c r="NDK81"/>
      <c r="NDL81"/>
      <c r="NDM81"/>
      <c r="NDN81"/>
      <c r="NDO81"/>
      <c r="NDP81"/>
      <c r="NDQ81"/>
      <c r="NDR81"/>
      <c r="NDS81"/>
      <c r="NDT81"/>
      <c r="NDU81"/>
      <c r="NDV81"/>
      <c r="NDW81"/>
      <c r="NDX81"/>
      <c r="NDY81"/>
      <c r="NDZ81"/>
      <c r="NEA81"/>
      <c r="NEB81"/>
      <c r="NEC81"/>
      <c r="NED81"/>
      <c r="NEE81"/>
      <c r="NEF81"/>
      <c r="NEG81"/>
      <c r="NEH81"/>
      <c r="NEI81"/>
      <c r="NEJ81"/>
      <c r="NEK81"/>
      <c r="NEL81"/>
      <c r="NEM81"/>
      <c r="NEN81"/>
      <c r="NEO81"/>
      <c r="NEP81"/>
      <c r="NEQ81"/>
      <c r="NER81"/>
      <c r="NES81"/>
      <c r="NET81"/>
      <c r="NEU81"/>
      <c r="NEV81"/>
      <c r="NEW81"/>
      <c r="NEX81"/>
      <c r="NEY81"/>
      <c r="NEZ81"/>
      <c r="NFA81"/>
      <c r="NFB81"/>
      <c r="NFC81"/>
      <c r="NFD81"/>
      <c r="NFE81"/>
      <c r="NFF81"/>
      <c r="NFG81"/>
      <c r="NFH81"/>
      <c r="NFI81"/>
      <c r="NFJ81"/>
      <c r="NFK81"/>
      <c r="NFL81"/>
      <c r="NFM81"/>
      <c r="NFN81"/>
      <c r="NFO81"/>
      <c r="NFP81"/>
      <c r="NFQ81"/>
      <c r="NFR81"/>
      <c r="NFS81"/>
      <c r="NFT81"/>
      <c r="NFU81"/>
      <c r="NFV81"/>
      <c r="NFW81"/>
      <c r="NFX81"/>
      <c r="NFY81"/>
      <c r="NFZ81"/>
      <c r="NGA81"/>
      <c r="NGB81"/>
      <c r="NGC81"/>
      <c r="NGD81"/>
      <c r="NGE81"/>
      <c r="NGF81"/>
      <c r="NGG81"/>
      <c r="NGH81"/>
      <c r="NGI81"/>
      <c r="NGJ81"/>
      <c r="NGK81"/>
      <c r="NGL81"/>
      <c r="NGM81"/>
      <c r="NGN81"/>
      <c r="NGO81"/>
      <c r="NGP81"/>
      <c r="NGQ81"/>
      <c r="NGR81"/>
      <c r="NGS81"/>
      <c r="NGT81"/>
      <c r="NGU81"/>
      <c r="NGV81"/>
      <c r="NGW81"/>
      <c r="NGX81"/>
      <c r="NGY81"/>
      <c r="NGZ81"/>
      <c r="NHA81"/>
      <c r="NHB81"/>
      <c r="NHC81"/>
      <c r="NHD81"/>
      <c r="NHE81"/>
      <c r="NHF81"/>
      <c r="NHG81"/>
      <c r="NHH81"/>
      <c r="NHI81"/>
      <c r="NHJ81"/>
      <c r="NHK81"/>
      <c r="NHL81"/>
      <c r="NHM81"/>
      <c r="NHN81"/>
      <c r="NHO81"/>
      <c r="NHP81"/>
      <c r="NHQ81"/>
      <c r="NHR81"/>
      <c r="NHS81"/>
      <c r="NHT81"/>
      <c r="NHU81"/>
      <c r="NHV81"/>
      <c r="NHW81"/>
      <c r="NHX81"/>
      <c r="NHY81"/>
      <c r="NHZ81"/>
      <c r="NIA81"/>
      <c r="NIB81"/>
      <c r="NIC81"/>
      <c r="NID81"/>
      <c r="NIE81"/>
      <c r="NIF81"/>
      <c r="NIG81"/>
      <c r="NIH81"/>
      <c r="NII81"/>
      <c r="NIJ81"/>
      <c r="NIK81"/>
      <c r="NIL81"/>
      <c r="NIM81"/>
      <c r="NIN81"/>
      <c r="NIO81"/>
      <c r="NIP81"/>
      <c r="NIQ81"/>
      <c r="NIR81"/>
      <c r="NIS81"/>
      <c r="NIT81"/>
      <c r="NIU81"/>
      <c r="NIV81"/>
      <c r="NIW81"/>
      <c r="NIX81"/>
      <c r="NIY81"/>
      <c r="NIZ81"/>
      <c r="NJA81"/>
      <c r="NJB81"/>
      <c r="NJC81"/>
      <c r="NJD81"/>
      <c r="NJE81"/>
      <c r="NJF81"/>
      <c r="NJG81"/>
      <c r="NJH81"/>
      <c r="NJI81"/>
      <c r="NJJ81"/>
      <c r="NJK81"/>
      <c r="NJL81"/>
      <c r="NJM81"/>
      <c r="NJN81"/>
      <c r="NJO81"/>
      <c r="NJP81"/>
      <c r="NJQ81"/>
      <c r="NJR81"/>
      <c r="NJS81"/>
      <c r="NJT81"/>
      <c r="NJU81"/>
      <c r="NJV81"/>
      <c r="NJW81"/>
      <c r="NJX81"/>
      <c r="NJY81"/>
      <c r="NJZ81"/>
      <c r="NKA81"/>
      <c r="NKB81"/>
      <c r="NKC81"/>
      <c r="NKD81"/>
      <c r="NKE81"/>
      <c r="NKF81"/>
      <c r="NKG81"/>
      <c r="NKH81"/>
      <c r="NKI81"/>
      <c r="NKJ81"/>
      <c r="NKK81"/>
      <c r="NKL81"/>
      <c r="NKM81"/>
      <c r="NKN81"/>
      <c r="NKO81"/>
      <c r="NKP81"/>
      <c r="NKQ81"/>
      <c r="NKR81"/>
      <c r="NKS81"/>
      <c r="NKT81"/>
      <c r="NKU81"/>
      <c r="NKV81"/>
      <c r="NKW81"/>
      <c r="NKX81"/>
      <c r="NKY81"/>
      <c r="NKZ81"/>
      <c r="NLA81"/>
      <c r="NLB81"/>
      <c r="NLC81"/>
      <c r="NLD81"/>
      <c r="NLE81"/>
      <c r="NLF81"/>
      <c r="NLG81"/>
      <c r="NLH81"/>
      <c r="NLI81"/>
      <c r="NLJ81"/>
      <c r="NLK81"/>
      <c r="NLL81"/>
      <c r="NLM81"/>
      <c r="NLN81"/>
      <c r="NLO81"/>
      <c r="NLP81"/>
      <c r="NLQ81"/>
      <c r="NLR81"/>
      <c r="NLS81"/>
      <c r="NLT81"/>
      <c r="NLU81"/>
      <c r="NLV81"/>
      <c r="NLW81"/>
      <c r="NLX81"/>
      <c r="NLY81"/>
      <c r="NLZ81"/>
      <c r="NMA81"/>
      <c r="NMB81"/>
      <c r="NMC81"/>
      <c r="NMD81"/>
      <c r="NME81"/>
      <c r="NMF81"/>
      <c r="NMG81"/>
      <c r="NMH81"/>
      <c r="NMI81"/>
      <c r="NMJ81"/>
      <c r="NMK81"/>
      <c r="NML81"/>
      <c r="NMM81"/>
      <c r="NMN81"/>
      <c r="NMO81"/>
      <c r="NMP81"/>
      <c r="NMQ81"/>
      <c r="NMR81"/>
      <c r="NMS81"/>
      <c r="NMT81"/>
      <c r="NMU81"/>
      <c r="NMV81"/>
      <c r="NMW81"/>
      <c r="NMX81"/>
      <c r="NMY81"/>
      <c r="NMZ81"/>
      <c r="NNA81"/>
      <c r="NNB81"/>
      <c r="NNC81"/>
      <c r="NND81"/>
      <c r="NNE81"/>
      <c r="NNF81"/>
      <c r="NNG81"/>
      <c r="NNH81"/>
      <c r="NNI81"/>
      <c r="NNJ81"/>
      <c r="NNK81"/>
      <c r="NNL81"/>
      <c r="NNM81"/>
      <c r="NNN81"/>
      <c r="NNO81"/>
      <c r="NNP81"/>
      <c r="NNQ81"/>
      <c r="NNR81"/>
      <c r="NNS81"/>
      <c r="NNT81"/>
      <c r="NNU81"/>
      <c r="NNV81"/>
      <c r="NNW81"/>
      <c r="NNX81"/>
      <c r="NNY81"/>
      <c r="NNZ81"/>
      <c r="NOA81"/>
      <c r="NOB81"/>
      <c r="NOC81"/>
      <c r="NOD81"/>
      <c r="NOE81"/>
      <c r="NOF81"/>
      <c r="NOG81"/>
      <c r="NOH81"/>
      <c r="NOI81"/>
      <c r="NOJ81"/>
      <c r="NOK81"/>
      <c r="NOL81"/>
      <c r="NOM81"/>
      <c r="NON81"/>
      <c r="NOO81"/>
      <c r="NOP81"/>
      <c r="NOQ81"/>
      <c r="NOR81"/>
      <c r="NOS81"/>
      <c r="NOT81"/>
      <c r="NOU81"/>
      <c r="NOV81"/>
      <c r="NOW81"/>
      <c r="NOX81"/>
      <c r="NOY81"/>
      <c r="NOZ81"/>
      <c r="NPA81"/>
      <c r="NPB81"/>
      <c r="NPC81"/>
      <c r="NPD81"/>
      <c r="NPE81"/>
      <c r="NPF81"/>
      <c r="NPG81"/>
      <c r="NPH81"/>
      <c r="NPI81"/>
      <c r="NPJ81"/>
      <c r="NPK81"/>
      <c r="NPL81"/>
      <c r="NPM81"/>
      <c r="NPN81"/>
      <c r="NPO81"/>
      <c r="NPP81"/>
      <c r="NPQ81"/>
      <c r="NPR81"/>
      <c r="NPS81"/>
      <c r="NPT81"/>
      <c r="NPU81"/>
      <c r="NPV81"/>
      <c r="NPW81"/>
      <c r="NPX81"/>
      <c r="NPY81"/>
      <c r="NPZ81"/>
      <c r="NQA81"/>
      <c r="NQB81"/>
      <c r="NQC81"/>
      <c r="NQD81"/>
      <c r="NQE81"/>
      <c r="NQF81"/>
      <c r="NQG81"/>
      <c r="NQH81"/>
      <c r="NQI81"/>
      <c r="NQJ81"/>
      <c r="NQK81"/>
      <c r="NQL81"/>
      <c r="NQM81"/>
      <c r="NQN81"/>
      <c r="NQO81"/>
      <c r="NQP81"/>
      <c r="NQQ81"/>
      <c r="NQR81"/>
      <c r="NQS81"/>
      <c r="NQT81"/>
      <c r="NQU81"/>
      <c r="NQV81"/>
      <c r="NQW81"/>
      <c r="NQX81"/>
      <c r="NQY81"/>
      <c r="NQZ81"/>
      <c r="NRA81"/>
      <c r="NRB81"/>
      <c r="NRC81"/>
      <c r="NRD81"/>
      <c r="NRE81"/>
      <c r="NRF81"/>
      <c r="NRG81"/>
      <c r="NRH81"/>
      <c r="NRI81"/>
      <c r="NRJ81"/>
      <c r="NRK81"/>
      <c r="NRL81"/>
      <c r="NRM81"/>
      <c r="NRN81"/>
      <c r="NRO81"/>
      <c r="NRP81"/>
      <c r="NRQ81"/>
      <c r="NRR81"/>
      <c r="NRS81"/>
      <c r="NRT81"/>
      <c r="NRU81"/>
      <c r="NRV81"/>
      <c r="NRW81"/>
      <c r="NRX81"/>
      <c r="NRY81"/>
      <c r="NRZ81"/>
      <c r="NSA81"/>
      <c r="NSB81"/>
      <c r="NSC81"/>
      <c r="NSD81"/>
      <c r="NSE81"/>
      <c r="NSF81"/>
      <c r="NSG81"/>
      <c r="NSH81"/>
      <c r="NSI81"/>
      <c r="NSJ81"/>
      <c r="NSK81"/>
      <c r="NSL81"/>
      <c r="NSM81"/>
      <c r="NSN81"/>
      <c r="NSO81"/>
      <c r="NSP81"/>
      <c r="NSQ81"/>
      <c r="NSR81"/>
      <c r="NSS81"/>
      <c r="NST81"/>
      <c r="NSU81"/>
      <c r="NSV81"/>
      <c r="NSW81"/>
      <c r="NSX81"/>
      <c r="NSY81"/>
      <c r="NSZ81"/>
      <c r="NTA81"/>
      <c r="NTB81"/>
      <c r="NTC81"/>
      <c r="NTD81"/>
      <c r="NTE81"/>
      <c r="NTF81"/>
      <c r="NTG81"/>
      <c r="NTH81"/>
      <c r="NTI81"/>
      <c r="NTJ81"/>
      <c r="NTK81"/>
      <c r="NTL81"/>
      <c r="NTM81"/>
      <c r="NTN81"/>
      <c r="NTO81"/>
      <c r="NTP81"/>
      <c r="NTQ81"/>
      <c r="NTR81"/>
      <c r="NTS81"/>
      <c r="NTT81"/>
      <c r="NTU81"/>
      <c r="NTV81"/>
      <c r="NTW81"/>
      <c r="NTX81"/>
      <c r="NTY81"/>
      <c r="NTZ81"/>
      <c r="NUA81"/>
      <c r="NUB81"/>
      <c r="NUC81"/>
      <c r="NUD81"/>
      <c r="NUE81"/>
      <c r="NUF81"/>
      <c r="NUG81"/>
      <c r="NUH81"/>
      <c r="NUI81"/>
      <c r="NUJ81"/>
      <c r="NUK81"/>
      <c r="NUL81"/>
      <c r="NUM81"/>
      <c r="NUN81"/>
      <c r="NUO81"/>
      <c r="NUP81"/>
      <c r="NUQ81"/>
      <c r="NUR81"/>
      <c r="NUS81"/>
      <c r="NUT81"/>
      <c r="NUU81"/>
      <c r="NUV81"/>
      <c r="NUW81"/>
      <c r="NUX81"/>
      <c r="NUY81"/>
      <c r="NUZ81"/>
      <c r="NVA81"/>
      <c r="NVB81"/>
      <c r="NVC81"/>
      <c r="NVD81"/>
      <c r="NVE81"/>
      <c r="NVF81"/>
      <c r="NVG81"/>
      <c r="NVH81"/>
      <c r="NVI81"/>
      <c r="NVJ81"/>
      <c r="NVK81"/>
      <c r="NVL81"/>
      <c r="NVM81"/>
      <c r="NVN81"/>
      <c r="NVO81"/>
      <c r="NVP81"/>
      <c r="NVQ81"/>
      <c r="NVR81"/>
      <c r="NVS81"/>
      <c r="NVT81"/>
      <c r="NVU81"/>
      <c r="NVV81"/>
      <c r="NVW81"/>
      <c r="NVX81"/>
      <c r="NVY81"/>
      <c r="NVZ81"/>
      <c r="NWA81"/>
      <c r="NWB81"/>
      <c r="NWC81"/>
      <c r="NWD81"/>
      <c r="NWE81"/>
      <c r="NWF81"/>
      <c r="NWG81"/>
      <c r="NWH81"/>
      <c r="NWI81"/>
      <c r="NWJ81"/>
      <c r="NWK81"/>
      <c r="NWL81"/>
      <c r="NWM81"/>
      <c r="NWN81"/>
      <c r="NWO81"/>
      <c r="NWP81"/>
      <c r="NWQ81"/>
      <c r="NWR81"/>
      <c r="NWS81"/>
      <c r="NWT81"/>
      <c r="NWU81"/>
      <c r="NWV81"/>
      <c r="NWW81"/>
      <c r="NWX81"/>
      <c r="NWY81"/>
      <c r="NWZ81"/>
      <c r="NXA81"/>
      <c r="NXB81"/>
      <c r="NXC81"/>
      <c r="NXD81"/>
      <c r="NXE81"/>
      <c r="NXF81"/>
      <c r="NXG81"/>
      <c r="NXH81"/>
      <c r="NXI81"/>
      <c r="NXJ81"/>
      <c r="NXK81"/>
      <c r="NXL81"/>
      <c r="NXM81"/>
      <c r="NXN81"/>
      <c r="NXO81"/>
      <c r="NXP81"/>
      <c r="NXQ81"/>
      <c r="NXR81"/>
      <c r="NXS81"/>
      <c r="NXT81"/>
      <c r="NXU81"/>
      <c r="NXV81"/>
      <c r="NXW81"/>
      <c r="NXX81"/>
      <c r="NXY81"/>
      <c r="NXZ81"/>
      <c r="NYA81"/>
      <c r="NYB81"/>
      <c r="NYC81"/>
      <c r="NYD81"/>
      <c r="NYE81"/>
      <c r="NYF81"/>
      <c r="NYG81"/>
      <c r="NYH81"/>
      <c r="NYI81"/>
      <c r="NYJ81"/>
      <c r="NYK81"/>
      <c r="NYL81"/>
      <c r="NYM81"/>
      <c r="NYN81"/>
      <c r="NYO81"/>
      <c r="NYP81"/>
      <c r="NYQ81"/>
      <c r="NYR81"/>
      <c r="NYS81"/>
      <c r="NYT81"/>
      <c r="NYU81"/>
      <c r="NYV81"/>
      <c r="NYW81"/>
      <c r="NYX81"/>
      <c r="NYY81"/>
      <c r="NYZ81"/>
      <c r="NZA81"/>
      <c r="NZB81"/>
      <c r="NZC81"/>
      <c r="NZD81"/>
      <c r="NZE81"/>
      <c r="NZF81"/>
      <c r="NZG81"/>
      <c r="NZH81"/>
      <c r="NZI81"/>
      <c r="NZJ81"/>
      <c r="NZK81"/>
      <c r="NZL81"/>
      <c r="NZM81"/>
      <c r="NZN81"/>
      <c r="NZO81"/>
      <c r="NZP81"/>
      <c r="NZQ81"/>
      <c r="NZR81"/>
      <c r="NZS81"/>
      <c r="NZT81"/>
      <c r="NZU81"/>
      <c r="NZV81"/>
      <c r="NZW81"/>
      <c r="NZX81"/>
      <c r="NZY81"/>
      <c r="NZZ81"/>
      <c r="OAA81"/>
      <c r="OAB81"/>
      <c r="OAC81"/>
      <c r="OAD81"/>
      <c r="OAE81"/>
      <c r="OAF81"/>
      <c r="OAG81"/>
      <c r="OAH81"/>
      <c r="OAI81"/>
      <c r="OAJ81"/>
      <c r="OAK81"/>
      <c r="OAL81"/>
      <c r="OAM81"/>
      <c r="OAN81"/>
      <c r="OAO81"/>
      <c r="OAP81"/>
      <c r="OAQ81"/>
      <c r="OAR81"/>
      <c r="OAS81"/>
      <c r="OAT81"/>
      <c r="OAU81"/>
      <c r="OAV81"/>
      <c r="OAW81"/>
      <c r="OAX81"/>
      <c r="OAY81"/>
      <c r="OAZ81"/>
      <c r="OBA81"/>
      <c r="OBB81"/>
      <c r="OBC81"/>
      <c r="OBD81"/>
      <c r="OBE81"/>
      <c r="OBF81"/>
      <c r="OBG81"/>
      <c r="OBH81"/>
      <c r="OBI81"/>
      <c r="OBJ81"/>
      <c r="OBK81"/>
      <c r="OBL81"/>
      <c r="OBM81"/>
      <c r="OBN81"/>
      <c r="OBO81"/>
      <c r="OBP81"/>
      <c r="OBQ81"/>
      <c r="OBR81"/>
      <c r="OBS81"/>
      <c r="OBT81"/>
      <c r="OBU81"/>
      <c r="OBV81"/>
      <c r="OBW81"/>
      <c r="OBX81"/>
      <c r="OBY81"/>
      <c r="OBZ81"/>
      <c r="OCA81"/>
      <c r="OCB81"/>
      <c r="OCC81"/>
      <c r="OCD81"/>
      <c r="OCE81"/>
      <c r="OCF81"/>
      <c r="OCG81"/>
      <c r="OCH81"/>
      <c r="OCI81"/>
      <c r="OCJ81"/>
      <c r="OCK81"/>
      <c r="OCL81"/>
      <c r="OCM81"/>
      <c r="OCN81"/>
      <c r="OCO81"/>
      <c r="OCP81"/>
      <c r="OCQ81"/>
      <c r="OCR81"/>
      <c r="OCS81"/>
      <c r="OCT81"/>
      <c r="OCU81"/>
      <c r="OCV81"/>
      <c r="OCW81"/>
      <c r="OCX81"/>
      <c r="OCY81"/>
      <c r="OCZ81"/>
      <c r="ODA81"/>
      <c r="ODB81"/>
      <c r="ODC81"/>
      <c r="ODD81"/>
      <c r="ODE81"/>
      <c r="ODF81"/>
      <c r="ODG81"/>
      <c r="ODH81"/>
      <c r="ODI81"/>
      <c r="ODJ81"/>
      <c r="ODK81"/>
      <c r="ODL81"/>
      <c r="ODM81"/>
      <c r="ODN81"/>
      <c r="ODO81"/>
      <c r="ODP81"/>
      <c r="ODQ81"/>
      <c r="ODR81"/>
      <c r="ODS81"/>
      <c r="ODT81"/>
      <c r="ODU81"/>
      <c r="ODV81"/>
      <c r="ODW81"/>
      <c r="ODX81"/>
      <c r="ODY81"/>
      <c r="ODZ81"/>
      <c r="OEA81"/>
      <c r="OEB81"/>
      <c r="OEC81"/>
      <c r="OED81"/>
      <c r="OEE81"/>
      <c r="OEF81"/>
      <c r="OEG81"/>
      <c r="OEH81"/>
      <c r="OEI81"/>
      <c r="OEJ81"/>
      <c r="OEK81"/>
      <c r="OEL81"/>
      <c r="OEM81"/>
      <c r="OEN81"/>
      <c r="OEO81"/>
      <c r="OEP81"/>
      <c r="OEQ81"/>
      <c r="OER81"/>
      <c r="OES81"/>
      <c r="OET81"/>
      <c r="OEU81"/>
      <c r="OEV81"/>
      <c r="OEW81"/>
      <c r="OEX81"/>
      <c r="OEY81"/>
      <c r="OEZ81"/>
      <c r="OFA81"/>
      <c r="OFB81"/>
      <c r="OFC81"/>
      <c r="OFD81"/>
      <c r="OFE81"/>
      <c r="OFF81"/>
      <c r="OFG81"/>
      <c r="OFH81"/>
      <c r="OFI81"/>
      <c r="OFJ81"/>
      <c r="OFK81"/>
      <c r="OFL81"/>
      <c r="OFM81"/>
      <c r="OFN81"/>
      <c r="OFO81"/>
      <c r="OFP81"/>
      <c r="OFQ81"/>
      <c r="OFR81"/>
      <c r="OFS81"/>
      <c r="OFT81"/>
      <c r="OFU81"/>
      <c r="OFV81"/>
      <c r="OFW81"/>
      <c r="OFX81"/>
      <c r="OFY81"/>
      <c r="OFZ81"/>
      <c r="OGA81"/>
      <c r="OGB81"/>
      <c r="OGC81"/>
      <c r="OGD81"/>
      <c r="OGE81"/>
      <c r="OGF81"/>
      <c r="OGG81"/>
      <c r="OGH81"/>
      <c r="OGI81"/>
      <c r="OGJ81"/>
      <c r="OGK81"/>
      <c r="OGL81"/>
      <c r="OGM81"/>
      <c r="OGN81"/>
      <c r="OGO81"/>
      <c r="OGP81"/>
      <c r="OGQ81"/>
      <c r="OGR81"/>
      <c r="OGS81"/>
      <c r="OGT81"/>
      <c r="OGU81"/>
      <c r="OGV81"/>
      <c r="OGW81"/>
      <c r="OGX81"/>
      <c r="OGY81"/>
      <c r="OGZ81"/>
      <c r="OHA81"/>
      <c r="OHB81"/>
      <c r="OHC81"/>
      <c r="OHD81"/>
      <c r="OHE81"/>
      <c r="OHF81"/>
      <c r="OHG81"/>
      <c r="OHH81"/>
      <c r="OHI81"/>
      <c r="OHJ81"/>
      <c r="OHK81"/>
      <c r="OHL81"/>
      <c r="OHM81"/>
      <c r="OHN81"/>
      <c r="OHO81"/>
      <c r="OHP81"/>
      <c r="OHQ81"/>
      <c r="OHR81"/>
      <c r="OHS81"/>
      <c r="OHT81"/>
      <c r="OHU81"/>
      <c r="OHV81"/>
      <c r="OHW81"/>
      <c r="OHX81"/>
      <c r="OHY81"/>
      <c r="OHZ81"/>
      <c r="OIA81"/>
      <c r="OIB81"/>
      <c r="OIC81"/>
      <c r="OID81"/>
      <c r="OIE81"/>
      <c r="OIF81"/>
      <c r="OIG81"/>
      <c r="OIH81"/>
      <c r="OII81"/>
      <c r="OIJ81"/>
      <c r="OIK81"/>
      <c r="OIL81"/>
      <c r="OIM81"/>
      <c r="OIN81"/>
      <c r="OIO81"/>
      <c r="OIP81"/>
      <c r="OIQ81"/>
      <c r="OIR81"/>
      <c r="OIS81"/>
      <c r="OIT81"/>
      <c r="OIU81"/>
      <c r="OIV81"/>
      <c r="OIW81"/>
      <c r="OIX81"/>
      <c r="OIY81"/>
      <c r="OIZ81"/>
      <c r="OJA81"/>
      <c r="OJB81"/>
      <c r="OJC81"/>
      <c r="OJD81"/>
      <c r="OJE81"/>
      <c r="OJF81"/>
      <c r="OJG81"/>
      <c r="OJH81"/>
      <c r="OJI81"/>
      <c r="OJJ81"/>
      <c r="OJK81"/>
      <c r="OJL81"/>
      <c r="OJM81"/>
      <c r="OJN81"/>
      <c r="OJO81"/>
      <c r="OJP81"/>
      <c r="OJQ81"/>
      <c r="OJR81"/>
      <c r="OJS81"/>
      <c r="OJT81"/>
      <c r="OJU81"/>
      <c r="OJV81"/>
      <c r="OJW81"/>
      <c r="OJX81"/>
      <c r="OJY81"/>
      <c r="OJZ81"/>
      <c r="OKA81"/>
      <c r="OKB81"/>
      <c r="OKC81"/>
      <c r="OKD81"/>
      <c r="OKE81"/>
      <c r="OKF81"/>
      <c r="OKG81"/>
      <c r="OKH81"/>
      <c r="OKI81"/>
      <c r="OKJ81"/>
      <c r="OKK81"/>
      <c r="OKL81"/>
      <c r="OKM81"/>
      <c r="OKN81"/>
      <c r="OKO81"/>
      <c r="OKP81"/>
      <c r="OKQ81"/>
      <c r="OKR81"/>
      <c r="OKS81"/>
      <c r="OKT81"/>
      <c r="OKU81"/>
      <c r="OKV81"/>
      <c r="OKW81"/>
      <c r="OKX81"/>
      <c r="OKY81"/>
      <c r="OKZ81"/>
      <c r="OLA81"/>
      <c r="OLB81"/>
      <c r="OLC81"/>
      <c r="OLD81"/>
      <c r="OLE81"/>
      <c r="OLF81"/>
      <c r="OLG81"/>
      <c r="OLH81"/>
      <c r="OLI81"/>
      <c r="OLJ81"/>
      <c r="OLK81"/>
      <c r="OLL81"/>
      <c r="OLM81"/>
      <c r="OLN81"/>
      <c r="OLO81"/>
      <c r="OLP81"/>
      <c r="OLQ81"/>
      <c r="OLR81"/>
      <c r="OLS81"/>
      <c r="OLT81"/>
      <c r="OLU81"/>
      <c r="OLV81"/>
      <c r="OLW81"/>
      <c r="OLX81"/>
      <c r="OLY81"/>
      <c r="OLZ81"/>
      <c r="OMA81"/>
      <c r="OMB81"/>
      <c r="OMC81"/>
      <c r="OMD81"/>
      <c r="OME81"/>
      <c r="OMF81"/>
      <c r="OMG81"/>
      <c r="OMH81"/>
      <c r="OMI81"/>
      <c r="OMJ81"/>
      <c r="OMK81"/>
      <c r="OML81"/>
      <c r="OMM81"/>
      <c r="OMN81"/>
      <c r="OMO81"/>
      <c r="OMP81"/>
      <c r="OMQ81"/>
      <c r="OMR81"/>
      <c r="OMS81"/>
      <c r="OMT81"/>
      <c r="OMU81"/>
      <c r="OMV81"/>
      <c r="OMW81"/>
      <c r="OMX81"/>
      <c r="OMY81"/>
      <c r="OMZ81"/>
      <c r="ONA81"/>
      <c r="ONB81"/>
      <c r="ONC81"/>
      <c r="OND81"/>
      <c r="ONE81"/>
      <c r="ONF81"/>
      <c r="ONG81"/>
      <c r="ONH81"/>
      <c r="ONI81"/>
      <c r="ONJ81"/>
      <c r="ONK81"/>
      <c r="ONL81"/>
      <c r="ONM81"/>
      <c r="ONN81"/>
      <c r="ONO81"/>
      <c r="ONP81"/>
      <c r="ONQ81"/>
      <c r="ONR81"/>
      <c r="ONS81"/>
      <c r="ONT81"/>
      <c r="ONU81"/>
      <c r="ONV81"/>
      <c r="ONW81"/>
      <c r="ONX81"/>
      <c r="ONY81"/>
      <c r="ONZ81"/>
      <c r="OOA81"/>
      <c r="OOB81"/>
      <c r="OOC81"/>
      <c r="OOD81"/>
      <c r="OOE81"/>
      <c r="OOF81"/>
      <c r="OOG81"/>
      <c r="OOH81"/>
      <c r="OOI81"/>
      <c r="OOJ81"/>
      <c r="OOK81"/>
      <c r="OOL81"/>
      <c r="OOM81"/>
      <c r="OON81"/>
      <c r="OOO81"/>
      <c r="OOP81"/>
      <c r="OOQ81"/>
      <c r="OOR81"/>
      <c r="OOS81"/>
      <c r="OOT81"/>
      <c r="OOU81"/>
      <c r="OOV81"/>
      <c r="OOW81"/>
      <c r="OOX81"/>
      <c r="OOY81"/>
      <c r="OOZ81"/>
      <c r="OPA81"/>
      <c r="OPB81"/>
      <c r="OPC81"/>
      <c r="OPD81"/>
      <c r="OPE81"/>
      <c r="OPF81"/>
      <c r="OPG81"/>
      <c r="OPH81"/>
      <c r="OPI81"/>
      <c r="OPJ81"/>
      <c r="OPK81"/>
      <c r="OPL81"/>
      <c r="OPM81"/>
      <c r="OPN81"/>
      <c r="OPO81"/>
      <c r="OPP81"/>
      <c r="OPQ81"/>
      <c r="OPR81"/>
      <c r="OPS81"/>
      <c r="OPT81"/>
      <c r="OPU81"/>
      <c r="OPV81"/>
      <c r="OPW81"/>
      <c r="OPX81"/>
      <c r="OPY81"/>
      <c r="OPZ81"/>
      <c r="OQA81"/>
      <c r="OQB81"/>
      <c r="OQC81"/>
      <c r="OQD81"/>
      <c r="OQE81"/>
      <c r="OQF81"/>
      <c r="OQG81"/>
      <c r="OQH81"/>
      <c r="OQI81"/>
      <c r="OQJ81"/>
      <c r="OQK81"/>
      <c r="OQL81"/>
      <c r="OQM81"/>
      <c r="OQN81"/>
      <c r="OQO81"/>
      <c r="OQP81"/>
      <c r="OQQ81"/>
      <c r="OQR81"/>
      <c r="OQS81"/>
      <c r="OQT81"/>
      <c r="OQU81"/>
      <c r="OQV81"/>
      <c r="OQW81"/>
      <c r="OQX81"/>
      <c r="OQY81"/>
      <c r="OQZ81"/>
      <c r="ORA81"/>
      <c r="ORB81"/>
      <c r="ORC81"/>
      <c r="ORD81"/>
      <c r="ORE81"/>
      <c r="ORF81"/>
      <c r="ORG81"/>
      <c r="ORH81"/>
      <c r="ORI81"/>
      <c r="ORJ81"/>
      <c r="ORK81"/>
      <c r="ORL81"/>
      <c r="ORM81"/>
      <c r="ORN81"/>
      <c r="ORO81"/>
      <c r="ORP81"/>
      <c r="ORQ81"/>
      <c r="ORR81"/>
      <c r="ORS81"/>
      <c r="ORT81"/>
      <c r="ORU81"/>
      <c r="ORV81"/>
      <c r="ORW81"/>
      <c r="ORX81"/>
      <c r="ORY81"/>
      <c r="ORZ81"/>
      <c r="OSA81"/>
      <c r="OSB81"/>
      <c r="OSC81"/>
      <c r="OSD81"/>
      <c r="OSE81"/>
      <c r="OSF81"/>
      <c r="OSG81"/>
      <c r="OSH81"/>
      <c r="OSI81"/>
      <c r="OSJ81"/>
      <c r="OSK81"/>
      <c r="OSL81"/>
      <c r="OSM81"/>
      <c r="OSN81"/>
      <c r="OSO81"/>
      <c r="OSP81"/>
      <c r="OSQ81"/>
      <c r="OSR81"/>
      <c r="OSS81"/>
      <c r="OST81"/>
      <c r="OSU81"/>
      <c r="OSV81"/>
      <c r="OSW81"/>
      <c r="OSX81"/>
      <c r="OSY81"/>
      <c r="OSZ81"/>
      <c r="OTA81"/>
      <c r="OTB81"/>
      <c r="OTC81"/>
      <c r="OTD81"/>
      <c r="OTE81"/>
      <c r="OTF81"/>
      <c r="OTG81"/>
      <c r="OTH81"/>
      <c r="OTI81"/>
      <c r="OTJ81"/>
      <c r="OTK81"/>
      <c r="OTL81"/>
      <c r="OTM81"/>
      <c r="OTN81"/>
      <c r="OTO81"/>
      <c r="OTP81"/>
      <c r="OTQ81"/>
      <c r="OTR81"/>
      <c r="OTS81"/>
      <c r="OTT81"/>
      <c r="OTU81"/>
      <c r="OTV81"/>
      <c r="OTW81"/>
      <c r="OTX81"/>
      <c r="OTY81"/>
      <c r="OTZ81"/>
      <c r="OUA81"/>
      <c r="OUB81"/>
      <c r="OUC81"/>
      <c r="OUD81"/>
      <c r="OUE81"/>
      <c r="OUF81"/>
      <c r="OUG81"/>
      <c r="OUH81"/>
      <c r="OUI81"/>
      <c r="OUJ81"/>
      <c r="OUK81"/>
      <c r="OUL81"/>
      <c r="OUM81"/>
      <c r="OUN81"/>
      <c r="OUO81"/>
      <c r="OUP81"/>
      <c r="OUQ81"/>
      <c r="OUR81"/>
      <c r="OUS81"/>
      <c r="OUT81"/>
      <c r="OUU81"/>
      <c r="OUV81"/>
      <c r="OUW81"/>
      <c r="OUX81"/>
      <c r="OUY81"/>
      <c r="OUZ81"/>
      <c r="OVA81"/>
      <c r="OVB81"/>
      <c r="OVC81"/>
      <c r="OVD81"/>
      <c r="OVE81"/>
      <c r="OVF81"/>
      <c r="OVG81"/>
      <c r="OVH81"/>
      <c r="OVI81"/>
      <c r="OVJ81"/>
      <c r="OVK81"/>
      <c r="OVL81"/>
      <c r="OVM81"/>
      <c r="OVN81"/>
      <c r="OVO81"/>
      <c r="OVP81"/>
      <c r="OVQ81"/>
      <c r="OVR81"/>
      <c r="OVS81"/>
      <c r="OVT81"/>
      <c r="OVU81"/>
      <c r="OVV81"/>
      <c r="OVW81"/>
      <c r="OVX81"/>
      <c r="OVY81"/>
      <c r="OVZ81"/>
      <c r="OWA81"/>
      <c r="OWB81"/>
      <c r="OWC81"/>
      <c r="OWD81"/>
      <c r="OWE81"/>
      <c r="OWF81"/>
      <c r="OWG81"/>
      <c r="OWH81"/>
      <c r="OWI81"/>
      <c r="OWJ81"/>
      <c r="OWK81"/>
      <c r="OWL81"/>
      <c r="OWM81"/>
      <c r="OWN81"/>
      <c r="OWO81"/>
      <c r="OWP81"/>
      <c r="OWQ81"/>
      <c r="OWR81"/>
      <c r="OWS81"/>
      <c r="OWT81"/>
      <c r="OWU81"/>
      <c r="OWV81"/>
      <c r="OWW81"/>
      <c r="OWX81"/>
      <c r="OWY81"/>
      <c r="OWZ81"/>
      <c r="OXA81"/>
      <c r="OXB81"/>
      <c r="OXC81"/>
      <c r="OXD81"/>
      <c r="OXE81"/>
      <c r="OXF81"/>
      <c r="OXG81"/>
      <c r="OXH81"/>
      <c r="OXI81"/>
      <c r="OXJ81"/>
      <c r="OXK81"/>
      <c r="OXL81"/>
      <c r="OXM81"/>
      <c r="OXN81"/>
      <c r="OXO81"/>
      <c r="OXP81"/>
      <c r="OXQ81"/>
      <c r="OXR81"/>
      <c r="OXS81"/>
      <c r="OXT81"/>
      <c r="OXU81"/>
      <c r="OXV81"/>
      <c r="OXW81"/>
      <c r="OXX81"/>
      <c r="OXY81"/>
      <c r="OXZ81"/>
      <c r="OYA81"/>
      <c r="OYB81"/>
      <c r="OYC81"/>
      <c r="OYD81"/>
      <c r="OYE81"/>
      <c r="OYF81"/>
      <c r="OYG81"/>
      <c r="OYH81"/>
      <c r="OYI81"/>
      <c r="OYJ81"/>
      <c r="OYK81"/>
      <c r="OYL81"/>
      <c r="OYM81"/>
      <c r="OYN81"/>
      <c r="OYO81"/>
      <c r="OYP81"/>
      <c r="OYQ81"/>
      <c r="OYR81"/>
      <c r="OYS81"/>
      <c r="OYT81"/>
      <c r="OYU81"/>
      <c r="OYV81"/>
      <c r="OYW81"/>
      <c r="OYX81"/>
      <c r="OYY81"/>
      <c r="OYZ81"/>
      <c r="OZA81"/>
      <c r="OZB81"/>
      <c r="OZC81"/>
      <c r="OZD81"/>
      <c r="OZE81"/>
      <c r="OZF81"/>
      <c r="OZG81"/>
      <c r="OZH81"/>
      <c r="OZI81"/>
      <c r="OZJ81"/>
      <c r="OZK81"/>
      <c r="OZL81"/>
      <c r="OZM81"/>
      <c r="OZN81"/>
      <c r="OZO81"/>
      <c r="OZP81"/>
      <c r="OZQ81"/>
      <c r="OZR81"/>
      <c r="OZS81"/>
      <c r="OZT81"/>
      <c r="OZU81"/>
      <c r="OZV81"/>
      <c r="OZW81"/>
      <c r="OZX81"/>
      <c r="OZY81"/>
      <c r="OZZ81"/>
      <c r="PAA81"/>
      <c r="PAB81"/>
      <c r="PAC81"/>
      <c r="PAD81"/>
      <c r="PAE81"/>
      <c r="PAF81"/>
      <c r="PAG81"/>
      <c r="PAH81"/>
      <c r="PAI81"/>
      <c r="PAJ81"/>
      <c r="PAK81"/>
      <c r="PAL81"/>
      <c r="PAM81"/>
      <c r="PAN81"/>
      <c r="PAO81"/>
      <c r="PAP81"/>
      <c r="PAQ81"/>
      <c r="PAR81"/>
      <c r="PAS81"/>
      <c r="PAT81"/>
      <c r="PAU81"/>
      <c r="PAV81"/>
      <c r="PAW81"/>
      <c r="PAX81"/>
      <c r="PAY81"/>
      <c r="PAZ81"/>
      <c r="PBA81"/>
      <c r="PBB81"/>
      <c r="PBC81"/>
      <c r="PBD81"/>
      <c r="PBE81"/>
      <c r="PBF81"/>
      <c r="PBG81"/>
      <c r="PBH81"/>
      <c r="PBI81"/>
      <c r="PBJ81"/>
      <c r="PBK81"/>
      <c r="PBL81"/>
      <c r="PBM81"/>
      <c r="PBN81"/>
      <c r="PBO81"/>
      <c r="PBP81"/>
      <c r="PBQ81"/>
      <c r="PBR81"/>
      <c r="PBS81"/>
      <c r="PBT81"/>
      <c r="PBU81"/>
      <c r="PBV81"/>
      <c r="PBW81"/>
      <c r="PBX81"/>
      <c r="PBY81"/>
      <c r="PBZ81"/>
      <c r="PCA81"/>
      <c r="PCB81"/>
      <c r="PCC81"/>
      <c r="PCD81"/>
      <c r="PCE81"/>
      <c r="PCF81"/>
      <c r="PCG81"/>
      <c r="PCH81"/>
      <c r="PCI81"/>
      <c r="PCJ81"/>
      <c r="PCK81"/>
      <c r="PCL81"/>
      <c r="PCM81"/>
      <c r="PCN81"/>
      <c r="PCO81"/>
      <c r="PCP81"/>
      <c r="PCQ81"/>
      <c r="PCR81"/>
      <c r="PCS81"/>
      <c r="PCT81"/>
      <c r="PCU81"/>
      <c r="PCV81"/>
      <c r="PCW81"/>
      <c r="PCX81"/>
      <c r="PCY81"/>
      <c r="PCZ81"/>
      <c r="PDA81"/>
      <c r="PDB81"/>
      <c r="PDC81"/>
      <c r="PDD81"/>
      <c r="PDE81"/>
      <c r="PDF81"/>
      <c r="PDG81"/>
      <c r="PDH81"/>
      <c r="PDI81"/>
      <c r="PDJ81"/>
      <c r="PDK81"/>
      <c r="PDL81"/>
      <c r="PDM81"/>
      <c r="PDN81"/>
      <c r="PDO81"/>
      <c r="PDP81"/>
      <c r="PDQ81"/>
      <c r="PDR81"/>
      <c r="PDS81"/>
      <c r="PDT81"/>
      <c r="PDU81"/>
      <c r="PDV81"/>
      <c r="PDW81"/>
      <c r="PDX81"/>
      <c r="PDY81"/>
      <c r="PDZ81"/>
      <c r="PEA81"/>
      <c r="PEB81"/>
      <c r="PEC81"/>
      <c r="PED81"/>
      <c r="PEE81"/>
      <c r="PEF81"/>
      <c r="PEG81"/>
      <c r="PEH81"/>
      <c r="PEI81"/>
      <c r="PEJ81"/>
      <c r="PEK81"/>
      <c r="PEL81"/>
      <c r="PEM81"/>
      <c r="PEN81"/>
      <c r="PEO81"/>
      <c r="PEP81"/>
      <c r="PEQ81"/>
      <c r="PER81"/>
      <c r="PES81"/>
      <c r="PET81"/>
      <c r="PEU81"/>
      <c r="PEV81"/>
      <c r="PEW81"/>
      <c r="PEX81"/>
      <c r="PEY81"/>
      <c r="PEZ81"/>
      <c r="PFA81"/>
      <c r="PFB81"/>
      <c r="PFC81"/>
      <c r="PFD81"/>
      <c r="PFE81"/>
      <c r="PFF81"/>
      <c r="PFG81"/>
      <c r="PFH81"/>
      <c r="PFI81"/>
      <c r="PFJ81"/>
      <c r="PFK81"/>
      <c r="PFL81"/>
      <c r="PFM81"/>
      <c r="PFN81"/>
      <c r="PFO81"/>
      <c r="PFP81"/>
      <c r="PFQ81"/>
      <c r="PFR81"/>
      <c r="PFS81"/>
      <c r="PFT81"/>
      <c r="PFU81"/>
      <c r="PFV81"/>
      <c r="PFW81"/>
      <c r="PFX81"/>
      <c r="PFY81"/>
      <c r="PFZ81"/>
      <c r="PGA81"/>
      <c r="PGB81"/>
      <c r="PGC81"/>
      <c r="PGD81"/>
      <c r="PGE81"/>
      <c r="PGF81"/>
      <c r="PGG81"/>
      <c r="PGH81"/>
      <c r="PGI81"/>
      <c r="PGJ81"/>
      <c r="PGK81"/>
      <c r="PGL81"/>
      <c r="PGM81"/>
      <c r="PGN81"/>
      <c r="PGO81"/>
      <c r="PGP81"/>
      <c r="PGQ81"/>
      <c r="PGR81"/>
      <c r="PGS81"/>
      <c r="PGT81"/>
      <c r="PGU81"/>
      <c r="PGV81"/>
      <c r="PGW81"/>
      <c r="PGX81"/>
      <c r="PGY81"/>
      <c r="PGZ81"/>
      <c r="PHA81"/>
      <c r="PHB81"/>
      <c r="PHC81"/>
      <c r="PHD81"/>
      <c r="PHE81"/>
      <c r="PHF81"/>
      <c r="PHG81"/>
      <c r="PHH81"/>
      <c r="PHI81"/>
      <c r="PHJ81"/>
      <c r="PHK81"/>
      <c r="PHL81"/>
      <c r="PHM81"/>
      <c r="PHN81"/>
      <c r="PHO81"/>
      <c r="PHP81"/>
      <c r="PHQ81"/>
      <c r="PHR81"/>
      <c r="PHS81"/>
      <c r="PHT81"/>
      <c r="PHU81"/>
      <c r="PHV81"/>
      <c r="PHW81"/>
      <c r="PHX81"/>
      <c r="PHY81"/>
      <c r="PHZ81"/>
      <c r="PIA81"/>
      <c r="PIB81"/>
      <c r="PIC81"/>
      <c r="PID81"/>
      <c r="PIE81"/>
      <c r="PIF81"/>
      <c r="PIG81"/>
      <c r="PIH81"/>
      <c r="PII81"/>
      <c r="PIJ81"/>
      <c r="PIK81"/>
      <c r="PIL81"/>
      <c r="PIM81"/>
      <c r="PIN81"/>
      <c r="PIO81"/>
      <c r="PIP81"/>
      <c r="PIQ81"/>
      <c r="PIR81"/>
      <c r="PIS81"/>
      <c r="PIT81"/>
      <c r="PIU81"/>
      <c r="PIV81"/>
      <c r="PIW81"/>
      <c r="PIX81"/>
      <c r="PIY81"/>
      <c r="PIZ81"/>
      <c r="PJA81"/>
      <c r="PJB81"/>
      <c r="PJC81"/>
      <c r="PJD81"/>
      <c r="PJE81"/>
      <c r="PJF81"/>
      <c r="PJG81"/>
      <c r="PJH81"/>
      <c r="PJI81"/>
      <c r="PJJ81"/>
      <c r="PJK81"/>
      <c r="PJL81"/>
      <c r="PJM81"/>
      <c r="PJN81"/>
      <c r="PJO81"/>
      <c r="PJP81"/>
      <c r="PJQ81"/>
      <c r="PJR81"/>
      <c r="PJS81"/>
      <c r="PJT81"/>
      <c r="PJU81"/>
      <c r="PJV81"/>
      <c r="PJW81"/>
      <c r="PJX81"/>
      <c r="PJY81"/>
      <c r="PJZ81"/>
      <c r="PKA81"/>
      <c r="PKB81"/>
      <c r="PKC81"/>
      <c r="PKD81"/>
      <c r="PKE81"/>
      <c r="PKF81"/>
      <c r="PKG81"/>
      <c r="PKH81"/>
      <c r="PKI81"/>
      <c r="PKJ81"/>
      <c r="PKK81"/>
      <c r="PKL81"/>
      <c r="PKM81"/>
      <c r="PKN81"/>
      <c r="PKO81"/>
      <c r="PKP81"/>
      <c r="PKQ81"/>
      <c r="PKR81"/>
      <c r="PKS81"/>
      <c r="PKT81"/>
      <c r="PKU81"/>
      <c r="PKV81"/>
      <c r="PKW81"/>
      <c r="PKX81"/>
      <c r="PKY81"/>
      <c r="PKZ81"/>
      <c r="PLA81"/>
      <c r="PLB81"/>
      <c r="PLC81"/>
      <c r="PLD81"/>
      <c r="PLE81"/>
      <c r="PLF81"/>
      <c r="PLG81"/>
      <c r="PLH81"/>
      <c r="PLI81"/>
      <c r="PLJ81"/>
      <c r="PLK81"/>
      <c r="PLL81"/>
      <c r="PLM81"/>
      <c r="PLN81"/>
      <c r="PLO81"/>
      <c r="PLP81"/>
      <c r="PLQ81"/>
      <c r="PLR81"/>
      <c r="PLS81"/>
      <c r="PLT81"/>
      <c r="PLU81"/>
      <c r="PLV81"/>
      <c r="PLW81"/>
      <c r="PLX81"/>
      <c r="PLY81"/>
      <c r="PLZ81"/>
      <c r="PMA81"/>
      <c r="PMB81"/>
      <c r="PMC81"/>
      <c r="PMD81"/>
      <c r="PME81"/>
      <c r="PMF81"/>
      <c r="PMG81"/>
      <c r="PMH81"/>
      <c r="PMI81"/>
      <c r="PMJ81"/>
      <c r="PMK81"/>
      <c r="PML81"/>
      <c r="PMM81"/>
      <c r="PMN81"/>
      <c r="PMO81"/>
      <c r="PMP81"/>
      <c r="PMQ81"/>
      <c r="PMR81"/>
      <c r="PMS81"/>
      <c r="PMT81"/>
      <c r="PMU81"/>
      <c r="PMV81"/>
      <c r="PMW81"/>
      <c r="PMX81"/>
      <c r="PMY81"/>
      <c r="PMZ81"/>
      <c r="PNA81"/>
      <c r="PNB81"/>
      <c r="PNC81"/>
      <c r="PND81"/>
      <c r="PNE81"/>
      <c r="PNF81"/>
      <c r="PNG81"/>
      <c r="PNH81"/>
      <c r="PNI81"/>
      <c r="PNJ81"/>
      <c r="PNK81"/>
      <c r="PNL81"/>
      <c r="PNM81"/>
      <c r="PNN81"/>
      <c r="PNO81"/>
      <c r="PNP81"/>
      <c r="PNQ81"/>
      <c r="PNR81"/>
      <c r="PNS81"/>
      <c r="PNT81"/>
      <c r="PNU81"/>
      <c r="PNV81"/>
      <c r="PNW81"/>
      <c r="PNX81"/>
      <c r="PNY81"/>
      <c r="PNZ81"/>
      <c r="POA81"/>
      <c r="POB81"/>
      <c r="POC81"/>
      <c r="POD81"/>
      <c r="POE81"/>
      <c r="POF81"/>
      <c r="POG81"/>
      <c r="POH81"/>
      <c r="POI81"/>
      <c r="POJ81"/>
      <c r="POK81"/>
      <c r="POL81"/>
      <c r="POM81"/>
      <c r="PON81"/>
      <c r="POO81"/>
      <c r="POP81"/>
      <c r="POQ81"/>
      <c r="POR81"/>
      <c r="POS81"/>
      <c r="POT81"/>
      <c r="POU81"/>
      <c r="POV81"/>
      <c r="POW81"/>
      <c r="POX81"/>
      <c r="POY81"/>
      <c r="POZ81"/>
      <c r="PPA81"/>
      <c r="PPB81"/>
      <c r="PPC81"/>
      <c r="PPD81"/>
      <c r="PPE81"/>
      <c r="PPF81"/>
      <c r="PPG81"/>
      <c r="PPH81"/>
      <c r="PPI81"/>
      <c r="PPJ81"/>
      <c r="PPK81"/>
      <c r="PPL81"/>
      <c r="PPM81"/>
      <c r="PPN81"/>
      <c r="PPO81"/>
      <c r="PPP81"/>
      <c r="PPQ81"/>
      <c r="PPR81"/>
      <c r="PPS81"/>
      <c r="PPT81"/>
      <c r="PPU81"/>
      <c r="PPV81"/>
      <c r="PPW81"/>
      <c r="PPX81"/>
      <c r="PPY81"/>
      <c r="PPZ81"/>
      <c r="PQA81"/>
      <c r="PQB81"/>
      <c r="PQC81"/>
      <c r="PQD81"/>
      <c r="PQE81"/>
      <c r="PQF81"/>
      <c r="PQG81"/>
      <c r="PQH81"/>
      <c r="PQI81"/>
      <c r="PQJ81"/>
      <c r="PQK81"/>
      <c r="PQL81"/>
      <c r="PQM81"/>
      <c r="PQN81"/>
      <c r="PQO81"/>
      <c r="PQP81"/>
      <c r="PQQ81"/>
      <c r="PQR81"/>
      <c r="PQS81"/>
      <c r="PQT81"/>
      <c r="PQU81"/>
      <c r="PQV81"/>
      <c r="PQW81"/>
      <c r="PQX81"/>
      <c r="PQY81"/>
      <c r="PQZ81"/>
      <c r="PRA81"/>
      <c r="PRB81"/>
      <c r="PRC81"/>
      <c r="PRD81"/>
      <c r="PRE81"/>
      <c r="PRF81"/>
      <c r="PRG81"/>
      <c r="PRH81"/>
      <c r="PRI81"/>
      <c r="PRJ81"/>
      <c r="PRK81"/>
      <c r="PRL81"/>
      <c r="PRM81"/>
      <c r="PRN81"/>
      <c r="PRO81"/>
      <c r="PRP81"/>
      <c r="PRQ81"/>
      <c r="PRR81"/>
      <c r="PRS81"/>
      <c r="PRT81"/>
      <c r="PRU81"/>
      <c r="PRV81"/>
      <c r="PRW81"/>
      <c r="PRX81"/>
      <c r="PRY81"/>
      <c r="PRZ81"/>
      <c r="PSA81"/>
      <c r="PSB81"/>
      <c r="PSC81"/>
      <c r="PSD81"/>
      <c r="PSE81"/>
      <c r="PSF81"/>
      <c r="PSG81"/>
      <c r="PSH81"/>
      <c r="PSI81"/>
      <c r="PSJ81"/>
      <c r="PSK81"/>
      <c r="PSL81"/>
      <c r="PSM81"/>
      <c r="PSN81"/>
      <c r="PSO81"/>
      <c r="PSP81"/>
      <c r="PSQ81"/>
      <c r="PSR81"/>
      <c r="PSS81"/>
      <c r="PST81"/>
      <c r="PSU81"/>
      <c r="PSV81"/>
      <c r="PSW81"/>
      <c r="PSX81"/>
      <c r="PSY81"/>
      <c r="PSZ81"/>
      <c r="PTA81"/>
      <c r="PTB81"/>
      <c r="PTC81"/>
      <c r="PTD81"/>
      <c r="PTE81"/>
      <c r="PTF81"/>
      <c r="PTG81"/>
      <c r="PTH81"/>
      <c r="PTI81"/>
      <c r="PTJ81"/>
      <c r="PTK81"/>
      <c r="PTL81"/>
      <c r="PTM81"/>
      <c r="PTN81"/>
      <c r="PTO81"/>
      <c r="PTP81"/>
      <c r="PTQ81"/>
      <c r="PTR81"/>
      <c r="PTS81"/>
      <c r="PTT81"/>
      <c r="PTU81"/>
      <c r="PTV81"/>
      <c r="PTW81"/>
      <c r="PTX81"/>
      <c r="PTY81"/>
      <c r="PTZ81"/>
      <c r="PUA81"/>
      <c r="PUB81"/>
      <c r="PUC81"/>
      <c r="PUD81"/>
      <c r="PUE81"/>
      <c r="PUF81"/>
      <c r="PUG81"/>
      <c r="PUH81"/>
      <c r="PUI81"/>
      <c r="PUJ81"/>
      <c r="PUK81"/>
      <c r="PUL81"/>
      <c r="PUM81"/>
      <c r="PUN81"/>
      <c r="PUO81"/>
      <c r="PUP81"/>
      <c r="PUQ81"/>
      <c r="PUR81"/>
      <c r="PUS81"/>
      <c r="PUT81"/>
      <c r="PUU81"/>
      <c r="PUV81"/>
      <c r="PUW81"/>
      <c r="PUX81"/>
      <c r="PUY81"/>
      <c r="PUZ81"/>
      <c r="PVA81"/>
      <c r="PVB81"/>
      <c r="PVC81"/>
      <c r="PVD81"/>
      <c r="PVE81"/>
      <c r="PVF81"/>
      <c r="PVG81"/>
      <c r="PVH81"/>
      <c r="PVI81"/>
      <c r="PVJ81"/>
      <c r="PVK81"/>
      <c r="PVL81"/>
      <c r="PVM81"/>
      <c r="PVN81"/>
      <c r="PVO81"/>
      <c r="PVP81"/>
      <c r="PVQ81"/>
      <c r="PVR81"/>
      <c r="PVS81"/>
      <c r="PVT81"/>
      <c r="PVU81"/>
      <c r="PVV81"/>
      <c r="PVW81"/>
      <c r="PVX81"/>
      <c r="PVY81"/>
      <c r="PVZ81"/>
      <c r="PWA81"/>
      <c r="PWB81"/>
      <c r="PWC81"/>
      <c r="PWD81"/>
      <c r="PWE81"/>
      <c r="PWF81"/>
      <c r="PWG81"/>
      <c r="PWH81"/>
      <c r="PWI81"/>
      <c r="PWJ81"/>
      <c r="PWK81"/>
      <c r="PWL81"/>
      <c r="PWM81"/>
      <c r="PWN81"/>
      <c r="PWO81"/>
      <c r="PWP81"/>
      <c r="PWQ81"/>
      <c r="PWR81"/>
      <c r="PWS81"/>
      <c r="PWT81"/>
      <c r="PWU81"/>
      <c r="PWV81"/>
      <c r="PWW81"/>
      <c r="PWX81"/>
      <c r="PWY81"/>
      <c r="PWZ81"/>
      <c r="PXA81"/>
      <c r="PXB81"/>
      <c r="PXC81"/>
      <c r="PXD81"/>
      <c r="PXE81"/>
      <c r="PXF81"/>
      <c r="PXG81"/>
      <c r="PXH81"/>
      <c r="PXI81"/>
      <c r="PXJ81"/>
      <c r="PXK81"/>
      <c r="PXL81"/>
      <c r="PXM81"/>
      <c r="PXN81"/>
      <c r="PXO81"/>
      <c r="PXP81"/>
      <c r="PXQ81"/>
      <c r="PXR81"/>
      <c r="PXS81"/>
      <c r="PXT81"/>
      <c r="PXU81"/>
      <c r="PXV81"/>
      <c r="PXW81"/>
      <c r="PXX81"/>
      <c r="PXY81"/>
      <c r="PXZ81"/>
      <c r="PYA81"/>
      <c r="PYB81"/>
      <c r="PYC81"/>
      <c r="PYD81"/>
      <c r="PYE81"/>
      <c r="PYF81"/>
      <c r="PYG81"/>
      <c r="PYH81"/>
      <c r="PYI81"/>
      <c r="PYJ81"/>
      <c r="PYK81"/>
      <c r="PYL81"/>
      <c r="PYM81"/>
      <c r="PYN81"/>
      <c r="PYO81"/>
      <c r="PYP81"/>
      <c r="PYQ81"/>
      <c r="PYR81"/>
      <c r="PYS81"/>
      <c r="PYT81"/>
      <c r="PYU81"/>
      <c r="PYV81"/>
      <c r="PYW81"/>
      <c r="PYX81"/>
      <c r="PYY81"/>
      <c r="PYZ81"/>
      <c r="PZA81"/>
      <c r="PZB81"/>
      <c r="PZC81"/>
      <c r="PZD81"/>
      <c r="PZE81"/>
      <c r="PZF81"/>
      <c r="PZG81"/>
      <c r="PZH81"/>
      <c r="PZI81"/>
      <c r="PZJ81"/>
      <c r="PZK81"/>
      <c r="PZL81"/>
      <c r="PZM81"/>
      <c r="PZN81"/>
      <c r="PZO81"/>
      <c r="PZP81"/>
      <c r="PZQ81"/>
      <c r="PZR81"/>
      <c r="PZS81"/>
      <c r="PZT81"/>
      <c r="PZU81"/>
      <c r="PZV81"/>
      <c r="PZW81"/>
      <c r="PZX81"/>
      <c r="PZY81"/>
      <c r="PZZ81"/>
      <c r="QAA81"/>
      <c r="QAB81"/>
      <c r="QAC81"/>
      <c r="QAD81"/>
      <c r="QAE81"/>
      <c r="QAF81"/>
      <c r="QAG81"/>
      <c r="QAH81"/>
      <c r="QAI81"/>
      <c r="QAJ81"/>
      <c r="QAK81"/>
      <c r="QAL81"/>
      <c r="QAM81"/>
      <c r="QAN81"/>
      <c r="QAO81"/>
      <c r="QAP81"/>
      <c r="QAQ81"/>
      <c r="QAR81"/>
      <c r="QAS81"/>
      <c r="QAT81"/>
      <c r="QAU81"/>
      <c r="QAV81"/>
      <c r="QAW81"/>
      <c r="QAX81"/>
      <c r="QAY81"/>
      <c r="QAZ81"/>
      <c r="QBA81"/>
      <c r="QBB81"/>
      <c r="QBC81"/>
      <c r="QBD81"/>
      <c r="QBE81"/>
      <c r="QBF81"/>
      <c r="QBG81"/>
      <c r="QBH81"/>
      <c r="QBI81"/>
      <c r="QBJ81"/>
      <c r="QBK81"/>
      <c r="QBL81"/>
      <c r="QBM81"/>
      <c r="QBN81"/>
      <c r="QBO81"/>
      <c r="QBP81"/>
      <c r="QBQ81"/>
      <c r="QBR81"/>
      <c r="QBS81"/>
      <c r="QBT81"/>
      <c r="QBU81"/>
      <c r="QBV81"/>
      <c r="QBW81"/>
      <c r="QBX81"/>
      <c r="QBY81"/>
      <c r="QBZ81"/>
      <c r="QCA81"/>
      <c r="QCB81"/>
      <c r="QCC81"/>
      <c r="QCD81"/>
      <c r="QCE81"/>
      <c r="QCF81"/>
      <c r="QCG81"/>
      <c r="QCH81"/>
      <c r="QCI81"/>
      <c r="QCJ81"/>
      <c r="QCK81"/>
      <c r="QCL81"/>
      <c r="QCM81"/>
      <c r="QCN81"/>
      <c r="QCO81"/>
      <c r="QCP81"/>
      <c r="QCQ81"/>
      <c r="QCR81"/>
      <c r="QCS81"/>
      <c r="QCT81"/>
      <c r="QCU81"/>
      <c r="QCV81"/>
      <c r="QCW81"/>
      <c r="QCX81"/>
      <c r="QCY81"/>
      <c r="QCZ81"/>
      <c r="QDA81"/>
      <c r="QDB81"/>
      <c r="QDC81"/>
      <c r="QDD81"/>
      <c r="QDE81"/>
      <c r="QDF81"/>
      <c r="QDG81"/>
      <c r="QDH81"/>
      <c r="QDI81"/>
      <c r="QDJ81"/>
      <c r="QDK81"/>
      <c r="QDL81"/>
      <c r="QDM81"/>
      <c r="QDN81"/>
      <c r="QDO81"/>
      <c r="QDP81"/>
      <c r="QDQ81"/>
      <c r="QDR81"/>
      <c r="QDS81"/>
      <c r="QDT81"/>
      <c r="QDU81"/>
      <c r="QDV81"/>
      <c r="QDW81"/>
      <c r="QDX81"/>
      <c r="QDY81"/>
      <c r="QDZ81"/>
      <c r="QEA81"/>
      <c r="QEB81"/>
      <c r="QEC81"/>
      <c r="QED81"/>
      <c r="QEE81"/>
      <c r="QEF81"/>
      <c r="QEG81"/>
      <c r="QEH81"/>
      <c r="QEI81"/>
      <c r="QEJ81"/>
      <c r="QEK81"/>
      <c r="QEL81"/>
      <c r="QEM81"/>
      <c r="QEN81"/>
      <c r="QEO81"/>
      <c r="QEP81"/>
      <c r="QEQ81"/>
      <c r="QER81"/>
      <c r="QES81"/>
      <c r="QET81"/>
      <c r="QEU81"/>
      <c r="QEV81"/>
      <c r="QEW81"/>
      <c r="QEX81"/>
      <c r="QEY81"/>
      <c r="QEZ81"/>
      <c r="QFA81"/>
      <c r="QFB81"/>
      <c r="QFC81"/>
      <c r="QFD81"/>
      <c r="QFE81"/>
      <c r="QFF81"/>
      <c r="QFG81"/>
      <c r="QFH81"/>
      <c r="QFI81"/>
      <c r="QFJ81"/>
      <c r="QFK81"/>
      <c r="QFL81"/>
      <c r="QFM81"/>
      <c r="QFN81"/>
      <c r="QFO81"/>
      <c r="QFP81"/>
      <c r="QFQ81"/>
      <c r="QFR81"/>
      <c r="QFS81"/>
      <c r="QFT81"/>
      <c r="QFU81"/>
      <c r="QFV81"/>
      <c r="QFW81"/>
      <c r="QFX81"/>
      <c r="QFY81"/>
      <c r="QFZ81"/>
      <c r="QGA81"/>
      <c r="QGB81"/>
      <c r="QGC81"/>
      <c r="QGD81"/>
      <c r="QGE81"/>
      <c r="QGF81"/>
      <c r="QGG81"/>
      <c r="QGH81"/>
      <c r="QGI81"/>
      <c r="QGJ81"/>
      <c r="QGK81"/>
      <c r="QGL81"/>
      <c r="QGM81"/>
      <c r="QGN81"/>
      <c r="QGO81"/>
      <c r="QGP81"/>
      <c r="QGQ81"/>
      <c r="QGR81"/>
      <c r="QGS81"/>
      <c r="QGT81"/>
      <c r="QGU81"/>
      <c r="QGV81"/>
      <c r="QGW81"/>
      <c r="QGX81"/>
      <c r="QGY81"/>
      <c r="QGZ81"/>
      <c r="QHA81"/>
      <c r="QHB81"/>
      <c r="QHC81"/>
      <c r="QHD81"/>
      <c r="QHE81"/>
      <c r="QHF81"/>
      <c r="QHG81"/>
      <c r="QHH81"/>
      <c r="QHI81"/>
      <c r="QHJ81"/>
      <c r="QHK81"/>
      <c r="QHL81"/>
      <c r="QHM81"/>
      <c r="QHN81"/>
      <c r="QHO81"/>
      <c r="QHP81"/>
      <c r="QHQ81"/>
      <c r="QHR81"/>
      <c r="QHS81"/>
      <c r="QHT81"/>
      <c r="QHU81"/>
      <c r="QHV81"/>
      <c r="QHW81"/>
      <c r="QHX81"/>
      <c r="QHY81"/>
      <c r="QHZ81"/>
      <c r="QIA81"/>
      <c r="QIB81"/>
      <c r="QIC81"/>
      <c r="QID81"/>
      <c r="QIE81"/>
      <c r="QIF81"/>
      <c r="QIG81"/>
      <c r="QIH81"/>
      <c r="QII81"/>
      <c r="QIJ81"/>
      <c r="QIK81"/>
      <c r="QIL81"/>
      <c r="QIM81"/>
      <c r="QIN81"/>
      <c r="QIO81"/>
      <c r="QIP81"/>
      <c r="QIQ81"/>
      <c r="QIR81"/>
      <c r="QIS81"/>
      <c r="QIT81"/>
      <c r="QIU81"/>
      <c r="QIV81"/>
      <c r="QIW81"/>
      <c r="QIX81"/>
      <c r="QIY81"/>
      <c r="QIZ81"/>
      <c r="QJA81"/>
      <c r="QJB81"/>
      <c r="QJC81"/>
      <c r="QJD81"/>
      <c r="QJE81"/>
      <c r="QJF81"/>
      <c r="QJG81"/>
      <c r="QJH81"/>
      <c r="QJI81"/>
      <c r="QJJ81"/>
      <c r="QJK81"/>
      <c r="QJL81"/>
      <c r="QJM81"/>
      <c r="QJN81"/>
      <c r="QJO81"/>
      <c r="QJP81"/>
      <c r="QJQ81"/>
      <c r="QJR81"/>
      <c r="QJS81"/>
      <c r="QJT81"/>
      <c r="QJU81"/>
      <c r="QJV81"/>
      <c r="QJW81"/>
      <c r="QJX81"/>
      <c r="QJY81"/>
      <c r="QJZ81"/>
      <c r="QKA81"/>
      <c r="QKB81"/>
      <c r="QKC81"/>
      <c r="QKD81"/>
      <c r="QKE81"/>
      <c r="QKF81"/>
      <c r="QKG81"/>
      <c r="QKH81"/>
      <c r="QKI81"/>
      <c r="QKJ81"/>
      <c r="QKK81"/>
      <c r="QKL81"/>
      <c r="QKM81"/>
      <c r="QKN81"/>
      <c r="QKO81"/>
      <c r="QKP81"/>
      <c r="QKQ81"/>
      <c r="QKR81"/>
      <c r="QKS81"/>
      <c r="QKT81"/>
      <c r="QKU81"/>
      <c r="QKV81"/>
      <c r="QKW81"/>
      <c r="QKX81"/>
      <c r="QKY81"/>
      <c r="QKZ81"/>
      <c r="QLA81"/>
      <c r="QLB81"/>
      <c r="QLC81"/>
      <c r="QLD81"/>
      <c r="QLE81"/>
      <c r="QLF81"/>
      <c r="QLG81"/>
      <c r="QLH81"/>
      <c r="QLI81"/>
      <c r="QLJ81"/>
      <c r="QLK81"/>
      <c r="QLL81"/>
      <c r="QLM81"/>
      <c r="QLN81"/>
      <c r="QLO81"/>
      <c r="QLP81"/>
      <c r="QLQ81"/>
      <c r="QLR81"/>
      <c r="QLS81"/>
      <c r="QLT81"/>
      <c r="QLU81"/>
      <c r="QLV81"/>
      <c r="QLW81"/>
      <c r="QLX81"/>
      <c r="QLY81"/>
      <c r="QLZ81"/>
      <c r="QMA81"/>
      <c r="QMB81"/>
      <c r="QMC81"/>
      <c r="QMD81"/>
      <c r="QME81"/>
      <c r="QMF81"/>
      <c r="QMG81"/>
      <c r="QMH81"/>
      <c r="QMI81"/>
      <c r="QMJ81"/>
      <c r="QMK81"/>
      <c r="QML81"/>
      <c r="QMM81"/>
      <c r="QMN81"/>
      <c r="QMO81"/>
      <c r="QMP81"/>
      <c r="QMQ81"/>
      <c r="QMR81"/>
      <c r="QMS81"/>
      <c r="QMT81"/>
      <c r="QMU81"/>
      <c r="QMV81"/>
      <c r="QMW81"/>
      <c r="QMX81"/>
      <c r="QMY81"/>
      <c r="QMZ81"/>
      <c r="QNA81"/>
      <c r="QNB81"/>
      <c r="QNC81"/>
      <c r="QND81"/>
      <c r="QNE81"/>
      <c r="QNF81"/>
      <c r="QNG81"/>
      <c r="QNH81"/>
      <c r="QNI81"/>
      <c r="QNJ81"/>
      <c r="QNK81"/>
      <c r="QNL81"/>
      <c r="QNM81"/>
      <c r="QNN81"/>
      <c r="QNO81"/>
      <c r="QNP81"/>
      <c r="QNQ81"/>
      <c r="QNR81"/>
      <c r="QNS81"/>
      <c r="QNT81"/>
      <c r="QNU81"/>
      <c r="QNV81"/>
      <c r="QNW81"/>
      <c r="QNX81"/>
      <c r="QNY81"/>
      <c r="QNZ81"/>
      <c r="QOA81"/>
      <c r="QOB81"/>
      <c r="QOC81"/>
      <c r="QOD81"/>
      <c r="QOE81"/>
      <c r="QOF81"/>
      <c r="QOG81"/>
      <c r="QOH81"/>
      <c r="QOI81"/>
      <c r="QOJ81"/>
      <c r="QOK81"/>
      <c r="QOL81"/>
      <c r="QOM81"/>
      <c r="QON81"/>
      <c r="QOO81"/>
      <c r="QOP81"/>
      <c r="QOQ81"/>
      <c r="QOR81"/>
      <c r="QOS81"/>
      <c r="QOT81"/>
      <c r="QOU81"/>
      <c r="QOV81"/>
      <c r="QOW81"/>
      <c r="QOX81"/>
      <c r="QOY81"/>
      <c r="QOZ81"/>
      <c r="QPA81"/>
      <c r="QPB81"/>
      <c r="QPC81"/>
      <c r="QPD81"/>
      <c r="QPE81"/>
      <c r="QPF81"/>
      <c r="QPG81"/>
      <c r="QPH81"/>
      <c r="QPI81"/>
      <c r="QPJ81"/>
      <c r="QPK81"/>
      <c r="QPL81"/>
      <c r="QPM81"/>
      <c r="QPN81"/>
      <c r="QPO81"/>
      <c r="QPP81"/>
      <c r="QPQ81"/>
      <c r="QPR81"/>
      <c r="QPS81"/>
      <c r="QPT81"/>
      <c r="QPU81"/>
      <c r="QPV81"/>
      <c r="QPW81"/>
      <c r="QPX81"/>
      <c r="QPY81"/>
      <c r="QPZ81"/>
      <c r="QQA81"/>
      <c r="QQB81"/>
      <c r="QQC81"/>
      <c r="QQD81"/>
      <c r="QQE81"/>
      <c r="QQF81"/>
      <c r="QQG81"/>
      <c r="QQH81"/>
      <c r="QQI81"/>
      <c r="QQJ81"/>
      <c r="QQK81"/>
      <c r="QQL81"/>
      <c r="QQM81"/>
      <c r="QQN81"/>
      <c r="QQO81"/>
      <c r="QQP81"/>
      <c r="QQQ81"/>
      <c r="QQR81"/>
      <c r="QQS81"/>
      <c r="QQT81"/>
      <c r="QQU81"/>
      <c r="QQV81"/>
      <c r="QQW81"/>
      <c r="QQX81"/>
      <c r="QQY81"/>
      <c r="QQZ81"/>
      <c r="QRA81"/>
      <c r="QRB81"/>
      <c r="QRC81"/>
      <c r="QRD81"/>
      <c r="QRE81"/>
      <c r="QRF81"/>
      <c r="QRG81"/>
      <c r="QRH81"/>
      <c r="QRI81"/>
      <c r="QRJ81"/>
      <c r="QRK81"/>
      <c r="QRL81"/>
      <c r="QRM81"/>
      <c r="QRN81"/>
      <c r="QRO81"/>
      <c r="QRP81"/>
      <c r="QRQ81"/>
      <c r="QRR81"/>
      <c r="QRS81"/>
      <c r="QRT81"/>
      <c r="QRU81"/>
      <c r="QRV81"/>
      <c r="QRW81"/>
      <c r="QRX81"/>
      <c r="QRY81"/>
      <c r="QRZ81"/>
      <c r="QSA81"/>
      <c r="QSB81"/>
      <c r="QSC81"/>
      <c r="QSD81"/>
      <c r="QSE81"/>
      <c r="QSF81"/>
      <c r="QSG81"/>
      <c r="QSH81"/>
      <c r="QSI81"/>
      <c r="QSJ81"/>
      <c r="QSK81"/>
      <c r="QSL81"/>
      <c r="QSM81"/>
      <c r="QSN81"/>
      <c r="QSO81"/>
      <c r="QSP81"/>
      <c r="QSQ81"/>
      <c r="QSR81"/>
      <c r="QSS81"/>
      <c r="QST81"/>
      <c r="QSU81"/>
      <c r="QSV81"/>
      <c r="QSW81"/>
      <c r="QSX81"/>
      <c r="QSY81"/>
      <c r="QSZ81"/>
      <c r="QTA81"/>
      <c r="QTB81"/>
      <c r="QTC81"/>
      <c r="QTD81"/>
      <c r="QTE81"/>
      <c r="QTF81"/>
      <c r="QTG81"/>
      <c r="QTH81"/>
      <c r="QTI81"/>
      <c r="QTJ81"/>
      <c r="QTK81"/>
      <c r="QTL81"/>
      <c r="QTM81"/>
      <c r="QTN81"/>
      <c r="QTO81"/>
      <c r="QTP81"/>
      <c r="QTQ81"/>
      <c r="QTR81"/>
      <c r="QTS81"/>
      <c r="QTT81"/>
      <c r="QTU81"/>
      <c r="QTV81"/>
      <c r="QTW81"/>
      <c r="QTX81"/>
      <c r="QTY81"/>
      <c r="QTZ81"/>
      <c r="QUA81"/>
      <c r="QUB81"/>
      <c r="QUC81"/>
      <c r="QUD81"/>
      <c r="QUE81"/>
      <c r="QUF81"/>
      <c r="QUG81"/>
      <c r="QUH81"/>
      <c r="QUI81"/>
      <c r="QUJ81"/>
      <c r="QUK81"/>
      <c r="QUL81"/>
      <c r="QUM81"/>
      <c r="QUN81"/>
      <c r="QUO81"/>
      <c r="QUP81"/>
      <c r="QUQ81"/>
      <c r="QUR81"/>
      <c r="QUS81"/>
      <c r="QUT81"/>
      <c r="QUU81"/>
      <c r="QUV81"/>
      <c r="QUW81"/>
      <c r="QUX81"/>
      <c r="QUY81"/>
      <c r="QUZ81"/>
      <c r="QVA81"/>
      <c r="QVB81"/>
      <c r="QVC81"/>
      <c r="QVD81"/>
      <c r="QVE81"/>
      <c r="QVF81"/>
      <c r="QVG81"/>
      <c r="QVH81"/>
      <c r="QVI81"/>
      <c r="QVJ81"/>
      <c r="QVK81"/>
      <c r="QVL81"/>
      <c r="QVM81"/>
      <c r="QVN81"/>
      <c r="QVO81"/>
      <c r="QVP81"/>
      <c r="QVQ81"/>
      <c r="QVR81"/>
      <c r="QVS81"/>
      <c r="QVT81"/>
      <c r="QVU81"/>
      <c r="QVV81"/>
      <c r="QVW81"/>
      <c r="QVX81"/>
      <c r="QVY81"/>
      <c r="QVZ81"/>
      <c r="QWA81"/>
      <c r="QWB81"/>
      <c r="QWC81"/>
      <c r="QWD81"/>
      <c r="QWE81"/>
      <c r="QWF81"/>
      <c r="QWG81"/>
      <c r="QWH81"/>
      <c r="QWI81"/>
      <c r="QWJ81"/>
      <c r="QWK81"/>
      <c r="QWL81"/>
      <c r="QWM81"/>
      <c r="QWN81"/>
      <c r="QWO81"/>
      <c r="QWP81"/>
      <c r="QWQ81"/>
      <c r="QWR81"/>
      <c r="QWS81"/>
      <c r="QWT81"/>
      <c r="QWU81"/>
      <c r="QWV81"/>
      <c r="QWW81"/>
      <c r="QWX81"/>
      <c r="QWY81"/>
      <c r="QWZ81"/>
      <c r="QXA81"/>
      <c r="QXB81"/>
      <c r="QXC81"/>
      <c r="QXD81"/>
      <c r="QXE81"/>
      <c r="QXF81"/>
      <c r="QXG81"/>
      <c r="QXH81"/>
      <c r="QXI81"/>
      <c r="QXJ81"/>
      <c r="QXK81"/>
      <c r="QXL81"/>
      <c r="QXM81"/>
      <c r="QXN81"/>
      <c r="QXO81"/>
      <c r="QXP81"/>
      <c r="QXQ81"/>
      <c r="QXR81"/>
      <c r="QXS81"/>
      <c r="QXT81"/>
      <c r="QXU81"/>
      <c r="QXV81"/>
      <c r="QXW81"/>
      <c r="QXX81"/>
      <c r="QXY81"/>
      <c r="QXZ81"/>
      <c r="QYA81"/>
      <c r="QYB81"/>
      <c r="QYC81"/>
      <c r="QYD81"/>
      <c r="QYE81"/>
      <c r="QYF81"/>
      <c r="QYG81"/>
      <c r="QYH81"/>
      <c r="QYI81"/>
      <c r="QYJ81"/>
      <c r="QYK81"/>
      <c r="QYL81"/>
      <c r="QYM81"/>
      <c r="QYN81"/>
      <c r="QYO81"/>
      <c r="QYP81"/>
      <c r="QYQ81"/>
      <c r="QYR81"/>
      <c r="QYS81"/>
      <c r="QYT81"/>
      <c r="QYU81"/>
      <c r="QYV81"/>
      <c r="QYW81"/>
      <c r="QYX81"/>
      <c r="QYY81"/>
      <c r="QYZ81"/>
      <c r="QZA81"/>
      <c r="QZB81"/>
      <c r="QZC81"/>
      <c r="QZD81"/>
      <c r="QZE81"/>
      <c r="QZF81"/>
      <c r="QZG81"/>
      <c r="QZH81"/>
      <c r="QZI81"/>
      <c r="QZJ81"/>
      <c r="QZK81"/>
      <c r="QZL81"/>
      <c r="QZM81"/>
      <c r="QZN81"/>
      <c r="QZO81"/>
      <c r="QZP81"/>
      <c r="QZQ81"/>
      <c r="QZR81"/>
      <c r="QZS81"/>
      <c r="QZT81"/>
      <c r="QZU81"/>
      <c r="QZV81"/>
      <c r="QZW81"/>
      <c r="QZX81"/>
      <c r="QZY81"/>
      <c r="QZZ81"/>
      <c r="RAA81"/>
      <c r="RAB81"/>
      <c r="RAC81"/>
      <c r="RAD81"/>
      <c r="RAE81"/>
      <c r="RAF81"/>
      <c r="RAG81"/>
      <c r="RAH81"/>
      <c r="RAI81"/>
      <c r="RAJ81"/>
      <c r="RAK81"/>
      <c r="RAL81"/>
      <c r="RAM81"/>
      <c r="RAN81"/>
      <c r="RAO81"/>
      <c r="RAP81"/>
      <c r="RAQ81"/>
      <c r="RAR81"/>
      <c r="RAS81"/>
      <c r="RAT81"/>
      <c r="RAU81"/>
      <c r="RAV81"/>
      <c r="RAW81"/>
      <c r="RAX81"/>
      <c r="RAY81"/>
      <c r="RAZ81"/>
      <c r="RBA81"/>
      <c r="RBB81"/>
      <c r="RBC81"/>
      <c r="RBD81"/>
      <c r="RBE81"/>
      <c r="RBF81"/>
      <c r="RBG81"/>
      <c r="RBH81"/>
      <c r="RBI81"/>
      <c r="RBJ81"/>
      <c r="RBK81"/>
      <c r="RBL81"/>
      <c r="RBM81"/>
      <c r="RBN81"/>
      <c r="RBO81"/>
      <c r="RBP81"/>
      <c r="RBQ81"/>
      <c r="RBR81"/>
      <c r="RBS81"/>
      <c r="RBT81"/>
      <c r="RBU81"/>
      <c r="RBV81"/>
      <c r="RBW81"/>
      <c r="RBX81"/>
      <c r="RBY81"/>
      <c r="RBZ81"/>
      <c r="RCA81"/>
      <c r="RCB81"/>
      <c r="RCC81"/>
      <c r="RCD81"/>
      <c r="RCE81"/>
      <c r="RCF81"/>
      <c r="RCG81"/>
      <c r="RCH81"/>
      <c r="RCI81"/>
      <c r="RCJ81"/>
      <c r="RCK81"/>
      <c r="RCL81"/>
      <c r="RCM81"/>
      <c r="RCN81"/>
      <c r="RCO81"/>
      <c r="RCP81"/>
      <c r="RCQ81"/>
      <c r="RCR81"/>
      <c r="RCS81"/>
      <c r="RCT81"/>
      <c r="RCU81"/>
      <c r="RCV81"/>
      <c r="RCW81"/>
      <c r="RCX81"/>
      <c r="RCY81"/>
      <c r="RCZ81"/>
      <c r="RDA81"/>
      <c r="RDB81"/>
      <c r="RDC81"/>
      <c r="RDD81"/>
      <c r="RDE81"/>
      <c r="RDF81"/>
      <c r="RDG81"/>
      <c r="RDH81"/>
      <c r="RDI81"/>
      <c r="RDJ81"/>
      <c r="RDK81"/>
      <c r="RDL81"/>
      <c r="RDM81"/>
      <c r="RDN81"/>
      <c r="RDO81"/>
      <c r="RDP81"/>
      <c r="RDQ81"/>
      <c r="RDR81"/>
      <c r="RDS81"/>
      <c r="RDT81"/>
      <c r="RDU81"/>
      <c r="RDV81"/>
      <c r="RDW81"/>
      <c r="RDX81"/>
      <c r="RDY81"/>
      <c r="RDZ81"/>
      <c r="REA81"/>
      <c r="REB81"/>
      <c r="REC81"/>
      <c r="RED81"/>
      <c r="REE81"/>
      <c r="REF81"/>
      <c r="REG81"/>
      <c r="REH81"/>
      <c r="REI81"/>
      <c r="REJ81"/>
      <c r="REK81"/>
      <c r="REL81"/>
      <c r="REM81"/>
      <c r="REN81"/>
      <c r="REO81"/>
      <c r="REP81"/>
      <c r="REQ81"/>
      <c r="RER81"/>
      <c r="RES81"/>
      <c r="RET81"/>
      <c r="REU81"/>
      <c r="REV81"/>
      <c r="REW81"/>
      <c r="REX81"/>
      <c r="REY81"/>
      <c r="REZ81"/>
      <c r="RFA81"/>
      <c r="RFB81"/>
      <c r="RFC81"/>
      <c r="RFD81"/>
      <c r="RFE81"/>
      <c r="RFF81"/>
      <c r="RFG81"/>
      <c r="RFH81"/>
      <c r="RFI81"/>
      <c r="RFJ81"/>
      <c r="RFK81"/>
      <c r="RFL81"/>
      <c r="RFM81"/>
      <c r="RFN81"/>
      <c r="RFO81"/>
      <c r="RFP81"/>
      <c r="RFQ81"/>
      <c r="RFR81"/>
      <c r="RFS81"/>
      <c r="RFT81"/>
      <c r="RFU81"/>
      <c r="RFV81"/>
      <c r="RFW81"/>
      <c r="RFX81"/>
      <c r="RFY81"/>
      <c r="RFZ81"/>
      <c r="RGA81"/>
      <c r="RGB81"/>
      <c r="RGC81"/>
      <c r="RGD81"/>
      <c r="RGE81"/>
      <c r="RGF81"/>
      <c r="RGG81"/>
      <c r="RGH81"/>
      <c r="RGI81"/>
      <c r="RGJ81"/>
      <c r="RGK81"/>
      <c r="RGL81"/>
      <c r="RGM81"/>
      <c r="RGN81"/>
      <c r="RGO81"/>
      <c r="RGP81"/>
      <c r="RGQ81"/>
      <c r="RGR81"/>
      <c r="RGS81"/>
      <c r="RGT81"/>
      <c r="RGU81"/>
      <c r="RGV81"/>
      <c r="RGW81"/>
      <c r="RGX81"/>
      <c r="RGY81"/>
      <c r="RGZ81"/>
      <c r="RHA81"/>
      <c r="RHB81"/>
      <c r="RHC81"/>
      <c r="RHD81"/>
      <c r="RHE81"/>
      <c r="RHF81"/>
      <c r="RHG81"/>
      <c r="RHH81"/>
      <c r="RHI81"/>
      <c r="RHJ81"/>
      <c r="RHK81"/>
      <c r="RHL81"/>
      <c r="RHM81"/>
      <c r="RHN81"/>
      <c r="RHO81"/>
      <c r="RHP81"/>
      <c r="RHQ81"/>
      <c r="RHR81"/>
      <c r="RHS81"/>
      <c r="RHT81"/>
      <c r="RHU81"/>
      <c r="RHV81"/>
      <c r="RHW81"/>
      <c r="RHX81"/>
      <c r="RHY81"/>
      <c r="RHZ81"/>
      <c r="RIA81"/>
      <c r="RIB81"/>
      <c r="RIC81"/>
      <c r="RID81"/>
      <c r="RIE81"/>
      <c r="RIF81"/>
      <c r="RIG81"/>
      <c r="RIH81"/>
      <c r="RII81"/>
      <c r="RIJ81"/>
      <c r="RIK81"/>
      <c r="RIL81"/>
      <c r="RIM81"/>
      <c r="RIN81"/>
      <c r="RIO81"/>
      <c r="RIP81"/>
      <c r="RIQ81"/>
      <c r="RIR81"/>
      <c r="RIS81"/>
      <c r="RIT81"/>
      <c r="RIU81"/>
      <c r="RIV81"/>
      <c r="RIW81"/>
      <c r="RIX81"/>
      <c r="RIY81"/>
      <c r="RIZ81"/>
      <c r="RJA81"/>
      <c r="RJB81"/>
      <c r="RJC81"/>
      <c r="RJD81"/>
      <c r="RJE81"/>
      <c r="RJF81"/>
      <c r="RJG81"/>
      <c r="RJH81"/>
      <c r="RJI81"/>
      <c r="RJJ81"/>
      <c r="RJK81"/>
      <c r="RJL81"/>
      <c r="RJM81"/>
      <c r="RJN81"/>
      <c r="RJO81"/>
      <c r="RJP81"/>
      <c r="RJQ81"/>
      <c r="RJR81"/>
      <c r="RJS81"/>
      <c r="RJT81"/>
      <c r="RJU81"/>
      <c r="RJV81"/>
      <c r="RJW81"/>
      <c r="RJX81"/>
      <c r="RJY81"/>
      <c r="RJZ81"/>
      <c r="RKA81"/>
      <c r="RKB81"/>
      <c r="RKC81"/>
      <c r="RKD81"/>
      <c r="RKE81"/>
      <c r="RKF81"/>
      <c r="RKG81"/>
      <c r="RKH81"/>
      <c r="RKI81"/>
      <c r="RKJ81"/>
      <c r="RKK81"/>
      <c r="RKL81"/>
      <c r="RKM81"/>
      <c r="RKN81"/>
      <c r="RKO81"/>
      <c r="RKP81"/>
      <c r="RKQ81"/>
      <c r="RKR81"/>
      <c r="RKS81"/>
      <c r="RKT81"/>
      <c r="RKU81"/>
      <c r="RKV81"/>
      <c r="RKW81"/>
      <c r="RKX81"/>
      <c r="RKY81"/>
      <c r="RKZ81"/>
      <c r="RLA81"/>
      <c r="RLB81"/>
      <c r="RLC81"/>
      <c r="RLD81"/>
      <c r="RLE81"/>
      <c r="RLF81"/>
      <c r="RLG81"/>
      <c r="RLH81"/>
      <c r="RLI81"/>
      <c r="RLJ81"/>
      <c r="RLK81"/>
      <c r="RLL81"/>
      <c r="RLM81"/>
      <c r="RLN81"/>
      <c r="RLO81"/>
      <c r="RLP81"/>
      <c r="RLQ81"/>
      <c r="RLR81"/>
      <c r="RLS81"/>
      <c r="RLT81"/>
      <c r="RLU81"/>
      <c r="RLV81"/>
      <c r="RLW81"/>
      <c r="RLX81"/>
      <c r="RLY81"/>
      <c r="RLZ81"/>
      <c r="RMA81"/>
      <c r="RMB81"/>
      <c r="RMC81"/>
      <c r="RMD81"/>
      <c r="RME81"/>
      <c r="RMF81"/>
      <c r="RMG81"/>
      <c r="RMH81"/>
      <c r="RMI81"/>
      <c r="RMJ81"/>
      <c r="RMK81"/>
      <c r="RML81"/>
      <c r="RMM81"/>
      <c r="RMN81"/>
      <c r="RMO81"/>
      <c r="RMP81"/>
      <c r="RMQ81"/>
      <c r="RMR81"/>
      <c r="RMS81"/>
      <c r="RMT81"/>
      <c r="RMU81"/>
      <c r="RMV81"/>
      <c r="RMW81"/>
      <c r="RMX81"/>
      <c r="RMY81"/>
      <c r="RMZ81"/>
      <c r="RNA81"/>
      <c r="RNB81"/>
      <c r="RNC81"/>
      <c r="RND81"/>
      <c r="RNE81"/>
      <c r="RNF81"/>
      <c r="RNG81"/>
      <c r="RNH81"/>
      <c r="RNI81"/>
      <c r="RNJ81"/>
      <c r="RNK81"/>
      <c r="RNL81"/>
      <c r="RNM81"/>
      <c r="RNN81"/>
      <c r="RNO81"/>
      <c r="RNP81"/>
      <c r="RNQ81"/>
      <c r="RNR81"/>
      <c r="RNS81"/>
      <c r="RNT81"/>
      <c r="RNU81"/>
      <c r="RNV81"/>
      <c r="RNW81"/>
      <c r="RNX81"/>
      <c r="RNY81"/>
      <c r="RNZ81"/>
      <c r="ROA81"/>
      <c r="ROB81"/>
      <c r="ROC81"/>
      <c r="ROD81"/>
      <c r="ROE81"/>
      <c r="ROF81"/>
      <c r="ROG81"/>
      <c r="ROH81"/>
      <c r="ROI81"/>
      <c r="ROJ81"/>
      <c r="ROK81"/>
      <c r="ROL81"/>
      <c r="ROM81"/>
      <c r="RON81"/>
      <c r="ROO81"/>
      <c r="ROP81"/>
      <c r="ROQ81"/>
      <c r="ROR81"/>
      <c r="ROS81"/>
      <c r="ROT81"/>
      <c r="ROU81"/>
      <c r="ROV81"/>
      <c r="ROW81"/>
      <c r="ROX81"/>
      <c r="ROY81"/>
      <c r="ROZ81"/>
      <c r="RPA81"/>
      <c r="RPB81"/>
      <c r="RPC81"/>
      <c r="RPD81"/>
      <c r="RPE81"/>
      <c r="RPF81"/>
      <c r="RPG81"/>
      <c r="RPH81"/>
      <c r="RPI81"/>
      <c r="RPJ81"/>
      <c r="RPK81"/>
      <c r="RPL81"/>
      <c r="RPM81"/>
      <c r="RPN81"/>
      <c r="RPO81"/>
      <c r="RPP81"/>
      <c r="RPQ81"/>
      <c r="RPR81"/>
      <c r="RPS81"/>
      <c r="RPT81"/>
      <c r="RPU81"/>
      <c r="RPV81"/>
      <c r="RPW81"/>
      <c r="RPX81"/>
      <c r="RPY81"/>
      <c r="RPZ81"/>
      <c r="RQA81"/>
      <c r="RQB81"/>
      <c r="RQC81"/>
      <c r="RQD81"/>
      <c r="RQE81"/>
      <c r="RQF81"/>
      <c r="RQG81"/>
      <c r="RQH81"/>
      <c r="RQI81"/>
      <c r="RQJ81"/>
      <c r="RQK81"/>
      <c r="RQL81"/>
      <c r="RQM81"/>
      <c r="RQN81"/>
      <c r="RQO81"/>
      <c r="RQP81"/>
      <c r="RQQ81"/>
      <c r="RQR81"/>
      <c r="RQS81"/>
      <c r="RQT81"/>
      <c r="RQU81"/>
      <c r="RQV81"/>
      <c r="RQW81"/>
      <c r="RQX81"/>
      <c r="RQY81"/>
      <c r="RQZ81"/>
      <c r="RRA81"/>
      <c r="RRB81"/>
      <c r="RRC81"/>
      <c r="RRD81"/>
      <c r="RRE81"/>
      <c r="RRF81"/>
      <c r="RRG81"/>
      <c r="RRH81"/>
      <c r="RRI81"/>
      <c r="RRJ81"/>
      <c r="RRK81"/>
      <c r="RRL81"/>
      <c r="RRM81"/>
      <c r="RRN81"/>
      <c r="RRO81"/>
      <c r="RRP81"/>
      <c r="RRQ81"/>
      <c r="RRR81"/>
      <c r="RRS81"/>
      <c r="RRT81"/>
      <c r="RRU81"/>
      <c r="RRV81"/>
      <c r="RRW81"/>
      <c r="RRX81"/>
      <c r="RRY81"/>
      <c r="RRZ81"/>
      <c r="RSA81"/>
      <c r="RSB81"/>
      <c r="RSC81"/>
      <c r="RSD81"/>
      <c r="RSE81"/>
      <c r="RSF81"/>
      <c r="RSG81"/>
      <c r="RSH81"/>
      <c r="RSI81"/>
      <c r="RSJ81"/>
      <c r="RSK81"/>
      <c r="RSL81"/>
      <c r="RSM81"/>
      <c r="RSN81"/>
      <c r="RSO81"/>
      <c r="RSP81"/>
      <c r="RSQ81"/>
      <c r="RSR81"/>
      <c r="RSS81"/>
      <c r="RST81"/>
      <c r="RSU81"/>
      <c r="RSV81"/>
      <c r="RSW81"/>
      <c r="RSX81"/>
      <c r="RSY81"/>
      <c r="RSZ81"/>
      <c r="RTA81"/>
      <c r="RTB81"/>
      <c r="RTC81"/>
      <c r="RTD81"/>
      <c r="RTE81"/>
      <c r="RTF81"/>
      <c r="RTG81"/>
      <c r="RTH81"/>
      <c r="RTI81"/>
      <c r="RTJ81"/>
      <c r="RTK81"/>
      <c r="RTL81"/>
      <c r="RTM81"/>
      <c r="RTN81"/>
      <c r="RTO81"/>
      <c r="RTP81"/>
      <c r="RTQ81"/>
      <c r="RTR81"/>
      <c r="RTS81"/>
      <c r="RTT81"/>
      <c r="RTU81"/>
      <c r="RTV81"/>
      <c r="RTW81"/>
      <c r="RTX81"/>
      <c r="RTY81"/>
      <c r="RTZ81"/>
      <c r="RUA81"/>
      <c r="RUB81"/>
      <c r="RUC81"/>
      <c r="RUD81"/>
      <c r="RUE81"/>
      <c r="RUF81"/>
      <c r="RUG81"/>
      <c r="RUH81"/>
      <c r="RUI81"/>
      <c r="RUJ81"/>
      <c r="RUK81"/>
      <c r="RUL81"/>
      <c r="RUM81"/>
      <c r="RUN81"/>
      <c r="RUO81"/>
      <c r="RUP81"/>
      <c r="RUQ81"/>
      <c r="RUR81"/>
      <c r="RUS81"/>
      <c r="RUT81"/>
      <c r="RUU81"/>
      <c r="RUV81"/>
      <c r="RUW81"/>
      <c r="RUX81"/>
      <c r="RUY81"/>
      <c r="RUZ81"/>
      <c r="RVA81"/>
      <c r="RVB81"/>
      <c r="RVC81"/>
      <c r="RVD81"/>
      <c r="RVE81"/>
      <c r="RVF81"/>
      <c r="RVG81"/>
      <c r="RVH81"/>
      <c r="RVI81"/>
      <c r="RVJ81"/>
      <c r="RVK81"/>
      <c r="RVL81"/>
      <c r="RVM81"/>
      <c r="RVN81"/>
      <c r="RVO81"/>
      <c r="RVP81"/>
      <c r="RVQ81"/>
      <c r="RVR81"/>
      <c r="RVS81"/>
      <c r="RVT81"/>
      <c r="RVU81"/>
      <c r="RVV81"/>
      <c r="RVW81"/>
      <c r="RVX81"/>
      <c r="RVY81"/>
      <c r="RVZ81"/>
      <c r="RWA81"/>
      <c r="RWB81"/>
      <c r="RWC81"/>
      <c r="RWD81"/>
      <c r="RWE81"/>
      <c r="RWF81"/>
      <c r="RWG81"/>
      <c r="RWH81"/>
      <c r="RWI81"/>
      <c r="RWJ81"/>
      <c r="RWK81"/>
      <c r="RWL81"/>
      <c r="RWM81"/>
      <c r="RWN81"/>
      <c r="RWO81"/>
      <c r="RWP81"/>
      <c r="RWQ81"/>
      <c r="RWR81"/>
      <c r="RWS81"/>
      <c r="RWT81"/>
      <c r="RWU81"/>
      <c r="RWV81"/>
      <c r="RWW81"/>
      <c r="RWX81"/>
      <c r="RWY81"/>
      <c r="RWZ81"/>
      <c r="RXA81"/>
      <c r="RXB81"/>
      <c r="RXC81"/>
      <c r="RXD81"/>
      <c r="RXE81"/>
      <c r="RXF81"/>
      <c r="RXG81"/>
      <c r="RXH81"/>
      <c r="RXI81"/>
      <c r="RXJ81"/>
      <c r="RXK81"/>
      <c r="RXL81"/>
      <c r="RXM81"/>
      <c r="RXN81"/>
      <c r="RXO81"/>
      <c r="RXP81"/>
      <c r="RXQ81"/>
      <c r="RXR81"/>
      <c r="RXS81"/>
      <c r="RXT81"/>
      <c r="RXU81"/>
      <c r="RXV81"/>
      <c r="RXW81"/>
      <c r="RXX81"/>
      <c r="RXY81"/>
      <c r="RXZ81"/>
      <c r="RYA81"/>
      <c r="RYB81"/>
      <c r="RYC81"/>
      <c r="RYD81"/>
      <c r="RYE81"/>
      <c r="RYF81"/>
      <c r="RYG81"/>
      <c r="RYH81"/>
      <c r="RYI81"/>
      <c r="RYJ81"/>
      <c r="RYK81"/>
      <c r="RYL81"/>
      <c r="RYM81"/>
      <c r="RYN81"/>
      <c r="RYO81"/>
      <c r="RYP81"/>
      <c r="RYQ81"/>
      <c r="RYR81"/>
      <c r="RYS81"/>
      <c r="RYT81"/>
      <c r="RYU81"/>
      <c r="RYV81"/>
      <c r="RYW81"/>
      <c r="RYX81"/>
      <c r="RYY81"/>
      <c r="RYZ81"/>
      <c r="RZA81"/>
      <c r="RZB81"/>
      <c r="RZC81"/>
      <c r="RZD81"/>
      <c r="RZE81"/>
      <c r="RZF81"/>
      <c r="RZG81"/>
      <c r="RZH81"/>
      <c r="RZI81"/>
      <c r="RZJ81"/>
      <c r="RZK81"/>
      <c r="RZL81"/>
      <c r="RZM81"/>
      <c r="RZN81"/>
      <c r="RZO81"/>
      <c r="RZP81"/>
      <c r="RZQ81"/>
      <c r="RZR81"/>
      <c r="RZS81"/>
      <c r="RZT81"/>
      <c r="RZU81"/>
      <c r="RZV81"/>
      <c r="RZW81"/>
      <c r="RZX81"/>
      <c r="RZY81"/>
      <c r="RZZ81"/>
      <c r="SAA81"/>
      <c r="SAB81"/>
      <c r="SAC81"/>
      <c r="SAD81"/>
      <c r="SAE81"/>
      <c r="SAF81"/>
      <c r="SAG81"/>
      <c r="SAH81"/>
      <c r="SAI81"/>
      <c r="SAJ81"/>
      <c r="SAK81"/>
      <c r="SAL81"/>
      <c r="SAM81"/>
      <c r="SAN81"/>
      <c r="SAO81"/>
      <c r="SAP81"/>
      <c r="SAQ81"/>
      <c r="SAR81"/>
      <c r="SAS81"/>
      <c r="SAT81"/>
      <c r="SAU81"/>
      <c r="SAV81"/>
      <c r="SAW81"/>
      <c r="SAX81"/>
      <c r="SAY81"/>
      <c r="SAZ81"/>
      <c r="SBA81"/>
      <c r="SBB81"/>
      <c r="SBC81"/>
      <c r="SBD81"/>
      <c r="SBE81"/>
      <c r="SBF81"/>
      <c r="SBG81"/>
      <c r="SBH81"/>
      <c r="SBI81"/>
      <c r="SBJ81"/>
      <c r="SBK81"/>
      <c r="SBL81"/>
      <c r="SBM81"/>
      <c r="SBN81"/>
      <c r="SBO81"/>
      <c r="SBP81"/>
      <c r="SBQ81"/>
      <c r="SBR81"/>
      <c r="SBS81"/>
      <c r="SBT81"/>
      <c r="SBU81"/>
      <c r="SBV81"/>
      <c r="SBW81"/>
      <c r="SBX81"/>
      <c r="SBY81"/>
      <c r="SBZ81"/>
      <c r="SCA81"/>
      <c r="SCB81"/>
      <c r="SCC81"/>
      <c r="SCD81"/>
      <c r="SCE81"/>
      <c r="SCF81"/>
      <c r="SCG81"/>
      <c r="SCH81"/>
      <c r="SCI81"/>
      <c r="SCJ81"/>
      <c r="SCK81"/>
      <c r="SCL81"/>
      <c r="SCM81"/>
      <c r="SCN81"/>
      <c r="SCO81"/>
      <c r="SCP81"/>
      <c r="SCQ81"/>
      <c r="SCR81"/>
      <c r="SCS81"/>
      <c r="SCT81"/>
      <c r="SCU81"/>
      <c r="SCV81"/>
      <c r="SCW81"/>
      <c r="SCX81"/>
      <c r="SCY81"/>
      <c r="SCZ81"/>
      <c r="SDA81"/>
      <c r="SDB81"/>
      <c r="SDC81"/>
      <c r="SDD81"/>
      <c r="SDE81"/>
      <c r="SDF81"/>
      <c r="SDG81"/>
      <c r="SDH81"/>
      <c r="SDI81"/>
      <c r="SDJ81"/>
      <c r="SDK81"/>
      <c r="SDL81"/>
      <c r="SDM81"/>
      <c r="SDN81"/>
      <c r="SDO81"/>
      <c r="SDP81"/>
      <c r="SDQ81"/>
      <c r="SDR81"/>
      <c r="SDS81"/>
      <c r="SDT81"/>
      <c r="SDU81"/>
      <c r="SDV81"/>
      <c r="SDW81"/>
      <c r="SDX81"/>
      <c r="SDY81"/>
      <c r="SDZ81"/>
      <c r="SEA81"/>
      <c r="SEB81"/>
      <c r="SEC81"/>
      <c r="SED81"/>
      <c r="SEE81"/>
      <c r="SEF81"/>
      <c r="SEG81"/>
      <c r="SEH81"/>
      <c r="SEI81"/>
      <c r="SEJ81"/>
      <c r="SEK81"/>
      <c r="SEL81"/>
      <c r="SEM81"/>
      <c r="SEN81"/>
      <c r="SEO81"/>
      <c r="SEP81"/>
      <c r="SEQ81"/>
      <c r="SER81"/>
      <c r="SES81"/>
      <c r="SET81"/>
      <c r="SEU81"/>
      <c r="SEV81"/>
      <c r="SEW81"/>
      <c r="SEX81"/>
      <c r="SEY81"/>
      <c r="SEZ81"/>
      <c r="SFA81"/>
      <c r="SFB81"/>
      <c r="SFC81"/>
      <c r="SFD81"/>
      <c r="SFE81"/>
      <c r="SFF81"/>
      <c r="SFG81"/>
      <c r="SFH81"/>
      <c r="SFI81"/>
      <c r="SFJ81"/>
      <c r="SFK81"/>
      <c r="SFL81"/>
      <c r="SFM81"/>
      <c r="SFN81"/>
      <c r="SFO81"/>
      <c r="SFP81"/>
      <c r="SFQ81"/>
      <c r="SFR81"/>
      <c r="SFS81"/>
      <c r="SFT81"/>
      <c r="SFU81"/>
      <c r="SFV81"/>
      <c r="SFW81"/>
      <c r="SFX81"/>
      <c r="SFY81"/>
      <c r="SFZ81"/>
      <c r="SGA81"/>
      <c r="SGB81"/>
      <c r="SGC81"/>
      <c r="SGD81"/>
      <c r="SGE81"/>
      <c r="SGF81"/>
      <c r="SGG81"/>
      <c r="SGH81"/>
      <c r="SGI81"/>
      <c r="SGJ81"/>
      <c r="SGK81"/>
      <c r="SGL81"/>
      <c r="SGM81"/>
      <c r="SGN81"/>
      <c r="SGO81"/>
      <c r="SGP81"/>
      <c r="SGQ81"/>
      <c r="SGR81"/>
      <c r="SGS81"/>
      <c r="SGT81"/>
      <c r="SGU81"/>
      <c r="SGV81"/>
      <c r="SGW81"/>
      <c r="SGX81"/>
      <c r="SGY81"/>
      <c r="SGZ81"/>
      <c r="SHA81"/>
      <c r="SHB81"/>
      <c r="SHC81"/>
      <c r="SHD81"/>
      <c r="SHE81"/>
      <c r="SHF81"/>
      <c r="SHG81"/>
      <c r="SHH81"/>
      <c r="SHI81"/>
      <c r="SHJ81"/>
      <c r="SHK81"/>
      <c r="SHL81"/>
      <c r="SHM81"/>
      <c r="SHN81"/>
      <c r="SHO81"/>
      <c r="SHP81"/>
      <c r="SHQ81"/>
      <c r="SHR81"/>
      <c r="SHS81"/>
      <c r="SHT81"/>
      <c r="SHU81"/>
      <c r="SHV81"/>
      <c r="SHW81"/>
      <c r="SHX81"/>
      <c r="SHY81"/>
      <c r="SHZ81"/>
      <c r="SIA81"/>
      <c r="SIB81"/>
      <c r="SIC81"/>
      <c r="SID81"/>
      <c r="SIE81"/>
      <c r="SIF81"/>
      <c r="SIG81"/>
      <c r="SIH81"/>
      <c r="SII81"/>
      <c r="SIJ81"/>
      <c r="SIK81"/>
      <c r="SIL81"/>
      <c r="SIM81"/>
      <c r="SIN81"/>
      <c r="SIO81"/>
      <c r="SIP81"/>
      <c r="SIQ81"/>
      <c r="SIR81"/>
      <c r="SIS81"/>
      <c r="SIT81"/>
      <c r="SIU81"/>
      <c r="SIV81"/>
      <c r="SIW81"/>
      <c r="SIX81"/>
      <c r="SIY81"/>
      <c r="SIZ81"/>
      <c r="SJA81"/>
      <c r="SJB81"/>
      <c r="SJC81"/>
      <c r="SJD81"/>
      <c r="SJE81"/>
      <c r="SJF81"/>
      <c r="SJG81"/>
      <c r="SJH81"/>
      <c r="SJI81"/>
      <c r="SJJ81"/>
      <c r="SJK81"/>
      <c r="SJL81"/>
      <c r="SJM81"/>
      <c r="SJN81"/>
      <c r="SJO81"/>
      <c r="SJP81"/>
      <c r="SJQ81"/>
      <c r="SJR81"/>
      <c r="SJS81"/>
      <c r="SJT81"/>
      <c r="SJU81"/>
      <c r="SJV81"/>
      <c r="SJW81"/>
      <c r="SJX81"/>
      <c r="SJY81"/>
      <c r="SJZ81"/>
      <c r="SKA81"/>
      <c r="SKB81"/>
      <c r="SKC81"/>
      <c r="SKD81"/>
      <c r="SKE81"/>
      <c r="SKF81"/>
      <c r="SKG81"/>
      <c r="SKH81"/>
      <c r="SKI81"/>
      <c r="SKJ81"/>
      <c r="SKK81"/>
      <c r="SKL81"/>
      <c r="SKM81"/>
      <c r="SKN81"/>
      <c r="SKO81"/>
      <c r="SKP81"/>
      <c r="SKQ81"/>
      <c r="SKR81"/>
      <c r="SKS81"/>
      <c r="SKT81"/>
      <c r="SKU81"/>
      <c r="SKV81"/>
      <c r="SKW81"/>
      <c r="SKX81"/>
      <c r="SKY81"/>
      <c r="SKZ81"/>
      <c r="SLA81"/>
      <c r="SLB81"/>
      <c r="SLC81"/>
      <c r="SLD81"/>
      <c r="SLE81"/>
      <c r="SLF81"/>
      <c r="SLG81"/>
      <c r="SLH81"/>
      <c r="SLI81"/>
      <c r="SLJ81"/>
      <c r="SLK81"/>
      <c r="SLL81"/>
      <c r="SLM81"/>
      <c r="SLN81"/>
      <c r="SLO81"/>
      <c r="SLP81"/>
      <c r="SLQ81"/>
      <c r="SLR81"/>
      <c r="SLS81"/>
      <c r="SLT81"/>
      <c r="SLU81"/>
      <c r="SLV81"/>
      <c r="SLW81"/>
      <c r="SLX81"/>
      <c r="SLY81"/>
      <c r="SLZ81"/>
      <c r="SMA81"/>
      <c r="SMB81"/>
      <c r="SMC81"/>
      <c r="SMD81"/>
      <c r="SME81"/>
      <c r="SMF81"/>
      <c r="SMG81"/>
      <c r="SMH81"/>
      <c r="SMI81"/>
      <c r="SMJ81"/>
      <c r="SMK81"/>
      <c r="SML81"/>
      <c r="SMM81"/>
      <c r="SMN81"/>
      <c r="SMO81"/>
      <c r="SMP81"/>
      <c r="SMQ81"/>
      <c r="SMR81"/>
      <c r="SMS81"/>
      <c r="SMT81"/>
      <c r="SMU81"/>
      <c r="SMV81"/>
      <c r="SMW81"/>
      <c r="SMX81"/>
      <c r="SMY81"/>
      <c r="SMZ81"/>
      <c r="SNA81"/>
      <c r="SNB81"/>
      <c r="SNC81"/>
      <c r="SND81"/>
      <c r="SNE81"/>
      <c r="SNF81"/>
      <c r="SNG81"/>
      <c r="SNH81"/>
      <c r="SNI81"/>
      <c r="SNJ81"/>
      <c r="SNK81"/>
      <c r="SNL81"/>
      <c r="SNM81"/>
      <c r="SNN81"/>
      <c r="SNO81"/>
      <c r="SNP81"/>
      <c r="SNQ81"/>
      <c r="SNR81"/>
      <c r="SNS81"/>
      <c r="SNT81"/>
      <c r="SNU81"/>
      <c r="SNV81"/>
      <c r="SNW81"/>
      <c r="SNX81"/>
      <c r="SNY81"/>
      <c r="SNZ81"/>
      <c r="SOA81"/>
      <c r="SOB81"/>
      <c r="SOC81"/>
      <c r="SOD81"/>
      <c r="SOE81"/>
      <c r="SOF81"/>
      <c r="SOG81"/>
      <c r="SOH81"/>
      <c r="SOI81"/>
      <c r="SOJ81"/>
      <c r="SOK81"/>
      <c r="SOL81"/>
      <c r="SOM81"/>
      <c r="SON81"/>
      <c r="SOO81"/>
      <c r="SOP81"/>
      <c r="SOQ81"/>
      <c r="SOR81"/>
      <c r="SOS81"/>
      <c r="SOT81"/>
      <c r="SOU81"/>
      <c r="SOV81"/>
      <c r="SOW81"/>
      <c r="SOX81"/>
      <c r="SOY81"/>
      <c r="SOZ81"/>
      <c r="SPA81"/>
      <c r="SPB81"/>
      <c r="SPC81"/>
      <c r="SPD81"/>
      <c r="SPE81"/>
      <c r="SPF81"/>
      <c r="SPG81"/>
      <c r="SPH81"/>
      <c r="SPI81"/>
      <c r="SPJ81"/>
      <c r="SPK81"/>
      <c r="SPL81"/>
      <c r="SPM81"/>
      <c r="SPN81"/>
      <c r="SPO81"/>
      <c r="SPP81"/>
      <c r="SPQ81"/>
      <c r="SPR81"/>
      <c r="SPS81"/>
      <c r="SPT81"/>
      <c r="SPU81"/>
      <c r="SPV81"/>
      <c r="SPW81"/>
      <c r="SPX81"/>
      <c r="SPY81"/>
      <c r="SPZ81"/>
      <c r="SQA81"/>
      <c r="SQB81"/>
      <c r="SQC81"/>
      <c r="SQD81"/>
      <c r="SQE81"/>
      <c r="SQF81"/>
      <c r="SQG81"/>
      <c r="SQH81"/>
      <c r="SQI81"/>
      <c r="SQJ81"/>
      <c r="SQK81"/>
      <c r="SQL81"/>
      <c r="SQM81"/>
      <c r="SQN81"/>
      <c r="SQO81"/>
      <c r="SQP81"/>
      <c r="SQQ81"/>
      <c r="SQR81"/>
      <c r="SQS81"/>
      <c r="SQT81"/>
      <c r="SQU81"/>
      <c r="SQV81"/>
      <c r="SQW81"/>
      <c r="SQX81"/>
      <c r="SQY81"/>
      <c r="SQZ81"/>
      <c r="SRA81"/>
      <c r="SRB81"/>
      <c r="SRC81"/>
      <c r="SRD81"/>
      <c r="SRE81"/>
      <c r="SRF81"/>
      <c r="SRG81"/>
      <c r="SRH81"/>
      <c r="SRI81"/>
      <c r="SRJ81"/>
      <c r="SRK81"/>
      <c r="SRL81"/>
      <c r="SRM81"/>
      <c r="SRN81"/>
      <c r="SRO81"/>
      <c r="SRP81"/>
      <c r="SRQ81"/>
      <c r="SRR81"/>
      <c r="SRS81"/>
      <c r="SRT81"/>
      <c r="SRU81"/>
      <c r="SRV81"/>
      <c r="SRW81"/>
      <c r="SRX81"/>
      <c r="SRY81"/>
      <c r="SRZ81"/>
      <c r="SSA81"/>
      <c r="SSB81"/>
      <c r="SSC81"/>
      <c r="SSD81"/>
      <c r="SSE81"/>
      <c r="SSF81"/>
      <c r="SSG81"/>
      <c r="SSH81"/>
      <c r="SSI81"/>
      <c r="SSJ81"/>
      <c r="SSK81"/>
      <c r="SSL81"/>
      <c r="SSM81"/>
      <c r="SSN81"/>
      <c r="SSO81"/>
      <c r="SSP81"/>
      <c r="SSQ81"/>
      <c r="SSR81"/>
      <c r="SSS81"/>
      <c r="SST81"/>
      <c r="SSU81"/>
      <c r="SSV81"/>
      <c r="SSW81"/>
      <c r="SSX81"/>
      <c r="SSY81"/>
      <c r="SSZ81"/>
      <c r="STA81"/>
      <c r="STB81"/>
      <c r="STC81"/>
      <c r="STD81"/>
      <c r="STE81"/>
      <c r="STF81"/>
      <c r="STG81"/>
      <c r="STH81"/>
      <c r="STI81"/>
      <c r="STJ81"/>
      <c r="STK81"/>
      <c r="STL81"/>
      <c r="STM81"/>
      <c r="STN81"/>
      <c r="STO81"/>
      <c r="STP81"/>
      <c r="STQ81"/>
      <c r="STR81"/>
      <c r="STS81"/>
      <c r="STT81"/>
      <c r="STU81"/>
      <c r="STV81"/>
      <c r="STW81"/>
      <c r="STX81"/>
      <c r="STY81"/>
      <c r="STZ81"/>
      <c r="SUA81"/>
      <c r="SUB81"/>
      <c r="SUC81"/>
      <c r="SUD81"/>
      <c r="SUE81"/>
      <c r="SUF81"/>
      <c r="SUG81"/>
      <c r="SUH81"/>
      <c r="SUI81"/>
      <c r="SUJ81"/>
      <c r="SUK81"/>
      <c r="SUL81"/>
      <c r="SUM81"/>
      <c r="SUN81"/>
      <c r="SUO81"/>
      <c r="SUP81"/>
      <c r="SUQ81"/>
      <c r="SUR81"/>
      <c r="SUS81"/>
      <c r="SUT81"/>
      <c r="SUU81"/>
      <c r="SUV81"/>
      <c r="SUW81"/>
      <c r="SUX81"/>
      <c r="SUY81"/>
      <c r="SUZ81"/>
      <c r="SVA81"/>
      <c r="SVB81"/>
      <c r="SVC81"/>
      <c r="SVD81"/>
      <c r="SVE81"/>
      <c r="SVF81"/>
      <c r="SVG81"/>
      <c r="SVH81"/>
      <c r="SVI81"/>
      <c r="SVJ81"/>
      <c r="SVK81"/>
      <c r="SVL81"/>
      <c r="SVM81"/>
      <c r="SVN81"/>
      <c r="SVO81"/>
      <c r="SVP81"/>
      <c r="SVQ81"/>
      <c r="SVR81"/>
      <c r="SVS81"/>
      <c r="SVT81"/>
      <c r="SVU81"/>
      <c r="SVV81"/>
      <c r="SVW81"/>
      <c r="SVX81"/>
      <c r="SVY81"/>
      <c r="SVZ81"/>
      <c r="SWA81"/>
      <c r="SWB81"/>
      <c r="SWC81"/>
      <c r="SWD81"/>
      <c r="SWE81"/>
      <c r="SWF81"/>
      <c r="SWG81"/>
      <c r="SWH81"/>
      <c r="SWI81"/>
      <c r="SWJ81"/>
      <c r="SWK81"/>
      <c r="SWL81"/>
      <c r="SWM81"/>
      <c r="SWN81"/>
      <c r="SWO81"/>
      <c r="SWP81"/>
      <c r="SWQ81"/>
      <c r="SWR81"/>
      <c r="SWS81"/>
      <c r="SWT81"/>
      <c r="SWU81"/>
      <c r="SWV81"/>
      <c r="SWW81"/>
      <c r="SWX81"/>
      <c r="SWY81"/>
      <c r="SWZ81"/>
      <c r="SXA81"/>
      <c r="SXB81"/>
      <c r="SXC81"/>
      <c r="SXD81"/>
      <c r="SXE81"/>
      <c r="SXF81"/>
      <c r="SXG81"/>
      <c r="SXH81"/>
      <c r="SXI81"/>
      <c r="SXJ81"/>
      <c r="SXK81"/>
      <c r="SXL81"/>
      <c r="SXM81"/>
      <c r="SXN81"/>
      <c r="SXO81"/>
      <c r="SXP81"/>
      <c r="SXQ81"/>
      <c r="SXR81"/>
      <c r="SXS81"/>
      <c r="SXT81"/>
      <c r="SXU81"/>
      <c r="SXV81"/>
      <c r="SXW81"/>
      <c r="SXX81"/>
      <c r="SXY81"/>
      <c r="SXZ81"/>
      <c r="SYA81"/>
      <c r="SYB81"/>
      <c r="SYC81"/>
      <c r="SYD81"/>
      <c r="SYE81"/>
      <c r="SYF81"/>
      <c r="SYG81"/>
      <c r="SYH81"/>
      <c r="SYI81"/>
      <c r="SYJ81"/>
      <c r="SYK81"/>
      <c r="SYL81"/>
      <c r="SYM81"/>
      <c r="SYN81"/>
      <c r="SYO81"/>
      <c r="SYP81"/>
      <c r="SYQ81"/>
      <c r="SYR81"/>
      <c r="SYS81"/>
      <c r="SYT81"/>
      <c r="SYU81"/>
      <c r="SYV81"/>
      <c r="SYW81"/>
      <c r="SYX81"/>
      <c r="SYY81"/>
      <c r="SYZ81"/>
      <c r="SZA81"/>
      <c r="SZB81"/>
      <c r="SZC81"/>
      <c r="SZD81"/>
      <c r="SZE81"/>
      <c r="SZF81"/>
      <c r="SZG81"/>
      <c r="SZH81"/>
      <c r="SZI81"/>
      <c r="SZJ81"/>
      <c r="SZK81"/>
      <c r="SZL81"/>
      <c r="SZM81"/>
      <c r="SZN81"/>
      <c r="SZO81"/>
      <c r="SZP81"/>
      <c r="SZQ81"/>
      <c r="SZR81"/>
      <c r="SZS81"/>
      <c r="SZT81"/>
      <c r="SZU81"/>
      <c r="SZV81"/>
      <c r="SZW81"/>
      <c r="SZX81"/>
      <c r="SZY81"/>
      <c r="SZZ81"/>
      <c r="TAA81"/>
      <c r="TAB81"/>
      <c r="TAC81"/>
      <c r="TAD81"/>
      <c r="TAE81"/>
      <c r="TAF81"/>
      <c r="TAG81"/>
      <c r="TAH81"/>
      <c r="TAI81"/>
      <c r="TAJ81"/>
      <c r="TAK81"/>
      <c r="TAL81"/>
      <c r="TAM81"/>
      <c r="TAN81"/>
      <c r="TAO81"/>
      <c r="TAP81"/>
      <c r="TAQ81"/>
      <c r="TAR81"/>
      <c r="TAS81"/>
      <c r="TAT81"/>
      <c r="TAU81"/>
      <c r="TAV81"/>
      <c r="TAW81"/>
      <c r="TAX81"/>
      <c r="TAY81"/>
      <c r="TAZ81"/>
      <c r="TBA81"/>
      <c r="TBB81"/>
      <c r="TBC81"/>
      <c r="TBD81"/>
      <c r="TBE81"/>
      <c r="TBF81"/>
      <c r="TBG81"/>
      <c r="TBH81"/>
      <c r="TBI81"/>
      <c r="TBJ81"/>
      <c r="TBK81"/>
      <c r="TBL81"/>
      <c r="TBM81"/>
      <c r="TBN81"/>
      <c r="TBO81"/>
      <c r="TBP81"/>
      <c r="TBQ81"/>
      <c r="TBR81"/>
      <c r="TBS81"/>
      <c r="TBT81"/>
      <c r="TBU81"/>
      <c r="TBV81"/>
      <c r="TBW81"/>
      <c r="TBX81"/>
      <c r="TBY81"/>
      <c r="TBZ81"/>
      <c r="TCA81"/>
      <c r="TCB81"/>
      <c r="TCC81"/>
      <c r="TCD81"/>
      <c r="TCE81"/>
      <c r="TCF81"/>
      <c r="TCG81"/>
      <c r="TCH81"/>
      <c r="TCI81"/>
      <c r="TCJ81"/>
      <c r="TCK81"/>
      <c r="TCL81"/>
      <c r="TCM81"/>
      <c r="TCN81"/>
      <c r="TCO81"/>
      <c r="TCP81"/>
      <c r="TCQ81"/>
      <c r="TCR81"/>
      <c r="TCS81"/>
      <c r="TCT81"/>
      <c r="TCU81"/>
      <c r="TCV81"/>
      <c r="TCW81"/>
      <c r="TCX81"/>
      <c r="TCY81"/>
      <c r="TCZ81"/>
      <c r="TDA81"/>
      <c r="TDB81"/>
      <c r="TDC81"/>
      <c r="TDD81"/>
      <c r="TDE81"/>
      <c r="TDF81"/>
      <c r="TDG81"/>
      <c r="TDH81"/>
      <c r="TDI81"/>
      <c r="TDJ81"/>
      <c r="TDK81"/>
      <c r="TDL81"/>
      <c r="TDM81"/>
      <c r="TDN81"/>
      <c r="TDO81"/>
      <c r="TDP81"/>
      <c r="TDQ81"/>
      <c r="TDR81"/>
      <c r="TDS81"/>
      <c r="TDT81"/>
      <c r="TDU81"/>
      <c r="TDV81"/>
      <c r="TDW81"/>
      <c r="TDX81"/>
      <c r="TDY81"/>
      <c r="TDZ81"/>
      <c r="TEA81"/>
      <c r="TEB81"/>
      <c r="TEC81"/>
      <c r="TED81"/>
      <c r="TEE81"/>
      <c r="TEF81"/>
      <c r="TEG81"/>
      <c r="TEH81"/>
      <c r="TEI81"/>
      <c r="TEJ81"/>
      <c r="TEK81"/>
      <c r="TEL81"/>
      <c r="TEM81"/>
      <c r="TEN81"/>
      <c r="TEO81"/>
      <c r="TEP81"/>
      <c r="TEQ81"/>
      <c r="TER81"/>
      <c r="TES81"/>
      <c r="TET81"/>
      <c r="TEU81"/>
      <c r="TEV81"/>
      <c r="TEW81"/>
      <c r="TEX81"/>
      <c r="TEY81"/>
      <c r="TEZ81"/>
      <c r="TFA81"/>
      <c r="TFB81"/>
      <c r="TFC81"/>
      <c r="TFD81"/>
      <c r="TFE81"/>
      <c r="TFF81"/>
      <c r="TFG81"/>
      <c r="TFH81"/>
      <c r="TFI81"/>
      <c r="TFJ81"/>
      <c r="TFK81"/>
      <c r="TFL81"/>
      <c r="TFM81"/>
      <c r="TFN81"/>
      <c r="TFO81"/>
      <c r="TFP81"/>
      <c r="TFQ81"/>
      <c r="TFR81"/>
      <c r="TFS81"/>
      <c r="TFT81"/>
      <c r="TFU81"/>
      <c r="TFV81"/>
      <c r="TFW81"/>
      <c r="TFX81"/>
      <c r="TFY81"/>
      <c r="TFZ81"/>
      <c r="TGA81"/>
      <c r="TGB81"/>
      <c r="TGC81"/>
      <c r="TGD81"/>
      <c r="TGE81"/>
      <c r="TGF81"/>
      <c r="TGG81"/>
      <c r="TGH81"/>
      <c r="TGI81"/>
      <c r="TGJ81"/>
      <c r="TGK81"/>
      <c r="TGL81"/>
      <c r="TGM81"/>
      <c r="TGN81"/>
      <c r="TGO81"/>
      <c r="TGP81"/>
      <c r="TGQ81"/>
      <c r="TGR81"/>
      <c r="TGS81"/>
      <c r="TGT81"/>
      <c r="TGU81"/>
      <c r="TGV81"/>
      <c r="TGW81"/>
      <c r="TGX81"/>
      <c r="TGY81"/>
      <c r="TGZ81"/>
      <c r="THA81"/>
      <c r="THB81"/>
      <c r="THC81"/>
      <c r="THD81"/>
      <c r="THE81"/>
      <c r="THF81"/>
      <c r="THG81"/>
      <c r="THH81"/>
      <c r="THI81"/>
      <c r="THJ81"/>
      <c r="THK81"/>
      <c r="THL81"/>
      <c r="THM81"/>
      <c r="THN81"/>
      <c r="THO81"/>
      <c r="THP81"/>
      <c r="THQ81"/>
      <c r="THR81"/>
      <c r="THS81"/>
      <c r="THT81"/>
      <c r="THU81"/>
      <c r="THV81"/>
      <c r="THW81"/>
      <c r="THX81"/>
      <c r="THY81"/>
      <c r="THZ81"/>
      <c r="TIA81"/>
      <c r="TIB81"/>
      <c r="TIC81"/>
      <c r="TID81"/>
      <c r="TIE81"/>
      <c r="TIF81"/>
      <c r="TIG81"/>
      <c r="TIH81"/>
      <c r="TII81"/>
      <c r="TIJ81"/>
      <c r="TIK81"/>
      <c r="TIL81"/>
      <c r="TIM81"/>
      <c r="TIN81"/>
      <c r="TIO81"/>
      <c r="TIP81"/>
      <c r="TIQ81"/>
      <c r="TIR81"/>
      <c r="TIS81"/>
      <c r="TIT81"/>
      <c r="TIU81"/>
      <c r="TIV81"/>
      <c r="TIW81"/>
      <c r="TIX81"/>
      <c r="TIY81"/>
      <c r="TIZ81"/>
      <c r="TJA81"/>
      <c r="TJB81"/>
      <c r="TJC81"/>
      <c r="TJD81"/>
      <c r="TJE81"/>
      <c r="TJF81"/>
      <c r="TJG81"/>
      <c r="TJH81"/>
      <c r="TJI81"/>
      <c r="TJJ81"/>
      <c r="TJK81"/>
      <c r="TJL81"/>
      <c r="TJM81"/>
      <c r="TJN81"/>
      <c r="TJO81"/>
      <c r="TJP81"/>
      <c r="TJQ81"/>
      <c r="TJR81"/>
      <c r="TJS81"/>
      <c r="TJT81"/>
      <c r="TJU81"/>
      <c r="TJV81"/>
      <c r="TJW81"/>
      <c r="TJX81"/>
      <c r="TJY81"/>
      <c r="TJZ81"/>
      <c r="TKA81"/>
      <c r="TKB81"/>
      <c r="TKC81"/>
      <c r="TKD81"/>
      <c r="TKE81"/>
      <c r="TKF81"/>
      <c r="TKG81"/>
      <c r="TKH81"/>
      <c r="TKI81"/>
      <c r="TKJ81"/>
      <c r="TKK81"/>
      <c r="TKL81"/>
      <c r="TKM81"/>
      <c r="TKN81"/>
      <c r="TKO81"/>
      <c r="TKP81"/>
      <c r="TKQ81"/>
      <c r="TKR81"/>
      <c r="TKS81"/>
      <c r="TKT81"/>
      <c r="TKU81"/>
      <c r="TKV81"/>
      <c r="TKW81"/>
      <c r="TKX81"/>
      <c r="TKY81"/>
      <c r="TKZ81"/>
      <c r="TLA81"/>
      <c r="TLB81"/>
      <c r="TLC81"/>
      <c r="TLD81"/>
      <c r="TLE81"/>
      <c r="TLF81"/>
      <c r="TLG81"/>
      <c r="TLH81"/>
      <c r="TLI81"/>
      <c r="TLJ81"/>
      <c r="TLK81"/>
      <c r="TLL81"/>
      <c r="TLM81"/>
      <c r="TLN81"/>
      <c r="TLO81"/>
      <c r="TLP81"/>
      <c r="TLQ81"/>
      <c r="TLR81"/>
      <c r="TLS81"/>
      <c r="TLT81"/>
      <c r="TLU81"/>
      <c r="TLV81"/>
      <c r="TLW81"/>
      <c r="TLX81"/>
      <c r="TLY81"/>
      <c r="TLZ81"/>
      <c r="TMA81"/>
      <c r="TMB81"/>
      <c r="TMC81"/>
      <c r="TMD81"/>
      <c r="TME81"/>
      <c r="TMF81"/>
      <c r="TMG81"/>
      <c r="TMH81"/>
      <c r="TMI81"/>
      <c r="TMJ81"/>
      <c r="TMK81"/>
      <c r="TML81"/>
      <c r="TMM81"/>
      <c r="TMN81"/>
      <c r="TMO81"/>
      <c r="TMP81"/>
      <c r="TMQ81"/>
      <c r="TMR81"/>
      <c r="TMS81"/>
      <c r="TMT81"/>
      <c r="TMU81"/>
      <c r="TMV81"/>
      <c r="TMW81"/>
      <c r="TMX81"/>
      <c r="TMY81"/>
      <c r="TMZ81"/>
      <c r="TNA81"/>
      <c r="TNB81"/>
      <c r="TNC81"/>
      <c r="TND81"/>
      <c r="TNE81"/>
      <c r="TNF81"/>
      <c r="TNG81"/>
      <c r="TNH81"/>
      <c r="TNI81"/>
      <c r="TNJ81"/>
      <c r="TNK81"/>
      <c r="TNL81"/>
      <c r="TNM81"/>
      <c r="TNN81"/>
      <c r="TNO81"/>
      <c r="TNP81"/>
      <c r="TNQ81"/>
      <c r="TNR81"/>
      <c r="TNS81"/>
      <c r="TNT81"/>
      <c r="TNU81"/>
      <c r="TNV81"/>
      <c r="TNW81"/>
      <c r="TNX81"/>
      <c r="TNY81"/>
      <c r="TNZ81"/>
      <c r="TOA81"/>
      <c r="TOB81"/>
      <c r="TOC81"/>
      <c r="TOD81"/>
      <c r="TOE81"/>
      <c r="TOF81"/>
      <c r="TOG81"/>
      <c r="TOH81"/>
      <c r="TOI81"/>
      <c r="TOJ81"/>
      <c r="TOK81"/>
      <c r="TOL81"/>
      <c r="TOM81"/>
      <c r="TON81"/>
      <c r="TOO81"/>
      <c r="TOP81"/>
      <c r="TOQ81"/>
      <c r="TOR81"/>
      <c r="TOS81"/>
      <c r="TOT81"/>
      <c r="TOU81"/>
      <c r="TOV81"/>
      <c r="TOW81"/>
      <c r="TOX81"/>
      <c r="TOY81"/>
      <c r="TOZ81"/>
      <c r="TPA81"/>
      <c r="TPB81"/>
      <c r="TPC81"/>
      <c r="TPD81"/>
      <c r="TPE81"/>
      <c r="TPF81"/>
      <c r="TPG81"/>
      <c r="TPH81"/>
      <c r="TPI81"/>
      <c r="TPJ81"/>
      <c r="TPK81"/>
      <c r="TPL81"/>
      <c r="TPM81"/>
      <c r="TPN81"/>
      <c r="TPO81"/>
      <c r="TPP81"/>
      <c r="TPQ81"/>
      <c r="TPR81"/>
      <c r="TPS81"/>
      <c r="TPT81"/>
      <c r="TPU81"/>
      <c r="TPV81"/>
      <c r="TPW81"/>
      <c r="TPX81"/>
      <c r="TPY81"/>
      <c r="TPZ81"/>
      <c r="TQA81"/>
      <c r="TQB81"/>
      <c r="TQC81"/>
      <c r="TQD81"/>
      <c r="TQE81"/>
      <c r="TQF81"/>
      <c r="TQG81"/>
      <c r="TQH81"/>
      <c r="TQI81"/>
      <c r="TQJ81"/>
      <c r="TQK81"/>
      <c r="TQL81"/>
      <c r="TQM81"/>
      <c r="TQN81"/>
      <c r="TQO81"/>
      <c r="TQP81"/>
      <c r="TQQ81"/>
      <c r="TQR81"/>
      <c r="TQS81"/>
      <c r="TQT81"/>
      <c r="TQU81"/>
      <c r="TQV81"/>
      <c r="TQW81"/>
      <c r="TQX81"/>
      <c r="TQY81"/>
      <c r="TQZ81"/>
      <c r="TRA81"/>
      <c r="TRB81"/>
      <c r="TRC81"/>
      <c r="TRD81"/>
      <c r="TRE81"/>
      <c r="TRF81"/>
      <c r="TRG81"/>
      <c r="TRH81"/>
      <c r="TRI81"/>
      <c r="TRJ81"/>
      <c r="TRK81"/>
      <c r="TRL81"/>
      <c r="TRM81"/>
      <c r="TRN81"/>
      <c r="TRO81"/>
      <c r="TRP81"/>
      <c r="TRQ81"/>
      <c r="TRR81"/>
      <c r="TRS81"/>
      <c r="TRT81"/>
      <c r="TRU81"/>
      <c r="TRV81"/>
      <c r="TRW81"/>
      <c r="TRX81"/>
      <c r="TRY81"/>
      <c r="TRZ81"/>
      <c r="TSA81"/>
      <c r="TSB81"/>
      <c r="TSC81"/>
      <c r="TSD81"/>
      <c r="TSE81"/>
      <c r="TSF81"/>
      <c r="TSG81"/>
      <c r="TSH81"/>
      <c r="TSI81"/>
      <c r="TSJ81"/>
      <c r="TSK81"/>
      <c r="TSL81"/>
      <c r="TSM81"/>
      <c r="TSN81"/>
      <c r="TSO81"/>
      <c r="TSP81"/>
      <c r="TSQ81"/>
      <c r="TSR81"/>
      <c r="TSS81"/>
      <c r="TST81"/>
      <c r="TSU81"/>
      <c r="TSV81"/>
      <c r="TSW81"/>
      <c r="TSX81"/>
      <c r="TSY81"/>
      <c r="TSZ81"/>
      <c r="TTA81"/>
      <c r="TTB81"/>
      <c r="TTC81"/>
      <c r="TTD81"/>
      <c r="TTE81"/>
      <c r="TTF81"/>
      <c r="TTG81"/>
      <c r="TTH81"/>
      <c r="TTI81"/>
      <c r="TTJ81"/>
      <c r="TTK81"/>
      <c r="TTL81"/>
      <c r="TTM81"/>
      <c r="TTN81"/>
      <c r="TTO81"/>
      <c r="TTP81"/>
      <c r="TTQ81"/>
      <c r="TTR81"/>
      <c r="TTS81"/>
      <c r="TTT81"/>
      <c r="TTU81"/>
      <c r="TTV81"/>
      <c r="TTW81"/>
      <c r="TTX81"/>
      <c r="TTY81"/>
      <c r="TTZ81"/>
      <c r="TUA81"/>
      <c r="TUB81"/>
      <c r="TUC81"/>
      <c r="TUD81"/>
      <c r="TUE81"/>
      <c r="TUF81"/>
      <c r="TUG81"/>
      <c r="TUH81"/>
      <c r="TUI81"/>
      <c r="TUJ81"/>
      <c r="TUK81"/>
      <c r="TUL81"/>
      <c r="TUM81"/>
      <c r="TUN81"/>
      <c r="TUO81"/>
      <c r="TUP81"/>
      <c r="TUQ81"/>
      <c r="TUR81"/>
      <c r="TUS81"/>
      <c r="TUT81"/>
      <c r="TUU81"/>
      <c r="TUV81"/>
      <c r="TUW81"/>
      <c r="TUX81"/>
      <c r="TUY81"/>
      <c r="TUZ81"/>
      <c r="TVA81"/>
      <c r="TVB81"/>
      <c r="TVC81"/>
      <c r="TVD81"/>
      <c r="TVE81"/>
      <c r="TVF81"/>
      <c r="TVG81"/>
      <c r="TVH81"/>
      <c r="TVI81"/>
      <c r="TVJ81"/>
      <c r="TVK81"/>
      <c r="TVL81"/>
      <c r="TVM81"/>
      <c r="TVN81"/>
      <c r="TVO81"/>
      <c r="TVP81"/>
      <c r="TVQ81"/>
      <c r="TVR81"/>
      <c r="TVS81"/>
      <c r="TVT81"/>
      <c r="TVU81"/>
      <c r="TVV81"/>
      <c r="TVW81"/>
      <c r="TVX81"/>
      <c r="TVY81"/>
      <c r="TVZ81"/>
      <c r="TWA81"/>
      <c r="TWB81"/>
      <c r="TWC81"/>
      <c r="TWD81"/>
      <c r="TWE81"/>
      <c r="TWF81"/>
      <c r="TWG81"/>
      <c r="TWH81"/>
      <c r="TWI81"/>
      <c r="TWJ81"/>
      <c r="TWK81"/>
      <c r="TWL81"/>
      <c r="TWM81"/>
      <c r="TWN81"/>
      <c r="TWO81"/>
      <c r="TWP81"/>
      <c r="TWQ81"/>
      <c r="TWR81"/>
      <c r="TWS81"/>
      <c r="TWT81"/>
      <c r="TWU81"/>
      <c r="TWV81"/>
      <c r="TWW81"/>
      <c r="TWX81"/>
      <c r="TWY81"/>
      <c r="TWZ81"/>
      <c r="TXA81"/>
      <c r="TXB81"/>
      <c r="TXC81"/>
      <c r="TXD81"/>
      <c r="TXE81"/>
      <c r="TXF81"/>
      <c r="TXG81"/>
      <c r="TXH81"/>
      <c r="TXI81"/>
      <c r="TXJ81"/>
      <c r="TXK81"/>
      <c r="TXL81"/>
      <c r="TXM81"/>
      <c r="TXN81"/>
      <c r="TXO81"/>
      <c r="TXP81"/>
      <c r="TXQ81"/>
      <c r="TXR81"/>
      <c r="TXS81"/>
      <c r="TXT81"/>
      <c r="TXU81"/>
      <c r="TXV81"/>
      <c r="TXW81"/>
      <c r="TXX81"/>
      <c r="TXY81"/>
      <c r="TXZ81"/>
      <c r="TYA81"/>
      <c r="TYB81"/>
      <c r="TYC81"/>
      <c r="TYD81"/>
      <c r="TYE81"/>
      <c r="TYF81"/>
      <c r="TYG81"/>
      <c r="TYH81"/>
      <c r="TYI81"/>
      <c r="TYJ81"/>
      <c r="TYK81"/>
      <c r="TYL81"/>
      <c r="TYM81"/>
      <c r="TYN81"/>
      <c r="TYO81"/>
      <c r="TYP81"/>
      <c r="TYQ81"/>
      <c r="TYR81"/>
      <c r="TYS81"/>
      <c r="TYT81"/>
      <c r="TYU81"/>
      <c r="TYV81"/>
      <c r="TYW81"/>
      <c r="TYX81"/>
      <c r="TYY81"/>
      <c r="TYZ81"/>
      <c r="TZA81"/>
      <c r="TZB81"/>
      <c r="TZC81"/>
      <c r="TZD81"/>
      <c r="TZE81"/>
      <c r="TZF81"/>
      <c r="TZG81"/>
      <c r="TZH81"/>
      <c r="TZI81"/>
      <c r="TZJ81"/>
      <c r="TZK81"/>
      <c r="TZL81"/>
      <c r="TZM81"/>
      <c r="TZN81"/>
      <c r="TZO81"/>
      <c r="TZP81"/>
      <c r="TZQ81"/>
      <c r="TZR81"/>
      <c r="TZS81"/>
      <c r="TZT81"/>
      <c r="TZU81"/>
      <c r="TZV81"/>
      <c r="TZW81"/>
      <c r="TZX81"/>
      <c r="TZY81"/>
      <c r="TZZ81"/>
      <c r="UAA81"/>
      <c r="UAB81"/>
      <c r="UAC81"/>
      <c r="UAD81"/>
      <c r="UAE81"/>
      <c r="UAF81"/>
      <c r="UAG81"/>
      <c r="UAH81"/>
      <c r="UAI81"/>
      <c r="UAJ81"/>
      <c r="UAK81"/>
      <c r="UAL81"/>
      <c r="UAM81"/>
      <c r="UAN81"/>
      <c r="UAO81"/>
      <c r="UAP81"/>
      <c r="UAQ81"/>
      <c r="UAR81"/>
      <c r="UAS81"/>
      <c r="UAT81"/>
      <c r="UAU81"/>
      <c r="UAV81"/>
      <c r="UAW81"/>
      <c r="UAX81"/>
      <c r="UAY81"/>
      <c r="UAZ81"/>
      <c r="UBA81"/>
      <c r="UBB81"/>
      <c r="UBC81"/>
      <c r="UBD81"/>
      <c r="UBE81"/>
      <c r="UBF81"/>
      <c r="UBG81"/>
      <c r="UBH81"/>
      <c r="UBI81"/>
      <c r="UBJ81"/>
      <c r="UBK81"/>
      <c r="UBL81"/>
      <c r="UBM81"/>
      <c r="UBN81"/>
      <c r="UBO81"/>
      <c r="UBP81"/>
      <c r="UBQ81"/>
      <c r="UBR81"/>
      <c r="UBS81"/>
      <c r="UBT81"/>
      <c r="UBU81"/>
      <c r="UBV81"/>
      <c r="UBW81"/>
      <c r="UBX81"/>
      <c r="UBY81"/>
      <c r="UBZ81"/>
      <c r="UCA81"/>
      <c r="UCB81"/>
      <c r="UCC81"/>
      <c r="UCD81"/>
      <c r="UCE81"/>
      <c r="UCF81"/>
      <c r="UCG81"/>
      <c r="UCH81"/>
      <c r="UCI81"/>
      <c r="UCJ81"/>
      <c r="UCK81"/>
      <c r="UCL81"/>
      <c r="UCM81"/>
      <c r="UCN81"/>
      <c r="UCO81"/>
      <c r="UCP81"/>
      <c r="UCQ81"/>
      <c r="UCR81"/>
      <c r="UCS81"/>
      <c r="UCT81"/>
      <c r="UCU81"/>
      <c r="UCV81"/>
      <c r="UCW81"/>
      <c r="UCX81"/>
      <c r="UCY81"/>
      <c r="UCZ81"/>
      <c r="UDA81"/>
      <c r="UDB81"/>
      <c r="UDC81"/>
      <c r="UDD81"/>
      <c r="UDE81"/>
      <c r="UDF81"/>
      <c r="UDG81"/>
      <c r="UDH81"/>
      <c r="UDI81"/>
      <c r="UDJ81"/>
      <c r="UDK81"/>
      <c r="UDL81"/>
      <c r="UDM81"/>
      <c r="UDN81"/>
      <c r="UDO81"/>
      <c r="UDP81"/>
      <c r="UDQ81"/>
      <c r="UDR81"/>
      <c r="UDS81"/>
      <c r="UDT81"/>
      <c r="UDU81"/>
      <c r="UDV81"/>
      <c r="UDW81"/>
      <c r="UDX81"/>
      <c r="UDY81"/>
      <c r="UDZ81"/>
      <c r="UEA81"/>
      <c r="UEB81"/>
      <c r="UEC81"/>
      <c r="UED81"/>
      <c r="UEE81"/>
      <c r="UEF81"/>
      <c r="UEG81"/>
      <c r="UEH81"/>
      <c r="UEI81"/>
      <c r="UEJ81"/>
      <c r="UEK81"/>
      <c r="UEL81"/>
      <c r="UEM81"/>
      <c r="UEN81"/>
      <c r="UEO81"/>
      <c r="UEP81"/>
      <c r="UEQ81"/>
      <c r="UER81"/>
      <c r="UES81"/>
      <c r="UET81"/>
      <c r="UEU81"/>
      <c r="UEV81"/>
      <c r="UEW81"/>
      <c r="UEX81"/>
      <c r="UEY81"/>
      <c r="UEZ81"/>
      <c r="UFA81"/>
      <c r="UFB81"/>
      <c r="UFC81"/>
      <c r="UFD81"/>
      <c r="UFE81"/>
      <c r="UFF81"/>
      <c r="UFG81"/>
      <c r="UFH81"/>
      <c r="UFI81"/>
      <c r="UFJ81"/>
      <c r="UFK81"/>
      <c r="UFL81"/>
      <c r="UFM81"/>
      <c r="UFN81"/>
      <c r="UFO81"/>
      <c r="UFP81"/>
      <c r="UFQ81"/>
      <c r="UFR81"/>
      <c r="UFS81"/>
      <c r="UFT81"/>
      <c r="UFU81"/>
      <c r="UFV81"/>
      <c r="UFW81"/>
      <c r="UFX81"/>
      <c r="UFY81"/>
      <c r="UFZ81"/>
      <c r="UGA81"/>
      <c r="UGB81"/>
      <c r="UGC81"/>
      <c r="UGD81"/>
      <c r="UGE81"/>
      <c r="UGF81"/>
      <c r="UGG81"/>
      <c r="UGH81"/>
      <c r="UGI81"/>
      <c r="UGJ81"/>
      <c r="UGK81"/>
      <c r="UGL81"/>
      <c r="UGM81"/>
      <c r="UGN81"/>
      <c r="UGO81"/>
      <c r="UGP81"/>
      <c r="UGQ81"/>
      <c r="UGR81"/>
      <c r="UGS81"/>
      <c r="UGT81"/>
      <c r="UGU81"/>
      <c r="UGV81"/>
      <c r="UGW81"/>
      <c r="UGX81"/>
      <c r="UGY81"/>
      <c r="UGZ81"/>
      <c r="UHA81"/>
      <c r="UHB81"/>
      <c r="UHC81"/>
      <c r="UHD81"/>
      <c r="UHE81"/>
      <c r="UHF81"/>
      <c r="UHG81"/>
      <c r="UHH81"/>
      <c r="UHI81"/>
      <c r="UHJ81"/>
      <c r="UHK81"/>
      <c r="UHL81"/>
      <c r="UHM81"/>
      <c r="UHN81"/>
      <c r="UHO81"/>
      <c r="UHP81"/>
      <c r="UHQ81"/>
      <c r="UHR81"/>
      <c r="UHS81"/>
      <c r="UHT81"/>
      <c r="UHU81"/>
      <c r="UHV81"/>
      <c r="UHW81"/>
      <c r="UHX81"/>
      <c r="UHY81"/>
      <c r="UHZ81"/>
      <c r="UIA81"/>
      <c r="UIB81"/>
      <c r="UIC81"/>
      <c r="UID81"/>
      <c r="UIE81"/>
      <c r="UIF81"/>
      <c r="UIG81"/>
      <c r="UIH81"/>
      <c r="UII81"/>
      <c r="UIJ81"/>
      <c r="UIK81"/>
      <c r="UIL81"/>
      <c r="UIM81"/>
      <c r="UIN81"/>
      <c r="UIO81"/>
      <c r="UIP81"/>
      <c r="UIQ81"/>
      <c r="UIR81"/>
      <c r="UIS81"/>
      <c r="UIT81"/>
      <c r="UIU81"/>
      <c r="UIV81"/>
      <c r="UIW81"/>
      <c r="UIX81"/>
      <c r="UIY81"/>
      <c r="UIZ81"/>
      <c r="UJA81"/>
      <c r="UJB81"/>
      <c r="UJC81"/>
      <c r="UJD81"/>
      <c r="UJE81"/>
      <c r="UJF81"/>
      <c r="UJG81"/>
      <c r="UJH81"/>
      <c r="UJI81"/>
      <c r="UJJ81"/>
      <c r="UJK81"/>
      <c r="UJL81"/>
      <c r="UJM81"/>
      <c r="UJN81"/>
      <c r="UJO81"/>
      <c r="UJP81"/>
      <c r="UJQ81"/>
      <c r="UJR81"/>
      <c r="UJS81"/>
      <c r="UJT81"/>
      <c r="UJU81"/>
      <c r="UJV81"/>
      <c r="UJW81"/>
      <c r="UJX81"/>
      <c r="UJY81"/>
      <c r="UJZ81"/>
      <c r="UKA81"/>
      <c r="UKB81"/>
      <c r="UKC81"/>
      <c r="UKD81"/>
      <c r="UKE81"/>
      <c r="UKF81"/>
      <c r="UKG81"/>
      <c r="UKH81"/>
      <c r="UKI81"/>
      <c r="UKJ81"/>
      <c r="UKK81"/>
      <c r="UKL81"/>
      <c r="UKM81"/>
      <c r="UKN81"/>
      <c r="UKO81"/>
      <c r="UKP81"/>
      <c r="UKQ81"/>
      <c r="UKR81"/>
      <c r="UKS81"/>
      <c r="UKT81"/>
      <c r="UKU81"/>
      <c r="UKV81"/>
      <c r="UKW81"/>
      <c r="UKX81"/>
      <c r="UKY81"/>
      <c r="UKZ81"/>
      <c r="ULA81"/>
      <c r="ULB81"/>
      <c r="ULC81"/>
      <c r="ULD81"/>
      <c r="ULE81"/>
      <c r="ULF81"/>
      <c r="ULG81"/>
      <c r="ULH81"/>
      <c r="ULI81"/>
      <c r="ULJ81"/>
      <c r="ULK81"/>
      <c r="ULL81"/>
      <c r="ULM81"/>
      <c r="ULN81"/>
      <c r="ULO81"/>
      <c r="ULP81"/>
      <c r="ULQ81"/>
      <c r="ULR81"/>
      <c r="ULS81"/>
      <c r="ULT81"/>
      <c r="ULU81"/>
      <c r="ULV81"/>
      <c r="ULW81"/>
      <c r="ULX81"/>
      <c r="ULY81"/>
      <c r="ULZ81"/>
      <c r="UMA81"/>
      <c r="UMB81"/>
      <c r="UMC81"/>
      <c r="UMD81"/>
      <c r="UME81"/>
      <c r="UMF81"/>
      <c r="UMG81"/>
      <c r="UMH81"/>
      <c r="UMI81"/>
      <c r="UMJ81"/>
      <c r="UMK81"/>
      <c r="UML81"/>
      <c r="UMM81"/>
      <c r="UMN81"/>
      <c r="UMO81"/>
      <c r="UMP81"/>
      <c r="UMQ81"/>
      <c r="UMR81"/>
      <c r="UMS81"/>
      <c r="UMT81"/>
      <c r="UMU81"/>
      <c r="UMV81"/>
      <c r="UMW81"/>
      <c r="UMX81"/>
      <c r="UMY81"/>
      <c r="UMZ81"/>
      <c r="UNA81"/>
      <c r="UNB81"/>
      <c r="UNC81"/>
      <c r="UND81"/>
      <c r="UNE81"/>
      <c r="UNF81"/>
      <c r="UNG81"/>
      <c r="UNH81"/>
      <c r="UNI81"/>
      <c r="UNJ81"/>
      <c r="UNK81"/>
      <c r="UNL81"/>
      <c r="UNM81"/>
      <c r="UNN81"/>
      <c r="UNO81"/>
      <c r="UNP81"/>
      <c r="UNQ81"/>
      <c r="UNR81"/>
      <c r="UNS81"/>
      <c r="UNT81"/>
      <c r="UNU81"/>
      <c r="UNV81"/>
      <c r="UNW81"/>
      <c r="UNX81"/>
      <c r="UNY81"/>
      <c r="UNZ81"/>
      <c r="UOA81"/>
      <c r="UOB81"/>
      <c r="UOC81"/>
      <c r="UOD81"/>
      <c r="UOE81"/>
      <c r="UOF81"/>
      <c r="UOG81"/>
      <c r="UOH81"/>
      <c r="UOI81"/>
      <c r="UOJ81"/>
      <c r="UOK81"/>
      <c r="UOL81"/>
      <c r="UOM81"/>
      <c r="UON81"/>
      <c r="UOO81"/>
      <c r="UOP81"/>
      <c r="UOQ81"/>
      <c r="UOR81"/>
      <c r="UOS81"/>
      <c r="UOT81"/>
      <c r="UOU81"/>
      <c r="UOV81"/>
      <c r="UOW81"/>
      <c r="UOX81"/>
      <c r="UOY81"/>
      <c r="UOZ81"/>
      <c r="UPA81"/>
      <c r="UPB81"/>
      <c r="UPC81"/>
      <c r="UPD81"/>
      <c r="UPE81"/>
      <c r="UPF81"/>
      <c r="UPG81"/>
      <c r="UPH81"/>
      <c r="UPI81"/>
      <c r="UPJ81"/>
      <c r="UPK81"/>
      <c r="UPL81"/>
      <c r="UPM81"/>
      <c r="UPN81"/>
      <c r="UPO81"/>
      <c r="UPP81"/>
      <c r="UPQ81"/>
      <c r="UPR81"/>
      <c r="UPS81"/>
      <c r="UPT81"/>
      <c r="UPU81"/>
      <c r="UPV81"/>
      <c r="UPW81"/>
      <c r="UPX81"/>
      <c r="UPY81"/>
      <c r="UPZ81"/>
      <c r="UQA81"/>
      <c r="UQB81"/>
      <c r="UQC81"/>
      <c r="UQD81"/>
      <c r="UQE81"/>
      <c r="UQF81"/>
      <c r="UQG81"/>
      <c r="UQH81"/>
      <c r="UQI81"/>
      <c r="UQJ81"/>
      <c r="UQK81"/>
      <c r="UQL81"/>
      <c r="UQM81"/>
      <c r="UQN81"/>
      <c r="UQO81"/>
      <c r="UQP81"/>
      <c r="UQQ81"/>
      <c r="UQR81"/>
      <c r="UQS81"/>
      <c r="UQT81"/>
      <c r="UQU81"/>
      <c r="UQV81"/>
      <c r="UQW81"/>
      <c r="UQX81"/>
      <c r="UQY81"/>
      <c r="UQZ81"/>
      <c r="URA81"/>
      <c r="URB81"/>
      <c r="URC81"/>
      <c r="URD81"/>
      <c r="URE81"/>
      <c r="URF81"/>
      <c r="URG81"/>
      <c r="URH81"/>
      <c r="URI81"/>
      <c r="URJ81"/>
      <c r="URK81"/>
      <c r="URL81"/>
      <c r="URM81"/>
      <c r="URN81"/>
      <c r="URO81"/>
      <c r="URP81"/>
      <c r="URQ81"/>
      <c r="URR81"/>
      <c r="URS81"/>
      <c r="URT81"/>
      <c r="URU81"/>
      <c r="URV81"/>
      <c r="URW81"/>
      <c r="URX81"/>
      <c r="URY81"/>
      <c r="URZ81"/>
      <c r="USA81"/>
      <c r="USB81"/>
      <c r="USC81"/>
      <c r="USD81"/>
      <c r="USE81"/>
      <c r="USF81"/>
      <c r="USG81"/>
      <c r="USH81"/>
      <c r="USI81"/>
      <c r="USJ81"/>
      <c r="USK81"/>
      <c r="USL81"/>
      <c r="USM81"/>
      <c r="USN81"/>
      <c r="USO81"/>
      <c r="USP81"/>
      <c r="USQ81"/>
      <c r="USR81"/>
      <c r="USS81"/>
      <c r="UST81"/>
      <c r="USU81"/>
      <c r="USV81"/>
      <c r="USW81"/>
      <c r="USX81"/>
      <c r="USY81"/>
      <c r="USZ81"/>
      <c r="UTA81"/>
      <c r="UTB81"/>
      <c r="UTC81"/>
      <c r="UTD81"/>
      <c r="UTE81"/>
      <c r="UTF81"/>
      <c r="UTG81"/>
      <c r="UTH81"/>
      <c r="UTI81"/>
      <c r="UTJ81"/>
      <c r="UTK81"/>
      <c r="UTL81"/>
      <c r="UTM81"/>
      <c r="UTN81"/>
      <c r="UTO81"/>
      <c r="UTP81"/>
      <c r="UTQ81"/>
      <c r="UTR81"/>
      <c r="UTS81"/>
      <c r="UTT81"/>
      <c r="UTU81"/>
      <c r="UTV81"/>
      <c r="UTW81"/>
      <c r="UTX81"/>
      <c r="UTY81"/>
      <c r="UTZ81"/>
      <c r="UUA81"/>
      <c r="UUB81"/>
      <c r="UUC81"/>
      <c r="UUD81"/>
      <c r="UUE81"/>
      <c r="UUF81"/>
      <c r="UUG81"/>
      <c r="UUH81"/>
      <c r="UUI81"/>
      <c r="UUJ81"/>
      <c r="UUK81"/>
      <c r="UUL81"/>
      <c r="UUM81"/>
      <c r="UUN81"/>
      <c r="UUO81"/>
      <c r="UUP81"/>
      <c r="UUQ81"/>
      <c r="UUR81"/>
      <c r="UUS81"/>
      <c r="UUT81"/>
      <c r="UUU81"/>
      <c r="UUV81"/>
      <c r="UUW81"/>
      <c r="UUX81"/>
      <c r="UUY81"/>
      <c r="UUZ81"/>
      <c r="UVA81"/>
      <c r="UVB81"/>
      <c r="UVC81"/>
      <c r="UVD81"/>
      <c r="UVE81"/>
      <c r="UVF81"/>
      <c r="UVG81"/>
      <c r="UVH81"/>
      <c r="UVI81"/>
      <c r="UVJ81"/>
      <c r="UVK81"/>
      <c r="UVL81"/>
      <c r="UVM81"/>
      <c r="UVN81"/>
      <c r="UVO81"/>
      <c r="UVP81"/>
      <c r="UVQ81"/>
      <c r="UVR81"/>
      <c r="UVS81"/>
      <c r="UVT81"/>
      <c r="UVU81"/>
      <c r="UVV81"/>
      <c r="UVW81"/>
      <c r="UVX81"/>
      <c r="UVY81"/>
      <c r="UVZ81"/>
      <c r="UWA81"/>
      <c r="UWB81"/>
      <c r="UWC81"/>
      <c r="UWD81"/>
      <c r="UWE81"/>
      <c r="UWF81"/>
      <c r="UWG81"/>
      <c r="UWH81"/>
      <c r="UWI81"/>
      <c r="UWJ81"/>
      <c r="UWK81"/>
      <c r="UWL81"/>
      <c r="UWM81"/>
      <c r="UWN81"/>
      <c r="UWO81"/>
      <c r="UWP81"/>
      <c r="UWQ81"/>
      <c r="UWR81"/>
      <c r="UWS81"/>
      <c r="UWT81"/>
      <c r="UWU81"/>
      <c r="UWV81"/>
      <c r="UWW81"/>
      <c r="UWX81"/>
      <c r="UWY81"/>
      <c r="UWZ81"/>
      <c r="UXA81"/>
      <c r="UXB81"/>
      <c r="UXC81"/>
      <c r="UXD81"/>
      <c r="UXE81"/>
      <c r="UXF81"/>
      <c r="UXG81"/>
      <c r="UXH81"/>
      <c r="UXI81"/>
      <c r="UXJ81"/>
      <c r="UXK81"/>
      <c r="UXL81"/>
      <c r="UXM81"/>
      <c r="UXN81"/>
      <c r="UXO81"/>
      <c r="UXP81"/>
      <c r="UXQ81"/>
      <c r="UXR81"/>
      <c r="UXS81"/>
      <c r="UXT81"/>
      <c r="UXU81"/>
      <c r="UXV81"/>
      <c r="UXW81"/>
      <c r="UXX81"/>
      <c r="UXY81"/>
      <c r="UXZ81"/>
      <c r="UYA81"/>
      <c r="UYB81"/>
      <c r="UYC81"/>
      <c r="UYD81"/>
      <c r="UYE81"/>
      <c r="UYF81"/>
      <c r="UYG81"/>
      <c r="UYH81"/>
      <c r="UYI81"/>
      <c r="UYJ81"/>
      <c r="UYK81"/>
      <c r="UYL81"/>
      <c r="UYM81"/>
      <c r="UYN81"/>
      <c r="UYO81"/>
      <c r="UYP81"/>
      <c r="UYQ81"/>
      <c r="UYR81"/>
      <c r="UYS81"/>
      <c r="UYT81"/>
      <c r="UYU81"/>
      <c r="UYV81"/>
      <c r="UYW81"/>
      <c r="UYX81"/>
      <c r="UYY81"/>
      <c r="UYZ81"/>
      <c r="UZA81"/>
      <c r="UZB81"/>
      <c r="UZC81"/>
      <c r="UZD81"/>
      <c r="UZE81"/>
      <c r="UZF81"/>
      <c r="UZG81"/>
      <c r="UZH81"/>
      <c r="UZI81"/>
      <c r="UZJ81"/>
      <c r="UZK81"/>
      <c r="UZL81"/>
      <c r="UZM81"/>
      <c r="UZN81"/>
      <c r="UZO81"/>
      <c r="UZP81"/>
      <c r="UZQ81"/>
      <c r="UZR81"/>
      <c r="UZS81"/>
      <c r="UZT81"/>
      <c r="UZU81"/>
      <c r="UZV81"/>
      <c r="UZW81"/>
      <c r="UZX81"/>
      <c r="UZY81"/>
      <c r="UZZ81"/>
      <c r="VAA81"/>
      <c r="VAB81"/>
      <c r="VAC81"/>
      <c r="VAD81"/>
      <c r="VAE81"/>
      <c r="VAF81"/>
      <c r="VAG81"/>
      <c r="VAH81"/>
      <c r="VAI81"/>
      <c r="VAJ81"/>
      <c r="VAK81"/>
      <c r="VAL81"/>
      <c r="VAM81"/>
      <c r="VAN81"/>
      <c r="VAO81"/>
      <c r="VAP81"/>
      <c r="VAQ81"/>
      <c r="VAR81"/>
      <c r="VAS81"/>
      <c r="VAT81"/>
      <c r="VAU81"/>
      <c r="VAV81"/>
      <c r="VAW81"/>
      <c r="VAX81"/>
      <c r="VAY81"/>
      <c r="VAZ81"/>
      <c r="VBA81"/>
      <c r="VBB81"/>
      <c r="VBC81"/>
      <c r="VBD81"/>
      <c r="VBE81"/>
      <c r="VBF81"/>
      <c r="VBG81"/>
      <c r="VBH81"/>
      <c r="VBI81"/>
      <c r="VBJ81"/>
      <c r="VBK81"/>
      <c r="VBL81"/>
      <c r="VBM81"/>
      <c r="VBN81"/>
      <c r="VBO81"/>
      <c r="VBP81"/>
      <c r="VBQ81"/>
      <c r="VBR81"/>
      <c r="VBS81"/>
      <c r="VBT81"/>
      <c r="VBU81"/>
      <c r="VBV81"/>
      <c r="VBW81"/>
      <c r="VBX81"/>
      <c r="VBY81"/>
      <c r="VBZ81"/>
      <c r="VCA81"/>
      <c r="VCB81"/>
      <c r="VCC81"/>
      <c r="VCD81"/>
      <c r="VCE81"/>
      <c r="VCF81"/>
      <c r="VCG81"/>
      <c r="VCH81"/>
      <c r="VCI81"/>
      <c r="VCJ81"/>
      <c r="VCK81"/>
      <c r="VCL81"/>
      <c r="VCM81"/>
      <c r="VCN81"/>
      <c r="VCO81"/>
      <c r="VCP81"/>
      <c r="VCQ81"/>
      <c r="VCR81"/>
      <c r="VCS81"/>
      <c r="VCT81"/>
      <c r="VCU81"/>
      <c r="VCV81"/>
      <c r="VCW81"/>
      <c r="VCX81"/>
      <c r="VCY81"/>
      <c r="VCZ81"/>
      <c r="VDA81"/>
      <c r="VDB81"/>
      <c r="VDC81"/>
      <c r="VDD81"/>
      <c r="VDE81"/>
      <c r="VDF81"/>
      <c r="VDG81"/>
      <c r="VDH81"/>
      <c r="VDI81"/>
      <c r="VDJ81"/>
      <c r="VDK81"/>
      <c r="VDL81"/>
      <c r="VDM81"/>
      <c r="VDN81"/>
      <c r="VDO81"/>
      <c r="VDP81"/>
      <c r="VDQ81"/>
      <c r="VDR81"/>
      <c r="VDS81"/>
      <c r="VDT81"/>
      <c r="VDU81"/>
      <c r="VDV81"/>
      <c r="VDW81"/>
      <c r="VDX81"/>
      <c r="VDY81"/>
      <c r="VDZ81"/>
      <c r="VEA81"/>
      <c r="VEB81"/>
      <c r="VEC81"/>
      <c r="VED81"/>
      <c r="VEE81"/>
      <c r="VEF81"/>
      <c r="VEG81"/>
      <c r="VEH81"/>
      <c r="VEI81"/>
      <c r="VEJ81"/>
      <c r="VEK81"/>
      <c r="VEL81"/>
      <c r="VEM81"/>
      <c r="VEN81"/>
      <c r="VEO81"/>
      <c r="VEP81"/>
      <c r="VEQ81"/>
      <c r="VER81"/>
      <c r="VES81"/>
      <c r="VET81"/>
      <c r="VEU81"/>
      <c r="VEV81"/>
      <c r="VEW81"/>
      <c r="VEX81"/>
      <c r="VEY81"/>
      <c r="VEZ81"/>
      <c r="VFA81"/>
      <c r="VFB81"/>
      <c r="VFC81"/>
      <c r="VFD81"/>
      <c r="VFE81"/>
      <c r="VFF81"/>
      <c r="VFG81"/>
      <c r="VFH81"/>
      <c r="VFI81"/>
      <c r="VFJ81"/>
      <c r="VFK81"/>
      <c r="VFL81"/>
      <c r="VFM81"/>
      <c r="VFN81"/>
      <c r="VFO81"/>
      <c r="VFP81"/>
      <c r="VFQ81"/>
      <c r="VFR81"/>
      <c r="VFS81"/>
      <c r="VFT81"/>
      <c r="VFU81"/>
      <c r="VFV81"/>
      <c r="VFW81"/>
      <c r="VFX81"/>
      <c r="VFY81"/>
      <c r="VFZ81"/>
      <c r="VGA81"/>
      <c r="VGB81"/>
      <c r="VGC81"/>
      <c r="VGD81"/>
      <c r="VGE81"/>
      <c r="VGF81"/>
      <c r="VGG81"/>
      <c r="VGH81"/>
      <c r="VGI81"/>
      <c r="VGJ81"/>
      <c r="VGK81"/>
      <c r="VGL81"/>
      <c r="VGM81"/>
      <c r="VGN81"/>
      <c r="VGO81"/>
      <c r="VGP81"/>
      <c r="VGQ81"/>
      <c r="VGR81"/>
      <c r="VGS81"/>
      <c r="VGT81"/>
      <c r="VGU81"/>
      <c r="VGV81"/>
      <c r="VGW81"/>
      <c r="VGX81"/>
      <c r="VGY81"/>
      <c r="VGZ81"/>
      <c r="VHA81"/>
      <c r="VHB81"/>
      <c r="VHC81"/>
      <c r="VHD81"/>
      <c r="VHE81"/>
      <c r="VHF81"/>
      <c r="VHG81"/>
      <c r="VHH81"/>
      <c r="VHI81"/>
      <c r="VHJ81"/>
      <c r="VHK81"/>
      <c r="VHL81"/>
      <c r="VHM81"/>
      <c r="VHN81"/>
      <c r="VHO81"/>
      <c r="VHP81"/>
      <c r="VHQ81"/>
      <c r="VHR81"/>
      <c r="VHS81"/>
      <c r="VHT81"/>
      <c r="VHU81"/>
      <c r="VHV81"/>
      <c r="VHW81"/>
      <c r="VHX81"/>
      <c r="VHY81"/>
      <c r="VHZ81"/>
      <c r="VIA81"/>
      <c r="VIB81"/>
      <c r="VIC81"/>
      <c r="VID81"/>
      <c r="VIE81"/>
      <c r="VIF81"/>
      <c r="VIG81"/>
      <c r="VIH81"/>
      <c r="VII81"/>
      <c r="VIJ81"/>
      <c r="VIK81"/>
      <c r="VIL81"/>
      <c r="VIM81"/>
      <c r="VIN81"/>
      <c r="VIO81"/>
      <c r="VIP81"/>
      <c r="VIQ81"/>
      <c r="VIR81"/>
      <c r="VIS81"/>
      <c r="VIT81"/>
      <c r="VIU81"/>
      <c r="VIV81"/>
      <c r="VIW81"/>
      <c r="VIX81"/>
      <c r="VIY81"/>
      <c r="VIZ81"/>
      <c r="VJA81"/>
      <c r="VJB81"/>
      <c r="VJC81"/>
      <c r="VJD81"/>
      <c r="VJE81"/>
      <c r="VJF81"/>
      <c r="VJG81"/>
      <c r="VJH81"/>
      <c r="VJI81"/>
      <c r="VJJ81"/>
      <c r="VJK81"/>
      <c r="VJL81"/>
      <c r="VJM81"/>
      <c r="VJN81"/>
      <c r="VJO81"/>
      <c r="VJP81"/>
      <c r="VJQ81"/>
      <c r="VJR81"/>
      <c r="VJS81"/>
      <c r="VJT81"/>
      <c r="VJU81"/>
      <c r="VJV81"/>
      <c r="VJW81"/>
      <c r="VJX81"/>
      <c r="VJY81"/>
      <c r="VJZ81"/>
      <c r="VKA81"/>
      <c r="VKB81"/>
      <c r="VKC81"/>
      <c r="VKD81"/>
      <c r="VKE81"/>
      <c r="VKF81"/>
      <c r="VKG81"/>
      <c r="VKH81"/>
      <c r="VKI81"/>
      <c r="VKJ81"/>
      <c r="VKK81"/>
      <c r="VKL81"/>
      <c r="VKM81"/>
      <c r="VKN81"/>
      <c r="VKO81"/>
      <c r="VKP81"/>
      <c r="VKQ81"/>
      <c r="VKR81"/>
      <c r="VKS81"/>
      <c r="VKT81"/>
      <c r="VKU81"/>
      <c r="VKV81"/>
      <c r="VKW81"/>
      <c r="VKX81"/>
      <c r="VKY81"/>
      <c r="VKZ81"/>
      <c r="VLA81"/>
      <c r="VLB81"/>
      <c r="VLC81"/>
      <c r="VLD81"/>
      <c r="VLE81"/>
      <c r="VLF81"/>
      <c r="VLG81"/>
      <c r="VLH81"/>
      <c r="VLI81"/>
      <c r="VLJ81"/>
      <c r="VLK81"/>
      <c r="VLL81"/>
      <c r="VLM81"/>
      <c r="VLN81"/>
      <c r="VLO81"/>
      <c r="VLP81"/>
      <c r="VLQ81"/>
      <c r="VLR81"/>
      <c r="VLS81"/>
      <c r="VLT81"/>
      <c r="VLU81"/>
      <c r="VLV81"/>
      <c r="VLW81"/>
      <c r="VLX81"/>
      <c r="VLY81"/>
      <c r="VLZ81"/>
      <c r="VMA81"/>
      <c r="VMB81"/>
      <c r="VMC81"/>
      <c r="VMD81"/>
      <c r="VME81"/>
      <c r="VMF81"/>
      <c r="VMG81"/>
      <c r="VMH81"/>
      <c r="VMI81"/>
      <c r="VMJ81"/>
      <c r="VMK81"/>
      <c r="VML81"/>
      <c r="VMM81"/>
      <c r="VMN81"/>
      <c r="VMO81"/>
      <c r="VMP81"/>
      <c r="VMQ81"/>
      <c r="VMR81"/>
      <c r="VMS81"/>
      <c r="VMT81"/>
      <c r="VMU81"/>
      <c r="VMV81"/>
      <c r="VMW81"/>
      <c r="VMX81"/>
      <c r="VMY81"/>
      <c r="VMZ81"/>
      <c r="VNA81"/>
      <c r="VNB81"/>
      <c r="VNC81"/>
      <c r="VND81"/>
      <c r="VNE81"/>
      <c r="VNF81"/>
      <c r="VNG81"/>
      <c r="VNH81"/>
      <c r="VNI81"/>
      <c r="VNJ81"/>
      <c r="VNK81"/>
      <c r="VNL81"/>
      <c r="VNM81"/>
      <c r="VNN81"/>
      <c r="VNO81"/>
      <c r="VNP81"/>
      <c r="VNQ81"/>
      <c r="VNR81"/>
      <c r="VNS81"/>
      <c r="VNT81"/>
      <c r="VNU81"/>
      <c r="VNV81"/>
      <c r="VNW81"/>
      <c r="VNX81"/>
      <c r="VNY81"/>
      <c r="VNZ81"/>
      <c r="VOA81"/>
      <c r="VOB81"/>
      <c r="VOC81"/>
      <c r="VOD81"/>
      <c r="VOE81"/>
      <c r="VOF81"/>
      <c r="VOG81"/>
      <c r="VOH81"/>
      <c r="VOI81"/>
      <c r="VOJ81"/>
      <c r="VOK81"/>
      <c r="VOL81"/>
      <c r="VOM81"/>
      <c r="VON81"/>
      <c r="VOO81"/>
      <c r="VOP81"/>
      <c r="VOQ81"/>
      <c r="VOR81"/>
      <c r="VOS81"/>
      <c r="VOT81"/>
      <c r="VOU81"/>
      <c r="VOV81"/>
      <c r="VOW81"/>
      <c r="VOX81"/>
      <c r="VOY81"/>
      <c r="VOZ81"/>
      <c r="VPA81"/>
      <c r="VPB81"/>
      <c r="VPC81"/>
      <c r="VPD81"/>
      <c r="VPE81"/>
      <c r="VPF81"/>
      <c r="VPG81"/>
      <c r="VPH81"/>
      <c r="VPI81"/>
      <c r="VPJ81"/>
      <c r="VPK81"/>
      <c r="VPL81"/>
      <c r="VPM81"/>
      <c r="VPN81"/>
      <c r="VPO81"/>
      <c r="VPP81"/>
      <c r="VPQ81"/>
      <c r="VPR81"/>
      <c r="VPS81"/>
      <c r="VPT81"/>
      <c r="VPU81"/>
      <c r="VPV81"/>
      <c r="VPW81"/>
      <c r="VPX81"/>
      <c r="VPY81"/>
      <c r="VPZ81"/>
      <c r="VQA81"/>
      <c r="VQB81"/>
      <c r="VQC81"/>
      <c r="VQD81"/>
      <c r="VQE81"/>
      <c r="VQF81"/>
      <c r="VQG81"/>
      <c r="VQH81"/>
      <c r="VQI81"/>
      <c r="VQJ81"/>
      <c r="VQK81"/>
      <c r="VQL81"/>
      <c r="VQM81"/>
      <c r="VQN81"/>
      <c r="VQO81"/>
      <c r="VQP81"/>
      <c r="VQQ81"/>
      <c r="VQR81"/>
      <c r="VQS81"/>
      <c r="VQT81"/>
      <c r="VQU81"/>
      <c r="VQV81"/>
      <c r="VQW81"/>
      <c r="VQX81"/>
      <c r="VQY81"/>
      <c r="VQZ81"/>
      <c r="VRA81"/>
      <c r="VRB81"/>
      <c r="VRC81"/>
      <c r="VRD81"/>
      <c r="VRE81"/>
      <c r="VRF81"/>
      <c r="VRG81"/>
      <c r="VRH81"/>
      <c r="VRI81"/>
      <c r="VRJ81"/>
      <c r="VRK81"/>
      <c r="VRL81"/>
      <c r="VRM81"/>
      <c r="VRN81"/>
      <c r="VRO81"/>
      <c r="VRP81"/>
      <c r="VRQ81"/>
      <c r="VRR81"/>
      <c r="VRS81"/>
      <c r="VRT81"/>
      <c r="VRU81"/>
      <c r="VRV81"/>
      <c r="VRW81"/>
      <c r="VRX81"/>
      <c r="VRY81"/>
      <c r="VRZ81"/>
      <c r="VSA81"/>
      <c r="VSB81"/>
      <c r="VSC81"/>
      <c r="VSD81"/>
      <c r="VSE81"/>
      <c r="VSF81"/>
      <c r="VSG81"/>
      <c r="VSH81"/>
      <c r="VSI81"/>
      <c r="VSJ81"/>
      <c r="VSK81"/>
      <c r="VSL81"/>
      <c r="VSM81"/>
      <c r="VSN81"/>
      <c r="VSO81"/>
      <c r="VSP81"/>
      <c r="VSQ81"/>
      <c r="VSR81"/>
      <c r="VSS81"/>
      <c r="VST81"/>
      <c r="VSU81"/>
      <c r="VSV81"/>
      <c r="VSW81"/>
      <c r="VSX81"/>
      <c r="VSY81"/>
      <c r="VSZ81"/>
      <c r="VTA81"/>
      <c r="VTB81"/>
      <c r="VTC81"/>
      <c r="VTD81"/>
      <c r="VTE81"/>
      <c r="VTF81"/>
      <c r="VTG81"/>
      <c r="VTH81"/>
      <c r="VTI81"/>
      <c r="VTJ81"/>
      <c r="VTK81"/>
      <c r="VTL81"/>
      <c r="VTM81"/>
      <c r="VTN81"/>
      <c r="VTO81"/>
      <c r="VTP81"/>
      <c r="VTQ81"/>
      <c r="VTR81"/>
      <c r="VTS81"/>
      <c r="VTT81"/>
      <c r="VTU81"/>
      <c r="VTV81"/>
      <c r="VTW81"/>
      <c r="VTX81"/>
      <c r="VTY81"/>
      <c r="VTZ81"/>
      <c r="VUA81"/>
      <c r="VUB81"/>
      <c r="VUC81"/>
      <c r="VUD81"/>
      <c r="VUE81"/>
      <c r="VUF81"/>
      <c r="VUG81"/>
      <c r="VUH81"/>
      <c r="VUI81"/>
      <c r="VUJ81"/>
      <c r="VUK81"/>
      <c r="VUL81"/>
      <c r="VUM81"/>
      <c r="VUN81"/>
      <c r="VUO81"/>
      <c r="VUP81"/>
      <c r="VUQ81"/>
      <c r="VUR81"/>
      <c r="VUS81"/>
      <c r="VUT81"/>
      <c r="VUU81"/>
      <c r="VUV81"/>
      <c r="VUW81"/>
      <c r="VUX81"/>
      <c r="VUY81"/>
      <c r="VUZ81"/>
      <c r="VVA81"/>
      <c r="VVB81"/>
      <c r="VVC81"/>
      <c r="VVD81"/>
      <c r="VVE81"/>
      <c r="VVF81"/>
      <c r="VVG81"/>
      <c r="VVH81"/>
      <c r="VVI81"/>
      <c r="VVJ81"/>
      <c r="VVK81"/>
      <c r="VVL81"/>
      <c r="VVM81"/>
      <c r="VVN81"/>
      <c r="VVO81"/>
      <c r="VVP81"/>
      <c r="VVQ81"/>
      <c r="VVR81"/>
      <c r="VVS81"/>
      <c r="VVT81"/>
      <c r="VVU81"/>
      <c r="VVV81"/>
      <c r="VVW81"/>
      <c r="VVX81"/>
      <c r="VVY81"/>
      <c r="VVZ81"/>
      <c r="VWA81"/>
      <c r="VWB81"/>
      <c r="VWC81"/>
      <c r="VWD81"/>
      <c r="VWE81"/>
      <c r="VWF81"/>
      <c r="VWG81"/>
      <c r="VWH81"/>
      <c r="VWI81"/>
      <c r="VWJ81"/>
      <c r="VWK81"/>
      <c r="VWL81"/>
      <c r="VWM81"/>
      <c r="VWN81"/>
      <c r="VWO81"/>
      <c r="VWP81"/>
      <c r="VWQ81"/>
      <c r="VWR81"/>
      <c r="VWS81"/>
      <c r="VWT81"/>
      <c r="VWU81"/>
      <c r="VWV81"/>
      <c r="VWW81"/>
      <c r="VWX81"/>
      <c r="VWY81"/>
      <c r="VWZ81"/>
      <c r="VXA81"/>
      <c r="VXB81"/>
      <c r="VXC81"/>
      <c r="VXD81"/>
      <c r="VXE81"/>
      <c r="VXF81"/>
      <c r="VXG81"/>
      <c r="VXH81"/>
      <c r="VXI81"/>
      <c r="VXJ81"/>
      <c r="VXK81"/>
      <c r="VXL81"/>
      <c r="VXM81"/>
      <c r="VXN81"/>
      <c r="VXO81"/>
      <c r="VXP81"/>
      <c r="VXQ81"/>
      <c r="VXR81"/>
      <c r="VXS81"/>
      <c r="VXT81"/>
      <c r="VXU81"/>
      <c r="VXV81"/>
      <c r="VXW81"/>
      <c r="VXX81"/>
      <c r="VXY81"/>
      <c r="VXZ81"/>
      <c r="VYA81"/>
      <c r="VYB81"/>
      <c r="VYC81"/>
      <c r="VYD81"/>
      <c r="VYE81"/>
      <c r="VYF81"/>
      <c r="VYG81"/>
      <c r="VYH81"/>
      <c r="VYI81"/>
      <c r="VYJ81"/>
      <c r="VYK81"/>
      <c r="VYL81"/>
      <c r="VYM81"/>
      <c r="VYN81"/>
      <c r="VYO81"/>
      <c r="VYP81"/>
      <c r="VYQ81"/>
      <c r="VYR81"/>
      <c r="VYS81"/>
      <c r="VYT81"/>
      <c r="VYU81"/>
      <c r="VYV81"/>
      <c r="VYW81"/>
      <c r="VYX81"/>
      <c r="VYY81"/>
      <c r="VYZ81"/>
      <c r="VZA81"/>
      <c r="VZB81"/>
      <c r="VZC81"/>
      <c r="VZD81"/>
      <c r="VZE81"/>
      <c r="VZF81"/>
      <c r="VZG81"/>
      <c r="VZH81"/>
      <c r="VZI81"/>
      <c r="VZJ81"/>
      <c r="VZK81"/>
      <c r="VZL81"/>
      <c r="VZM81"/>
      <c r="VZN81"/>
      <c r="VZO81"/>
      <c r="VZP81"/>
      <c r="VZQ81"/>
      <c r="VZR81"/>
      <c r="VZS81"/>
      <c r="VZT81"/>
      <c r="VZU81"/>
      <c r="VZV81"/>
      <c r="VZW81"/>
      <c r="VZX81"/>
      <c r="VZY81"/>
      <c r="VZZ81"/>
      <c r="WAA81"/>
      <c r="WAB81"/>
      <c r="WAC81"/>
      <c r="WAD81"/>
      <c r="WAE81"/>
      <c r="WAF81"/>
      <c r="WAG81"/>
      <c r="WAH81"/>
      <c r="WAI81"/>
      <c r="WAJ81"/>
      <c r="WAK81"/>
      <c r="WAL81"/>
      <c r="WAM81"/>
      <c r="WAN81"/>
      <c r="WAO81"/>
      <c r="WAP81"/>
      <c r="WAQ81"/>
      <c r="WAR81"/>
      <c r="WAS81"/>
      <c r="WAT81"/>
      <c r="WAU81"/>
      <c r="WAV81"/>
      <c r="WAW81"/>
      <c r="WAX81"/>
      <c r="WAY81"/>
      <c r="WAZ81"/>
      <c r="WBA81"/>
      <c r="WBB81"/>
      <c r="WBC81"/>
      <c r="WBD81"/>
      <c r="WBE81"/>
      <c r="WBF81"/>
      <c r="WBG81"/>
      <c r="WBH81"/>
      <c r="WBI81"/>
      <c r="WBJ81"/>
      <c r="WBK81"/>
      <c r="WBL81"/>
      <c r="WBM81"/>
      <c r="WBN81"/>
      <c r="WBO81"/>
      <c r="WBP81"/>
      <c r="WBQ81"/>
      <c r="WBR81"/>
      <c r="WBS81"/>
      <c r="WBT81"/>
      <c r="WBU81"/>
      <c r="WBV81"/>
      <c r="WBW81"/>
      <c r="WBX81"/>
      <c r="WBY81"/>
      <c r="WBZ81"/>
      <c r="WCA81"/>
      <c r="WCB81"/>
      <c r="WCC81"/>
      <c r="WCD81"/>
      <c r="WCE81"/>
      <c r="WCF81"/>
      <c r="WCG81"/>
      <c r="WCH81"/>
      <c r="WCI81"/>
      <c r="WCJ81"/>
      <c r="WCK81"/>
      <c r="WCL81"/>
      <c r="WCM81"/>
      <c r="WCN81"/>
      <c r="WCO81"/>
      <c r="WCP81"/>
      <c r="WCQ81"/>
      <c r="WCR81"/>
      <c r="WCS81"/>
      <c r="WCT81"/>
      <c r="WCU81"/>
      <c r="WCV81"/>
      <c r="WCW81"/>
      <c r="WCX81"/>
      <c r="WCY81"/>
      <c r="WCZ81"/>
      <c r="WDA81"/>
      <c r="WDB81"/>
      <c r="WDC81"/>
      <c r="WDD81"/>
      <c r="WDE81"/>
      <c r="WDF81"/>
      <c r="WDG81"/>
      <c r="WDH81"/>
      <c r="WDI81"/>
      <c r="WDJ81"/>
      <c r="WDK81"/>
      <c r="WDL81"/>
      <c r="WDM81"/>
      <c r="WDN81"/>
      <c r="WDO81"/>
      <c r="WDP81"/>
      <c r="WDQ81"/>
      <c r="WDR81"/>
      <c r="WDS81"/>
      <c r="WDT81"/>
      <c r="WDU81"/>
      <c r="WDV81"/>
      <c r="WDW81"/>
      <c r="WDX81"/>
      <c r="WDY81"/>
      <c r="WDZ81"/>
      <c r="WEA81"/>
      <c r="WEB81"/>
      <c r="WEC81"/>
      <c r="WED81"/>
      <c r="WEE81"/>
      <c r="WEF81"/>
      <c r="WEG81"/>
      <c r="WEH81"/>
      <c r="WEI81"/>
      <c r="WEJ81"/>
      <c r="WEK81"/>
      <c r="WEL81"/>
      <c r="WEM81"/>
      <c r="WEN81"/>
      <c r="WEO81"/>
      <c r="WEP81"/>
      <c r="WEQ81"/>
      <c r="WER81"/>
      <c r="WES81"/>
      <c r="WET81"/>
      <c r="WEU81"/>
      <c r="WEV81"/>
      <c r="WEW81"/>
      <c r="WEX81"/>
      <c r="WEY81"/>
      <c r="WEZ81"/>
      <c r="WFA81"/>
      <c r="WFB81"/>
      <c r="WFC81"/>
      <c r="WFD81"/>
      <c r="WFE81"/>
      <c r="WFF81"/>
      <c r="WFG81"/>
      <c r="WFH81"/>
      <c r="WFI81"/>
      <c r="WFJ81"/>
      <c r="WFK81"/>
      <c r="WFL81"/>
      <c r="WFM81"/>
      <c r="WFN81"/>
      <c r="WFO81"/>
      <c r="WFP81"/>
      <c r="WFQ81"/>
      <c r="WFR81"/>
      <c r="WFS81"/>
      <c r="WFT81"/>
      <c r="WFU81"/>
      <c r="WFV81"/>
      <c r="WFW81"/>
      <c r="WFX81"/>
      <c r="WFY81"/>
      <c r="WFZ81"/>
      <c r="WGA81"/>
      <c r="WGB81"/>
      <c r="WGC81"/>
      <c r="WGD81"/>
      <c r="WGE81"/>
      <c r="WGF81"/>
      <c r="WGG81"/>
      <c r="WGH81"/>
      <c r="WGI81"/>
      <c r="WGJ81"/>
      <c r="WGK81"/>
      <c r="WGL81"/>
      <c r="WGM81"/>
      <c r="WGN81"/>
      <c r="WGO81"/>
      <c r="WGP81"/>
      <c r="WGQ81"/>
      <c r="WGR81"/>
      <c r="WGS81"/>
      <c r="WGT81"/>
      <c r="WGU81"/>
      <c r="WGV81"/>
      <c r="WGW81"/>
      <c r="WGX81"/>
      <c r="WGY81"/>
      <c r="WGZ81"/>
      <c r="WHA81"/>
      <c r="WHB81"/>
      <c r="WHC81"/>
      <c r="WHD81"/>
      <c r="WHE81"/>
      <c r="WHF81"/>
      <c r="WHG81"/>
      <c r="WHH81"/>
      <c r="WHI81"/>
      <c r="WHJ81"/>
      <c r="WHK81"/>
      <c r="WHL81"/>
      <c r="WHM81"/>
      <c r="WHN81"/>
      <c r="WHO81"/>
      <c r="WHP81"/>
      <c r="WHQ81"/>
      <c r="WHR81"/>
      <c r="WHS81"/>
      <c r="WHT81"/>
      <c r="WHU81"/>
      <c r="WHV81"/>
      <c r="WHW81"/>
      <c r="WHX81"/>
      <c r="WHY81"/>
      <c r="WHZ81"/>
      <c r="WIA81"/>
      <c r="WIB81"/>
      <c r="WIC81"/>
      <c r="WID81"/>
      <c r="WIE81"/>
      <c r="WIF81"/>
      <c r="WIG81"/>
      <c r="WIH81"/>
      <c r="WII81"/>
      <c r="WIJ81"/>
      <c r="WIK81"/>
      <c r="WIL81"/>
      <c r="WIM81"/>
      <c r="WIN81"/>
      <c r="WIO81"/>
      <c r="WIP81"/>
      <c r="WIQ81"/>
      <c r="WIR81"/>
      <c r="WIS81"/>
      <c r="WIT81"/>
      <c r="WIU81"/>
      <c r="WIV81"/>
      <c r="WIW81"/>
      <c r="WIX81"/>
      <c r="WIY81"/>
      <c r="WIZ81"/>
      <c r="WJA81"/>
      <c r="WJB81"/>
      <c r="WJC81"/>
      <c r="WJD81"/>
      <c r="WJE81"/>
      <c r="WJF81"/>
      <c r="WJG81"/>
      <c r="WJH81"/>
      <c r="WJI81"/>
      <c r="WJJ81"/>
      <c r="WJK81"/>
      <c r="WJL81"/>
      <c r="WJM81"/>
      <c r="WJN81"/>
      <c r="WJO81"/>
      <c r="WJP81"/>
      <c r="WJQ81"/>
      <c r="WJR81"/>
      <c r="WJS81"/>
      <c r="WJT81"/>
      <c r="WJU81"/>
      <c r="WJV81"/>
      <c r="WJW81"/>
      <c r="WJX81"/>
      <c r="WJY81"/>
      <c r="WJZ81"/>
      <c r="WKA81"/>
      <c r="WKB81"/>
      <c r="WKC81"/>
      <c r="WKD81"/>
      <c r="WKE81"/>
      <c r="WKF81"/>
      <c r="WKG81"/>
      <c r="WKH81"/>
      <c r="WKI81"/>
      <c r="WKJ81"/>
      <c r="WKK81"/>
      <c r="WKL81"/>
      <c r="WKM81"/>
      <c r="WKN81"/>
      <c r="WKO81"/>
      <c r="WKP81"/>
      <c r="WKQ81"/>
      <c r="WKR81"/>
      <c r="WKS81"/>
      <c r="WKT81"/>
      <c r="WKU81"/>
      <c r="WKV81"/>
      <c r="WKW81"/>
      <c r="WKX81"/>
      <c r="WKY81"/>
      <c r="WKZ81"/>
      <c r="WLA81"/>
      <c r="WLB81"/>
      <c r="WLC81"/>
      <c r="WLD81"/>
      <c r="WLE81"/>
      <c r="WLF81"/>
      <c r="WLG81"/>
      <c r="WLH81"/>
      <c r="WLI81"/>
      <c r="WLJ81"/>
      <c r="WLK81"/>
      <c r="WLL81"/>
      <c r="WLM81"/>
      <c r="WLN81"/>
      <c r="WLO81"/>
      <c r="WLP81"/>
      <c r="WLQ81"/>
      <c r="WLR81"/>
      <c r="WLS81"/>
      <c r="WLT81"/>
      <c r="WLU81"/>
      <c r="WLV81"/>
      <c r="WLW81"/>
      <c r="WLX81"/>
      <c r="WLY81"/>
      <c r="WLZ81"/>
      <c r="WMA81"/>
      <c r="WMB81"/>
      <c r="WMC81"/>
      <c r="WMD81"/>
      <c r="WME81"/>
      <c r="WMF81"/>
      <c r="WMG81"/>
      <c r="WMH81"/>
      <c r="WMI81"/>
      <c r="WMJ81"/>
      <c r="WMK81"/>
      <c r="WML81"/>
      <c r="WMM81"/>
      <c r="WMN81"/>
      <c r="WMO81"/>
      <c r="WMP81"/>
      <c r="WMQ81"/>
      <c r="WMR81"/>
      <c r="WMS81"/>
      <c r="WMT81"/>
      <c r="WMU81"/>
      <c r="WMV81"/>
      <c r="WMW81"/>
      <c r="WMX81"/>
      <c r="WMY81"/>
      <c r="WMZ81"/>
      <c r="WNA81"/>
      <c r="WNB81"/>
      <c r="WNC81"/>
      <c r="WND81"/>
      <c r="WNE81"/>
      <c r="WNF81"/>
      <c r="WNG81"/>
      <c r="WNH81"/>
      <c r="WNI81"/>
      <c r="WNJ81"/>
      <c r="WNK81"/>
      <c r="WNL81"/>
      <c r="WNM81"/>
      <c r="WNN81"/>
      <c r="WNO81"/>
      <c r="WNP81"/>
      <c r="WNQ81"/>
      <c r="WNR81"/>
      <c r="WNS81"/>
      <c r="WNT81"/>
      <c r="WNU81"/>
      <c r="WNV81"/>
      <c r="WNW81"/>
      <c r="WNX81"/>
      <c r="WNY81"/>
      <c r="WNZ81"/>
      <c r="WOA81"/>
      <c r="WOB81"/>
      <c r="WOC81"/>
      <c r="WOD81"/>
      <c r="WOE81"/>
      <c r="WOF81"/>
      <c r="WOG81"/>
      <c r="WOH81"/>
      <c r="WOI81"/>
      <c r="WOJ81"/>
      <c r="WOK81"/>
      <c r="WOL81"/>
      <c r="WOM81"/>
      <c r="WON81"/>
      <c r="WOO81"/>
      <c r="WOP81"/>
      <c r="WOQ81"/>
      <c r="WOR81"/>
      <c r="WOS81"/>
      <c r="WOT81"/>
      <c r="WOU81"/>
      <c r="WOV81"/>
      <c r="WOW81"/>
      <c r="WOX81"/>
      <c r="WOY81"/>
      <c r="WOZ81"/>
      <c r="WPA81"/>
      <c r="WPB81"/>
      <c r="WPC81"/>
      <c r="WPD81"/>
      <c r="WPE81"/>
      <c r="WPF81"/>
      <c r="WPG81"/>
      <c r="WPH81"/>
      <c r="WPI81"/>
      <c r="WPJ81"/>
      <c r="WPK81"/>
      <c r="WPL81"/>
      <c r="WPM81"/>
      <c r="WPN81"/>
      <c r="WPO81"/>
      <c r="WPP81"/>
      <c r="WPQ81"/>
      <c r="WPR81"/>
      <c r="WPS81"/>
      <c r="WPT81"/>
      <c r="WPU81"/>
      <c r="WPV81"/>
      <c r="WPW81"/>
      <c r="WPX81"/>
      <c r="WPY81"/>
      <c r="WPZ81"/>
      <c r="WQA81"/>
      <c r="WQB81"/>
      <c r="WQC81"/>
      <c r="WQD81"/>
      <c r="WQE81"/>
      <c r="WQF81"/>
      <c r="WQG81"/>
      <c r="WQH81"/>
      <c r="WQI81"/>
      <c r="WQJ81"/>
      <c r="WQK81"/>
      <c r="WQL81"/>
      <c r="WQM81"/>
      <c r="WQN81"/>
      <c r="WQO81"/>
      <c r="WQP81"/>
      <c r="WQQ81"/>
      <c r="WQR81"/>
      <c r="WQS81"/>
      <c r="WQT81"/>
      <c r="WQU81"/>
      <c r="WQV81"/>
      <c r="WQW81"/>
      <c r="WQX81"/>
      <c r="WQY81"/>
      <c r="WQZ81"/>
      <c r="WRA81"/>
      <c r="WRB81"/>
      <c r="WRC81"/>
      <c r="WRD81"/>
      <c r="WRE81"/>
      <c r="WRF81"/>
      <c r="WRG81"/>
      <c r="WRH81"/>
      <c r="WRI81"/>
      <c r="WRJ81"/>
      <c r="WRK81"/>
      <c r="WRL81"/>
      <c r="WRM81"/>
      <c r="WRN81"/>
      <c r="WRO81"/>
      <c r="WRP81"/>
      <c r="WRQ81"/>
      <c r="WRR81"/>
      <c r="WRS81"/>
      <c r="WRT81"/>
      <c r="WRU81"/>
      <c r="WRV81"/>
      <c r="WRW81"/>
      <c r="WRX81"/>
      <c r="WRY81"/>
      <c r="WRZ81"/>
      <c r="WSA81"/>
      <c r="WSB81"/>
      <c r="WSC81"/>
      <c r="WSD81"/>
      <c r="WSE81"/>
      <c r="WSF81"/>
      <c r="WSG81"/>
      <c r="WSH81"/>
      <c r="WSI81"/>
      <c r="WSJ81"/>
      <c r="WSK81"/>
      <c r="WSL81"/>
      <c r="WSM81"/>
      <c r="WSN81"/>
      <c r="WSO81"/>
      <c r="WSP81"/>
      <c r="WSQ81"/>
      <c r="WSR81"/>
      <c r="WSS81"/>
      <c r="WST81"/>
      <c r="WSU81"/>
      <c r="WSV81"/>
      <c r="WSW81"/>
      <c r="WSX81"/>
      <c r="WSY81"/>
      <c r="WSZ81"/>
      <c r="WTA81"/>
      <c r="WTB81"/>
      <c r="WTC81"/>
      <c r="WTD81"/>
      <c r="WTE81"/>
      <c r="WTF81"/>
      <c r="WTG81"/>
      <c r="WTH81"/>
      <c r="WTI81"/>
      <c r="WTJ81"/>
      <c r="WTK81"/>
      <c r="WTL81"/>
      <c r="WTM81"/>
      <c r="WTN81"/>
      <c r="WTO81"/>
      <c r="WTP81"/>
      <c r="WTQ81"/>
      <c r="WTR81"/>
      <c r="WTS81"/>
      <c r="WTT81"/>
      <c r="WTU81"/>
      <c r="WTV81"/>
      <c r="WTW81"/>
      <c r="WTX81"/>
      <c r="WTY81"/>
      <c r="WTZ81"/>
      <c r="WUA81"/>
      <c r="WUB81"/>
      <c r="WUC81"/>
      <c r="WUD81"/>
      <c r="WUE81"/>
      <c r="WUF81"/>
      <c r="WUG81"/>
      <c r="WUH81"/>
      <c r="WUI81"/>
      <c r="WUJ81"/>
      <c r="WUK81"/>
      <c r="WUL81"/>
      <c r="WUM81"/>
      <c r="WUN81"/>
      <c r="WUO81"/>
      <c r="WUP81"/>
      <c r="WUQ81"/>
      <c r="WUR81"/>
      <c r="WUS81"/>
      <c r="WUT81"/>
      <c r="WUU81"/>
      <c r="WUV81"/>
      <c r="WUW81"/>
      <c r="WUX81"/>
      <c r="WUY81"/>
      <c r="WUZ81"/>
      <c r="WVA81"/>
      <c r="WVB81"/>
      <c r="WVC81"/>
      <c r="WVD81"/>
      <c r="WVE81"/>
      <c r="WVF81"/>
      <c r="WVG81"/>
      <c r="WVH81"/>
      <c r="WVI81"/>
      <c r="WVJ81"/>
      <c r="WVK81"/>
      <c r="WVL81"/>
      <c r="WVM81"/>
      <c r="WVN81"/>
      <c r="WVO81"/>
      <c r="WVP81"/>
      <c r="WVQ81"/>
      <c r="WVR81"/>
      <c r="WVS81"/>
      <c r="WVT81"/>
      <c r="WVU81"/>
      <c r="WVV81"/>
      <c r="WVW81"/>
      <c r="WVX81"/>
      <c r="WVY81"/>
      <c r="WVZ81"/>
      <c r="WWA81"/>
      <c r="WWB81"/>
      <c r="WWC81"/>
      <c r="WWD81"/>
      <c r="WWE81"/>
      <c r="WWF81"/>
      <c r="WWG81"/>
      <c r="WWH81"/>
      <c r="WWI81"/>
      <c r="WWJ81"/>
      <c r="WWK81"/>
      <c r="WWL81"/>
      <c r="WWM81"/>
      <c r="WWN81"/>
      <c r="WWO81"/>
      <c r="WWP81"/>
      <c r="WWQ81"/>
      <c r="WWR81"/>
      <c r="WWS81"/>
      <c r="WWT81"/>
      <c r="WWU81"/>
      <c r="WWV81"/>
      <c r="WWW81"/>
      <c r="WWX81"/>
      <c r="WWY81"/>
      <c r="WWZ81"/>
      <c r="WXA81"/>
      <c r="WXB81"/>
      <c r="WXC81"/>
      <c r="WXD81"/>
      <c r="WXE81"/>
      <c r="WXF81"/>
      <c r="WXG81"/>
      <c r="WXH81"/>
      <c r="WXI81"/>
      <c r="WXJ81"/>
      <c r="WXK81"/>
      <c r="WXL81"/>
      <c r="WXM81"/>
      <c r="WXN81"/>
      <c r="WXO81"/>
      <c r="WXP81"/>
      <c r="WXQ81"/>
      <c r="WXR81"/>
      <c r="WXS81"/>
      <c r="WXT81"/>
      <c r="WXU81"/>
      <c r="WXV81"/>
      <c r="WXW81"/>
      <c r="WXX81"/>
      <c r="WXY81"/>
      <c r="WXZ81"/>
      <c r="WYA81"/>
      <c r="WYB81"/>
      <c r="WYC81"/>
      <c r="WYD81"/>
      <c r="WYE81"/>
      <c r="WYF81"/>
      <c r="WYG81"/>
      <c r="WYH81"/>
      <c r="WYI81"/>
      <c r="WYJ81"/>
      <c r="WYK81"/>
      <c r="WYL81"/>
      <c r="WYM81"/>
      <c r="WYN81"/>
      <c r="WYO81"/>
      <c r="WYP81"/>
      <c r="WYQ81"/>
      <c r="WYR81"/>
      <c r="WYS81"/>
      <c r="WYT81"/>
      <c r="WYU81"/>
      <c r="WYV81"/>
      <c r="WYW81"/>
      <c r="WYX81"/>
      <c r="WYY81"/>
      <c r="WYZ81"/>
      <c r="WZA81"/>
      <c r="WZB81"/>
      <c r="WZC81"/>
      <c r="WZD81"/>
      <c r="WZE81"/>
      <c r="WZF81"/>
      <c r="WZG81"/>
      <c r="WZH81"/>
      <c r="WZI81"/>
      <c r="WZJ81"/>
      <c r="WZK81"/>
      <c r="WZL81"/>
      <c r="WZM81"/>
      <c r="WZN81"/>
      <c r="WZO81"/>
      <c r="WZP81"/>
      <c r="WZQ81"/>
      <c r="WZR81"/>
      <c r="WZS81"/>
      <c r="WZT81"/>
      <c r="WZU81"/>
      <c r="WZV81"/>
      <c r="WZW81"/>
      <c r="WZX81"/>
      <c r="WZY81"/>
      <c r="WZZ81"/>
      <c r="XAA81"/>
      <c r="XAB81"/>
      <c r="XAC81"/>
      <c r="XAD81"/>
      <c r="XAE81"/>
      <c r="XAF81"/>
      <c r="XAG81"/>
      <c r="XAH81"/>
      <c r="XAI81"/>
      <c r="XAJ81"/>
      <c r="XAK81"/>
      <c r="XAL81"/>
      <c r="XAM81"/>
      <c r="XAN81"/>
      <c r="XAO81"/>
      <c r="XAP81"/>
      <c r="XAQ81"/>
      <c r="XAR81"/>
      <c r="XAS81"/>
      <c r="XAT81"/>
      <c r="XAU81"/>
      <c r="XAV81"/>
      <c r="XAW81"/>
      <c r="XAX81"/>
      <c r="XAY81"/>
      <c r="XAZ81"/>
      <c r="XBA81"/>
      <c r="XBB81"/>
      <c r="XBC81"/>
      <c r="XBD81"/>
      <c r="XBE81"/>
      <c r="XBF81"/>
      <c r="XBG81"/>
      <c r="XBH81"/>
      <c r="XBI81"/>
      <c r="XBJ81"/>
      <c r="XBK81"/>
      <c r="XBL81"/>
      <c r="XBM81"/>
      <c r="XBN81"/>
      <c r="XBO81"/>
      <c r="XBP81"/>
      <c r="XBQ81"/>
      <c r="XBR81"/>
      <c r="XBS81"/>
      <c r="XBT81"/>
      <c r="XBU81"/>
      <c r="XBV81"/>
      <c r="XBW81"/>
      <c r="XBX81"/>
      <c r="XBY81"/>
      <c r="XBZ81"/>
      <c r="XCA81"/>
      <c r="XCB81"/>
      <c r="XCC81"/>
      <c r="XCD81"/>
      <c r="XCE81"/>
      <c r="XCF81"/>
      <c r="XCG81"/>
      <c r="XCH81"/>
      <c r="XCI81"/>
      <c r="XCJ81"/>
      <c r="XCK81"/>
      <c r="XCL81"/>
      <c r="XCM81"/>
      <c r="XCN81"/>
      <c r="XCO81"/>
      <c r="XCP81"/>
      <c r="XCQ81"/>
      <c r="XCR81"/>
      <c r="XCS81"/>
      <c r="XCT81"/>
      <c r="XCU81"/>
      <c r="XCV81"/>
      <c r="XCW81"/>
      <c r="XCX81"/>
      <c r="XCY81"/>
      <c r="XCZ81"/>
      <c r="XDA81"/>
      <c r="XDB81"/>
      <c r="XDC81"/>
      <c r="XDD81"/>
      <c r="XDE81"/>
      <c r="XDF81"/>
      <c r="XDG81"/>
      <c r="XDH81"/>
      <c r="XDI81"/>
      <c r="XDJ81"/>
      <c r="XDK81"/>
      <c r="XDL81"/>
      <c r="XDM81"/>
      <c r="XDN81"/>
      <c r="XDO81"/>
      <c r="XDP81"/>
      <c r="XDQ81"/>
      <c r="XDR81"/>
      <c r="XDS81"/>
      <c r="XDT81"/>
      <c r="XDU81"/>
      <c r="XDV81"/>
      <c r="XDW81"/>
      <c r="XDX81"/>
      <c r="XDY81"/>
      <c r="XDZ81"/>
      <c r="XEA81"/>
      <c r="XEB81"/>
      <c r="XEC81"/>
      <c r="XED81"/>
      <c r="XEE81"/>
      <c r="XEF81"/>
      <c r="XEG81"/>
      <c r="XEH81"/>
      <c r="XEI81"/>
      <c r="XEJ81"/>
      <c r="XEK81"/>
      <c r="XEL81"/>
      <c r="XEM81"/>
      <c r="XEN81"/>
      <c r="XEO81"/>
      <c r="XEP81"/>
      <c r="XEQ81"/>
      <c r="XER81"/>
      <c r="XES81"/>
      <c r="XET81"/>
      <c r="XEU81"/>
      <c r="XEV81"/>
      <c r="XEW81"/>
      <c r="XEX81"/>
      <c r="XEY81"/>
      <c r="XEZ81"/>
      <c r="XFA81"/>
      <c r="XFB81"/>
      <c r="XFC81"/>
    </row>
    <row r="82" spans="1:16383" ht="15.75" thickBot="1" x14ac:dyDescent="0.3">
      <c r="H82" s="1" t="s">
        <v>3218</v>
      </c>
      <c r="I82" s="151">
        <f>SUBTOTAL(9,I3:I81)</f>
        <v>351862.56</v>
      </c>
      <c r="K82" s="149"/>
    </row>
    <row r="85" spans="1:16383" x14ac:dyDescent="0.25">
      <c r="G85" s="313"/>
      <c r="I85" s="149"/>
    </row>
    <row r="86" spans="1:16383" x14ac:dyDescent="0.25">
      <c r="I86" s="96">
        <f>-4100-2100-2200-4000-6426.44</f>
        <v>-18826.439999999999</v>
      </c>
    </row>
    <row r="87" spans="1:16383" x14ac:dyDescent="0.25">
      <c r="L87" s="32"/>
    </row>
    <row r="88" spans="1:16383" x14ac:dyDescent="0.25">
      <c r="A88" s="115"/>
      <c r="E88" s="32"/>
      <c r="I88" s="158"/>
      <c r="J88" s="88"/>
      <c r="K88" s="88"/>
    </row>
    <row r="89" spans="1:16383" x14ac:dyDescent="0.25">
      <c r="I89" s="149"/>
    </row>
    <row r="90" spans="1:16383" x14ac:dyDescent="0.25">
      <c r="K90" s="32"/>
    </row>
    <row r="91" spans="1:16383" x14ac:dyDescent="0.25">
      <c r="K91" s="32"/>
    </row>
    <row r="92" spans="1:16383" x14ac:dyDescent="0.25">
      <c r="I92" s="88"/>
      <c r="K92" s="32"/>
    </row>
    <row r="93" spans="1:16383" x14ac:dyDescent="0.25">
      <c r="K93" s="32"/>
    </row>
    <row r="94" spans="1:16383" x14ac:dyDescent="0.25">
      <c r="I94" s="212"/>
      <c r="K94" s="32"/>
    </row>
    <row r="95" spans="1:16383" x14ac:dyDescent="0.25">
      <c r="J95" s="88"/>
      <c r="K95" s="32"/>
    </row>
    <row r="96" spans="1:16383" x14ac:dyDescent="0.25">
      <c r="K96" s="32"/>
    </row>
    <row r="97" spans="8:12" x14ac:dyDescent="0.25">
      <c r="K97" s="32"/>
    </row>
    <row r="98" spans="8:12" x14ac:dyDescent="0.25">
      <c r="H98" s="30"/>
    </row>
    <row r="101" spans="8:12" x14ac:dyDescent="0.25">
      <c r="L101" s="304"/>
    </row>
  </sheetData>
  <autoFilter ref="A2:Q81" xr:uid="{00000000-0009-0000-0000-00000A000000}">
    <filterColumn colId="10">
      <filters blank="1">
        <filter val="CARTA 340-2024 ENVIADA SR. CARLOS LLANOS X CORREO"/>
        <filter val="EN LEGAL X TEMAS INTERNOS ESSALUD"/>
        <filter val="ENVIADO POR MPV CON ORDEND E COMPRA"/>
      </filters>
    </filterColumn>
    <filterColumn colId="13" showButton="0"/>
    <filterColumn colId="14" showButton="0"/>
    <filterColumn colId="15" showButton="0"/>
  </autoFilter>
  <mergeCells count="1">
    <mergeCell ref="N2:Q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3" r:id="rId4" name="Button 1">
              <controlPr defaultSize="0" print="0" autoFill="0" autoPict="0" macro="[0]!RETORNAR">
                <anchor moveWithCells="1" sizeWithCells="1">
                  <from>
                    <xdr:col>0</xdr:col>
                    <xdr:colOff>28575</xdr:colOff>
                    <xdr:row>0</xdr:row>
                    <xdr:rowOff>0</xdr:rowOff>
                  </from>
                  <to>
                    <xdr:col>2</xdr:col>
                    <xdr:colOff>276225</xdr:colOff>
                    <xdr:row>1</xdr:row>
                    <xdr:rowOff>0</xdr:rowOff>
                  </to>
                </anchor>
              </controlPr>
            </control>
          </mc:Choice>
        </mc:AlternateContent>
        <mc:AlternateContent xmlns:mc="http://schemas.openxmlformats.org/markup-compatibility/2006">
          <mc:Choice Requires="x14">
            <control shapeId="8214" r:id="rId5" name="Botón 22">
              <controlPr defaultSize="0" print="0" autoFill="0" autoPict="0" macro="[0]!IR_VENTAS_B200_2026">
                <anchor moveWithCells="1" sizeWithCells="1">
                  <from>
                    <xdr:col>1</xdr:col>
                    <xdr:colOff>666750</xdr:colOff>
                    <xdr:row>88</xdr:row>
                    <xdr:rowOff>38100</xdr:rowOff>
                  </from>
                  <to>
                    <xdr:col>3</xdr:col>
                    <xdr:colOff>285750</xdr:colOff>
                    <xdr:row>91</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7" filterMode="1"/>
  <dimension ref="A1:W11"/>
  <sheetViews>
    <sheetView workbookViewId="0">
      <selection activeCell="C9" sqref="C9"/>
    </sheetView>
  </sheetViews>
  <sheetFormatPr baseColWidth="10" defaultColWidth="10.85546875" defaultRowHeight="15" x14ac:dyDescent="0.25"/>
  <cols>
    <col min="2" max="2" width="12.140625" customWidth="1"/>
    <col min="7" max="7" width="33.85546875" customWidth="1"/>
    <col min="9" max="9" width="12" bestFit="1" customWidth="1"/>
  </cols>
  <sheetData>
    <row r="1" spans="1:23" ht="23.45" customHeight="1" x14ac:dyDescent="0.25"/>
    <row r="2" spans="1:23" ht="15.75" thickBot="1" x14ac:dyDescent="0.3">
      <c r="B2" s="1" t="s">
        <v>0</v>
      </c>
      <c r="C2" s="1" t="s">
        <v>1</v>
      </c>
      <c r="D2" s="1" t="s">
        <v>2</v>
      </c>
      <c r="E2" s="1"/>
      <c r="F2" s="1" t="s">
        <v>3</v>
      </c>
      <c r="G2" s="1" t="s">
        <v>4</v>
      </c>
      <c r="H2" s="1" t="s">
        <v>5</v>
      </c>
      <c r="I2" s="1" t="s">
        <v>6</v>
      </c>
      <c r="J2" s="1" t="s">
        <v>1780</v>
      </c>
      <c r="K2" s="1" t="s">
        <v>8</v>
      </c>
      <c r="L2" s="1" t="s">
        <v>3998</v>
      </c>
      <c r="M2" s="1" t="s">
        <v>10</v>
      </c>
      <c r="N2" s="1480" t="s">
        <v>11</v>
      </c>
      <c r="O2" s="1480"/>
      <c r="P2" s="1480"/>
      <c r="Q2" s="1480"/>
    </row>
    <row r="3" spans="1:23" ht="15.75" thickBot="1" x14ac:dyDescent="0.3">
      <c r="B3" s="1499">
        <v>2022</v>
      </c>
      <c r="C3" s="1501"/>
      <c r="D3" s="1501"/>
      <c r="E3" s="1501"/>
      <c r="F3" s="1501"/>
      <c r="G3" s="1501"/>
      <c r="H3" s="1501"/>
      <c r="I3" s="1501"/>
      <c r="J3" s="1502"/>
    </row>
    <row r="4" spans="1:23" hidden="1" x14ac:dyDescent="0.25">
      <c r="B4" s="10" t="s">
        <v>629</v>
      </c>
      <c r="C4" t="s">
        <v>67</v>
      </c>
      <c r="D4" s="122">
        <v>44629</v>
      </c>
      <c r="E4" s="7">
        <v>1.8</v>
      </c>
      <c r="F4" t="s">
        <v>640</v>
      </c>
      <c r="G4" t="s">
        <v>641</v>
      </c>
      <c r="H4" t="s">
        <v>639</v>
      </c>
      <c r="I4" s="3">
        <v>25110</v>
      </c>
      <c r="J4" s="32">
        <f>+I4*0.88</f>
        <v>22096.799999999999</v>
      </c>
      <c r="K4" s="5" t="s">
        <v>17</v>
      </c>
      <c r="L4" s="122">
        <v>44657</v>
      </c>
      <c r="M4" t="s">
        <v>388</v>
      </c>
    </row>
    <row r="5" spans="1:23" s="28" customFormat="1" x14ac:dyDescent="0.25">
      <c r="B5" s="25" t="s">
        <v>0</v>
      </c>
      <c r="C5" s="25" t="s">
        <v>1</v>
      </c>
      <c r="D5" s="25" t="s">
        <v>2</v>
      </c>
      <c r="E5" s="25"/>
      <c r="F5" s="25" t="s">
        <v>3</v>
      </c>
      <c r="G5" s="25" t="s">
        <v>4</v>
      </c>
      <c r="H5" s="25" t="s">
        <v>5</v>
      </c>
      <c r="I5" s="25" t="s">
        <v>6</v>
      </c>
      <c r="J5" s="25" t="s">
        <v>1780</v>
      </c>
      <c r="K5" s="25" t="s">
        <v>8</v>
      </c>
      <c r="L5" s="25" t="s">
        <v>3998</v>
      </c>
      <c r="M5" s="25" t="s">
        <v>10</v>
      </c>
      <c r="N5" s="1480" t="s">
        <v>11</v>
      </c>
      <c r="O5" s="1480"/>
      <c r="P5" s="1480"/>
      <c r="Q5" s="1480"/>
    </row>
    <row r="6" spans="1:23" hidden="1" x14ac:dyDescent="0.25">
      <c r="A6" s="10">
        <v>26032025</v>
      </c>
      <c r="B6" t="s">
        <v>629</v>
      </c>
      <c r="C6" s="122" t="s">
        <v>410</v>
      </c>
      <c r="D6" s="122">
        <v>45742</v>
      </c>
      <c r="F6" t="s">
        <v>3413</v>
      </c>
      <c r="G6" t="s">
        <v>5888</v>
      </c>
      <c r="H6" t="s">
        <v>5889</v>
      </c>
      <c r="I6" s="3">
        <v>24750</v>
      </c>
      <c r="J6" s="32">
        <f>+I6*0.88</f>
        <v>21780</v>
      </c>
      <c r="K6" s="5" t="s">
        <v>17</v>
      </c>
      <c r="L6" s="122">
        <v>45950</v>
      </c>
      <c r="U6" t="s">
        <v>4983</v>
      </c>
      <c r="V6">
        <v>7.59</v>
      </c>
      <c r="W6">
        <v>0.7680555555555556</v>
      </c>
    </row>
    <row r="7" spans="1:23" x14ac:dyDescent="0.25">
      <c r="B7" s="10"/>
      <c r="D7" s="2"/>
      <c r="E7" s="7"/>
      <c r="I7" s="3"/>
      <c r="L7" s="6"/>
    </row>
    <row r="8" spans="1:23" x14ac:dyDescent="0.25">
      <c r="H8" s="732" t="s">
        <v>4480</v>
      </c>
      <c r="I8" s="27">
        <f>SUBTOTAL(9,I4:I7)</f>
        <v>0</v>
      </c>
    </row>
    <row r="11" spans="1:23" x14ac:dyDescent="0.25">
      <c r="I11" s="3"/>
    </row>
  </sheetData>
  <autoFilter ref="B2:Q7" xr:uid="{00000000-0009-0000-0000-00000B000000}">
    <filterColumn colId="9">
      <filters blank="1">
        <filter val="STATUS"/>
      </filters>
    </filterColumn>
    <filterColumn colId="12" showButton="0"/>
    <filterColumn colId="13" showButton="0"/>
    <filterColumn colId="14" showButton="0"/>
  </autoFilter>
  <mergeCells count="3">
    <mergeCell ref="N2:Q2"/>
    <mergeCell ref="B3:J3"/>
    <mergeCell ref="N5:Q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1394" r:id="rId4" name="Button 1">
              <controlPr defaultSize="0" print="0" autoFill="0" autoPict="0" macro="[0]!RETORNAR">
                <anchor moveWithCells="1" sizeWithCells="1">
                  <from>
                    <xdr:col>1</xdr:col>
                    <xdr:colOff>28575</xdr:colOff>
                    <xdr:row>0</xdr:row>
                    <xdr:rowOff>0</xdr:rowOff>
                  </from>
                  <to>
                    <xdr:col>3</xdr:col>
                    <xdr:colOff>228600</xdr:colOff>
                    <xdr:row>0</xdr:row>
                    <xdr:rowOff>257175</xdr:rowOff>
                  </to>
                </anchor>
              </controlPr>
            </control>
          </mc:Choice>
        </mc:AlternateContent>
        <mc:AlternateContent xmlns:mc="http://schemas.openxmlformats.org/markup-compatibility/2006">
          <mc:Choice Requires="x14">
            <control shapeId="571400" r:id="rId5" name="Botón 8">
              <controlPr defaultSize="0" print="0" autoFill="0" autoPict="0" macro="[0]!IR_VENTAS_B200_2026">
                <anchor moveWithCells="1" sizeWithCells="1">
                  <from>
                    <xdr:col>1</xdr:col>
                    <xdr:colOff>666750</xdr:colOff>
                    <xdr:row>14</xdr:row>
                    <xdr:rowOff>0</xdr:rowOff>
                  </from>
                  <to>
                    <xdr:col>3</xdr:col>
                    <xdr:colOff>352425</xdr:colOff>
                    <xdr:row>17</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8" filterMode="1"/>
  <dimension ref="A1:V95"/>
  <sheetViews>
    <sheetView workbookViewId="0">
      <selection activeCell="K88" sqref="K88"/>
    </sheetView>
  </sheetViews>
  <sheetFormatPr baseColWidth="10" defaultColWidth="10.85546875" defaultRowHeight="15" x14ac:dyDescent="0.25"/>
  <cols>
    <col min="6" max="6" width="10.85546875" style="28"/>
    <col min="7" max="7" width="48.140625" customWidth="1"/>
    <col min="9" max="9" width="26" customWidth="1"/>
    <col min="10" max="10" width="14.28515625" customWidth="1"/>
    <col min="13" max="15" width="11" bestFit="1" customWidth="1"/>
  </cols>
  <sheetData>
    <row r="1" spans="1:22" ht="24.6" customHeight="1" x14ac:dyDescent="0.25"/>
    <row r="2" spans="1:22" x14ac:dyDescent="0.25">
      <c r="A2" t="s">
        <v>706</v>
      </c>
      <c r="B2" s="1" t="s">
        <v>0</v>
      </c>
      <c r="C2" s="1" t="s">
        <v>1</v>
      </c>
      <c r="D2" s="1" t="s">
        <v>2</v>
      </c>
      <c r="E2" s="1"/>
      <c r="F2" s="25" t="s">
        <v>3</v>
      </c>
      <c r="G2" s="1" t="s">
        <v>4</v>
      </c>
      <c r="H2" s="1" t="s">
        <v>5</v>
      </c>
      <c r="I2" s="1" t="s">
        <v>6</v>
      </c>
      <c r="J2" s="1" t="s">
        <v>1780</v>
      </c>
      <c r="K2" s="1" t="s">
        <v>8</v>
      </c>
      <c r="L2" s="1" t="s">
        <v>3998</v>
      </c>
      <c r="M2" s="1" t="s">
        <v>10</v>
      </c>
      <c r="N2" s="1480" t="s">
        <v>11</v>
      </c>
      <c r="O2" s="1480"/>
      <c r="P2" s="1480"/>
      <c r="Q2" s="1480"/>
    </row>
    <row r="3" spans="1:22" s="21" customFormat="1" hidden="1" x14ac:dyDescent="0.25">
      <c r="A3" s="154">
        <v>29052022</v>
      </c>
      <c r="B3" s="21" t="s">
        <v>875</v>
      </c>
      <c r="C3" s="21" t="s">
        <v>693</v>
      </c>
      <c r="D3" s="123">
        <v>44710</v>
      </c>
      <c r="E3" s="155"/>
      <c r="F3" s="28" t="s">
        <v>2036</v>
      </c>
      <c r="G3" s="21" t="s">
        <v>910</v>
      </c>
      <c r="H3" s="21" t="s">
        <v>911</v>
      </c>
      <c r="I3" s="155">
        <v>27800</v>
      </c>
      <c r="J3" s="3">
        <f>+I3*0.88</f>
        <v>24464</v>
      </c>
      <c r="K3" s="155" t="s">
        <v>17</v>
      </c>
      <c r="L3" s="233">
        <v>44768</v>
      </c>
      <c r="O3" t="s">
        <v>655</v>
      </c>
      <c r="P3" s="157">
        <v>0.83472222222222225</v>
      </c>
      <c r="Q3" s="157">
        <v>0.8833333333333333</v>
      </c>
    </row>
    <row r="4" spans="1:22" hidden="1" x14ac:dyDescent="0.25">
      <c r="A4" s="483">
        <v>17052024</v>
      </c>
      <c r="B4" t="s">
        <v>875</v>
      </c>
      <c r="C4" s="28" t="s">
        <v>410</v>
      </c>
      <c r="D4" s="233">
        <v>45429</v>
      </c>
      <c r="F4" s="28" t="s">
        <v>2036</v>
      </c>
      <c r="G4" s="30" t="s">
        <v>4216</v>
      </c>
      <c r="H4" s="30" t="s">
        <v>4604</v>
      </c>
      <c r="I4" s="236">
        <v>26904</v>
      </c>
      <c r="J4" s="3">
        <f>+I4*0.88</f>
        <v>23675.52</v>
      </c>
      <c r="K4" t="s">
        <v>17</v>
      </c>
      <c r="L4" s="233">
        <v>45468</v>
      </c>
      <c r="T4" s="14" t="s">
        <v>4186</v>
      </c>
      <c r="U4" s="360">
        <v>0.60277777777777775</v>
      </c>
      <c r="V4" s="360"/>
    </row>
    <row r="5" spans="1:22" hidden="1" x14ac:dyDescent="0.25">
      <c r="A5" s="483" t="s">
        <v>6373</v>
      </c>
      <c r="B5" t="s">
        <v>875</v>
      </c>
      <c r="C5" s="28" t="s">
        <v>278</v>
      </c>
      <c r="D5" s="233">
        <v>45820</v>
      </c>
      <c r="E5" s="28"/>
      <c r="F5" s="28" t="s">
        <v>2036</v>
      </c>
      <c r="G5" t="s">
        <v>6395</v>
      </c>
      <c r="H5" s="28" t="s">
        <v>6483</v>
      </c>
      <c r="I5" s="798">
        <v>26904</v>
      </c>
      <c r="J5" s="3">
        <f t="shared" ref="J5:J8" si="0">+I5*0.88</f>
        <v>23675.52</v>
      </c>
      <c r="K5" t="s">
        <v>17</v>
      </c>
      <c r="L5" s="233">
        <v>45940</v>
      </c>
      <c r="T5" t="s">
        <v>6150</v>
      </c>
      <c r="U5" s="360">
        <v>0.31180555555555556</v>
      </c>
      <c r="V5" s="360">
        <v>0.4513888888888889</v>
      </c>
    </row>
    <row r="6" spans="1:22" hidden="1" x14ac:dyDescent="0.25">
      <c r="A6" s="483" t="s">
        <v>6373</v>
      </c>
      <c r="B6" t="s">
        <v>875</v>
      </c>
      <c r="C6" s="28" t="s">
        <v>4437</v>
      </c>
      <c r="D6" s="233">
        <v>45820</v>
      </c>
      <c r="E6" s="28"/>
      <c r="F6" s="28" t="s">
        <v>2036</v>
      </c>
      <c r="G6" t="s">
        <v>6482</v>
      </c>
      <c r="H6" s="28" t="s">
        <v>6484</v>
      </c>
      <c r="I6" s="798">
        <v>26904</v>
      </c>
      <c r="J6" s="3">
        <f t="shared" si="0"/>
        <v>23675.52</v>
      </c>
      <c r="K6" t="s">
        <v>17</v>
      </c>
      <c r="L6" s="233">
        <v>45940</v>
      </c>
      <c r="T6" t="s">
        <v>6214</v>
      </c>
      <c r="U6" s="360">
        <v>0.31875000000000003</v>
      </c>
      <c r="V6" s="360">
        <v>0.4777777777777778</v>
      </c>
    </row>
    <row r="7" spans="1:22" hidden="1" x14ac:dyDescent="0.25">
      <c r="A7" s="483" t="s">
        <v>6447</v>
      </c>
      <c r="B7" t="s">
        <v>875</v>
      </c>
      <c r="C7" s="28" t="s">
        <v>4437</v>
      </c>
      <c r="D7" s="233">
        <v>45825</v>
      </c>
      <c r="E7" s="28"/>
      <c r="F7" s="28" t="s">
        <v>2036</v>
      </c>
      <c r="G7" t="s">
        <v>6486</v>
      </c>
      <c r="H7" s="28" t="s">
        <v>6485</v>
      </c>
      <c r="I7" s="798">
        <v>26904</v>
      </c>
      <c r="J7" s="3">
        <f t="shared" si="0"/>
        <v>23675.52</v>
      </c>
      <c r="K7" t="s">
        <v>17</v>
      </c>
      <c r="L7" s="233">
        <v>45940</v>
      </c>
      <c r="T7" t="s">
        <v>5131</v>
      </c>
      <c r="U7" s="360">
        <v>0.39027777777777778</v>
      </c>
      <c r="V7" s="360">
        <v>0.52916666666666667</v>
      </c>
    </row>
    <row r="8" spans="1:22" hidden="1" x14ac:dyDescent="0.25">
      <c r="A8" s="483">
        <v>23062025</v>
      </c>
      <c r="B8" t="s">
        <v>875</v>
      </c>
      <c r="C8" s="28" t="s">
        <v>4437</v>
      </c>
      <c r="D8" s="233">
        <v>45831</v>
      </c>
      <c r="E8" s="28"/>
      <c r="F8" s="28" t="s">
        <v>2036</v>
      </c>
      <c r="G8" t="s">
        <v>6487</v>
      </c>
      <c r="H8" s="28" t="s">
        <v>6518</v>
      </c>
      <c r="I8" s="798">
        <v>26904</v>
      </c>
      <c r="J8" s="3">
        <f t="shared" si="0"/>
        <v>23675.52</v>
      </c>
      <c r="K8" t="s">
        <v>17</v>
      </c>
      <c r="L8" s="233">
        <v>45940</v>
      </c>
      <c r="T8" t="s">
        <v>4983</v>
      </c>
      <c r="U8" s="360">
        <v>0.41666666666666669</v>
      </c>
      <c r="V8" s="30"/>
    </row>
    <row r="9" spans="1:22" hidden="1" x14ac:dyDescent="0.25">
      <c r="A9" s="483">
        <v>23082025</v>
      </c>
      <c r="B9" t="s">
        <v>875</v>
      </c>
      <c r="C9" s="28" t="s">
        <v>410</v>
      </c>
      <c r="D9" s="233">
        <v>45892</v>
      </c>
      <c r="E9" s="28"/>
      <c r="F9" s="28" t="s">
        <v>2036</v>
      </c>
      <c r="G9" s="1067" t="s">
        <v>6845</v>
      </c>
      <c r="H9" s="28" t="s">
        <v>7277</v>
      </c>
      <c r="I9" s="798">
        <v>26904</v>
      </c>
      <c r="J9" s="3">
        <f>I9-ROUND(I9*0.12,0)</f>
        <v>23676</v>
      </c>
      <c r="K9" t="s">
        <v>17</v>
      </c>
      <c r="L9" s="233">
        <v>45989</v>
      </c>
      <c r="M9" s="88"/>
      <c r="T9" t="s">
        <v>6294</v>
      </c>
      <c r="U9" s="360">
        <v>0.54583333333333328</v>
      </c>
      <c r="V9" s="360">
        <v>0.68611111111111101</v>
      </c>
    </row>
    <row r="10" spans="1:22" hidden="1" x14ac:dyDescent="0.25">
      <c r="A10" s="483" t="s">
        <v>7077</v>
      </c>
      <c r="B10" t="s">
        <v>875</v>
      </c>
      <c r="C10" s="28" t="s">
        <v>13</v>
      </c>
      <c r="D10" s="233">
        <v>45938</v>
      </c>
      <c r="E10" s="28"/>
      <c r="F10" s="28" t="s">
        <v>2036</v>
      </c>
      <c r="G10" s="1067" t="s">
        <v>7100</v>
      </c>
      <c r="H10" s="28" t="s">
        <v>7278</v>
      </c>
      <c r="I10" s="313">
        <v>26904</v>
      </c>
      <c r="J10" s="3">
        <f>I10-ROUND(I10*0.12,0)</f>
        <v>23676</v>
      </c>
      <c r="K10" t="s">
        <v>17</v>
      </c>
      <c r="L10" s="233">
        <v>45989</v>
      </c>
      <c r="M10" s="88"/>
      <c r="T10" t="s">
        <v>7078</v>
      </c>
      <c r="U10" s="360">
        <v>0.38750000000000001</v>
      </c>
      <c r="V10" s="360">
        <v>0.52777777777777779</v>
      </c>
    </row>
    <row r="11" spans="1:22" hidden="1" x14ac:dyDescent="0.25">
      <c r="A11" s="483">
        <v>10102025</v>
      </c>
      <c r="B11" t="s">
        <v>875</v>
      </c>
      <c r="C11" s="28" t="s">
        <v>13</v>
      </c>
      <c r="D11" s="233">
        <v>45940</v>
      </c>
      <c r="E11" s="28"/>
      <c r="F11" s="28" t="s">
        <v>2036</v>
      </c>
      <c r="G11" s="1067" t="s">
        <v>7101</v>
      </c>
      <c r="H11" s="28" t="s">
        <v>7346</v>
      </c>
      <c r="I11" s="313">
        <v>26904</v>
      </c>
      <c r="J11" s="3">
        <f t="shared" ref="J11:J19" si="1">+I11-ROUND(I11*0.12,0)</f>
        <v>23676</v>
      </c>
      <c r="K11" t="s">
        <v>17</v>
      </c>
      <c r="L11" s="233">
        <v>46017</v>
      </c>
      <c r="M11" s="88"/>
      <c r="T11" t="s">
        <v>7078</v>
      </c>
      <c r="U11" s="360">
        <v>0.38263888888888892</v>
      </c>
      <c r="V11" s="360">
        <v>0.52013888888888882</v>
      </c>
    </row>
    <row r="12" spans="1:22" hidden="1" x14ac:dyDescent="0.25">
      <c r="A12" s="483">
        <v>11102025</v>
      </c>
      <c r="B12" t="s">
        <v>875</v>
      </c>
      <c r="C12" s="28" t="s">
        <v>4218</v>
      </c>
      <c r="D12" s="233">
        <v>45941</v>
      </c>
      <c r="E12" s="28"/>
      <c r="F12" s="28" t="s">
        <v>2036</v>
      </c>
      <c r="G12" s="1067" t="s">
        <v>7102</v>
      </c>
      <c r="H12" s="28" t="s">
        <v>7347</v>
      </c>
      <c r="I12" s="313">
        <v>26904</v>
      </c>
      <c r="J12" s="3">
        <f t="shared" si="1"/>
        <v>23676</v>
      </c>
      <c r="K12" t="s">
        <v>17</v>
      </c>
      <c r="L12" s="233">
        <v>46017</v>
      </c>
      <c r="M12" s="88"/>
      <c r="T12" t="s">
        <v>4396</v>
      </c>
      <c r="U12" s="360">
        <v>0.54791666666666672</v>
      </c>
      <c r="V12" s="360">
        <v>0.69930555555555562</v>
      </c>
    </row>
    <row r="13" spans="1:22" hidden="1" x14ac:dyDescent="0.25">
      <c r="A13" s="483">
        <v>16102025</v>
      </c>
      <c r="B13" t="s">
        <v>875</v>
      </c>
      <c r="C13" s="28" t="s">
        <v>13</v>
      </c>
      <c r="D13" s="233">
        <v>45946</v>
      </c>
      <c r="E13" s="28"/>
      <c r="F13" s="28" t="s">
        <v>2036</v>
      </c>
      <c r="G13" s="1067" t="s">
        <v>7212</v>
      </c>
      <c r="H13" s="28" t="s">
        <v>7348</v>
      </c>
      <c r="I13" s="313">
        <v>26904</v>
      </c>
      <c r="J13" s="3">
        <f t="shared" si="1"/>
        <v>23676</v>
      </c>
      <c r="K13" t="s">
        <v>17</v>
      </c>
      <c r="L13" s="233">
        <v>46017</v>
      </c>
      <c r="M13" s="88"/>
      <c r="T13" t="s">
        <v>6898</v>
      </c>
      <c r="U13" s="360">
        <v>0.36736111111111108</v>
      </c>
      <c r="V13" s="360"/>
    </row>
    <row r="14" spans="1:22" hidden="1" x14ac:dyDescent="0.25">
      <c r="A14" s="483">
        <v>18102025</v>
      </c>
      <c r="B14" t="s">
        <v>875</v>
      </c>
      <c r="C14" s="28" t="s">
        <v>13</v>
      </c>
      <c r="D14" s="233">
        <v>45948</v>
      </c>
      <c r="E14" s="28"/>
      <c r="F14" s="28" t="s">
        <v>2036</v>
      </c>
      <c r="G14" s="1067" t="s">
        <v>7211</v>
      </c>
      <c r="H14" s="28" t="s">
        <v>7418</v>
      </c>
      <c r="I14" s="313">
        <v>26904</v>
      </c>
      <c r="J14" s="3">
        <f t="shared" si="1"/>
        <v>23676</v>
      </c>
      <c r="K14" t="s">
        <v>17</v>
      </c>
      <c r="L14" s="233">
        <v>46046</v>
      </c>
      <c r="M14" s="88"/>
      <c r="T14" t="s">
        <v>7122</v>
      </c>
      <c r="U14" s="360">
        <v>0.37777777777777777</v>
      </c>
      <c r="V14" s="360">
        <v>0.50624999999999998</v>
      </c>
    </row>
    <row r="15" spans="1:22" ht="14.1" hidden="1" customHeight="1" x14ac:dyDescent="0.25">
      <c r="A15" s="483">
        <v>26122025</v>
      </c>
      <c r="B15" t="s">
        <v>875</v>
      </c>
      <c r="C15" s="28" t="s">
        <v>4218</v>
      </c>
      <c r="D15" s="233">
        <v>46017</v>
      </c>
      <c r="E15" s="28"/>
      <c r="F15" s="28" t="s">
        <v>2036</v>
      </c>
      <c r="G15" s="1067" t="s">
        <v>7448</v>
      </c>
      <c r="H15" s="28" t="s">
        <v>7449</v>
      </c>
      <c r="I15" s="240">
        <v>26904</v>
      </c>
      <c r="J15" s="3">
        <f t="shared" si="1"/>
        <v>23676</v>
      </c>
      <c r="K15" t="s">
        <v>17</v>
      </c>
      <c r="L15" s="233">
        <v>46098</v>
      </c>
      <c r="M15" s="88"/>
      <c r="T15" t="s">
        <v>4983</v>
      </c>
      <c r="U15" s="360">
        <v>0.53611111111111109</v>
      </c>
      <c r="V15" s="360">
        <v>0.68958333333333333</v>
      </c>
    </row>
    <row r="16" spans="1:22" hidden="1" x14ac:dyDescent="0.25">
      <c r="A16" s="483">
        <v>30122025</v>
      </c>
      <c r="B16" t="s">
        <v>875</v>
      </c>
      <c r="C16" s="28" t="s">
        <v>4218</v>
      </c>
      <c r="D16" s="233">
        <v>46021</v>
      </c>
      <c r="E16" s="28"/>
      <c r="F16" s="28" t="s">
        <v>2036</v>
      </c>
      <c r="G16" s="1067" t="s">
        <v>7544</v>
      </c>
      <c r="H16" s="28" t="s">
        <v>7666</v>
      </c>
      <c r="I16" s="240">
        <v>26904</v>
      </c>
      <c r="J16" s="3">
        <f t="shared" si="1"/>
        <v>23676</v>
      </c>
      <c r="K16" t="s">
        <v>17</v>
      </c>
      <c r="L16" s="233">
        <v>46108</v>
      </c>
      <c r="M16" s="88"/>
      <c r="T16" s="5" t="s">
        <v>4867</v>
      </c>
      <c r="U16" s="360">
        <v>0.36388888888888887</v>
      </c>
      <c r="V16" s="360"/>
    </row>
    <row r="17" spans="1:22" hidden="1" x14ac:dyDescent="0.25">
      <c r="A17" s="483" t="s">
        <v>7460</v>
      </c>
      <c r="B17" t="s">
        <v>875</v>
      </c>
      <c r="C17" s="233" t="s">
        <v>809</v>
      </c>
      <c r="D17" s="233">
        <v>46028</v>
      </c>
      <c r="E17" s="28"/>
      <c r="F17" s="28" t="s">
        <v>2036</v>
      </c>
      <c r="G17" t="s">
        <v>7481</v>
      </c>
      <c r="H17" s="28" t="s">
        <v>7665</v>
      </c>
      <c r="I17" s="240">
        <v>26904</v>
      </c>
      <c r="J17" s="3">
        <f t="shared" si="1"/>
        <v>23676</v>
      </c>
      <c r="K17" s="478" t="s">
        <v>17</v>
      </c>
      <c r="L17" s="233">
        <v>46134</v>
      </c>
      <c r="T17" t="s">
        <v>7461</v>
      </c>
      <c r="U17" s="360">
        <v>0.50069444444444444</v>
      </c>
      <c r="V17" s="30"/>
    </row>
    <row r="18" spans="1:22" hidden="1" x14ac:dyDescent="0.25">
      <c r="A18" s="483">
        <v>25022026</v>
      </c>
      <c r="B18" t="s">
        <v>875</v>
      </c>
      <c r="C18" s="28" t="s">
        <v>4218</v>
      </c>
      <c r="D18" s="233">
        <v>46078</v>
      </c>
      <c r="E18" s="28"/>
      <c r="F18" s="28" t="s">
        <v>2036</v>
      </c>
      <c r="G18" s="1067" t="s">
        <v>7788</v>
      </c>
      <c r="H18" s="28" t="s">
        <v>7939</v>
      </c>
      <c r="I18" s="798">
        <v>26904</v>
      </c>
      <c r="J18" s="3">
        <f t="shared" si="1"/>
        <v>23676</v>
      </c>
      <c r="K18" t="s">
        <v>17</v>
      </c>
      <c r="L18" s="233">
        <v>46189</v>
      </c>
      <c r="M18" s="88"/>
      <c r="T18" t="s">
        <v>7060</v>
      </c>
      <c r="U18" s="360">
        <v>0.39861111111111108</v>
      </c>
      <c r="V18" s="360"/>
    </row>
    <row r="19" spans="1:22" hidden="1" x14ac:dyDescent="0.25">
      <c r="A19" s="483">
        <v>27022026</v>
      </c>
      <c r="B19" t="s">
        <v>875</v>
      </c>
      <c r="C19" s="28" t="s">
        <v>4218</v>
      </c>
      <c r="D19" s="233">
        <v>46080</v>
      </c>
      <c r="E19" s="28"/>
      <c r="F19" s="28" t="s">
        <v>2036</v>
      </c>
      <c r="G19" s="1067" t="s">
        <v>7787</v>
      </c>
      <c r="H19" s="28" t="s">
        <v>8076</v>
      </c>
      <c r="I19" s="798">
        <v>26904</v>
      </c>
      <c r="J19" s="3">
        <f t="shared" si="1"/>
        <v>23676</v>
      </c>
      <c r="K19" t="s">
        <v>17</v>
      </c>
      <c r="L19" s="233">
        <v>46213</v>
      </c>
      <c r="M19" s="88"/>
      <c r="T19" t="s">
        <v>4983</v>
      </c>
      <c r="U19" s="360">
        <v>0.61597222222222225</v>
      </c>
      <c r="V19" s="360"/>
    </row>
    <row r="20" spans="1:22" x14ac:dyDescent="0.25">
      <c r="G20" s="1067"/>
      <c r="H20" s="28"/>
      <c r="I20" s="313"/>
    </row>
    <row r="21" spans="1:22" s="21" customFormat="1" x14ac:dyDescent="0.25">
      <c r="A21" s="154"/>
      <c r="D21" s="123"/>
      <c r="E21" s="155"/>
      <c r="F21" s="177"/>
      <c r="I21" s="155"/>
      <c r="J21" s="3"/>
      <c r="K21" s="155"/>
      <c r="L21" s="18"/>
      <c r="O21"/>
      <c r="P21" s="157"/>
      <c r="Q21" s="157"/>
    </row>
    <row r="22" spans="1:22" x14ac:dyDescent="0.25">
      <c r="B22" s="10"/>
      <c r="J22" s="3"/>
    </row>
    <row r="23" spans="1:22" x14ac:dyDescent="0.25">
      <c r="H23" s="5" t="s">
        <v>3218</v>
      </c>
      <c r="I23" s="27">
        <f>SUBTOTAL(9,I3:I22)</f>
        <v>0</v>
      </c>
      <c r="J23" s="3"/>
    </row>
    <row r="24" spans="1:22" x14ac:dyDescent="0.25">
      <c r="I24" s="32"/>
      <c r="J24" s="3"/>
    </row>
    <row r="25" spans="1:22" x14ac:dyDescent="0.25">
      <c r="J25" s="3"/>
    </row>
    <row r="26" spans="1:22" x14ac:dyDescent="0.25">
      <c r="J26" s="3"/>
    </row>
    <row r="27" spans="1:22" ht="15.75" thickBot="1" x14ac:dyDescent="0.3">
      <c r="J27" s="3"/>
    </row>
    <row r="28" spans="1:22" ht="15.75" thickBot="1" x14ac:dyDescent="0.3">
      <c r="A28" s="1487" t="s">
        <v>4478</v>
      </c>
      <c r="B28" s="1488"/>
      <c r="C28" s="1488"/>
      <c r="D28" s="1488"/>
      <c r="E28" s="1488"/>
      <c r="F28" s="1488"/>
      <c r="G28" s="1488"/>
      <c r="H28" s="1489"/>
      <c r="J28" s="3"/>
      <c r="L28" s="17"/>
    </row>
    <row r="29" spans="1:22" x14ac:dyDescent="0.25">
      <c r="A29" s="25"/>
      <c r="B29" s="25"/>
      <c r="C29" s="25"/>
      <c r="D29" s="1" t="s">
        <v>2</v>
      </c>
      <c r="E29" s="1"/>
      <c r="F29" s="25" t="s">
        <v>3</v>
      </c>
      <c r="G29" s="25" t="s">
        <v>4</v>
      </c>
      <c r="H29" s="1" t="s">
        <v>5</v>
      </c>
      <c r="I29" s="1" t="s">
        <v>6</v>
      </c>
      <c r="J29" s="1" t="s">
        <v>1780</v>
      </c>
      <c r="K29" s="1" t="s">
        <v>8</v>
      </c>
      <c r="L29" s="1" t="s">
        <v>3998</v>
      </c>
    </row>
    <row r="30" spans="1:22" hidden="1" x14ac:dyDescent="0.25">
      <c r="A30" s="483" t="s">
        <v>4512</v>
      </c>
      <c r="B30" t="s">
        <v>875</v>
      </c>
      <c r="C30" s="28" t="s">
        <v>410</v>
      </c>
      <c r="D30" s="233">
        <v>45486</v>
      </c>
      <c r="F30" s="28" t="s">
        <v>2036</v>
      </c>
      <c r="G30" s="30" t="s">
        <v>4607</v>
      </c>
      <c r="H30" s="1496" t="s">
        <v>4887</v>
      </c>
      <c r="I30" s="236">
        <v>23500</v>
      </c>
      <c r="J30" s="3">
        <f>+I30*0.88</f>
        <v>20680</v>
      </c>
      <c r="K30" t="s">
        <v>17</v>
      </c>
      <c r="L30" s="233">
        <v>45576</v>
      </c>
      <c r="M30" s="358"/>
      <c r="N30" s="3"/>
      <c r="T30" s="14" t="s">
        <v>4509</v>
      </c>
      <c r="U30" s="360">
        <v>0.36041666666666666</v>
      </c>
      <c r="V30" s="360">
        <v>0.59097222222222223</v>
      </c>
    </row>
    <row r="31" spans="1:22" hidden="1" x14ac:dyDescent="0.25">
      <c r="A31" s="483">
        <v>18072024</v>
      </c>
      <c r="B31" t="s">
        <v>875</v>
      </c>
      <c r="C31" s="28" t="s">
        <v>410</v>
      </c>
      <c r="D31" s="233">
        <v>45491</v>
      </c>
      <c r="F31" s="28" t="s">
        <v>2036</v>
      </c>
      <c r="G31" s="30" t="s">
        <v>4608</v>
      </c>
      <c r="H31" s="1491"/>
      <c r="I31" s="236">
        <v>23500</v>
      </c>
      <c r="J31" s="3">
        <f>+I31*0.88</f>
        <v>20680</v>
      </c>
      <c r="K31" t="s">
        <v>17</v>
      </c>
      <c r="L31" s="233">
        <v>45576</v>
      </c>
      <c r="N31" s="358"/>
      <c r="T31" s="14" t="s">
        <v>4509</v>
      </c>
      <c r="U31" s="360">
        <v>0.49305555555555558</v>
      </c>
      <c r="V31" s="360">
        <v>0.64583333333333337</v>
      </c>
    </row>
    <row r="32" spans="1:22" hidden="1" x14ac:dyDescent="0.25">
      <c r="A32" s="483">
        <v>26072024</v>
      </c>
      <c r="B32" t="s">
        <v>875</v>
      </c>
      <c r="C32" s="28"/>
      <c r="D32" s="233">
        <v>45499</v>
      </c>
      <c r="F32" s="28" t="s">
        <v>2036</v>
      </c>
      <c r="G32" s="30" t="s">
        <v>4609</v>
      </c>
      <c r="H32" s="1491"/>
      <c r="I32" s="236">
        <v>23500</v>
      </c>
      <c r="J32" s="3">
        <f>+I32*0.88</f>
        <v>20680</v>
      </c>
      <c r="K32" t="s">
        <v>17</v>
      </c>
      <c r="L32" s="233">
        <v>45576</v>
      </c>
      <c r="T32" s="14" t="s">
        <v>4365</v>
      </c>
      <c r="U32" s="360">
        <v>0.36458333333333331</v>
      </c>
      <c r="V32" s="360"/>
    </row>
    <row r="33" spans="1:22" hidden="1" x14ac:dyDescent="0.25">
      <c r="A33" s="483">
        <v>31072024</v>
      </c>
      <c r="B33" t="s">
        <v>875</v>
      </c>
      <c r="C33" s="28" t="s">
        <v>13</v>
      </c>
      <c r="D33" s="233">
        <v>45504</v>
      </c>
      <c r="F33" s="28" t="s">
        <v>2036</v>
      </c>
      <c r="G33" s="30" t="s">
        <v>4610</v>
      </c>
      <c r="H33" s="1491"/>
      <c r="I33" s="236">
        <v>23500</v>
      </c>
      <c r="J33" s="3">
        <f>+I33*0.88</f>
        <v>20680</v>
      </c>
      <c r="K33" t="s">
        <v>17</v>
      </c>
      <c r="L33" s="233">
        <v>45576</v>
      </c>
      <c r="T33" s="14" t="s">
        <v>4138</v>
      </c>
      <c r="U33" s="360">
        <v>0.62708333333333333</v>
      </c>
      <c r="V33" s="360"/>
    </row>
    <row r="34" spans="1:22" hidden="1" x14ac:dyDescent="0.25">
      <c r="A34" s="95">
        <v>20082024</v>
      </c>
      <c r="B34" t="s">
        <v>875</v>
      </c>
      <c r="C34" s="28" t="s">
        <v>13</v>
      </c>
      <c r="D34" s="233">
        <v>45524</v>
      </c>
      <c r="F34" s="28" t="s">
        <v>687</v>
      </c>
      <c r="G34" s="30" t="s">
        <v>4886</v>
      </c>
      <c r="H34" s="30" t="s">
        <v>4904</v>
      </c>
      <c r="I34" s="368">
        <v>23500</v>
      </c>
      <c r="J34" s="3">
        <f t="shared" ref="J34:J40" si="2">+I34-ROUND(I34*0.12,0)</f>
        <v>20680</v>
      </c>
      <c r="K34" s="368" t="s">
        <v>17</v>
      </c>
      <c r="L34" s="233">
        <v>45604</v>
      </c>
      <c r="N34" s="358"/>
      <c r="T34" t="s">
        <v>4071</v>
      </c>
      <c r="U34" s="360">
        <v>0.43194444444444446</v>
      </c>
      <c r="V34" s="360"/>
    </row>
    <row r="35" spans="1:22" hidden="1" x14ac:dyDescent="0.25">
      <c r="A35" s="95">
        <v>12092024</v>
      </c>
      <c r="B35" t="s">
        <v>875</v>
      </c>
      <c r="C35" s="28" t="s">
        <v>13</v>
      </c>
      <c r="D35" s="233">
        <v>45547</v>
      </c>
      <c r="F35" s="28" t="s">
        <v>687</v>
      </c>
      <c r="G35" s="30" t="s">
        <v>4888</v>
      </c>
      <c r="H35" s="1491" t="s">
        <v>4909</v>
      </c>
      <c r="I35" s="368">
        <v>23500</v>
      </c>
      <c r="J35" s="3">
        <f t="shared" si="2"/>
        <v>20680</v>
      </c>
      <c r="K35" t="s">
        <v>17</v>
      </c>
      <c r="L35" s="233">
        <v>45610</v>
      </c>
      <c r="T35" t="s">
        <v>4509</v>
      </c>
      <c r="U35" s="360">
        <v>0.55972222222222223</v>
      </c>
      <c r="V35" s="30"/>
    </row>
    <row r="36" spans="1:22" hidden="1" x14ac:dyDescent="0.25">
      <c r="A36" s="95">
        <v>16092024</v>
      </c>
      <c r="B36" t="s">
        <v>875</v>
      </c>
      <c r="C36" s="28" t="s">
        <v>13</v>
      </c>
      <c r="D36" s="233">
        <v>45551</v>
      </c>
      <c r="F36" s="28" t="s">
        <v>687</v>
      </c>
      <c r="G36" s="30" t="s">
        <v>4889</v>
      </c>
      <c r="H36" s="1491"/>
      <c r="I36" s="368">
        <v>23500</v>
      </c>
      <c r="J36" s="3">
        <f t="shared" si="2"/>
        <v>20680</v>
      </c>
      <c r="K36" t="s">
        <v>17</v>
      </c>
      <c r="L36" s="233">
        <v>45610</v>
      </c>
      <c r="T36" t="s">
        <v>4509</v>
      </c>
      <c r="U36" s="360">
        <v>0.55347222222222225</v>
      </c>
      <c r="V36" s="360">
        <v>0.72222222222222221</v>
      </c>
    </row>
    <row r="37" spans="1:22" hidden="1" x14ac:dyDescent="0.25">
      <c r="A37" s="95">
        <v>16092024</v>
      </c>
      <c r="B37" t="s">
        <v>875</v>
      </c>
      <c r="C37" s="28" t="s">
        <v>410</v>
      </c>
      <c r="D37" s="233">
        <v>45551</v>
      </c>
      <c r="F37" s="28" t="s">
        <v>687</v>
      </c>
      <c r="G37" s="30" t="s">
        <v>4890</v>
      </c>
      <c r="H37" s="1491"/>
      <c r="I37" s="368">
        <v>23500</v>
      </c>
      <c r="J37" s="3">
        <f t="shared" si="2"/>
        <v>20680</v>
      </c>
      <c r="K37" t="s">
        <v>17</v>
      </c>
      <c r="L37" s="233">
        <v>45610</v>
      </c>
      <c r="T37" t="s">
        <v>4792</v>
      </c>
      <c r="U37" s="360">
        <v>0.57430555555555551</v>
      </c>
      <c r="V37" s="360">
        <v>0.72222222222222221</v>
      </c>
    </row>
    <row r="38" spans="1:22" hidden="1" x14ac:dyDescent="0.25">
      <c r="A38" s="95">
        <v>30092024</v>
      </c>
      <c r="B38" t="s">
        <v>875</v>
      </c>
      <c r="C38" s="28" t="s">
        <v>13</v>
      </c>
      <c r="D38" s="233">
        <v>45565</v>
      </c>
      <c r="F38" s="28" t="s">
        <v>687</v>
      </c>
      <c r="G38" s="30" t="s">
        <v>4891</v>
      </c>
      <c r="H38" s="1491"/>
      <c r="I38" s="236">
        <v>23500</v>
      </c>
      <c r="J38" s="3">
        <f t="shared" si="2"/>
        <v>20680</v>
      </c>
      <c r="K38" t="s">
        <v>17</v>
      </c>
      <c r="L38" s="233">
        <v>45610</v>
      </c>
      <c r="T38" t="s">
        <v>4853</v>
      </c>
      <c r="U38" s="360">
        <v>0.37916666666666665</v>
      </c>
      <c r="V38" s="360">
        <v>0.53194444444444444</v>
      </c>
    </row>
    <row r="39" spans="1:22" hidden="1" x14ac:dyDescent="0.25">
      <c r="A39" s="483" t="s">
        <v>4875</v>
      </c>
      <c r="B39" t="s">
        <v>875</v>
      </c>
      <c r="C39" s="28" t="s">
        <v>410</v>
      </c>
      <c r="D39" s="233">
        <v>45569</v>
      </c>
      <c r="F39" s="28" t="s">
        <v>687</v>
      </c>
      <c r="G39" s="30" t="s">
        <v>4892</v>
      </c>
      <c r="H39" s="1491"/>
      <c r="I39" s="313">
        <v>23500</v>
      </c>
      <c r="J39" s="3">
        <f t="shared" si="2"/>
        <v>20680</v>
      </c>
      <c r="K39" t="s">
        <v>17</v>
      </c>
      <c r="L39" s="233">
        <v>45610</v>
      </c>
      <c r="T39" t="s">
        <v>4550</v>
      </c>
      <c r="U39" s="360"/>
      <c r="V39" s="30"/>
    </row>
    <row r="40" spans="1:22" hidden="1" x14ac:dyDescent="0.25">
      <c r="A40" s="483" t="s">
        <v>4902</v>
      </c>
      <c r="B40" t="s">
        <v>875</v>
      </c>
      <c r="C40" s="28" t="s">
        <v>13</v>
      </c>
      <c r="D40" s="233">
        <v>45574</v>
      </c>
      <c r="F40" s="28" t="s">
        <v>2036</v>
      </c>
      <c r="G40" s="30" t="s">
        <v>4888</v>
      </c>
      <c r="H40" s="1535" t="s">
        <v>5132</v>
      </c>
      <c r="I40" s="301">
        <v>23500</v>
      </c>
      <c r="J40" s="3">
        <f t="shared" si="2"/>
        <v>20680</v>
      </c>
      <c r="K40" t="s">
        <v>17</v>
      </c>
      <c r="L40" s="233">
        <v>45653</v>
      </c>
      <c r="T40" t="s">
        <v>4139</v>
      </c>
      <c r="U40" s="360">
        <v>0.64583333333333337</v>
      </c>
      <c r="V40" s="360">
        <v>0.77013888888888893</v>
      </c>
    </row>
    <row r="41" spans="1:22" hidden="1" x14ac:dyDescent="0.25">
      <c r="A41" s="483" t="s">
        <v>4910</v>
      </c>
      <c r="B41" t="s">
        <v>875</v>
      </c>
      <c r="C41" s="28" t="s">
        <v>4218</v>
      </c>
      <c r="D41" s="233">
        <v>45577</v>
      </c>
      <c r="F41" s="28" t="s">
        <v>2036</v>
      </c>
      <c r="G41" s="30" t="s">
        <v>5052</v>
      </c>
      <c r="H41" s="1535"/>
      <c r="I41" s="301">
        <v>23500</v>
      </c>
      <c r="J41" s="3">
        <f t="shared" ref="J41:J84" si="3">+I41-ROUND(I41*0.12,0)</f>
        <v>20680</v>
      </c>
      <c r="K41" t="s">
        <v>17</v>
      </c>
      <c r="L41" s="233">
        <v>45653</v>
      </c>
      <c r="T41" t="s">
        <v>4911</v>
      </c>
      <c r="U41" s="360">
        <v>0.32500000000000001</v>
      </c>
      <c r="V41" s="360">
        <v>0.4777777777777778</v>
      </c>
    </row>
    <row r="42" spans="1:22" hidden="1" x14ac:dyDescent="0.25">
      <c r="A42" s="483" t="s">
        <v>4941</v>
      </c>
      <c r="B42" t="s">
        <v>875</v>
      </c>
      <c r="C42" s="28" t="s">
        <v>410</v>
      </c>
      <c r="D42" s="233">
        <v>45580</v>
      </c>
      <c r="F42" s="276" t="s">
        <v>2036</v>
      </c>
      <c r="G42" s="30" t="s">
        <v>5051</v>
      </c>
      <c r="H42" s="1535"/>
      <c r="I42" s="301">
        <v>23500</v>
      </c>
      <c r="J42" s="3">
        <f t="shared" si="3"/>
        <v>20680</v>
      </c>
      <c r="K42" t="s">
        <v>17</v>
      </c>
      <c r="L42" s="233">
        <v>45653</v>
      </c>
      <c r="T42" t="s">
        <v>4911</v>
      </c>
      <c r="U42" s="360">
        <v>0.52847222222222223</v>
      </c>
      <c r="V42" s="360">
        <v>0.6645833333333333</v>
      </c>
    </row>
    <row r="43" spans="1:22" hidden="1" x14ac:dyDescent="0.25">
      <c r="A43" s="483">
        <v>23102024</v>
      </c>
      <c r="B43" t="s">
        <v>875</v>
      </c>
      <c r="C43" s="28" t="s">
        <v>410</v>
      </c>
      <c r="D43" s="233">
        <v>45588</v>
      </c>
      <c r="F43" s="28" t="s">
        <v>2036</v>
      </c>
      <c r="G43" s="30" t="s">
        <v>5050</v>
      </c>
      <c r="H43" s="1535"/>
      <c r="I43" s="301">
        <v>23500</v>
      </c>
      <c r="J43" s="3">
        <f t="shared" si="3"/>
        <v>20680</v>
      </c>
      <c r="K43" t="s">
        <v>17</v>
      </c>
      <c r="L43" s="233">
        <v>45653</v>
      </c>
      <c r="T43" t="s">
        <v>4365</v>
      </c>
      <c r="U43" s="360">
        <v>0.38958333333333334</v>
      </c>
      <c r="V43" s="360">
        <v>0.51666666666666672</v>
      </c>
    </row>
    <row r="44" spans="1:22" hidden="1" x14ac:dyDescent="0.25">
      <c r="A44" s="483">
        <v>25102024</v>
      </c>
      <c r="B44" t="s">
        <v>875</v>
      </c>
      <c r="C44" s="28" t="s">
        <v>4218</v>
      </c>
      <c r="D44" s="233">
        <v>45590</v>
      </c>
      <c r="F44" s="28" t="s">
        <v>2036</v>
      </c>
      <c r="G44" s="30" t="s">
        <v>5049</v>
      </c>
      <c r="H44" s="1535"/>
      <c r="I44" s="301">
        <v>23500</v>
      </c>
      <c r="J44" s="3">
        <f t="shared" si="3"/>
        <v>20680</v>
      </c>
      <c r="K44" t="s">
        <v>17</v>
      </c>
      <c r="L44" s="233">
        <v>45653</v>
      </c>
      <c r="T44" t="s">
        <v>4345</v>
      </c>
      <c r="U44" s="360">
        <v>0.6333333333333333</v>
      </c>
      <c r="V44" s="360"/>
    </row>
    <row r="45" spans="1:22" hidden="1" x14ac:dyDescent="0.25">
      <c r="A45" s="483">
        <v>28102024</v>
      </c>
      <c r="B45" t="s">
        <v>875</v>
      </c>
      <c r="C45" s="28" t="s">
        <v>4218</v>
      </c>
      <c r="D45" s="233">
        <v>45593</v>
      </c>
      <c r="F45" s="28" t="s">
        <v>2036</v>
      </c>
      <c r="G45" s="30" t="s">
        <v>5048</v>
      </c>
      <c r="H45" s="1535"/>
      <c r="I45" s="301">
        <v>23500</v>
      </c>
      <c r="J45" s="3">
        <f t="shared" si="3"/>
        <v>20680</v>
      </c>
      <c r="K45" t="s">
        <v>17</v>
      </c>
      <c r="L45" s="233">
        <v>45653</v>
      </c>
      <c r="T45" t="s">
        <v>4022</v>
      </c>
      <c r="U45" s="360">
        <v>0.60902777777777783</v>
      </c>
      <c r="V45" s="360">
        <v>0.73333333333333339</v>
      </c>
    </row>
    <row r="46" spans="1:22" hidden="1" x14ac:dyDescent="0.25">
      <c r="A46" s="483">
        <v>30102024</v>
      </c>
      <c r="B46" t="s">
        <v>875</v>
      </c>
      <c r="C46" s="28" t="s">
        <v>410</v>
      </c>
      <c r="D46" s="233">
        <v>45595</v>
      </c>
      <c r="F46" s="28" t="s">
        <v>2036</v>
      </c>
      <c r="G46" s="30" t="s">
        <v>5047</v>
      </c>
      <c r="H46" s="1535"/>
      <c r="I46" s="301">
        <v>23500</v>
      </c>
      <c r="J46" s="3">
        <f t="shared" si="3"/>
        <v>20680</v>
      </c>
      <c r="K46" t="s">
        <v>17</v>
      </c>
      <c r="L46" s="233">
        <v>45653</v>
      </c>
      <c r="U46" s="360"/>
      <c r="V46" s="360"/>
    </row>
    <row r="47" spans="1:22" hidden="1" x14ac:dyDescent="0.25">
      <c r="A47" s="483" t="s">
        <v>5029</v>
      </c>
      <c r="B47" t="s">
        <v>875</v>
      </c>
      <c r="C47" s="28" t="s">
        <v>13</v>
      </c>
      <c r="D47" s="233">
        <v>45599</v>
      </c>
      <c r="E47" s="28"/>
      <c r="F47" s="28" t="s">
        <v>2036</v>
      </c>
      <c r="G47" s="30" t="s">
        <v>5041</v>
      </c>
      <c r="H47" s="1535"/>
      <c r="I47" s="301">
        <v>23500</v>
      </c>
      <c r="J47" s="3">
        <f t="shared" si="3"/>
        <v>20680</v>
      </c>
      <c r="K47" t="s">
        <v>17</v>
      </c>
      <c r="L47" s="233">
        <v>45653</v>
      </c>
      <c r="T47" t="s">
        <v>5028</v>
      </c>
      <c r="U47" s="360">
        <v>0.34583333333333338</v>
      </c>
      <c r="V47" s="360">
        <v>0.49027777777777781</v>
      </c>
    </row>
    <row r="48" spans="1:22" hidden="1" x14ac:dyDescent="0.25">
      <c r="A48" s="483" t="s">
        <v>5055</v>
      </c>
      <c r="B48" t="s">
        <v>875</v>
      </c>
      <c r="C48" s="233" t="s">
        <v>4218</v>
      </c>
      <c r="D48" s="233">
        <v>45601</v>
      </c>
      <c r="E48" s="28"/>
      <c r="F48" s="28" t="s">
        <v>2036</v>
      </c>
      <c r="G48" t="s">
        <v>5133</v>
      </c>
      <c r="H48" s="1535"/>
      <c r="I48" s="301">
        <v>23500</v>
      </c>
      <c r="J48" s="3">
        <f t="shared" si="3"/>
        <v>20680</v>
      </c>
      <c r="K48" t="s">
        <v>17</v>
      </c>
      <c r="L48" s="233">
        <v>45653</v>
      </c>
      <c r="T48" t="s">
        <v>4550</v>
      </c>
      <c r="U48" s="360">
        <v>0.5395833333333333</v>
      </c>
      <c r="V48" s="360"/>
    </row>
    <row r="49" spans="1:22" hidden="1" x14ac:dyDescent="0.25">
      <c r="A49" s="483" t="s">
        <v>5130</v>
      </c>
      <c r="B49" t="s">
        <v>875</v>
      </c>
      <c r="C49" s="233" t="s">
        <v>13</v>
      </c>
      <c r="D49" s="233">
        <v>45611</v>
      </c>
      <c r="E49" s="28"/>
      <c r="F49" s="28" t="s">
        <v>2036</v>
      </c>
      <c r="G49" t="s">
        <v>5276</v>
      </c>
      <c r="H49" s="1491" t="s">
        <v>5303</v>
      </c>
      <c r="I49" s="88">
        <v>23500</v>
      </c>
      <c r="J49" s="3">
        <f t="shared" si="3"/>
        <v>20680</v>
      </c>
      <c r="K49" t="s">
        <v>17</v>
      </c>
      <c r="L49" s="233">
        <v>45686</v>
      </c>
      <c r="T49" t="s">
        <v>5131</v>
      </c>
      <c r="U49" s="360">
        <v>0.37569444444444444</v>
      </c>
      <c r="V49" s="360"/>
    </row>
    <row r="50" spans="1:22" hidden="1" x14ac:dyDescent="0.25">
      <c r="A50" s="483" t="s">
        <v>5130</v>
      </c>
      <c r="B50" t="s">
        <v>875</v>
      </c>
      <c r="C50" s="233" t="s">
        <v>4218</v>
      </c>
      <c r="D50" s="233">
        <v>45611</v>
      </c>
      <c r="E50" s="28"/>
      <c r="F50" s="28" t="s">
        <v>2036</v>
      </c>
      <c r="G50" t="s">
        <v>5277</v>
      </c>
      <c r="H50" s="1491"/>
      <c r="I50" s="88">
        <v>23500</v>
      </c>
      <c r="J50" s="3">
        <f t="shared" si="3"/>
        <v>20680</v>
      </c>
      <c r="K50" t="s">
        <v>17</v>
      </c>
      <c r="L50" s="233">
        <v>45686</v>
      </c>
      <c r="T50" t="s">
        <v>4911</v>
      </c>
      <c r="U50" s="360">
        <v>0.41666666666666669</v>
      </c>
      <c r="V50" s="360"/>
    </row>
    <row r="51" spans="1:22" hidden="1" x14ac:dyDescent="0.25">
      <c r="A51" s="483" t="s">
        <v>5135</v>
      </c>
      <c r="B51" t="s">
        <v>875</v>
      </c>
      <c r="C51" s="233" t="s">
        <v>410</v>
      </c>
      <c r="D51" s="233">
        <v>45612</v>
      </c>
      <c r="E51" s="28"/>
      <c r="F51" s="28" t="s">
        <v>2036</v>
      </c>
      <c r="G51" t="s">
        <v>5278</v>
      </c>
      <c r="H51" s="1491"/>
      <c r="I51" s="88">
        <v>23500</v>
      </c>
      <c r="J51" s="3">
        <f t="shared" si="3"/>
        <v>20680</v>
      </c>
      <c r="K51" t="s">
        <v>17</v>
      </c>
      <c r="L51" s="233">
        <v>45686</v>
      </c>
      <c r="T51" t="s">
        <v>4581</v>
      </c>
      <c r="U51" s="360">
        <v>0.6020833333333333</v>
      </c>
      <c r="V51" s="360">
        <v>0.72916666666666663</v>
      </c>
    </row>
    <row r="52" spans="1:22" hidden="1" x14ac:dyDescent="0.25">
      <c r="A52" s="483">
        <v>14122024</v>
      </c>
      <c r="B52" t="s">
        <v>875</v>
      </c>
      <c r="C52" s="233" t="s">
        <v>4218</v>
      </c>
      <c r="D52" s="233">
        <v>45640</v>
      </c>
      <c r="E52" s="28"/>
      <c r="F52" s="28" t="s">
        <v>2036</v>
      </c>
      <c r="G52" t="s">
        <v>5373</v>
      </c>
      <c r="H52" s="1491" t="s">
        <v>6305</v>
      </c>
      <c r="I52" s="88">
        <v>23500</v>
      </c>
      <c r="J52" s="3">
        <f t="shared" si="3"/>
        <v>20680</v>
      </c>
      <c r="K52" t="s">
        <v>17</v>
      </c>
      <c r="L52" s="233">
        <v>45737</v>
      </c>
      <c r="T52" t="s">
        <v>4417</v>
      </c>
      <c r="U52" s="360">
        <v>0.57986111111111105</v>
      </c>
      <c r="V52" s="360">
        <v>0.7055555555555556</v>
      </c>
    </row>
    <row r="53" spans="1:22" hidden="1" x14ac:dyDescent="0.25">
      <c r="A53" s="483">
        <v>21122024</v>
      </c>
      <c r="B53" t="s">
        <v>875</v>
      </c>
      <c r="C53" s="233" t="s">
        <v>13</v>
      </c>
      <c r="D53" s="233">
        <v>45647</v>
      </c>
      <c r="E53" s="28"/>
      <c r="F53" s="28" t="s">
        <v>2036</v>
      </c>
      <c r="G53" t="s">
        <v>5454</v>
      </c>
      <c r="H53" s="1491"/>
      <c r="I53" s="88">
        <v>23500</v>
      </c>
      <c r="J53" s="3">
        <f t="shared" si="3"/>
        <v>20680</v>
      </c>
      <c r="K53" t="s">
        <v>17</v>
      </c>
      <c r="L53" s="233">
        <v>45737</v>
      </c>
      <c r="T53" t="s">
        <v>4139</v>
      </c>
      <c r="U53" s="360"/>
      <c r="V53" s="360"/>
    </row>
    <row r="54" spans="1:22" hidden="1" x14ac:dyDescent="0.25">
      <c r="A54" s="483">
        <v>3012025</v>
      </c>
      <c r="B54" t="s">
        <v>875</v>
      </c>
      <c r="C54" s="233" t="s">
        <v>13</v>
      </c>
      <c r="D54" s="233">
        <v>45660</v>
      </c>
      <c r="E54" s="28"/>
      <c r="F54" s="28" t="s">
        <v>2036</v>
      </c>
      <c r="G54" t="s">
        <v>5529</v>
      </c>
      <c r="H54" s="1491" t="s">
        <v>6306</v>
      </c>
      <c r="I54" s="88">
        <v>23500</v>
      </c>
      <c r="J54" s="3">
        <f t="shared" si="3"/>
        <v>20680</v>
      </c>
      <c r="K54" t="s">
        <v>17</v>
      </c>
      <c r="L54" s="233">
        <v>45737</v>
      </c>
      <c r="T54" t="s">
        <v>5020</v>
      </c>
      <c r="U54" s="360"/>
      <c r="V54" s="360"/>
    </row>
    <row r="55" spans="1:22" hidden="1" x14ac:dyDescent="0.25">
      <c r="A55" s="483">
        <v>8012025</v>
      </c>
      <c r="B55" t="s">
        <v>875</v>
      </c>
      <c r="C55" s="233" t="s">
        <v>4218</v>
      </c>
      <c r="D55" s="233">
        <v>45665</v>
      </c>
      <c r="E55" s="28"/>
      <c r="F55" s="28" t="s">
        <v>2036</v>
      </c>
      <c r="G55" t="s">
        <v>5530</v>
      </c>
      <c r="H55" s="1491"/>
      <c r="I55" s="88">
        <v>23500</v>
      </c>
      <c r="J55" s="3">
        <f t="shared" si="3"/>
        <v>20680</v>
      </c>
      <c r="K55" t="s">
        <v>17</v>
      </c>
      <c r="L55" s="233">
        <v>45737</v>
      </c>
      <c r="M55" s="17">
        <f>SUM(I52:I55)</f>
        <v>94000</v>
      </c>
      <c r="N55" s="3">
        <f>SUM(J52:J55)</f>
        <v>82720</v>
      </c>
      <c r="O55" s="358">
        <f>+M55-N55</f>
        <v>11280</v>
      </c>
      <c r="T55" s="5" t="s">
        <v>5078</v>
      </c>
      <c r="U55" s="360">
        <v>0.59652777777777777</v>
      </c>
      <c r="V55" s="360"/>
    </row>
    <row r="56" spans="1:22" hidden="1" x14ac:dyDescent="0.25">
      <c r="A56" s="483">
        <v>14012025</v>
      </c>
      <c r="B56" t="s">
        <v>875</v>
      </c>
      <c r="C56" s="233" t="s">
        <v>410</v>
      </c>
      <c r="D56" s="233">
        <v>45671</v>
      </c>
      <c r="E56" s="28"/>
      <c r="F56" s="28" t="s">
        <v>2036</v>
      </c>
      <c r="G56" t="s">
        <v>5619</v>
      </c>
      <c r="H56" s="1535" t="s">
        <v>5655</v>
      </c>
      <c r="I56" s="88">
        <v>23500</v>
      </c>
      <c r="J56" s="3">
        <f t="shared" si="3"/>
        <v>20680</v>
      </c>
      <c r="K56" t="s">
        <v>17</v>
      </c>
      <c r="L56" s="233">
        <v>45755</v>
      </c>
      <c r="T56" s="5" t="s">
        <v>4297</v>
      </c>
      <c r="U56" s="360">
        <v>0.37847222222222227</v>
      </c>
      <c r="V56" s="360">
        <v>0.50624999999999998</v>
      </c>
    </row>
    <row r="57" spans="1:22" hidden="1" x14ac:dyDescent="0.25">
      <c r="A57" s="483">
        <v>14012025</v>
      </c>
      <c r="B57" t="s">
        <v>875</v>
      </c>
      <c r="C57" s="233" t="s">
        <v>410</v>
      </c>
      <c r="D57" s="233">
        <v>45671</v>
      </c>
      <c r="E57" s="28"/>
      <c r="F57" s="28" t="s">
        <v>2036</v>
      </c>
      <c r="G57" t="s">
        <v>5620</v>
      </c>
      <c r="H57" s="1535"/>
      <c r="I57" s="88">
        <v>23500</v>
      </c>
      <c r="J57" s="3">
        <f t="shared" si="3"/>
        <v>20680</v>
      </c>
      <c r="K57" t="s">
        <v>17</v>
      </c>
      <c r="L57" s="233">
        <v>45755</v>
      </c>
      <c r="U57" s="360"/>
      <c r="V57" s="360"/>
    </row>
    <row r="58" spans="1:22" hidden="1" x14ac:dyDescent="0.25">
      <c r="A58" s="483">
        <v>17012025</v>
      </c>
      <c r="B58" t="s">
        <v>875</v>
      </c>
      <c r="C58" s="233" t="s">
        <v>13</v>
      </c>
      <c r="D58" s="233">
        <v>45674</v>
      </c>
      <c r="E58" s="28"/>
      <c r="F58" s="28" t="s">
        <v>2036</v>
      </c>
      <c r="G58" t="s">
        <v>5621</v>
      </c>
      <c r="H58" s="1535"/>
      <c r="I58" s="88">
        <v>23500</v>
      </c>
      <c r="J58" s="3">
        <f t="shared" si="3"/>
        <v>20680</v>
      </c>
      <c r="K58" t="s">
        <v>17</v>
      </c>
      <c r="L58" s="233">
        <v>45755</v>
      </c>
      <c r="T58" t="s">
        <v>5539</v>
      </c>
      <c r="U58" s="360">
        <v>0.50555555555555554</v>
      </c>
      <c r="V58" s="360">
        <v>0.64097222222222217</v>
      </c>
    </row>
    <row r="59" spans="1:22" hidden="1" x14ac:dyDescent="0.25">
      <c r="A59" s="483">
        <v>19012025</v>
      </c>
      <c r="B59" t="s">
        <v>875</v>
      </c>
      <c r="C59" s="233" t="s">
        <v>410</v>
      </c>
      <c r="D59" s="233">
        <v>45676</v>
      </c>
      <c r="E59" s="28"/>
      <c r="F59" s="28" t="s">
        <v>2036</v>
      </c>
      <c r="G59" t="s">
        <v>5622</v>
      </c>
      <c r="H59" s="1535"/>
      <c r="I59" s="88">
        <v>23500</v>
      </c>
      <c r="J59" s="3">
        <f t="shared" si="3"/>
        <v>20680</v>
      </c>
      <c r="K59" t="s">
        <v>17</v>
      </c>
      <c r="L59" s="233">
        <v>45755</v>
      </c>
      <c r="T59" t="s">
        <v>5078</v>
      </c>
      <c r="U59" s="360">
        <v>0.38055555555555554</v>
      </c>
      <c r="V59" s="360">
        <v>0.51666666666666672</v>
      </c>
    </row>
    <row r="60" spans="1:22" hidden="1" x14ac:dyDescent="0.25">
      <c r="A60" s="483">
        <v>24012025</v>
      </c>
      <c r="B60" t="s">
        <v>875</v>
      </c>
      <c r="C60" s="28" t="s">
        <v>13</v>
      </c>
      <c r="D60" s="233">
        <v>45681</v>
      </c>
      <c r="F60" s="28" t="s">
        <v>2036</v>
      </c>
      <c r="G60" t="s">
        <v>5623</v>
      </c>
      <c r="H60" s="1535"/>
      <c r="I60" s="313">
        <v>23500</v>
      </c>
      <c r="J60" s="3">
        <f t="shared" si="3"/>
        <v>20680</v>
      </c>
      <c r="K60" t="s">
        <v>17</v>
      </c>
      <c r="L60" s="233">
        <v>45755</v>
      </c>
      <c r="T60" t="s">
        <v>2050</v>
      </c>
      <c r="U60" s="30"/>
      <c r="V60" s="30"/>
    </row>
    <row r="61" spans="1:22" hidden="1" x14ac:dyDescent="0.25">
      <c r="A61" s="483" t="s">
        <v>5642</v>
      </c>
      <c r="B61" t="s">
        <v>875</v>
      </c>
      <c r="C61" s="28" t="s">
        <v>410</v>
      </c>
      <c r="D61" s="233">
        <v>45696</v>
      </c>
      <c r="E61" s="28"/>
      <c r="F61" s="28" t="s">
        <v>687</v>
      </c>
      <c r="G61" s="30" t="s">
        <v>5683</v>
      </c>
      <c r="H61" s="1535"/>
      <c r="I61" s="798">
        <v>23500</v>
      </c>
      <c r="J61" s="3">
        <f t="shared" si="3"/>
        <v>20680</v>
      </c>
      <c r="K61" t="s">
        <v>17</v>
      </c>
      <c r="L61" s="233">
        <v>45755</v>
      </c>
      <c r="T61" t="s">
        <v>5640</v>
      </c>
      <c r="U61" s="360">
        <v>0.37777777777777777</v>
      </c>
      <c r="V61" s="360">
        <v>0.50416666666666665</v>
      </c>
    </row>
    <row r="62" spans="1:22" hidden="1" x14ac:dyDescent="0.25">
      <c r="A62" s="483">
        <v>14022024</v>
      </c>
      <c r="B62" t="s">
        <v>875</v>
      </c>
      <c r="C62" s="28" t="s">
        <v>13</v>
      </c>
      <c r="D62" s="233">
        <v>45702</v>
      </c>
      <c r="E62" s="28"/>
      <c r="F62" s="28" t="s">
        <v>2036</v>
      </c>
      <c r="G62" s="30" t="s">
        <v>5684</v>
      </c>
      <c r="H62" s="1491" t="s">
        <v>5788</v>
      </c>
      <c r="I62" s="798">
        <v>23500</v>
      </c>
      <c r="J62" s="3">
        <f t="shared" si="3"/>
        <v>20680</v>
      </c>
      <c r="K62" t="s">
        <v>17</v>
      </c>
      <c r="L62" s="233">
        <v>45758</v>
      </c>
      <c r="P62" s="5" t="s">
        <v>4345</v>
      </c>
      <c r="Q62" s="360">
        <v>0.39513888888888887</v>
      </c>
      <c r="R62" s="360"/>
    </row>
    <row r="63" spans="1:22" hidden="1" x14ac:dyDescent="0.25">
      <c r="A63" s="483">
        <v>14022024</v>
      </c>
      <c r="B63" t="s">
        <v>875</v>
      </c>
      <c r="C63" s="28" t="s">
        <v>4218</v>
      </c>
      <c r="D63" s="233">
        <v>45702</v>
      </c>
      <c r="E63" s="28"/>
      <c r="F63" s="28" t="s">
        <v>2036</v>
      </c>
      <c r="G63" s="30" t="s">
        <v>5685</v>
      </c>
      <c r="H63" s="1491"/>
      <c r="I63" s="798">
        <v>23500</v>
      </c>
      <c r="J63" s="3">
        <f t="shared" si="3"/>
        <v>20680</v>
      </c>
      <c r="K63" t="s">
        <v>17</v>
      </c>
      <c r="L63" s="233">
        <v>45758</v>
      </c>
      <c r="T63" s="5" t="s">
        <v>4345</v>
      </c>
      <c r="U63" s="360">
        <v>0.57361111111111118</v>
      </c>
      <c r="V63" s="360"/>
    </row>
    <row r="64" spans="1:22" hidden="1" x14ac:dyDescent="0.25">
      <c r="A64" s="483">
        <v>26022025</v>
      </c>
      <c r="B64" t="s">
        <v>875</v>
      </c>
      <c r="C64" s="28" t="s">
        <v>410</v>
      </c>
      <c r="D64" s="233">
        <v>45714</v>
      </c>
      <c r="E64" s="28"/>
      <c r="F64" s="28" t="s">
        <v>2036</v>
      </c>
      <c r="G64" s="30" t="s">
        <v>5787</v>
      </c>
      <c r="H64" s="1491"/>
      <c r="I64" s="313">
        <v>23500</v>
      </c>
      <c r="J64" s="3">
        <f t="shared" si="3"/>
        <v>20680</v>
      </c>
      <c r="K64" t="s">
        <v>17</v>
      </c>
      <c r="L64" s="233">
        <v>45758</v>
      </c>
      <c r="T64" t="s">
        <v>5004</v>
      </c>
      <c r="U64" s="360">
        <v>0.53749999999999998</v>
      </c>
      <c r="V64" s="360">
        <v>0.66597222222222219</v>
      </c>
    </row>
    <row r="65" spans="1:22" hidden="1" x14ac:dyDescent="0.25">
      <c r="A65" s="483">
        <v>14032025</v>
      </c>
      <c r="B65" t="s">
        <v>875</v>
      </c>
      <c r="C65" s="28" t="s">
        <v>4218</v>
      </c>
      <c r="D65" s="233">
        <v>45730</v>
      </c>
      <c r="E65" s="28"/>
      <c r="F65" s="28" t="s">
        <v>2036</v>
      </c>
      <c r="G65" s="30" t="s">
        <v>5860</v>
      </c>
      <c r="H65" s="1491" t="s">
        <v>5995</v>
      </c>
      <c r="I65" s="798">
        <v>23500</v>
      </c>
      <c r="J65" s="3">
        <f t="shared" si="3"/>
        <v>20680</v>
      </c>
      <c r="K65" t="s">
        <v>17</v>
      </c>
      <c r="L65" s="233">
        <v>45820</v>
      </c>
      <c r="T65" t="s">
        <v>5776</v>
      </c>
      <c r="U65" s="360">
        <v>0.41111111111111115</v>
      </c>
      <c r="V65" s="360">
        <v>0.5395833333333333</v>
      </c>
    </row>
    <row r="66" spans="1:22" hidden="1" x14ac:dyDescent="0.25">
      <c r="A66" s="483">
        <v>15032025</v>
      </c>
      <c r="B66" t="s">
        <v>875</v>
      </c>
      <c r="C66" s="28" t="s">
        <v>4218</v>
      </c>
      <c r="D66" s="233">
        <v>45731</v>
      </c>
      <c r="E66" s="28"/>
      <c r="F66" s="28" t="s">
        <v>2036</v>
      </c>
      <c r="G66" t="s">
        <v>5861</v>
      </c>
      <c r="H66" s="1491"/>
      <c r="I66" s="798">
        <v>23500</v>
      </c>
      <c r="J66" s="3">
        <f t="shared" si="3"/>
        <v>20680</v>
      </c>
      <c r="K66" t="s">
        <v>17</v>
      </c>
      <c r="L66" s="233">
        <v>45820</v>
      </c>
      <c r="T66" t="s">
        <v>5849</v>
      </c>
      <c r="U66" s="360">
        <v>0.3833333333333333</v>
      </c>
      <c r="V66" s="360">
        <v>0.53749999999999998</v>
      </c>
    </row>
    <row r="67" spans="1:22" hidden="1" x14ac:dyDescent="0.25">
      <c r="A67" s="483">
        <v>21032025</v>
      </c>
      <c r="B67" t="s">
        <v>875</v>
      </c>
      <c r="C67" s="28"/>
      <c r="D67" s="233">
        <v>45737</v>
      </c>
      <c r="E67" s="28"/>
      <c r="F67" s="28" t="s">
        <v>2036</v>
      </c>
      <c r="G67" t="s">
        <v>5991</v>
      </c>
      <c r="H67" s="1491"/>
      <c r="I67" s="798">
        <v>23500</v>
      </c>
      <c r="J67" s="3">
        <f t="shared" si="3"/>
        <v>20680</v>
      </c>
      <c r="K67" t="s">
        <v>17</v>
      </c>
      <c r="L67" s="233">
        <v>45820</v>
      </c>
      <c r="T67" t="s">
        <v>5026</v>
      </c>
      <c r="U67" s="360">
        <v>0.59930555555555554</v>
      </c>
      <c r="V67" s="30"/>
    </row>
    <row r="68" spans="1:22" s="21" customFormat="1" hidden="1" x14ac:dyDescent="0.25">
      <c r="A68" s="509">
        <v>22032025</v>
      </c>
      <c r="B68" s="21" t="s">
        <v>875</v>
      </c>
      <c r="C68" s="177" t="s">
        <v>4218</v>
      </c>
      <c r="D68" s="510">
        <v>45738</v>
      </c>
      <c r="E68" s="177"/>
      <c r="F68" s="177" t="s">
        <v>2036</v>
      </c>
      <c r="G68" s="21" t="s">
        <v>5992</v>
      </c>
      <c r="H68" s="1491"/>
      <c r="I68" s="911">
        <v>23500</v>
      </c>
      <c r="J68" s="3">
        <f t="shared" si="3"/>
        <v>20680</v>
      </c>
      <c r="K68" t="s">
        <v>17</v>
      </c>
      <c r="L68" s="233">
        <v>45820</v>
      </c>
      <c r="T68" s="33" t="s">
        <v>4417</v>
      </c>
      <c r="U68" s="488">
        <v>0.3430555555555555</v>
      </c>
      <c r="V68" s="488">
        <v>0.47847222222222219</v>
      </c>
    </row>
    <row r="69" spans="1:22" s="21" customFormat="1" hidden="1" x14ac:dyDescent="0.25">
      <c r="A69" s="509">
        <v>22032025</v>
      </c>
      <c r="B69" s="21" t="s">
        <v>875</v>
      </c>
      <c r="C69" s="177" t="s">
        <v>4218</v>
      </c>
      <c r="D69" s="510">
        <v>45738</v>
      </c>
      <c r="E69" s="177"/>
      <c r="F69" s="177" t="s">
        <v>2036</v>
      </c>
      <c r="G69" s="21" t="s">
        <v>5994</v>
      </c>
      <c r="H69" s="1491"/>
      <c r="I69" s="911">
        <v>23500</v>
      </c>
      <c r="J69" s="3">
        <f t="shared" si="3"/>
        <v>20680</v>
      </c>
      <c r="K69" t="s">
        <v>17</v>
      </c>
      <c r="L69" s="233">
        <v>45820</v>
      </c>
      <c r="T69" s="33" t="s">
        <v>4417</v>
      </c>
      <c r="U69" s="488">
        <v>0.55069444444444449</v>
      </c>
      <c r="V69" s="488">
        <v>0.67708333333333337</v>
      </c>
    </row>
    <row r="70" spans="1:22" hidden="1" x14ac:dyDescent="0.25">
      <c r="A70" s="483">
        <v>24032025</v>
      </c>
      <c r="B70" s="21" t="s">
        <v>875</v>
      </c>
      <c r="C70" s="28" t="s">
        <v>4218</v>
      </c>
      <c r="D70" s="233">
        <v>45740</v>
      </c>
      <c r="E70" s="28"/>
      <c r="F70" s="28" t="s">
        <v>2036</v>
      </c>
      <c r="G70" t="s">
        <v>5993</v>
      </c>
      <c r="H70" s="1491"/>
      <c r="I70" s="798">
        <v>23500</v>
      </c>
      <c r="J70" s="3">
        <f t="shared" si="3"/>
        <v>20680</v>
      </c>
      <c r="K70" t="s">
        <v>17</v>
      </c>
      <c r="L70" s="233">
        <v>45820</v>
      </c>
      <c r="T70" t="s">
        <v>4509</v>
      </c>
      <c r="U70" s="360">
        <v>0.46597222222222223</v>
      </c>
      <c r="V70" s="360">
        <v>0.61249999999999993</v>
      </c>
    </row>
    <row r="71" spans="1:22" hidden="1" x14ac:dyDescent="0.25">
      <c r="A71" s="483" t="s">
        <v>5952</v>
      </c>
      <c r="B71" t="s">
        <v>875</v>
      </c>
      <c r="C71" s="28" t="s">
        <v>410</v>
      </c>
      <c r="D71" s="233">
        <v>45756</v>
      </c>
      <c r="E71" s="28"/>
      <c r="F71" s="28" t="s">
        <v>2036</v>
      </c>
      <c r="G71" t="s">
        <v>6178</v>
      </c>
      <c r="H71" s="1491" t="s">
        <v>6186</v>
      </c>
      <c r="I71" s="798">
        <v>23500</v>
      </c>
      <c r="J71" s="3">
        <f t="shared" si="3"/>
        <v>20680</v>
      </c>
      <c r="K71" t="s">
        <v>17</v>
      </c>
      <c r="L71" s="233">
        <v>45838</v>
      </c>
      <c r="T71" t="s">
        <v>5953</v>
      </c>
      <c r="U71" s="360">
        <v>0.37986111111111115</v>
      </c>
      <c r="V71" s="360">
        <v>0.50138888888888888</v>
      </c>
    </row>
    <row r="72" spans="1:22" hidden="1" x14ac:dyDescent="0.25">
      <c r="A72" s="483" t="s">
        <v>5988</v>
      </c>
      <c r="B72" t="s">
        <v>875</v>
      </c>
      <c r="C72" s="28" t="s">
        <v>13</v>
      </c>
      <c r="D72" s="233">
        <v>45762</v>
      </c>
      <c r="E72" s="28"/>
      <c r="F72" s="28" t="s">
        <v>2036</v>
      </c>
      <c r="G72" t="s">
        <v>6180</v>
      </c>
      <c r="H72" s="1491"/>
      <c r="I72" s="798">
        <v>23500</v>
      </c>
      <c r="J72" s="3">
        <f t="shared" si="3"/>
        <v>20680</v>
      </c>
      <c r="K72" t="s">
        <v>17</v>
      </c>
      <c r="L72" s="233">
        <v>45838</v>
      </c>
      <c r="T72" t="s">
        <v>5989</v>
      </c>
      <c r="U72" s="360">
        <v>0.56666666666666665</v>
      </c>
      <c r="V72" s="30"/>
    </row>
    <row r="73" spans="1:22" hidden="1" x14ac:dyDescent="0.25">
      <c r="A73" s="483">
        <v>20042025</v>
      </c>
      <c r="B73" t="s">
        <v>875</v>
      </c>
      <c r="C73" s="28" t="s">
        <v>13</v>
      </c>
      <c r="D73" s="233">
        <v>45767</v>
      </c>
      <c r="E73" s="28"/>
      <c r="F73" s="28" t="s">
        <v>2036</v>
      </c>
      <c r="G73" t="s">
        <v>6179</v>
      </c>
      <c r="H73" s="1491"/>
      <c r="I73" s="798">
        <v>23500</v>
      </c>
      <c r="J73" s="3">
        <f t="shared" si="3"/>
        <v>20680</v>
      </c>
      <c r="K73" t="s">
        <v>17</v>
      </c>
      <c r="L73" s="233">
        <v>45838</v>
      </c>
      <c r="T73" t="s">
        <v>4140</v>
      </c>
      <c r="U73" s="360">
        <v>0.42638888888888887</v>
      </c>
      <c r="V73" s="360">
        <v>0.59166666666666667</v>
      </c>
    </row>
    <row r="74" spans="1:22" hidden="1" x14ac:dyDescent="0.25">
      <c r="A74" s="483">
        <v>30042024</v>
      </c>
      <c r="B74" t="s">
        <v>875</v>
      </c>
      <c r="C74" s="28" t="s">
        <v>660</v>
      </c>
      <c r="D74" s="233">
        <v>45777</v>
      </c>
      <c r="E74" s="28"/>
      <c r="F74" s="28" t="s">
        <v>2036</v>
      </c>
      <c r="G74" t="s">
        <v>6181</v>
      </c>
      <c r="H74" s="1491"/>
      <c r="I74" s="798">
        <v>23500</v>
      </c>
      <c r="J74" s="3">
        <f t="shared" si="3"/>
        <v>20680</v>
      </c>
      <c r="K74" t="s">
        <v>17</v>
      </c>
      <c r="L74" s="233">
        <v>45838</v>
      </c>
      <c r="U74" s="30"/>
      <c r="V74" s="30"/>
    </row>
    <row r="75" spans="1:22" hidden="1" x14ac:dyDescent="0.25">
      <c r="A75" s="483" t="s">
        <v>6105</v>
      </c>
      <c r="B75" t="s">
        <v>875</v>
      </c>
      <c r="C75" s="28" t="s">
        <v>660</v>
      </c>
      <c r="D75" s="233">
        <v>45779</v>
      </c>
      <c r="E75" s="28"/>
      <c r="F75" s="28" t="s">
        <v>2036</v>
      </c>
      <c r="G75" t="s">
        <v>6182</v>
      </c>
      <c r="H75" s="1491"/>
      <c r="I75" s="61">
        <v>23500</v>
      </c>
      <c r="J75" s="3">
        <f t="shared" si="3"/>
        <v>20680</v>
      </c>
      <c r="K75" t="s">
        <v>17</v>
      </c>
      <c r="L75" s="233">
        <v>45838</v>
      </c>
      <c r="T75" t="s">
        <v>5021</v>
      </c>
      <c r="U75" s="360">
        <v>0.51597222222222217</v>
      </c>
      <c r="V75" s="360">
        <v>0.6645833333333333</v>
      </c>
    </row>
    <row r="76" spans="1:22" hidden="1" x14ac:dyDescent="0.25">
      <c r="A76" s="483" t="s">
        <v>6106</v>
      </c>
      <c r="B76" t="s">
        <v>875</v>
      </c>
      <c r="C76" s="28" t="s">
        <v>278</v>
      </c>
      <c r="D76" s="233">
        <v>45780</v>
      </c>
      <c r="E76" s="28"/>
      <c r="F76" s="28" t="s">
        <v>2036</v>
      </c>
      <c r="G76" t="s">
        <v>6183</v>
      </c>
      <c r="H76" s="1491"/>
      <c r="I76" s="798">
        <v>23500</v>
      </c>
      <c r="J76" s="3">
        <f t="shared" si="3"/>
        <v>20680</v>
      </c>
      <c r="K76" t="s">
        <v>17</v>
      </c>
      <c r="L76" s="233">
        <v>45838</v>
      </c>
      <c r="T76" t="s">
        <v>6067</v>
      </c>
      <c r="U76" s="360">
        <v>0.58402777777777781</v>
      </c>
      <c r="V76" s="360">
        <v>0.72638888888888886</v>
      </c>
    </row>
    <row r="77" spans="1:22" hidden="1" x14ac:dyDescent="0.25">
      <c r="A77" s="483" t="s">
        <v>6125</v>
      </c>
      <c r="B77" t="s">
        <v>875</v>
      </c>
      <c r="C77" s="28" t="s">
        <v>278</v>
      </c>
      <c r="D77" s="233">
        <v>45783</v>
      </c>
      <c r="E77" s="28"/>
      <c r="F77" s="28" t="s">
        <v>2036</v>
      </c>
      <c r="G77" t="s">
        <v>6184</v>
      </c>
      <c r="H77" s="1491"/>
      <c r="I77" s="798">
        <v>23500</v>
      </c>
      <c r="J77" s="3">
        <f t="shared" si="3"/>
        <v>20680</v>
      </c>
      <c r="K77" t="s">
        <v>17</v>
      </c>
      <c r="L77" s="233">
        <v>45838</v>
      </c>
      <c r="T77" t="s">
        <v>4853</v>
      </c>
      <c r="U77" s="360">
        <v>0.36944444444444446</v>
      </c>
      <c r="V77" s="30"/>
    </row>
    <row r="78" spans="1:22" hidden="1" x14ac:dyDescent="0.25">
      <c r="A78" s="483" t="s">
        <v>6125</v>
      </c>
      <c r="B78" t="s">
        <v>875</v>
      </c>
      <c r="C78" s="28" t="s">
        <v>660</v>
      </c>
      <c r="D78" s="233">
        <v>45783</v>
      </c>
      <c r="E78" s="28"/>
      <c r="F78" s="28" t="s">
        <v>2036</v>
      </c>
      <c r="G78" t="s">
        <v>6185</v>
      </c>
      <c r="H78" s="1491"/>
      <c r="I78" s="798">
        <v>23500</v>
      </c>
      <c r="J78" s="3">
        <f t="shared" si="3"/>
        <v>20680</v>
      </c>
      <c r="K78" t="s">
        <v>17</v>
      </c>
      <c r="L78" s="233">
        <v>45838</v>
      </c>
      <c r="T78" t="s">
        <v>3765</v>
      </c>
      <c r="U78" s="30"/>
      <c r="V78" s="30"/>
    </row>
    <row r="79" spans="1:22" hidden="1" x14ac:dyDescent="0.25">
      <c r="A79" s="483" t="s">
        <v>6146</v>
      </c>
      <c r="B79" t="s">
        <v>875</v>
      </c>
      <c r="C79" s="28" t="s">
        <v>660</v>
      </c>
      <c r="D79" s="233">
        <v>45786</v>
      </c>
      <c r="E79" s="28"/>
      <c r="F79" s="28" t="s">
        <v>2036</v>
      </c>
      <c r="G79" t="s">
        <v>6177</v>
      </c>
      <c r="H79" s="1491" t="s">
        <v>6315</v>
      </c>
      <c r="I79" s="798">
        <v>23500</v>
      </c>
      <c r="J79" s="3">
        <f t="shared" si="3"/>
        <v>20680</v>
      </c>
      <c r="K79" t="s">
        <v>17</v>
      </c>
      <c r="L79" s="233">
        <v>45843</v>
      </c>
      <c r="T79" t="s">
        <v>6147</v>
      </c>
      <c r="U79" s="360">
        <v>0.4368055555555555</v>
      </c>
      <c r="V79" s="360">
        <v>0.59722222222222221</v>
      </c>
    </row>
    <row r="80" spans="1:22" hidden="1" x14ac:dyDescent="0.25">
      <c r="A80" s="483" t="s">
        <v>6215</v>
      </c>
      <c r="B80" t="s">
        <v>875</v>
      </c>
      <c r="C80" s="28" t="s">
        <v>4437</v>
      </c>
      <c r="D80" s="233">
        <v>45792</v>
      </c>
      <c r="E80" s="28"/>
      <c r="F80" s="28" t="s">
        <v>2036</v>
      </c>
      <c r="G80" t="s">
        <v>6242</v>
      </c>
      <c r="H80" s="1491"/>
      <c r="I80" s="798">
        <v>23500</v>
      </c>
      <c r="J80" s="3">
        <f t="shared" si="3"/>
        <v>20680</v>
      </c>
      <c r="K80" t="s">
        <v>17</v>
      </c>
      <c r="L80" s="233">
        <v>45843</v>
      </c>
      <c r="T80" t="s">
        <v>5004</v>
      </c>
      <c r="U80" s="360">
        <v>0.37152777777777773</v>
      </c>
      <c r="V80" s="30"/>
    </row>
    <row r="81" spans="1:22" hidden="1" x14ac:dyDescent="0.25">
      <c r="A81" s="483" t="s">
        <v>6229</v>
      </c>
      <c r="B81" t="s">
        <v>875</v>
      </c>
      <c r="C81" s="28" t="s">
        <v>278</v>
      </c>
      <c r="D81" s="233">
        <v>45793</v>
      </c>
      <c r="E81" s="28"/>
      <c r="F81" s="28" t="s">
        <v>2036</v>
      </c>
      <c r="G81" t="s">
        <v>6243</v>
      </c>
      <c r="H81" s="1491"/>
      <c r="I81" s="798">
        <v>23500</v>
      </c>
      <c r="J81" s="3">
        <f t="shared" si="3"/>
        <v>20680</v>
      </c>
      <c r="K81" t="s">
        <v>17</v>
      </c>
      <c r="L81" s="233">
        <v>45843</v>
      </c>
      <c r="T81" t="s">
        <v>5026</v>
      </c>
      <c r="U81" s="360"/>
      <c r="V81" s="30"/>
    </row>
    <row r="82" spans="1:22" hidden="1" x14ac:dyDescent="0.25">
      <c r="A82" s="483" t="s">
        <v>6236</v>
      </c>
      <c r="B82" t="s">
        <v>875</v>
      </c>
      <c r="C82" s="28" t="s">
        <v>660</v>
      </c>
      <c r="D82" s="233">
        <v>45794</v>
      </c>
      <c r="E82" s="28"/>
      <c r="F82" s="28" t="s">
        <v>2036</v>
      </c>
      <c r="G82" t="s">
        <v>6244</v>
      </c>
      <c r="H82" s="1491"/>
      <c r="I82" s="798">
        <v>23500</v>
      </c>
      <c r="J82" s="3">
        <f t="shared" si="3"/>
        <v>20680</v>
      </c>
      <c r="K82" t="s">
        <v>17</v>
      </c>
      <c r="L82" s="233">
        <v>45843</v>
      </c>
      <c r="T82" t="s">
        <v>4911</v>
      </c>
      <c r="U82" s="360">
        <v>0.4826388888888889</v>
      </c>
      <c r="V82" s="360">
        <v>0.60833333333333328</v>
      </c>
    </row>
    <row r="83" spans="1:22" hidden="1" x14ac:dyDescent="0.25">
      <c r="A83" s="690">
        <v>20052025</v>
      </c>
      <c r="B83" t="s">
        <v>875</v>
      </c>
      <c r="C83" s="28" t="s">
        <v>660</v>
      </c>
      <c r="D83" s="233">
        <v>45797</v>
      </c>
      <c r="E83" s="28"/>
      <c r="F83" s="28" t="s">
        <v>2036</v>
      </c>
      <c r="G83" t="s">
        <v>6285</v>
      </c>
      <c r="H83" s="1491"/>
      <c r="I83" s="798">
        <v>23500</v>
      </c>
      <c r="J83" s="3">
        <f t="shared" si="3"/>
        <v>20680</v>
      </c>
      <c r="K83" t="s">
        <v>17</v>
      </c>
      <c r="L83" s="233">
        <v>45843</v>
      </c>
      <c r="T83" t="s">
        <v>1644</v>
      </c>
      <c r="U83" s="360">
        <v>0.59722222222222221</v>
      </c>
      <c r="V83" s="360">
        <v>0.73888888888888893</v>
      </c>
    </row>
    <row r="84" spans="1:22" hidden="1" x14ac:dyDescent="0.25">
      <c r="A84" s="483">
        <v>24052025</v>
      </c>
      <c r="B84" t="s">
        <v>875</v>
      </c>
      <c r="C84" s="28" t="s">
        <v>660</v>
      </c>
      <c r="D84" s="233">
        <v>45801</v>
      </c>
      <c r="E84" s="28"/>
      <c r="F84" s="28" t="s">
        <v>2036</v>
      </c>
      <c r="G84" t="s">
        <v>6286</v>
      </c>
      <c r="H84" s="1491"/>
      <c r="I84" s="798">
        <v>23500</v>
      </c>
      <c r="J84" s="3">
        <f t="shared" si="3"/>
        <v>20680</v>
      </c>
      <c r="K84" t="s">
        <v>17</v>
      </c>
      <c r="L84" s="233">
        <v>45843</v>
      </c>
      <c r="T84" t="s">
        <v>5026</v>
      </c>
      <c r="U84" s="360">
        <v>0.36944444444444446</v>
      </c>
      <c r="V84" s="360">
        <v>0.49444444444444446</v>
      </c>
    </row>
    <row r="85" spans="1:22" ht="12.75" customHeight="1" thickBot="1" x14ac:dyDescent="0.3"/>
    <row r="86" spans="1:22" ht="15.75" thickBot="1" x14ac:dyDescent="0.3">
      <c r="H86" t="s">
        <v>4479</v>
      </c>
      <c r="I86" s="593">
        <f>SUBTOTAL(9,I30:I85)</f>
        <v>0</v>
      </c>
    </row>
    <row r="89" spans="1:22" ht="15.75" thickBot="1" x14ac:dyDescent="0.3"/>
    <row r="90" spans="1:22" ht="15.75" thickBot="1" x14ac:dyDescent="0.3">
      <c r="H90" t="s">
        <v>4480</v>
      </c>
      <c r="I90" s="206">
        <f>+I23+I86</f>
        <v>0</v>
      </c>
    </row>
    <row r="92" spans="1:22" x14ac:dyDescent="0.25">
      <c r="J92" s="32"/>
      <c r="K92" s="25" t="s">
        <v>750</v>
      </c>
      <c r="L92" s="28" t="s">
        <v>2468</v>
      </c>
    </row>
    <row r="93" spans="1:22" x14ac:dyDescent="0.25">
      <c r="I93" s="972" t="s">
        <v>6230</v>
      </c>
      <c r="J93" s="973">
        <v>1292500</v>
      </c>
      <c r="K93" s="972">
        <v>55</v>
      </c>
      <c r="L93" s="122">
        <v>45801</v>
      </c>
    </row>
    <row r="94" spans="1:22" x14ac:dyDescent="0.25">
      <c r="I94" s="726" t="s">
        <v>6231</v>
      </c>
      <c r="J94" s="793">
        <v>1292500</v>
      </c>
      <c r="K94" s="726">
        <f>+J94/23500</f>
        <v>55</v>
      </c>
      <c r="L94" s="122">
        <f>+L93</f>
        <v>45801</v>
      </c>
    </row>
    <row r="95" spans="1:22" x14ac:dyDescent="0.25">
      <c r="I95" s="974" t="s">
        <v>2128</v>
      </c>
      <c r="J95" s="975">
        <f>+J93-J94</f>
        <v>0</v>
      </c>
      <c r="K95" s="974">
        <f>+K93-K94</f>
        <v>0</v>
      </c>
    </row>
  </sheetData>
  <autoFilter ref="A2:V95" xr:uid="{00000000-0009-0000-0000-00000C000000}">
    <filterColumn colId="10">
      <filters blank="1">
        <filter val="0"/>
        <filter val="55"/>
        <filter val="CANTIDAD"/>
        <filter val="STATUS"/>
      </filters>
    </filterColumn>
    <filterColumn colId="13" showButton="0"/>
    <filterColumn colId="14" showButton="0"/>
    <filterColumn colId="15" showButton="0"/>
  </autoFilter>
  <mergeCells count="13">
    <mergeCell ref="H79:H84"/>
    <mergeCell ref="H71:H78"/>
    <mergeCell ref="N2:Q2"/>
    <mergeCell ref="A28:H28"/>
    <mergeCell ref="H30:H33"/>
    <mergeCell ref="H35:H39"/>
    <mergeCell ref="H40:H48"/>
    <mergeCell ref="H65:H70"/>
    <mergeCell ref="H62:H64"/>
    <mergeCell ref="H56:H61"/>
    <mergeCell ref="H49:H51"/>
    <mergeCell ref="H52:H53"/>
    <mergeCell ref="H54:H5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72421" r:id="rId3" name="Button 1">
              <controlPr defaultSize="0" print="0" autoFill="0" autoPict="0" macro="[0]!RETORNAR">
                <anchor moveWithCells="1" sizeWithCells="1">
                  <from>
                    <xdr:col>0</xdr:col>
                    <xdr:colOff>28575</xdr:colOff>
                    <xdr:row>0</xdr:row>
                    <xdr:rowOff>0</xdr:rowOff>
                  </from>
                  <to>
                    <xdr:col>2</xdr:col>
                    <xdr:colOff>323850</xdr:colOff>
                    <xdr:row>0</xdr:row>
                    <xdr:rowOff>257175</xdr:rowOff>
                  </to>
                </anchor>
              </controlPr>
            </control>
          </mc:Choice>
        </mc:AlternateContent>
        <mc:AlternateContent xmlns:mc="http://schemas.openxmlformats.org/markup-compatibility/2006">
          <mc:Choice Requires="x14">
            <control shapeId="572436" r:id="rId4" name="Botón 20">
              <controlPr defaultSize="0" print="0" autoFill="0" autoPict="0" macro="[0]!IR_VENTAS_B200_2026">
                <anchor moveWithCells="1" sizeWithCells="1">
                  <from>
                    <xdr:col>0</xdr:col>
                    <xdr:colOff>666750</xdr:colOff>
                    <xdr:row>93</xdr:row>
                    <xdr:rowOff>180975</xdr:rowOff>
                  </from>
                  <to>
                    <xdr:col>2</xdr:col>
                    <xdr:colOff>447675</xdr:colOff>
                    <xdr:row>97</xdr:row>
                    <xdr:rowOff>28575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40" filterMode="1"/>
  <dimension ref="A1:V13"/>
  <sheetViews>
    <sheetView workbookViewId="0">
      <selection activeCell="G15" sqref="G15"/>
    </sheetView>
  </sheetViews>
  <sheetFormatPr baseColWidth="10" defaultColWidth="10.85546875" defaultRowHeight="15" x14ac:dyDescent="0.25"/>
  <cols>
    <col min="2" max="2" width="23.140625" customWidth="1"/>
    <col min="3" max="3" width="5.42578125" customWidth="1"/>
    <col min="5" max="5" width="5.28515625" customWidth="1"/>
    <col min="7" max="7" width="42.5703125" customWidth="1"/>
    <col min="9" max="9" width="11.5703125" bestFit="1" customWidth="1"/>
    <col min="10" max="10" width="12" bestFit="1" customWidth="1"/>
  </cols>
  <sheetData>
    <row r="1" spans="1:22" ht="25.5" customHeight="1" x14ac:dyDescent="0.25"/>
    <row r="2" spans="1:22" x14ac:dyDescent="0.25">
      <c r="A2" t="s">
        <v>706</v>
      </c>
      <c r="B2" s="1" t="s">
        <v>0</v>
      </c>
      <c r="C2" s="1" t="s">
        <v>1</v>
      </c>
      <c r="D2" s="1" t="s">
        <v>2</v>
      </c>
      <c r="E2" s="1"/>
      <c r="F2" s="1" t="s">
        <v>3</v>
      </c>
      <c r="G2" s="1" t="s">
        <v>4</v>
      </c>
      <c r="H2" s="1" t="s">
        <v>5</v>
      </c>
      <c r="I2" s="1" t="s">
        <v>6</v>
      </c>
      <c r="J2" s="1" t="s">
        <v>1780</v>
      </c>
      <c r="K2" s="1" t="s">
        <v>8</v>
      </c>
      <c r="L2" s="1" t="s">
        <v>3998</v>
      </c>
      <c r="M2" s="1" t="s">
        <v>10</v>
      </c>
      <c r="N2" s="1480" t="s">
        <v>11</v>
      </c>
      <c r="O2" s="1480"/>
      <c r="P2" s="1480"/>
      <c r="Q2" s="1480"/>
    </row>
    <row r="3" spans="1:22" hidden="1" x14ac:dyDescent="0.25">
      <c r="A3" s="116">
        <v>22082022</v>
      </c>
      <c r="B3" s="169" t="s">
        <v>1155</v>
      </c>
      <c r="C3" s="169" t="s">
        <v>693</v>
      </c>
      <c r="D3" s="1536">
        <v>44795</v>
      </c>
      <c r="E3" s="88"/>
      <c r="F3" t="s">
        <v>317</v>
      </c>
      <c r="G3" s="188" t="s">
        <v>1162</v>
      </c>
      <c r="H3" t="s">
        <v>1169</v>
      </c>
      <c r="I3" s="160">
        <v>36800</v>
      </c>
      <c r="J3" s="160">
        <f t="shared" ref="J3:J8" si="0">+I3*0.88</f>
        <v>32384</v>
      </c>
      <c r="K3" s="88" t="s">
        <v>17</v>
      </c>
      <c r="L3" s="122">
        <v>44820</v>
      </c>
      <c r="O3" s="163" t="s">
        <v>655</v>
      </c>
      <c r="P3" s="157">
        <v>0.40625</v>
      </c>
      <c r="Q3" s="157">
        <v>0.71458333333333324</v>
      </c>
    </row>
    <row r="4" spans="1:22" hidden="1" x14ac:dyDescent="0.25">
      <c r="A4" s="116"/>
      <c r="B4" s="169"/>
      <c r="C4" s="21"/>
      <c r="D4" s="1536"/>
      <c r="E4" s="88"/>
      <c r="F4" t="s">
        <v>317</v>
      </c>
      <c r="G4" s="188" t="s">
        <v>1163</v>
      </c>
      <c r="H4" t="s">
        <v>1168</v>
      </c>
      <c r="I4" s="160">
        <f>11680</f>
        <v>11680</v>
      </c>
      <c r="J4" s="160">
        <f t="shared" si="0"/>
        <v>10278.4</v>
      </c>
      <c r="K4" s="88" t="s">
        <v>17</v>
      </c>
      <c r="L4" s="122">
        <v>44820</v>
      </c>
      <c r="O4" s="163"/>
      <c r="P4" s="157"/>
      <c r="Q4" s="157"/>
    </row>
    <row r="5" spans="1:22" hidden="1" x14ac:dyDescent="0.25">
      <c r="A5" s="116"/>
      <c r="B5" s="169"/>
      <c r="C5" s="21"/>
      <c r="D5" s="239"/>
      <c r="E5" s="88"/>
      <c r="F5" t="s">
        <v>317</v>
      </c>
      <c r="G5" s="188" t="s">
        <v>1626</v>
      </c>
      <c r="H5" t="s">
        <v>1624</v>
      </c>
      <c r="I5" s="160">
        <v>36800</v>
      </c>
      <c r="J5" s="160">
        <f t="shared" si="0"/>
        <v>32384</v>
      </c>
      <c r="K5" s="160" t="s">
        <v>17</v>
      </c>
      <c r="L5" s="122">
        <v>44952</v>
      </c>
      <c r="O5" s="163"/>
      <c r="P5" s="157"/>
      <c r="Q5" s="157"/>
    </row>
    <row r="6" spans="1:22" hidden="1" x14ac:dyDescent="0.25">
      <c r="A6" s="115">
        <v>23122022</v>
      </c>
      <c r="B6" t="s">
        <v>1155</v>
      </c>
      <c r="C6" s="169" t="s">
        <v>693</v>
      </c>
      <c r="D6" s="122">
        <v>44918</v>
      </c>
      <c r="E6" s="88"/>
      <c r="F6" t="s">
        <v>317</v>
      </c>
      <c r="G6" s="188" t="s">
        <v>1627</v>
      </c>
      <c r="H6" t="s">
        <v>1625</v>
      </c>
      <c r="I6" s="160">
        <f>11680</f>
        <v>11680</v>
      </c>
      <c r="J6" s="160">
        <f t="shared" si="0"/>
        <v>10278.4</v>
      </c>
      <c r="K6" s="160" t="s">
        <v>17</v>
      </c>
      <c r="L6" s="122">
        <v>44952</v>
      </c>
      <c r="S6" s="2" t="s">
        <v>1506</v>
      </c>
      <c r="T6" s="21"/>
      <c r="U6" s="21"/>
    </row>
    <row r="7" spans="1:22" hidden="1" x14ac:dyDescent="0.25">
      <c r="A7" s="115"/>
      <c r="C7" s="169"/>
      <c r="D7" s="122"/>
      <c r="E7" s="88"/>
      <c r="F7" t="s">
        <v>317</v>
      </c>
      <c r="G7" s="188" t="s">
        <v>2222</v>
      </c>
      <c r="H7" t="s">
        <v>2220</v>
      </c>
      <c r="I7" s="160">
        <v>38656.800000000003</v>
      </c>
      <c r="J7" s="160">
        <f t="shared" si="0"/>
        <v>34017.984000000004</v>
      </c>
      <c r="K7" s="88" t="s">
        <v>17</v>
      </c>
      <c r="L7" s="122">
        <v>45041</v>
      </c>
      <c r="S7" s="2"/>
      <c r="T7" s="21"/>
      <c r="U7" s="21"/>
    </row>
    <row r="8" spans="1:22" hidden="1" x14ac:dyDescent="0.25">
      <c r="A8" s="95" t="s">
        <v>1975</v>
      </c>
      <c r="B8" t="s">
        <v>1155</v>
      </c>
      <c r="D8" s="122">
        <v>45020</v>
      </c>
      <c r="F8" t="s">
        <v>317</v>
      </c>
      <c r="G8" s="188" t="s">
        <v>2223</v>
      </c>
      <c r="H8" t="s">
        <v>2221</v>
      </c>
      <c r="I8" s="160">
        <v>9204</v>
      </c>
      <c r="J8" s="160">
        <f t="shared" si="0"/>
        <v>8099.52</v>
      </c>
      <c r="K8" s="88" t="s">
        <v>17</v>
      </c>
      <c r="L8" s="122">
        <v>45041</v>
      </c>
    </row>
    <row r="9" spans="1:22" x14ac:dyDescent="0.25">
      <c r="A9" s="95"/>
      <c r="D9" s="122"/>
      <c r="G9" s="30" t="s">
        <v>3828</v>
      </c>
      <c r="H9" t="s">
        <v>3830</v>
      </c>
      <c r="I9" s="160">
        <v>38656.800000000003</v>
      </c>
      <c r="J9" s="3">
        <f>+I9-ROUND(I9*0.12,0)</f>
        <v>34017.800000000003</v>
      </c>
      <c r="K9" s="122">
        <v>45359</v>
      </c>
      <c r="L9" s="122"/>
    </row>
    <row r="10" spans="1:22" x14ac:dyDescent="0.25">
      <c r="A10" s="256">
        <v>10122023</v>
      </c>
      <c r="B10" t="s">
        <v>1155</v>
      </c>
      <c r="C10" t="s">
        <v>278</v>
      </c>
      <c r="D10" s="122">
        <v>45270</v>
      </c>
      <c r="F10" s="30" t="s">
        <v>317</v>
      </c>
      <c r="G10" s="30" t="s">
        <v>3829</v>
      </c>
      <c r="H10" t="s">
        <v>3831</v>
      </c>
      <c r="I10" s="160">
        <v>9204</v>
      </c>
      <c r="J10" s="3">
        <f>+I10-ROUND(I10*0.12,0)</f>
        <v>8100</v>
      </c>
      <c r="K10" s="122">
        <v>45359</v>
      </c>
      <c r="L10" s="88"/>
      <c r="T10" s="14" t="s">
        <v>989</v>
      </c>
      <c r="U10" s="14">
        <v>0.31666666666666665</v>
      </c>
      <c r="V10" s="14">
        <v>0.58402777777777781</v>
      </c>
    </row>
    <row r="11" spans="1:22" x14ac:dyDescent="0.25">
      <c r="A11" s="256"/>
      <c r="D11" s="122"/>
      <c r="F11" s="30"/>
      <c r="G11" s="30"/>
      <c r="I11" s="313"/>
      <c r="J11" s="160"/>
      <c r="L11" s="88"/>
      <c r="T11" s="14"/>
      <c r="U11" s="14"/>
      <c r="V11" s="14"/>
    </row>
    <row r="12" spans="1:22" x14ac:dyDescent="0.25">
      <c r="A12" s="116"/>
      <c r="B12" s="169"/>
      <c r="C12" s="21"/>
      <c r="D12" s="123"/>
      <c r="E12" s="88"/>
      <c r="F12" s="21"/>
      <c r="G12" s="21"/>
      <c r="I12" s="160"/>
      <c r="J12" s="160"/>
      <c r="K12" s="160"/>
      <c r="O12" s="163"/>
      <c r="P12" s="157"/>
      <c r="Q12" s="157"/>
    </row>
    <row r="13" spans="1:22" x14ac:dyDescent="0.25">
      <c r="H13" s="5" t="s">
        <v>423</v>
      </c>
      <c r="I13" s="9">
        <f>SUBTOTAL(9,I3:I12)</f>
        <v>47860.800000000003</v>
      </c>
    </row>
  </sheetData>
  <autoFilter ref="A2:Q12" xr:uid="{00000000-0009-0000-0000-00000D000000}">
    <filterColumn colId="10">
      <filters blank="1" calendarType="gregorian">
        <dateGroupItem year="2024" dateTimeGrouping="year"/>
      </filters>
    </filterColumn>
    <filterColumn colId="13" showButton="0"/>
    <filterColumn colId="14" showButton="0"/>
    <filterColumn colId="15" showButton="0"/>
  </autoFilter>
  <mergeCells count="2">
    <mergeCell ref="N2:Q2"/>
    <mergeCell ref="D3:D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73444" r:id="rId3" name="Button 1">
              <controlPr defaultSize="0" print="0" autoFill="0" autoPict="0" macro="[0]!RETORNAR">
                <anchor moveWithCells="1" sizeWithCells="1">
                  <from>
                    <xdr:col>0</xdr:col>
                    <xdr:colOff>28575</xdr:colOff>
                    <xdr:row>0</xdr:row>
                    <xdr:rowOff>0</xdr:rowOff>
                  </from>
                  <to>
                    <xdr:col>2</xdr:col>
                    <xdr:colOff>323850</xdr:colOff>
                    <xdr:row>0</xdr:row>
                    <xdr:rowOff>257175</xdr:rowOff>
                  </to>
                </anchor>
              </controlPr>
            </control>
          </mc:Choice>
        </mc:AlternateContent>
        <mc:AlternateContent xmlns:mc="http://schemas.openxmlformats.org/markup-compatibility/2006">
          <mc:Choice Requires="x14">
            <control shapeId="573448" r:id="rId4" name="Botón 8">
              <controlPr defaultSize="0" print="0" autoFill="0" autoPict="0" macro="[0]!IR_VENTAS_B200_2026">
                <anchor moveWithCells="1" sizeWithCells="1">
                  <from>
                    <xdr:col>0</xdr:col>
                    <xdr:colOff>628650</xdr:colOff>
                    <xdr:row>19</xdr:row>
                    <xdr:rowOff>76200</xdr:rowOff>
                  </from>
                  <to>
                    <xdr:col>1</xdr:col>
                    <xdr:colOff>1171575</xdr:colOff>
                    <xdr:row>22</xdr:row>
                    <xdr:rowOff>104775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4" filterMode="1"/>
  <dimension ref="A1:V98"/>
  <sheetViews>
    <sheetView topLeftCell="F1" workbookViewId="0">
      <selection activeCell="I60" sqref="I60"/>
    </sheetView>
  </sheetViews>
  <sheetFormatPr baseColWidth="10" defaultColWidth="10.85546875" defaultRowHeight="15" x14ac:dyDescent="0.25"/>
  <cols>
    <col min="1" max="1" width="19.140625" customWidth="1"/>
    <col min="2" max="2" width="31.85546875" bestFit="1" customWidth="1"/>
    <col min="3" max="3" width="13.140625" bestFit="1" customWidth="1"/>
    <col min="4" max="4" width="21.85546875" style="6" customWidth="1"/>
    <col min="5" max="5" width="7.85546875" bestFit="1" customWidth="1"/>
    <col min="6" max="6" width="13.42578125" customWidth="1"/>
    <col min="7" max="7" width="45.140625" customWidth="1"/>
    <col min="8" max="8" width="31.5703125" customWidth="1"/>
    <col min="9" max="9" width="14.5703125" bestFit="1" customWidth="1"/>
    <col min="10" max="10" width="13.5703125" style="28" bestFit="1" customWidth="1"/>
    <col min="11" max="11" width="13.5703125" bestFit="1" customWidth="1"/>
    <col min="12" max="12" width="12.5703125" style="6" bestFit="1" customWidth="1"/>
    <col min="13" max="13" width="12" style="129" bestFit="1" customWidth="1"/>
    <col min="14" max="15" width="12.7109375" style="129" hidden="1" customWidth="1"/>
    <col min="16" max="16" width="19.140625" style="129" customWidth="1"/>
    <col min="17" max="17" width="11.42578125" style="32"/>
    <col min="20" max="20" width="11.42578125" style="74"/>
  </cols>
  <sheetData>
    <row r="1" spans="1:20" ht="23.1" customHeight="1" thickBot="1" x14ac:dyDescent="0.3"/>
    <row r="2" spans="1:20" ht="15.75" thickBot="1" x14ac:dyDescent="0.3">
      <c r="B2" s="1499" t="s">
        <v>355</v>
      </c>
      <c r="C2" s="1501"/>
      <c r="D2" s="1542"/>
      <c r="E2" s="1501"/>
      <c r="F2" s="1501"/>
      <c r="G2" s="1501"/>
      <c r="H2" s="1501"/>
      <c r="I2" s="1501"/>
      <c r="J2" s="1501"/>
      <c r="K2" s="1501"/>
      <c r="L2" s="1501"/>
      <c r="M2" s="1501"/>
      <c r="N2" s="1501"/>
      <c r="O2" s="1501"/>
      <c r="P2" s="1501"/>
      <c r="Q2" s="1502"/>
    </row>
    <row r="3" spans="1:20" x14ac:dyDescent="0.25">
      <c r="A3" s="1" t="s">
        <v>706</v>
      </c>
      <c r="B3" s="1" t="s">
        <v>0</v>
      </c>
      <c r="C3" s="1" t="s">
        <v>1</v>
      </c>
      <c r="D3" s="94" t="s">
        <v>2</v>
      </c>
      <c r="E3" s="1"/>
      <c r="F3" s="1" t="s">
        <v>3</v>
      </c>
      <c r="G3" s="1" t="s">
        <v>4</v>
      </c>
      <c r="H3" s="1" t="s">
        <v>5</v>
      </c>
      <c r="I3" s="1" t="s">
        <v>6</v>
      </c>
      <c r="J3" s="1" t="s">
        <v>1780</v>
      </c>
      <c r="K3" s="1" t="s">
        <v>8</v>
      </c>
      <c r="L3" s="1" t="s">
        <v>3998</v>
      </c>
      <c r="M3" s="128" t="s">
        <v>10</v>
      </c>
      <c r="N3" s="128"/>
      <c r="O3" s="128"/>
      <c r="P3" s="128" t="s">
        <v>1601</v>
      </c>
      <c r="Q3" s="1480" t="s">
        <v>11</v>
      </c>
      <c r="R3" s="1480"/>
      <c r="S3" s="1480"/>
      <c r="T3" s="1480"/>
    </row>
    <row r="4" spans="1:20" hidden="1" x14ac:dyDescent="0.25">
      <c r="B4" t="s">
        <v>220</v>
      </c>
      <c r="C4" t="s">
        <v>31</v>
      </c>
      <c r="D4" s="122">
        <v>44225</v>
      </c>
      <c r="E4" s="2"/>
      <c r="F4" t="s">
        <v>221</v>
      </c>
      <c r="G4" t="s">
        <v>222</v>
      </c>
      <c r="H4" t="s">
        <v>223</v>
      </c>
      <c r="I4" s="3">
        <v>52980</v>
      </c>
      <c r="K4" t="s">
        <v>17</v>
      </c>
      <c r="L4" s="122">
        <v>44277</v>
      </c>
      <c r="M4" s="129" t="s">
        <v>224</v>
      </c>
      <c r="N4" s="129">
        <f>IF(K4="PAGADA",L4-D4,0)</f>
        <v>52</v>
      </c>
      <c r="O4" s="129" t="s">
        <v>1600</v>
      </c>
      <c r="P4" s="129" t="str">
        <f>CONCATENATE(N4,O4)</f>
        <v>52 dias</v>
      </c>
    </row>
    <row r="5" spans="1:20" hidden="1" x14ac:dyDescent="0.25">
      <c r="B5" t="s">
        <v>220</v>
      </c>
      <c r="D5" s="122">
        <v>44229</v>
      </c>
      <c r="E5" s="2"/>
      <c r="F5" t="s">
        <v>221</v>
      </c>
      <c r="G5" t="s">
        <v>225</v>
      </c>
      <c r="H5" t="s">
        <v>226</v>
      </c>
      <c r="I5" s="3">
        <v>51700</v>
      </c>
      <c r="K5" t="s">
        <v>17</v>
      </c>
      <c r="L5" s="122">
        <v>44343</v>
      </c>
      <c r="M5" s="129" t="s">
        <v>224</v>
      </c>
      <c r="N5" s="129">
        <f t="shared" ref="N5:N16" si="0">IF(K5="PAGADA",L5-D5,0)</f>
        <v>114</v>
      </c>
      <c r="O5" s="129" t="s">
        <v>1600</v>
      </c>
      <c r="P5" s="129" t="str">
        <f t="shared" ref="P5:P16" si="1">CONCATENATE(N5,O5)</f>
        <v>114 dias</v>
      </c>
      <c r="R5" t="s">
        <v>24</v>
      </c>
    </row>
    <row r="6" spans="1:20" hidden="1" x14ac:dyDescent="0.25">
      <c r="B6" t="s">
        <v>220</v>
      </c>
      <c r="D6" s="122">
        <v>44265</v>
      </c>
      <c r="E6" s="2"/>
      <c r="F6" t="s">
        <v>1492</v>
      </c>
      <c r="G6" t="s">
        <v>227</v>
      </c>
      <c r="H6" t="s">
        <v>228</v>
      </c>
      <c r="I6" s="3">
        <v>42210</v>
      </c>
      <c r="K6" t="s">
        <v>17</v>
      </c>
      <c r="L6" s="122">
        <v>44343</v>
      </c>
      <c r="M6" s="129" t="s">
        <v>224</v>
      </c>
      <c r="N6" s="129">
        <f t="shared" si="0"/>
        <v>78</v>
      </c>
      <c r="O6" s="129" t="s">
        <v>1600</v>
      </c>
      <c r="P6" s="129" t="str">
        <f t="shared" si="1"/>
        <v>78 dias</v>
      </c>
    </row>
    <row r="7" spans="1:20" hidden="1" x14ac:dyDescent="0.25">
      <c r="B7" t="s">
        <v>220</v>
      </c>
      <c r="C7" t="s">
        <v>31</v>
      </c>
      <c r="D7" s="122">
        <v>44308</v>
      </c>
      <c r="E7" s="2"/>
      <c r="F7" t="s">
        <v>221</v>
      </c>
      <c r="G7" t="s">
        <v>229</v>
      </c>
      <c r="H7" t="s">
        <v>230</v>
      </c>
      <c r="I7" s="3">
        <v>52400</v>
      </c>
      <c r="J7" s="105"/>
      <c r="K7" t="s">
        <v>17</v>
      </c>
      <c r="L7" s="122">
        <v>44357</v>
      </c>
      <c r="M7" s="129" t="s">
        <v>224</v>
      </c>
      <c r="N7" s="129">
        <f t="shared" si="0"/>
        <v>49</v>
      </c>
      <c r="O7" s="129" t="s">
        <v>1600</v>
      </c>
      <c r="P7" s="129" t="str">
        <f t="shared" si="1"/>
        <v>49 dias</v>
      </c>
    </row>
    <row r="8" spans="1:20" hidden="1" x14ac:dyDescent="0.25">
      <c r="B8" t="s">
        <v>220</v>
      </c>
      <c r="C8" t="s">
        <v>31</v>
      </c>
      <c r="D8" s="122">
        <v>44360</v>
      </c>
      <c r="E8" s="2"/>
      <c r="F8" t="s">
        <v>221</v>
      </c>
      <c r="G8" t="s">
        <v>231</v>
      </c>
      <c r="H8" t="s">
        <v>232</v>
      </c>
      <c r="I8" s="3">
        <v>52850</v>
      </c>
      <c r="J8" s="105"/>
      <c r="K8" t="s">
        <v>17</v>
      </c>
      <c r="L8" s="122">
        <v>44628</v>
      </c>
      <c r="M8" s="129" t="s">
        <v>224</v>
      </c>
      <c r="N8" s="129">
        <f t="shared" si="0"/>
        <v>268</v>
      </c>
      <c r="O8" s="129" t="s">
        <v>1600</v>
      </c>
      <c r="P8" s="129" t="str">
        <f t="shared" si="1"/>
        <v>268 dias</v>
      </c>
      <c r="Q8" s="96">
        <f>+I8*0.88</f>
        <v>46508</v>
      </c>
      <c r="R8" s="13" t="s">
        <v>176</v>
      </c>
      <c r="S8" s="13"/>
      <c r="T8" s="101">
        <f>+I8*0.12</f>
        <v>6342</v>
      </c>
    </row>
    <row r="9" spans="1:20" hidden="1" x14ac:dyDescent="0.25">
      <c r="B9" t="s">
        <v>220</v>
      </c>
      <c r="C9" t="s">
        <v>31</v>
      </c>
      <c r="D9" s="122">
        <v>44395</v>
      </c>
      <c r="E9" s="7">
        <v>5</v>
      </c>
      <c r="F9" t="s">
        <v>221</v>
      </c>
      <c r="G9" t="s">
        <v>233</v>
      </c>
      <c r="H9" t="s">
        <v>804</v>
      </c>
      <c r="I9" s="3">
        <v>54766</v>
      </c>
      <c r="J9" s="105"/>
      <c r="K9" t="s">
        <v>17</v>
      </c>
      <c r="L9" s="122">
        <v>44553</v>
      </c>
      <c r="M9" s="129" t="s">
        <v>224</v>
      </c>
      <c r="N9" s="129">
        <f t="shared" si="0"/>
        <v>158</v>
      </c>
      <c r="O9" s="129" t="s">
        <v>1600</v>
      </c>
      <c r="P9" s="129" t="str">
        <f t="shared" si="1"/>
        <v>158 dias</v>
      </c>
      <c r="Q9" s="88"/>
      <c r="T9" s="100"/>
    </row>
    <row r="10" spans="1:20" hidden="1" x14ac:dyDescent="0.25">
      <c r="B10" t="s">
        <v>220</v>
      </c>
      <c r="C10" t="s">
        <v>31</v>
      </c>
      <c r="D10" s="122">
        <v>44397</v>
      </c>
      <c r="E10" s="7">
        <v>5</v>
      </c>
      <c r="F10" t="s">
        <v>221</v>
      </c>
      <c r="G10" t="s">
        <v>234</v>
      </c>
      <c r="H10" t="s">
        <v>235</v>
      </c>
      <c r="I10" s="3">
        <v>54700</v>
      </c>
      <c r="J10" s="105"/>
      <c r="K10" t="s">
        <v>17</v>
      </c>
      <c r="L10" s="122">
        <v>44553</v>
      </c>
      <c r="M10" s="129" t="s">
        <v>224</v>
      </c>
      <c r="N10" s="129">
        <f t="shared" si="0"/>
        <v>156</v>
      </c>
      <c r="O10" s="129" t="s">
        <v>1600</v>
      </c>
      <c r="P10" s="129" t="str">
        <f t="shared" si="1"/>
        <v>156 dias</v>
      </c>
      <c r="Q10" s="88"/>
      <c r="T10" s="100"/>
    </row>
    <row r="11" spans="1:20" hidden="1" x14ac:dyDescent="0.25">
      <c r="B11" t="s">
        <v>220</v>
      </c>
      <c r="C11" t="s">
        <v>67</v>
      </c>
      <c r="D11" s="122">
        <v>44411</v>
      </c>
      <c r="E11" s="7">
        <v>5</v>
      </c>
      <c r="F11" t="s">
        <v>236</v>
      </c>
      <c r="G11" t="s">
        <v>237</v>
      </c>
      <c r="H11" t="s">
        <v>238</v>
      </c>
      <c r="I11" s="3">
        <v>52920</v>
      </c>
      <c r="J11" s="105"/>
      <c r="K11" t="s">
        <v>17</v>
      </c>
      <c r="L11" s="122">
        <v>44553</v>
      </c>
      <c r="M11" s="129" t="s">
        <v>224</v>
      </c>
      <c r="N11" s="129">
        <f t="shared" si="0"/>
        <v>142</v>
      </c>
      <c r="O11" s="129" t="s">
        <v>1600</v>
      </c>
      <c r="P11" s="129" t="str">
        <f t="shared" si="1"/>
        <v>142 dias</v>
      </c>
      <c r="Q11" s="88"/>
      <c r="T11" s="100"/>
    </row>
    <row r="12" spans="1:20" hidden="1" x14ac:dyDescent="0.25">
      <c r="B12" t="s">
        <v>239</v>
      </c>
      <c r="C12" t="s">
        <v>67</v>
      </c>
      <c r="D12" s="122">
        <v>44474</v>
      </c>
      <c r="E12">
        <v>5</v>
      </c>
      <c r="F12" t="s">
        <v>240</v>
      </c>
      <c r="G12" t="s">
        <v>241</v>
      </c>
      <c r="H12" t="s">
        <v>242</v>
      </c>
      <c r="I12" s="3">
        <v>37500</v>
      </c>
      <c r="J12" s="105"/>
      <c r="K12" t="s">
        <v>17</v>
      </c>
      <c r="L12" s="122">
        <v>44554</v>
      </c>
      <c r="M12" s="129" t="s">
        <v>388</v>
      </c>
      <c r="N12" s="129">
        <f t="shared" si="0"/>
        <v>80</v>
      </c>
      <c r="O12" s="129" t="s">
        <v>1600</v>
      </c>
      <c r="P12" s="129" t="str">
        <f t="shared" si="1"/>
        <v>80 dias</v>
      </c>
      <c r="Q12" s="88"/>
      <c r="S12" s="13"/>
      <c r="T12" s="100"/>
    </row>
    <row r="13" spans="1:20" hidden="1" x14ac:dyDescent="0.25">
      <c r="B13" t="s">
        <v>220</v>
      </c>
      <c r="C13" t="s">
        <v>67</v>
      </c>
      <c r="D13" s="122">
        <v>44545</v>
      </c>
      <c r="E13">
        <v>5</v>
      </c>
      <c r="F13" t="s">
        <v>236</v>
      </c>
      <c r="G13" t="s">
        <v>634</v>
      </c>
      <c r="H13" t="s">
        <v>398</v>
      </c>
      <c r="I13" s="3">
        <v>38950</v>
      </c>
      <c r="K13" t="s">
        <v>17</v>
      </c>
      <c r="L13" s="122">
        <v>44631</v>
      </c>
      <c r="N13" s="129">
        <f t="shared" si="0"/>
        <v>86</v>
      </c>
      <c r="O13" s="129" t="s">
        <v>1600</v>
      </c>
      <c r="P13" s="129" t="str">
        <f t="shared" si="1"/>
        <v>86 dias</v>
      </c>
    </row>
    <row r="14" spans="1:20" hidden="1" x14ac:dyDescent="0.25">
      <c r="A14" s="116">
        <v>15112022</v>
      </c>
      <c r="B14" s="169" t="s">
        <v>596</v>
      </c>
      <c r="C14" s="30" t="s">
        <v>410</v>
      </c>
      <c r="D14" s="122">
        <v>44880</v>
      </c>
      <c r="E14" s="88"/>
      <c r="F14" t="s">
        <v>1319</v>
      </c>
      <c r="G14" s="21" t="s">
        <v>1489</v>
      </c>
      <c r="H14" t="s">
        <v>1899</v>
      </c>
      <c r="I14" s="3">
        <v>48700</v>
      </c>
      <c r="J14" s="160">
        <f>+I14*0.88</f>
        <v>42856</v>
      </c>
      <c r="K14" s="88" t="s">
        <v>17</v>
      </c>
      <c r="L14" s="122">
        <v>45002</v>
      </c>
      <c r="M14"/>
      <c r="N14" s="129">
        <f t="shared" si="0"/>
        <v>122</v>
      </c>
      <c r="O14" s="129" t="s">
        <v>1600</v>
      </c>
      <c r="P14" s="129" t="str">
        <f t="shared" si="1"/>
        <v>122 dias</v>
      </c>
      <c r="Q14"/>
      <c r="R14" s="21" t="s">
        <v>1485</v>
      </c>
      <c r="S14" s="157">
        <v>0.25555555555555559</v>
      </c>
      <c r="T14" s="157">
        <v>0.48958333333333331</v>
      </c>
    </row>
    <row r="15" spans="1:20" hidden="1" x14ac:dyDescent="0.25">
      <c r="A15" s="116" t="s">
        <v>1554</v>
      </c>
      <c r="B15" t="s">
        <v>596</v>
      </c>
      <c r="C15" s="30" t="s">
        <v>27</v>
      </c>
      <c r="D15" s="122">
        <v>44903</v>
      </c>
      <c r="E15" s="88"/>
      <c r="F15" t="s">
        <v>742</v>
      </c>
      <c r="G15" s="21" t="s">
        <v>1586</v>
      </c>
      <c r="H15" t="s">
        <v>1900</v>
      </c>
      <c r="I15" s="3">
        <v>48700</v>
      </c>
      <c r="J15" s="160">
        <f>+I15*0.88</f>
        <v>42856</v>
      </c>
      <c r="K15" s="88" t="s">
        <v>17</v>
      </c>
      <c r="L15" s="122">
        <v>45002</v>
      </c>
      <c r="M15"/>
      <c r="N15" s="129">
        <f t="shared" si="0"/>
        <v>99</v>
      </c>
      <c r="O15" s="129" t="s">
        <v>1600</v>
      </c>
      <c r="P15" s="129" t="str">
        <f t="shared" si="1"/>
        <v>99 dias</v>
      </c>
      <c r="Q15"/>
      <c r="R15" t="s">
        <v>1042</v>
      </c>
      <c r="S15" s="157">
        <v>0.29236111111111113</v>
      </c>
      <c r="T15" s="157">
        <v>0.52222222222222225</v>
      </c>
    </row>
    <row r="16" spans="1:20" hidden="1" x14ac:dyDescent="0.25">
      <c r="A16" s="116"/>
      <c r="B16" s="169"/>
      <c r="C16" s="30"/>
      <c r="D16" s="122">
        <v>44907</v>
      </c>
      <c r="E16" s="88"/>
      <c r="F16" t="s">
        <v>742</v>
      </c>
      <c r="G16" s="21" t="s">
        <v>1587</v>
      </c>
      <c r="H16" t="s">
        <v>1901</v>
      </c>
      <c r="I16" s="3">
        <v>48100</v>
      </c>
      <c r="J16" s="160">
        <f>+I16*0.88</f>
        <v>42328</v>
      </c>
      <c r="K16" s="88" t="s">
        <v>17</v>
      </c>
      <c r="L16" s="122">
        <v>45002</v>
      </c>
      <c r="M16"/>
      <c r="N16" s="129">
        <f t="shared" si="0"/>
        <v>95</v>
      </c>
      <c r="O16" s="129" t="s">
        <v>1600</v>
      </c>
      <c r="P16" s="129" t="str">
        <f t="shared" si="1"/>
        <v>95 dias</v>
      </c>
      <c r="Q16"/>
      <c r="R16" s="21"/>
      <c r="S16" s="157"/>
      <c r="T16" s="157"/>
    </row>
    <row r="17" spans="1:20" x14ac:dyDescent="0.25">
      <c r="A17" s="116"/>
      <c r="B17" s="169"/>
      <c r="C17" s="30"/>
      <c r="D17" s="122"/>
      <c r="E17" s="88"/>
      <c r="G17" s="21"/>
      <c r="I17" s="3"/>
      <c r="J17" s="160"/>
      <c r="K17" s="88"/>
      <c r="L17" s="32"/>
      <c r="M17"/>
      <c r="Q17"/>
      <c r="R17" s="21"/>
      <c r="S17" s="157"/>
      <c r="T17" s="157"/>
    </row>
    <row r="18" spans="1:20" x14ac:dyDescent="0.25">
      <c r="H18" t="s">
        <v>1781</v>
      </c>
      <c r="I18" s="9">
        <f>SUBTOTAL(9,I4:I16)</f>
        <v>0</v>
      </c>
      <c r="J18" s="248"/>
    </row>
    <row r="19" spans="1:20" x14ac:dyDescent="0.25">
      <c r="J19" s="159"/>
      <c r="K19" s="88"/>
    </row>
    <row r="20" spans="1:20" ht="15.75" thickBot="1" x14ac:dyDescent="0.3">
      <c r="J20" s="159"/>
    </row>
    <row r="21" spans="1:20" ht="15.75" thickBot="1" x14ac:dyDescent="0.3">
      <c r="B21" s="1487" t="s">
        <v>219</v>
      </c>
      <c r="C21" s="1488"/>
      <c r="D21" s="1543"/>
      <c r="E21" s="1488"/>
      <c r="F21" s="1488"/>
      <c r="G21" s="1488"/>
      <c r="H21" s="1488"/>
      <c r="I21" s="1489"/>
      <c r="J21" s="159"/>
      <c r="K21" s="1"/>
      <c r="L21" s="94"/>
      <c r="M21" s="130"/>
      <c r="N21" s="130"/>
      <c r="O21" s="130"/>
      <c r="P21" s="130"/>
      <c r="Q21" s="98"/>
      <c r="R21" s="1"/>
      <c r="S21" s="1"/>
      <c r="T21" s="99"/>
    </row>
    <row r="22" spans="1:20" hidden="1" x14ac:dyDescent="0.25">
      <c r="B22" t="s">
        <v>243</v>
      </c>
      <c r="C22" t="s">
        <v>67</v>
      </c>
      <c r="D22" s="122">
        <v>44441</v>
      </c>
      <c r="E22">
        <v>5</v>
      </c>
      <c r="F22" t="s">
        <v>236</v>
      </c>
      <c r="G22" t="s">
        <v>244</v>
      </c>
      <c r="H22" t="s">
        <v>245</v>
      </c>
      <c r="I22" s="3">
        <v>52920</v>
      </c>
      <c r="K22" t="s">
        <v>17</v>
      </c>
      <c r="L22" s="6">
        <v>44532</v>
      </c>
      <c r="M22" s="129" t="s">
        <v>81</v>
      </c>
      <c r="N22" s="129">
        <f t="shared" ref="N22:N46" si="2">IF(K22="PAGADA",L22-D22,0)</f>
        <v>91</v>
      </c>
      <c r="O22" s="129" t="s">
        <v>1600</v>
      </c>
      <c r="P22" s="129" t="str">
        <f>CONCATENATE(N22,O22)</f>
        <v>91 dias</v>
      </c>
      <c r="R22" t="s">
        <v>681</v>
      </c>
    </row>
    <row r="23" spans="1:20" hidden="1" x14ac:dyDescent="0.25">
      <c r="B23" t="s">
        <v>243</v>
      </c>
      <c r="C23" t="s">
        <v>67</v>
      </c>
      <c r="D23" s="122">
        <v>44460</v>
      </c>
      <c r="E23">
        <v>5</v>
      </c>
      <c r="F23" t="s">
        <v>246</v>
      </c>
      <c r="G23" t="s">
        <v>247</v>
      </c>
      <c r="H23" t="s">
        <v>248</v>
      </c>
      <c r="I23" s="3">
        <v>52920</v>
      </c>
      <c r="K23" t="s">
        <v>17</v>
      </c>
      <c r="L23" s="6">
        <v>44532</v>
      </c>
      <c r="M23" s="129" t="s">
        <v>81</v>
      </c>
      <c r="N23" s="129">
        <f t="shared" si="2"/>
        <v>72</v>
      </c>
      <c r="O23" s="129" t="s">
        <v>1600</v>
      </c>
      <c r="P23" s="129" t="str">
        <f t="shared" ref="P23:P46" si="3">CONCATENATE(N23,O23)</f>
        <v>72 dias</v>
      </c>
      <c r="R23" t="s">
        <v>681</v>
      </c>
    </row>
    <row r="24" spans="1:20" hidden="1" x14ac:dyDescent="0.25">
      <c r="B24" t="s">
        <v>243</v>
      </c>
      <c r="C24" t="s">
        <v>27</v>
      </c>
      <c r="D24" s="122">
        <v>44460</v>
      </c>
      <c r="E24">
        <v>5</v>
      </c>
      <c r="F24" t="s">
        <v>249</v>
      </c>
      <c r="G24" t="s">
        <v>250</v>
      </c>
      <c r="H24" t="s">
        <v>251</v>
      </c>
      <c r="I24" s="3">
        <v>52920</v>
      </c>
      <c r="K24" t="s">
        <v>17</v>
      </c>
      <c r="L24" s="6">
        <v>44532</v>
      </c>
      <c r="M24" s="129" t="s">
        <v>81</v>
      </c>
      <c r="N24" s="129">
        <f t="shared" si="2"/>
        <v>72</v>
      </c>
      <c r="O24" s="129" t="s">
        <v>1600</v>
      </c>
      <c r="P24" s="129" t="str">
        <f t="shared" si="3"/>
        <v>72 dias</v>
      </c>
      <c r="R24" t="s">
        <v>681</v>
      </c>
    </row>
    <row r="25" spans="1:20" hidden="1" x14ac:dyDescent="0.25">
      <c r="B25" t="s">
        <v>243</v>
      </c>
      <c r="C25" t="s">
        <v>67</v>
      </c>
      <c r="D25" s="122">
        <v>44463</v>
      </c>
      <c r="E25">
        <v>5</v>
      </c>
      <c r="F25" t="s">
        <v>236</v>
      </c>
      <c r="G25" t="s">
        <v>252</v>
      </c>
      <c r="H25" t="s">
        <v>253</v>
      </c>
      <c r="I25" s="3">
        <v>52920</v>
      </c>
      <c r="K25" t="s">
        <v>17</v>
      </c>
      <c r="L25" s="6">
        <v>44532</v>
      </c>
      <c r="M25" s="129" t="s">
        <v>81</v>
      </c>
      <c r="N25" s="129">
        <f t="shared" si="2"/>
        <v>69</v>
      </c>
      <c r="O25" s="129" t="s">
        <v>1600</v>
      </c>
      <c r="P25" s="129" t="str">
        <f t="shared" si="3"/>
        <v>69 dias</v>
      </c>
      <c r="R25" t="s">
        <v>681</v>
      </c>
    </row>
    <row r="26" spans="1:20" hidden="1" x14ac:dyDescent="0.25">
      <c r="B26" s="13" t="s">
        <v>243</v>
      </c>
      <c r="C26" s="13" t="s">
        <v>27</v>
      </c>
      <c r="D26" s="122">
        <v>44483</v>
      </c>
      <c r="E26" s="13">
        <v>5</v>
      </c>
      <c r="F26" t="s">
        <v>236</v>
      </c>
      <c r="G26" t="s">
        <v>254</v>
      </c>
      <c r="H26" t="s">
        <v>255</v>
      </c>
      <c r="I26" s="3">
        <v>52920</v>
      </c>
      <c r="K26" t="s">
        <v>17</v>
      </c>
      <c r="L26" s="6">
        <v>44553</v>
      </c>
      <c r="M26" s="129" t="s">
        <v>224</v>
      </c>
      <c r="N26" s="129">
        <f t="shared" si="2"/>
        <v>70</v>
      </c>
      <c r="O26" s="129" t="s">
        <v>1600</v>
      </c>
      <c r="P26" s="129" t="str">
        <f t="shared" si="3"/>
        <v>70 dias</v>
      </c>
      <c r="R26" t="s">
        <v>681</v>
      </c>
    </row>
    <row r="27" spans="1:20" s="13" customFormat="1" hidden="1" x14ac:dyDescent="0.25">
      <c r="B27" s="13" t="s">
        <v>243</v>
      </c>
      <c r="C27" s="13" t="s">
        <v>27</v>
      </c>
      <c r="D27" s="122">
        <v>44490</v>
      </c>
      <c r="E27" s="13">
        <v>5</v>
      </c>
      <c r="F27" s="13" t="s">
        <v>236</v>
      </c>
      <c r="G27" s="13" t="s">
        <v>256</v>
      </c>
      <c r="H27" s="13" t="s">
        <v>985</v>
      </c>
      <c r="I27" s="12">
        <v>52920</v>
      </c>
      <c r="J27" s="107"/>
      <c r="K27" t="s">
        <v>17</v>
      </c>
      <c r="L27" s="93">
        <v>44742</v>
      </c>
      <c r="M27" s="153"/>
      <c r="N27" s="129">
        <f t="shared" si="2"/>
        <v>252</v>
      </c>
      <c r="O27" s="129" t="s">
        <v>1600</v>
      </c>
      <c r="P27" s="129" t="str">
        <f t="shared" si="3"/>
        <v>252 dias</v>
      </c>
      <c r="Q27" s="96"/>
      <c r="R27" s="13" t="s">
        <v>705</v>
      </c>
      <c r="T27" s="101"/>
    </row>
    <row r="28" spans="1:20" s="13" customFormat="1" hidden="1" x14ac:dyDescent="0.25">
      <c r="B28" s="13" t="s">
        <v>243</v>
      </c>
      <c r="C28" s="13" t="s">
        <v>67</v>
      </c>
      <c r="D28" s="122">
        <v>44500</v>
      </c>
      <c r="E28" s="13">
        <v>5</v>
      </c>
      <c r="F28" s="13" t="s">
        <v>236</v>
      </c>
      <c r="G28" s="13" t="s">
        <v>257</v>
      </c>
      <c r="H28" s="13" t="s">
        <v>986</v>
      </c>
      <c r="I28" s="12">
        <v>52920</v>
      </c>
      <c r="J28" s="107"/>
      <c r="K28" t="s">
        <v>17</v>
      </c>
      <c r="L28" s="93">
        <v>44742</v>
      </c>
      <c r="M28" s="153"/>
      <c r="N28" s="129">
        <f t="shared" si="2"/>
        <v>242</v>
      </c>
      <c r="O28" s="129" t="s">
        <v>1600</v>
      </c>
      <c r="P28" s="129" t="str">
        <f t="shared" si="3"/>
        <v>242 dias</v>
      </c>
      <c r="Q28" s="96"/>
      <c r="R28" s="13" t="s">
        <v>705</v>
      </c>
      <c r="T28" s="101"/>
    </row>
    <row r="29" spans="1:20" hidden="1" x14ac:dyDescent="0.25">
      <c r="B29" t="s">
        <v>243</v>
      </c>
      <c r="C29" t="s">
        <v>67</v>
      </c>
      <c r="D29" s="122">
        <v>44502</v>
      </c>
      <c r="E29">
        <v>5</v>
      </c>
      <c r="F29" t="s">
        <v>236</v>
      </c>
      <c r="G29" t="s">
        <v>258</v>
      </c>
      <c r="H29" t="s">
        <v>325</v>
      </c>
      <c r="I29" s="3">
        <v>52920</v>
      </c>
      <c r="J29" s="107"/>
      <c r="K29" t="s">
        <v>17</v>
      </c>
      <c r="L29" s="6">
        <v>44651</v>
      </c>
      <c r="M29" s="129" t="s">
        <v>224</v>
      </c>
      <c r="N29" s="129">
        <f t="shared" si="2"/>
        <v>149</v>
      </c>
      <c r="O29" s="129" t="s">
        <v>1600</v>
      </c>
      <c r="P29" s="129" t="str">
        <f t="shared" si="3"/>
        <v>149 dias</v>
      </c>
      <c r="R29" t="s">
        <v>705</v>
      </c>
      <c r="S29" t="s">
        <v>704</v>
      </c>
    </row>
    <row r="30" spans="1:20" hidden="1" x14ac:dyDescent="0.25">
      <c r="B30" t="s">
        <v>243</v>
      </c>
      <c r="C30" t="s">
        <v>67</v>
      </c>
      <c r="D30" s="122">
        <v>44510</v>
      </c>
      <c r="E30">
        <v>5</v>
      </c>
      <c r="F30" t="s">
        <v>236</v>
      </c>
      <c r="G30" t="s">
        <v>327</v>
      </c>
      <c r="H30" t="s">
        <v>326</v>
      </c>
      <c r="I30" s="3">
        <v>52920</v>
      </c>
      <c r="J30" s="107"/>
      <c r="K30" t="s">
        <v>17</v>
      </c>
      <c r="L30" s="6">
        <v>44651</v>
      </c>
      <c r="M30" s="129" t="s">
        <v>224</v>
      </c>
      <c r="N30" s="129">
        <f t="shared" si="2"/>
        <v>141</v>
      </c>
      <c r="O30" s="129" t="s">
        <v>1600</v>
      </c>
      <c r="P30" s="129" t="str">
        <f t="shared" si="3"/>
        <v>141 dias</v>
      </c>
      <c r="R30" t="s">
        <v>705</v>
      </c>
      <c r="S30" t="s">
        <v>704</v>
      </c>
    </row>
    <row r="31" spans="1:20" hidden="1" x14ac:dyDescent="0.25">
      <c r="B31" t="s">
        <v>243</v>
      </c>
      <c r="C31" t="s">
        <v>27</v>
      </c>
      <c r="D31" s="122">
        <v>44532</v>
      </c>
      <c r="E31">
        <v>5</v>
      </c>
      <c r="F31" t="s">
        <v>236</v>
      </c>
      <c r="G31" t="s">
        <v>348</v>
      </c>
      <c r="H31" t="s">
        <v>347</v>
      </c>
      <c r="I31" s="3">
        <v>52920</v>
      </c>
      <c r="J31" s="107"/>
      <c r="K31" t="s">
        <v>17</v>
      </c>
      <c r="L31" s="6">
        <v>44651</v>
      </c>
      <c r="M31" s="129" t="s">
        <v>224</v>
      </c>
      <c r="N31" s="129">
        <f t="shared" si="2"/>
        <v>119</v>
      </c>
      <c r="O31" s="129" t="s">
        <v>1600</v>
      </c>
      <c r="P31" s="129" t="str">
        <f t="shared" si="3"/>
        <v>119 dias</v>
      </c>
      <c r="R31" t="s">
        <v>705</v>
      </c>
      <c r="S31" t="s">
        <v>704</v>
      </c>
    </row>
    <row r="32" spans="1:20" hidden="1" x14ac:dyDescent="0.25">
      <c r="B32" t="s">
        <v>243</v>
      </c>
      <c r="C32" t="s">
        <v>67</v>
      </c>
      <c r="D32" s="122">
        <v>44581</v>
      </c>
      <c r="E32">
        <v>5</v>
      </c>
      <c r="F32" t="s">
        <v>236</v>
      </c>
      <c r="G32" t="s">
        <v>539</v>
      </c>
      <c r="H32" t="s">
        <v>548</v>
      </c>
      <c r="I32" s="3">
        <v>52920</v>
      </c>
      <c r="J32" s="107"/>
      <c r="K32" t="s">
        <v>17</v>
      </c>
      <c r="L32" s="6">
        <v>44651</v>
      </c>
      <c r="M32" s="129" t="s">
        <v>224</v>
      </c>
      <c r="N32" s="129">
        <f t="shared" si="2"/>
        <v>70</v>
      </c>
      <c r="O32" s="129" t="s">
        <v>1600</v>
      </c>
      <c r="P32" s="129" t="str">
        <f t="shared" si="3"/>
        <v>70 dias</v>
      </c>
      <c r="R32" t="s">
        <v>705</v>
      </c>
      <c r="S32" t="s">
        <v>704</v>
      </c>
      <c r="T32" t="s">
        <v>580</v>
      </c>
    </row>
    <row r="33" spans="1:22" hidden="1" x14ac:dyDescent="0.25">
      <c r="B33" t="s">
        <v>243</v>
      </c>
      <c r="C33" t="s">
        <v>67</v>
      </c>
      <c r="D33" s="122">
        <v>44582</v>
      </c>
      <c r="E33">
        <v>5</v>
      </c>
      <c r="F33" t="s">
        <v>236</v>
      </c>
      <c r="G33" t="s">
        <v>540</v>
      </c>
      <c r="H33" t="s">
        <v>549</v>
      </c>
      <c r="I33" s="3">
        <v>52920</v>
      </c>
      <c r="J33" s="107"/>
      <c r="K33" t="s">
        <v>17</v>
      </c>
      <c r="L33" s="6">
        <v>44651</v>
      </c>
      <c r="M33" s="129" t="s">
        <v>224</v>
      </c>
      <c r="N33" s="129">
        <f t="shared" si="2"/>
        <v>69</v>
      </c>
      <c r="O33" s="129" t="s">
        <v>1600</v>
      </c>
      <c r="P33" s="129" t="str">
        <f t="shared" si="3"/>
        <v>69 dias</v>
      </c>
      <c r="R33" t="s">
        <v>705</v>
      </c>
      <c r="S33" t="s">
        <v>704</v>
      </c>
      <c r="T33" t="s">
        <v>580</v>
      </c>
    </row>
    <row r="34" spans="1:22" hidden="1" x14ac:dyDescent="0.25">
      <c r="B34" t="s">
        <v>243</v>
      </c>
      <c r="C34" t="s">
        <v>67</v>
      </c>
      <c r="D34" s="122">
        <v>44600</v>
      </c>
      <c r="E34">
        <v>5</v>
      </c>
      <c r="F34" t="s">
        <v>236</v>
      </c>
      <c r="G34" t="s">
        <v>568</v>
      </c>
      <c r="H34" t="s">
        <v>621</v>
      </c>
      <c r="I34" s="3">
        <v>52920</v>
      </c>
      <c r="J34" s="107"/>
      <c r="K34" t="s">
        <v>17</v>
      </c>
      <c r="L34" s="6">
        <v>44651</v>
      </c>
      <c r="M34" s="129" t="s">
        <v>224</v>
      </c>
      <c r="N34" s="129">
        <f t="shared" si="2"/>
        <v>51</v>
      </c>
      <c r="O34" s="129" t="s">
        <v>1600</v>
      </c>
      <c r="P34" s="129" t="str">
        <f t="shared" si="3"/>
        <v>51 dias</v>
      </c>
      <c r="R34" t="s">
        <v>705</v>
      </c>
      <c r="S34" t="s">
        <v>704</v>
      </c>
    </row>
    <row r="35" spans="1:22" hidden="1" x14ac:dyDescent="0.25">
      <c r="B35" t="s">
        <v>243</v>
      </c>
      <c r="C35" t="s">
        <v>67</v>
      </c>
      <c r="D35" s="122">
        <v>44621</v>
      </c>
      <c r="E35">
        <v>5</v>
      </c>
      <c r="F35" t="s">
        <v>236</v>
      </c>
      <c r="G35" t="s">
        <v>636</v>
      </c>
      <c r="H35" s="30" t="s">
        <v>744</v>
      </c>
      <c r="I35" s="3">
        <v>52920</v>
      </c>
      <c r="J35" s="106"/>
      <c r="K35" t="s">
        <v>17</v>
      </c>
      <c r="L35" s="6">
        <v>44708</v>
      </c>
      <c r="N35" s="129">
        <f t="shared" si="2"/>
        <v>87</v>
      </c>
      <c r="O35" s="129" t="s">
        <v>1600</v>
      </c>
      <c r="P35" s="129" t="str">
        <f t="shared" si="3"/>
        <v>87 dias</v>
      </c>
      <c r="Q35" t="s">
        <v>757</v>
      </c>
      <c r="R35" t="s">
        <v>705</v>
      </c>
    </row>
    <row r="36" spans="1:22" hidden="1" x14ac:dyDescent="0.25">
      <c r="B36" t="s">
        <v>243</v>
      </c>
      <c r="C36" t="s">
        <v>67</v>
      </c>
      <c r="D36" s="122">
        <v>44632</v>
      </c>
      <c r="E36">
        <v>5</v>
      </c>
      <c r="F36" t="s">
        <v>236</v>
      </c>
      <c r="G36" t="s">
        <v>654</v>
      </c>
      <c r="H36" s="30" t="s">
        <v>745</v>
      </c>
      <c r="I36" s="3">
        <v>52920</v>
      </c>
      <c r="J36" s="106"/>
      <c r="K36" t="s">
        <v>17</v>
      </c>
      <c r="L36" s="6">
        <v>44708</v>
      </c>
      <c r="M36" s="131"/>
      <c r="N36" s="129">
        <f t="shared" si="2"/>
        <v>76</v>
      </c>
      <c r="O36" s="129" t="s">
        <v>1600</v>
      </c>
      <c r="P36" s="129" t="str">
        <f t="shared" si="3"/>
        <v>76 dias</v>
      </c>
      <c r="Q36" t="s">
        <v>757</v>
      </c>
      <c r="R36" t="s">
        <v>705</v>
      </c>
      <c r="T36" s="100"/>
    </row>
    <row r="37" spans="1:22" hidden="1" x14ac:dyDescent="0.25">
      <c r="B37" t="s">
        <v>243</v>
      </c>
      <c r="C37" t="s">
        <v>67</v>
      </c>
      <c r="D37" s="122">
        <v>44648</v>
      </c>
      <c r="E37">
        <v>5</v>
      </c>
      <c r="F37" t="s">
        <v>236</v>
      </c>
      <c r="G37" t="s">
        <v>711</v>
      </c>
      <c r="H37" s="30" t="s">
        <v>746</v>
      </c>
      <c r="I37" s="3">
        <v>52920</v>
      </c>
      <c r="J37" s="106"/>
      <c r="K37" t="s">
        <v>17</v>
      </c>
      <c r="L37" s="6">
        <v>44708</v>
      </c>
      <c r="M37" s="131"/>
      <c r="N37" s="129">
        <f t="shared" si="2"/>
        <v>60</v>
      </c>
      <c r="O37" s="129" t="s">
        <v>1600</v>
      </c>
      <c r="P37" s="129" t="str">
        <f t="shared" si="3"/>
        <v>60 dias</v>
      </c>
      <c r="Q37" t="s">
        <v>757</v>
      </c>
      <c r="R37" t="s">
        <v>705</v>
      </c>
      <c r="T37" s="100"/>
    </row>
    <row r="38" spans="1:22" hidden="1" x14ac:dyDescent="0.25">
      <c r="A38" s="115">
        <v>31032022</v>
      </c>
      <c r="B38" t="s">
        <v>243</v>
      </c>
      <c r="C38" t="s">
        <v>27</v>
      </c>
      <c r="D38" s="122">
        <v>44651</v>
      </c>
      <c r="E38">
        <v>5</v>
      </c>
      <c r="F38" t="s">
        <v>236</v>
      </c>
      <c r="G38" t="s">
        <v>714</v>
      </c>
      <c r="H38" s="30" t="s">
        <v>747</v>
      </c>
      <c r="I38" s="3">
        <v>52920</v>
      </c>
      <c r="K38" t="s">
        <v>17</v>
      </c>
      <c r="L38" s="6">
        <v>44708</v>
      </c>
      <c r="M38" s="131"/>
      <c r="N38" s="129">
        <f t="shared" si="2"/>
        <v>57</v>
      </c>
      <c r="O38" s="129" t="s">
        <v>1600</v>
      </c>
      <c r="P38" s="129" t="str">
        <f t="shared" si="3"/>
        <v>57 dias</v>
      </c>
      <c r="Q38" t="s">
        <v>757</v>
      </c>
      <c r="R38" t="s">
        <v>705</v>
      </c>
      <c r="T38" s="100"/>
    </row>
    <row r="39" spans="1:22" hidden="1" x14ac:dyDescent="0.25">
      <c r="A39" s="116" t="s">
        <v>743</v>
      </c>
      <c r="B39" t="s">
        <v>596</v>
      </c>
      <c r="C39" t="s">
        <v>693</v>
      </c>
      <c r="D39" s="122">
        <v>44660</v>
      </c>
      <c r="E39">
        <v>5</v>
      </c>
      <c r="F39" t="s">
        <v>236</v>
      </c>
      <c r="G39" t="s">
        <v>984</v>
      </c>
      <c r="H39" t="s">
        <v>836</v>
      </c>
      <c r="I39" s="3">
        <v>52920</v>
      </c>
      <c r="J39" s="107"/>
      <c r="K39" t="s">
        <v>17</v>
      </c>
      <c r="L39" s="93">
        <v>44742</v>
      </c>
      <c r="N39" s="129">
        <f t="shared" si="2"/>
        <v>82</v>
      </c>
      <c r="O39" s="129" t="s">
        <v>1600</v>
      </c>
      <c r="P39" s="129" t="str">
        <f t="shared" si="3"/>
        <v>82 dias</v>
      </c>
      <c r="Q39" t="s">
        <v>690</v>
      </c>
      <c r="R39" s="14">
        <v>0.33958333333333335</v>
      </c>
      <c r="S39" s="14">
        <v>0.63611111111111118</v>
      </c>
      <c r="T39"/>
    </row>
    <row r="40" spans="1:22" hidden="1" x14ac:dyDescent="0.25">
      <c r="A40" s="115">
        <v>21042022</v>
      </c>
      <c r="B40" t="s">
        <v>596</v>
      </c>
      <c r="C40" t="s">
        <v>693</v>
      </c>
      <c r="D40" s="122">
        <v>44672</v>
      </c>
      <c r="E40">
        <v>5</v>
      </c>
      <c r="F40" t="s">
        <v>236</v>
      </c>
      <c r="G40" t="s">
        <v>907</v>
      </c>
      <c r="H40" t="s">
        <v>837</v>
      </c>
      <c r="I40" s="3">
        <v>52920</v>
      </c>
      <c r="J40" s="107"/>
      <c r="K40" t="s">
        <v>17</v>
      </c>
      <c r="L40" s="93">
        <v>44742</v>
      </c>
      <c r="M40"/>
      <c r="N40" s="129">
        <f t="shared" si="2"/>
        <v>70</v>
      </c>
      <c r="O40" s="129" t="s">
        <v>1600</v>
      </c>
      <c r="P40" s="129" t="str">
        <f t="shared" si="3"/>
        <v>70 dias</v>
      </c>
      <c r="Q40" t="s">
        <v>651</v>
      </c>
      <c r="R40" s="14">
        <v>0.29722222222222222</v>
      </c>
      <c r="T40"/>
      <c r="V40" t="s">
        <v>785</v>
      </c>
    </row>
    <row r="41" spans="1:22" hidden="1" x14ac:dyDescent="0.25">
      <c r="A41" s="115">
        <v>25042022</v>
      </c>
      <c r="B41" t="s">
        <v>596</v>
      </c>
      <c r="C41" t="s">
        <v>410</v>
      </c>
      <c r="D41" s="122">
        <v>44676</v>
      </c>
      <c r="E41">
        <v>5</v>
      </c>
      <c r="F41" t="s">
        <v>236</v>
      </c>
      <c r="G41" t="s">
        <v>908</v>
      </c>
      <c r="H41" t="s">
        <v>838</v>
      </c>
      <c r="I41" s="3">
        <v>52920</v>
      </c>
      <c r="J41" s="107"/>
      <c r="K41" t="s">
        <v>17</v>
      </c>
      <c r="L41" s="93">
        <v>44742</v>
      </c>
      <c r="M41"/>
      <c r="N41" s="129">
        <f t="shared" si="2"/>
        <v>66</v>
      </c>
      <c r="O41" s="129" t="s">
        <v>1600</v>
      </c>
      <c r="P41" s="129" t="str">
        <f t="shared" si="3"/>
        <v>66 dias</v>
      </c>
      <c r="Q41"/>
      <c r="R41" t="s">
        <v>652</v>
      </c>
      <c r="S41" s="14">
        <v>0.71666666666666667</v>
      </c>
      <c r="T41" s="14">
        <v>0.99722222222222223</v>
      </c>
    </row>
    <row r="42" spans="1:22" hidden="1" x14ac:dyDescent="0.25">
      <c r="A42" s="115">
        <v>25042022</v>
      </c>
      <c r="B42" t="s">
        <v>596</v>
      </c>
      <c r="C42" t="s">
        <v>410</v>
      </c>
      <c r="D42" s="122">
        <v>44680</v>
      </c>
      <c r="E42">
        <v>5</v>
      </c>
      <c r="F42" t="s">
        <v>236</v>
      </c>
      <c r="G42" t="s">
        <v>909</v>
      </c>
      <c r="H42" t="s">
        <v>839</v>
      </c>
      <c r="I42" s="3">
        <v>52920</v>
      </c>
      <c r="J42" s="107"/>
      <c r="K42" t="s">
        <v>17</v>
      </c>
      <c r="L42" s="93">
        <v>44742</v>
      </c>
      <c r="M42"/>
      <c r="N42" s="129">
        <f t="shared" si="2"/>
        <v>62</v>
      </c>
      <c r="O42" s="129" t="s">
        <v>1600</v>
      </c>
      <c r="P42" s="129" t="str">
        <f t="shared" si="3"/>
        <v>62 dias</v>
      </c>
      <c r="Q42"/>
      <c r="R42" t="s">
        <v>652</v>
      </c>
      <c r="S42" s="14">
        <v>0.71666666666666667</v>
      </c>
      <c r="T42" s="14">
        <v>0.99722222222222223</v>
      </c>
    </row>
    <row r="43" spans="1:22" hidden="1" x14ac:dyDescent="0.25">
      <c r="A43" s="116" t="s">
        <v>827</v>
      </c>
      <c r="B43" t="s">
        <v>596</v>
      </c>
      <c r="C43" t="s">
        <v>693</v>
      </c>
      <c r="D43" s="122">
        <v>44690</v>
      </c>
      <c r="E43">
        <v>5</v>
      </c>
      <c r="F43" t="s">
        <v>236</v>
      </c>
      <c r="G43" t="s">
        <v>904</v>
      </c>
      <c r="H43" t="s">
        <v>885</v>
      </c>
      <c r="I43" s="3">
        <v>52920</v>
      </c>
      <c r="J43" s="32"/>
      <c r="K43" t="s">
        <v>17</v>
      </c>
      <c r="L43" s="6">
        <v>44749</v>
      </c>
      <c r="M43"/>
      <c r="N43" s="129">
        <f t="shared" si="2"/>
        <v>59</v>
      </c>
      <c r="O43" s="129" t="s">
        <v>1600</v>
      </c>
      <c r="P43" s="129" t="str">
        <f t="shared" si="3"/>
        <v>59 dias</v>
      </c>
      <c r="Q43" s="32" t="s">
        <v>888</v>
      </c>
      <c r="R43" t="s">
        <v>694</v>
      </c>
      <c r="S43" s="14">
        <v>0.31875000000000003</v>
      </c>
      <c r="T43"/>
    </row>
    <row r="44" spans="1:22" hidden="1" x14ac:dyDescent="0.25">
      <c r="A44" s="115">
        <v>25052022</v>
      </c>
      <c r="B44" t="s">
        <v>608</v>
      </c>
      <c r="C44" t="s">
        <v>693</v>
      </c>
      <c r="D44" s="122">
        <v>44706</v>
      </c>
      <c r="E44">
        <v>5</v>
      </c>
      <c r="F44" t="s">
        <v>236</v>
      </c>
      <c r="G44" t="s">
        <v>905</v>
      </c>
      <c r="H44" t="s">
        <v>886</v>
      </c>
      <c r="I44" s="3">
        <v>52920</v>
      </c>
      <c r="J44" s="140"/>
      <c r="K44" t="s">
        <v>17</v>
      </c>
      <c r="L44" s="6">
        <v>44749</v>
      </c>
      <c r="M44"/>
      <c r="N44" s="129">
        <f t="shared" si="2"/>
        <v>43</v>
      </c>
      <c r="O44" s="129" t="s">
        <v>1600</v>
      </c>
      <c r="P44" s="129" t="str">
        <f t="shared" si="3"/>
        <v>43 dias</v>
      </c>
      <c r="Q44" s="32" t="s">
        <v>888</v>
      </c>
      <c r="R44" t="s">
        <v>817</v>
      </c>
      <c r="S44" s="14">
        <v>0.26041666666666669</v>
      </c>
      <c r="T44" s="14">
        <v>0.58124999999999993</v>
      </c>
    </row>
    <row r="45" spans="1:22" hidden="1" x14ac:dyDescent="0.25">
      <c r="A45" s="115">
        <v>27052022</v>
      </c>
      <c r="B45" t="s">
        <v>596</v>
      </c>
      <c r="C45" t="s">
        <v>693</v>
      </c>
      <c r="D45" s="122">
        <v>44708</v>
      </c>
      <c r="E45">
        <v>5</v>
      </c>
      <c r="F45" t="s">
        <v>236</v>
      </c>
      <c r="G45" t="s">
        <v>906</v>
      </c>
      <c r="H45" s="234" t="s">
        <v>887</v>
      </c>
      <c r="I45" s="3">
        <v>52920</v>
      </c>
      <c r="J45" s="140"/>
      <c r="K45" t="s">
        <v>17</v>
      </c>
      <c r="L45" s="6">
        <v>44749</v>
      </c>
      <c r="M45"/>
      <c r="N45" s="129">
        <f t="shared" si="2"/>
        <v>41</v>
      </c>
      <c r="O45" s="129" t="s">
        <v>1600</v>
      </c>
      <c r="P45" s="129" t="str">
        <f t="shared" si="3"/>
        <v>41 dias</v>
      </c>
      <c r="Q45" s="32" t="s">
        <v>888</v>
      </c>
      <c r="R45" t="s">
        <v>655</v>
      </c>
      <c r="S45" s="14">
        <v>0.26041666666666669</v>
      </c>
      <c r="T45" s="14">
        <v>0.59722222222222221</v>
      </c>
    </row>
    <row r="46" spans="1:22" s="163" customFormat="1" hidden="1" x14ac:dyDescent="0.25">
      <c r="A46" s="164" t="s">
        <v>892</v>
      </c>
      <c r="B46" s="163" t="s">
        <v>596</v>
      </c>
      <c r="C46" t="s">
        <v>27</v>
      </c>
      <c r="D46" s="165">
        <v>44720</v>
      </c>
      <c r="E46">
        <v>5</v>
      </c>
      <c r="F46" s="163" t="s">
        <v>236</v>
      </c>
      <c r="G46" s="163" t="s">
        <v>969</v>
      </c>
      <c r="H46" s="163" t="s">
        <v>970</v>
      </c>
      <c r="I46" s="3">
        <v>52920</v>
      </c>
      <c r="J46" s="156"/>
      <c r="K46" t="s">
        <v>17</v>
      </c>
      <c r="L46" s="6">
        <v>44769</v>
      </c>
      <c r="N46" s="129">
        <f t="shared" si="2"/>
        <v>49</v>
      </c>
      <c r="O46" s="129" t="s">
        <v>1600</v>
      </c>
      <c r="P46" s="129" t="str">
        <f t="shared" si="3"/>
        <v>49 dias</v>
      </c>
      <c r="R46" s="163" t="s">
        <v>677</v>
      </c>
      <c r="S46" s="167">
        <v>0.29097222222222224</v>
      </c>
      <c r="T46" s="167">
        <v>6.8749999999999992E-2</v>
      </c>
    </row>
    <row r="47" spans="1:22" s="163" customFormat="1" x14ac:dyDescent="0.25">
      <c r="A47" s="164"/>
      <c r="C47"/>
      <c r="D47" s="165"/>
      <c r="E47" s="156"/>
      <c r="I47" s="156"/>
      <c r="J47" s="156"/>
      <c r="K47" s="156"/>
      <c r="S47" s="167"/>
      <c r="T47" s="167"/>
    </row>
    <row r="48" spans="1:22" x14ac:dyDescent="0.25">
      <c r="H48" t="s">
        <v>541</v>
      </c>
      <c r="I48" s="9">
        <f>SUBTOTAL(9,I22:I46)</f>
        <v>0</v>
      </c>
      <c r="K48" s="8"/>
    </row>
    <row r="49" spans="1:20" ht="15.75" thickBot="1" x14ac:dyDescent="0.3">
      <c r="H49" s="86"/>
      <c r="I49" s="3"/>
      <c r="J49" s="106"/>
      <c r="K49" s="8"/>
      <c r="M49" s="131"/>
      <c r="N49" s="131"/>
      <c r="O49" s="131"/>
      <c r="P49" s="131"/>
      <c r="Q49" s="88"/>
      <c r="T49" s="100"/>
    </row>
    <row r="50" spans="1:20" ht="15.75" thickBot="1" x14ac:dyDescent="0.3">
      <c r="B50" s="1487" t="s">
        <v>1293</v>
      </c>
      <c r="C50" s="1488"/>
      <c r="D50" s="1543"/>
      <c r="E50" s="1488"/>
      <c r="F50" s="1488"/>
      <c r="G50" s="1488"/>
      <c r="H50" s="1488"/>
      <c r="I50" s="1489"/>
    </row>
    <row r="51" spans="1:20" hidden="1" x14ac:dyDescent="0.25">
      <c r="B51" t="s">
        <v>598</v>
      </c>
      <c r="C51" t="s">
        <v>27</v>
      </c>
      <c r="D51" s="6">
        <v>44617</v>
      </c>
      <c r="E51">
        <v>5</v>
      </c>
      <c r="F51" t="s">
        <v>236</v>
      </c>
      <c r="G51" t="s">
        <v>603</v>
      </c>
      <c r="H51" t="s">
        <v>616</v>
      </c>
      <c r="I51" s="3">
        <v>37550</v>
      </c>
      <c r="K51" s="5" t="s">
        <v>17</v>
      </c>
      <c r="L51" s="6">
        <v>44638</v>
      </c>
    </row>
    <row r="52" spans="1:20" x14ac:dyDescent="0.25">
      <c r="J52" s="159"/>
      <c r="K52" s="3"/>
      <c r="L52" s="32"/>
    </row>
    <row r="53" spans="1:20" hidden="1" x14ac:dyDescent="0.25">
      <c r="A53" s="115">
        <v>23062022</v>
      </c>
      <c r="B53" s="169" t="s">
        <v>608</v>
      </c>
      <c r="C53" s="21" t="s">
        <v>693</v>
      </c>
      <c r="D53" s="122">
        <v>44735</v>
      </c>
      <c r="E53" s="32"/>
      <c r="F53" s="163" t="s">
        <v>236</v>
      </c>
      <c r="G53" s="163" t="s">
        <v>1054</v>
      </c>
      <c r="H53" t="s">
        <v>1017</v>
      </c>
      <c r="I53" s="159">
        <v>52920</v>
      </c>
      <c r="J53" s="235"/>
      <c r="K53" s="32" t="s">
        <v>17</v>
      </c>
      <c r="L53" s="2">
        <v>44789</v>
      </c>
      <c r="M53"/>
      <c r="N53" s="129">
        <f t="shared" ref="N53:N58" si="4">IF(K53="PAGADA",L53-D53,0)</f>
        <v>54</v>
      </c>
      <c r="O53" s="129" t="s">
        <v>1600</v>
      </c>
      <c r="P53" s="129" t="str">
        <f t="shared" ref="P53:P58" si="5">CONCATENATE(N53,O53)</f>
        <v>54 dias</v>
      </c>
      <c r="Q53"/>
      <c r="R53" s="163" t="s">
        <v>929</v>
      </c>
      <c r="S53" s="14">
        <v>0.57361111111111118</v>
      </c>
      <c r="T53" s="14">
        <v>0.45624999999999999</v>
      </c>
    </row>
    <row r="54" spans="1:20" hidden="1" x14ac:dyDescent="0.25">
      <c r="A54" s="115">
        <v>14072022</v>
      </c>
      <c r="B54" s="169" t="s">
        <v>596</v>
      </c>
      <c r="C54" s="21" t="s">
        <v>693</v>
      </c>
      <c r="D54" s="122">
        <v>44756</v>
      </c>
      <c r="E54" s="32"/>
      <c r="F54" s="163" t="s">
        <v>236</v>
      </c>
      <c r="G54" s="163" t="s">
        <v>1053</v>
      </c>
      <c r="H54" t="s">
        <v>1074</v>
      </c>
      <c r="I54" s="159">
        <v>52920</v>
      </c>
      <c r="J54" s="159"/>
      <c r="K54" s="32" t="s">
        <v>17</v>
      </c>
      <c r="L54" s="2">
        <v>44809</v>
      </c>
      <c r="M54"/>
      <c r="N54" s="129">
        <f t="shared" si="4"/>
        <v>53</v>
      </c>
      <c r="O54" s="129" t="s">
        <v>1600</v>
      </c>
      <c r="P54" s="129" t="str">
        <f t="shared" si="5"/>
        <v>53 dias</v>
      </c>
      <c r="Q54"/>
      <c r="R54" s="163" t="s">
        <v>916</v>
      </c>
      <c r="S54" s="14">
        <v>0.23750000000000002</v>
      </c>
      <c r="T54" s="14">
        <v>3.4027777777777775E-2</v>
      </c>
    </row>
    <row r="55" spans="1:20" hidden="1" x14ac:dyDescent="0.25">
      <c r="A55" s="116" t="s">
        <v>1181</v>
      </c>
      <c r="B55" t="s">
        <v>596</v>
      </c>
      <c r="C55" s="169" t="s">
        <v>693</v>
      </c>
      <c r="D55" s="122">
        <v>44809</v>
      </c>
      <c r="E55" s="32"/>
      <c r="F55" t="s">
        <v>742</v>
      </c>
      <c r="G55" s="163" t="s">
        <v>1213</v>
      </c>
      <c r="H55" t="s">
        <v>1266</v>
      </c>
      <c r="I55" s="159">
        <v>52920</v>
      </c>
      <c r="J55" s="159"/>
      <c r="K55" s="32" t="s">
        <v>17</v>
      </c>
      <c r="L55" s="2">
        <v>44876</v>
      </c>
      <c r="M55"/>
      <c r="N55" s="129">
        <f t="shared" si="4"/>
        <v>67</v>
      </c>
      <c r="O55" s="129" t="s">
        <v>1600</v>
      </c>
      <c r="P55" s="129" t="str">
        <f t="shared" si="5"/>
        <v>67 dias</v>
      </c>
      <c r="Q55"/>
      <c r="R55" s="163" t="s">
        <v>893</v>
      </c>
      <c r="S55" s="157">
        <v>0.60486111111111118</v>
      </c>
      <c r="T55" s="157">
        <v>0.91805555555555562</v>
      </c>
    </row>
    <row r="56" spans="1:20" hidden="1" x14ac:dyDescent="0.25">
      <c r="A56" s="115">
        <v>13092022</v>
      </c>
      <c r="B56" s="169" t="s">
        <v>596</v>
      </c>
      <c r="C56" s="30" t="s">
        <v>410</v>
      </c>
      <c r="D56" s="122">
        <v>44817</v>
      </c>
      <c r="E56" s="88"/>
      <c r="F56" t="s">
        <v>742</v>
      </c>
      <c r="G56" s="21" t="s">
        <v>1264</v>
      </c>
      <c r="H56" t="s">
        <v>1267</v>
      </c>
      <c r="I56" s="160">
        <v>52920</v>
      </c>
      <c r="J56" s="159"/>
      <c r="K56" s="32" t="s">
        <v>17</v>
      </c>
      <c r="L56" s="2">
        <v>44876</v>
      </c>
      <c r="M56"/>
      <c r="N56" s="129">
        <f t="shared" si="4"/>
        <v>59</v>
      </c>
      <c r="O56" s="129" t="s">
        <v>1600</v>
      </c>
      <c r="P56" s="129" t="str">
        <f t="shared" si="5"/>
        <v>59 dias</v>
      </c>
      <c r="Q56"/>
      <c r="R56" s="21" t="s">
        <v>922</v>
      </c>
      <c r="S56" s="157">
        <v>0.61736111111111114</v>
      </c>
      <c r="T56" s="157">
        <v>0.91388888888888886</v>
      </c>
    </row>
    <row r="57" spans="1:20" hidden="1" x14ac:dyDescent="0.25">
      <c r="A57" s="115">
        <v>17092022</v>
      </c>
      <c r="B57" s="169" t="s">
        <v>596</v>
      </c>
      <c r="C57" s="30" t="s">
        <v>410</v>
      </c>
      <c r="D57" s="122">
        <v>44821</v>
      </c>
      <c r="E57" s="88"/>
      <c r="F57" t="s">
        <v>742</v>
      </c>
      <c r="G57" s="21" t="s">
        <v>1263</v>
      </c>
      <c r="H57" t="s">
        <v>1268</v>
      </c>
      <c r="I57" s="160">
        <v>52920</v>
      </c>
      <c r="J57" s="159"/>
      <c r="K57" s="32" t="s">
        <v>17</v>
      </c>
      <c r="L57" s="2">
        <v>44876</v>
      </c>
      <c r="M57"/>
      <c r="N57" s="129">
        <f t="shared" si="4"/>
        <v>55</v>
      </c>
      <c r="O57" s="129" t="s">
        <v>1600</v>
      </c>
      <c r="P57" s="129" t="str">
        <f t="shared" si="5"/>
        <v>55 dias</v>
      </c>
      <c r="Q57"/>
      <c r="R57" s="21" t="s">
        <v>1225</v>
      </c>
      <c r="S57" s="157">
        <v>0.64097222222222217</v>
      </c>
      <c r="T57" s="157">
        <v>0.50486111111111109</v>
      </c>
    </row>
    <row r="58" spans="1:20" hidden="1" x14ac:dyDescent="0.25">
      <c r="A58" s="115">
        <v>21092022</v>
      </c>
      <c r="B58" s="169" t="s">
        <v>608</v>
      </c>
      <c r="C58" s="30" t="s">
        <v>410</v>
      </c>
      <c r="D58" s="122">
        <v>44825</v>
      </c>
      <c r="E58" s="88"/>
      <c r="F58" t="s">
        <v>742</v>
      </c>
      <c r="G58" s="21" t="s">
        <v>1265</v>
      </c>
      <c r="H58" t="s">
        <v>1269</v>
      </c>
      <c r="I58" s="160">
        <v>52920</v>
      </c>
      <c r="J58" s="159"/>
      <c r="K58" s="32" t="s">
        <v>17</v>
      </c>
      <c r="L58" s="2">
        <v>44876</v>
      </c>
      <c r="M58"/>
      <c r="N58" s="129">
        <f t="shared" si="4"/>
        <v>51</v>
      </c>
      <c r="O58" s="129" t="s">
        <v>1600</v>
      </c>
      <c r="P58" s="129" t="str">
        <f t="shared" si="5"/>
        <v>51 dias</v>
      </c>
      <c r="Q58"/>
      <c r="R58" s="21" t="s">
        <v>1042</v>
      </c>
      <c r="S58" s="157">
        <v>0.63402777777777775</v>
      </c>
      <c r="T58" s="21"/>
    </row>
    <row r="59" spans="1:20" x14ac:dyDescent="0.25">
      <c r="A59" s="115"/>
      <c r="B59" s="169"/>
      <c r="C59" s="21"/>
      <c r="D59" s="122"/>
      <c r="E59" s="32"/>
      <c r="F59" s="163"/>
      <c r="G59" s="163"/>
      <c r="I59" s="160"/>
      <c r="K59" s="159"/>
      <c r="L59"/>
      <c r="M59"/>
      <c r="N59"/>
      <c r="O59"/>
      <c r="P59"/>
      <c r="Q59"/>
      <c r="R59" s="163"/>
      <c r="S59" s="14"/>
      <c r="T59" s="14"/>
    </row>
    <row r="60" spans="1:20" x14ac:dyDescent="0.25">
      <c r="H60" s="13" t="s">
        <v>360</v>
      </c>
      <c r="I60" s="89">
        <f>SUBTOTAL(9,I55:I58)</f>
        <v>0</v>
      </c>
      <c r="L60" s="32"/>
    </row>
    <row r="61" spans="1:20" ht="15.75" thickBot="1" x14ac:dyDescent="0.3">
      <c r="H61" s="13"/>
      <c r="I61" s="12"/>
    </row>
    <row r="62" spans="1:20" ht="15.75" thickBot="1" x14ac:dyDescent="0.3">
      <c r="B62" s="1487" t="s">
        <v>1294</v>
      </c>
      <c r="C62" s="1488"/>
      <c r="D62" s="1543"/>
      <c r="E62" s="1488"/>
      <c r="F62" s="1488"/>
      <c r="G62" s="1488"/>
      <c r="H62" s="1488"/>
      <c r="I62" s="1489"/>
    </row>
    <row r="63" spans="1:20" hidden="1" x14ac:dyDescent="0.25">
      <c r="A63" s="115">
        <v>29092022</v>
      </c>
      <c r="B63" s="169" t="s">
        <v>596</v>
      </c>
      <c r="C63" s="169" t="s">
        <v>693</v>
      </c>
      <c r="D63" s="122">
        <v>44833</v>
      </c>
      <c r="E63" s="88"/>
      <c r="F63" t="s">
        <v>742</v>
      </c>
      <c r="G63" s="21" t="s">
        <v>1470</v>
      </c>
      <c r="H63" t="s">
        <v>1480</v>
      </c>
      <c r="I63" s="32">
        <v>52920</v>
      </c>
      <c r="J63" s="160"/>
      <c r="K63" s="88" t="s">
        <v>17</v>
      </c>
      <c r="L63" s="2">
        <v>44924</v>
      </c>
      <c r="M63"/>
      <c r="N63" s="129">
        <f t="shared" ref="N63:N69" si="6">IF(K63="PAGADA",L63-D63,0)</f>
        <v>91</v>
      </c>
      <c r="O63" s="129" t="s">
        <v>1600</v>
      </c>
      <c r="P63" s="129" t="str">
        <f t="shared" ref="P63:P69" si="7">CONCATENATE(N63,O63)</f>
        <v>91 dias</v>
      </c>
      <c r="Q63"/>
      <c r="R63" s="21" t="s">
        <v>922</v>
      </c>
      <c r="S63" s="21"/>
      <c r="T63" s="21"/>
    </row>
    <row r="64" spans="1:20" hidden="1" x14ac:dyDescent="0.25">
      <c r="A64" s="116">
        <v>19022022</v>
      </c>
      <c r="B64" s="169" t="s">
        <v>596</v>
      </c>
      <c r="C64" s="169" t="s">
        <v>693</v>
      </c>
      <c r="D64" s="122">
        <v>44853</v>
      </c>
      <c r="E64" s="88"/>
      <c r="F64" t="s">
        <v>1319</v>
      </c>
      <c r="G64" s="21" t="s">
        <v>1471</v>
      </c>
      <c r="H64" t="s">
        <v>1481</v>
      </c>
      <c r="I64" s="160">
        <v>52920</v>
      </c>
      <c r="J64" s="160"/>
      <c r="K64" s="88" t="s">
        <v>17</v>
      </c>
      <c r="L64" s="2">
        <v>44924</v>
      </c>
      <c r="M64"/>
      <c r="N64" s="129">
        <f t="shared" si="6"/>
        <v>71</v>
      </c>
      <c r="O64" s="129" t="s">
        <v>1600</v>
      </c>
      <c r="P64" s="129" t="str">
        <f t="shared" si="7"/>
        <v>71 dias</v>
      </c>
      <c r="Q64"/>
      <c r="R64" s="21" t="s">
        <v>1029</v>
      </c>
      <c r="S64" s="157">
        <v>0.30138888888888887</v>
      </c>
      <c r="T64" s="157">
        <v>0.6118055555555556</v>
      </c>
    </row>
    <row r="65" spans="1:21" hidden="1" x14ac:dyDescent="0.25">
      <c r="A65" s="116">
        <v>24102022</v>
      </c>
      <c r="B65" s="169" t="s">
        <v>596</v>
      </c>
      <c r="C65" s="169" t="s">
        <v>693</v>
      </c>
      <c r="D65" s="122">
        <v>44858</v>
      </c>
      <c r="E65" s="88"/>
      <c r="F65" t="s">
        <v>1319</v>
      </c>
      <c r="G65" s="21" t="s">
        <v>1472</v>
      </c>
      <c r="H65" t="s">
        <v>1482</v>
      </c>
      <c r="I65" s="160">
        <v>52920</v>
      </c>
      <c r="J65" s="160"/>
      <c r="K65" s="88" t="s">
        <v>17</v>
      </c>
      <c r="L65" s="2">
        <v>44924</v>
      </c>
      <c r="M65"/>
      <c r="N65" s="129">
        <f t="shared" si="6"/>
        <v>66</v>
      </c>
      <c r="O65" s="129" t="s">
        <v>1600</v>
      </c>
      <c r="P65" s="129" t="str">
        <f t="shared" si="7"/>
        <v>66 dias</v>
      </c>
      <c r="Q65"/>
      <c r="R65" s="21"/>
      <c r="S65" s="157"/>
      <c r="T65" s="21"/>
    </row>
    <row r="66" spans="1:21" hidden="1" x14ac:dyDescent="0.25">
      <c r="A66" s="116">
        <v>12112022</v>
      </c>
      <c r="B66" s="169" t="s">
        <v>596</v>
      </c>
      <c r="C66" s="30" t="s">
        <v>410</v>
      </c>
      <c r="D66" s="122">
        <v>44877</v>
      </c>
      <c r="E66" s="88"/>
      <c r="F66" t="s">
        <v>1319</v>
      </c>
      <c r="G66" s="21" t="s">
        <v>1495</v>
      </c>
      <c r="H66" t="s">
        <v>1497</v>
      </c>
      <c r="I66" s="160">
        <v>52920</v>
      </c>
      <c r="J66" s="160"/>
      <c r="K66" s="88" t="s">
        <v>17</v>
      </c>
      <c r="L66" s="2">
        <v>44924</v>
      </c>
      <c r="M66"/>
      <c r="N66" s="129">
        <f t="shared" si="6"/>
        <v>47</v>
      </c>
      <c r="O66" s="129" t="s">
        <v>1600</v>
      </c>
      <c r="P66" s="129" t="str">
        <f t="shared" si="7"/>
        <v>47 dias</v>
      </c>
      <c r="Q66"/>
      <c r="R66" s="21" t="s">
        <v>1029</v>
      </c>
      <c r="S66" s="157">
        <v>0.30972222222222223</v>
      </c>
      <c r="T66" s="157"/>
    </row>
    <row r="67" spans="1:21" hidden="1" x14ac:dyDescent="0.25">
      <c r="A67" s="116">
        <v>29112022</v>
      </c>
      <c r="B67" s="169" t="s">
        <v>596</v>
      </c>
      <c r="C67" s="169" t="s">
        <v>693</v>
      </c>
      <c r="D67" s="122">
        <v>44894</v>
      </c>
      <c r="E67" s="88"/>
      <c r="F67" t="s">
        <v>742</v>
      </c>
      <c r="G67" s="21" t="s">
        <v>1534</v>
      </c>
      <c r="H67" t="s">
        <v>1545</v>
      </c>
      <c r="I67" s="160">
        <v>52920</v>
      </c>
      <c r="J67" s="160"/>
      <c r="K67" s="88" t="s">
        <v>17</v>
      </c>
      <c r="L67" s="2">
        <v>44924</v>
      </c>
      <c r="M67"/>
      <c r="N67" s="129">
        <f t="shared" si="6"/>
        <v>30</v>
      </c>
      <c r="O67" s="129" t="s">
        <v>1600</v>
      </c>
      <c r="P67" s="129" t="str">
        <f t="shared" si="7"/>
        <v>30 dias</v>
      </c>
      <c r="Q67"/>
      <c r="R67" s="21" t="s">
        <v>922</v>
      </c>
      <c r="S67" s="157">
        <v>0.52847222222222223</v>
      </c>
      <c r="T67" s="21"/>
    </row>
    <row r="68" spans="1:21" hidden="1" x14ac:dyDescent="0.25">
      <c r="A68" s="116" t="s">
        <v>1530</v>
      </c>
      <c r="B68" t="s">
        <v>596</v>
      </c>
      <c r="C68" s="169" t="s">
        <v>693</v>
      </c>
      <c r="D68" s="122">
        <v>44896</v>
      </c>
      <c r="E68" s="88"/>
      <c r="F68" t="s">
        <v>742</v>
      </c>
      <c r="G68" s="21" t="s">
        <v>1535</v>
      </c>
      <c r="H68" t="s">
        <v>1546</v>
      </c>
      <c r="I68" s="32">
        <v>52920</v>
      </c>
      <c r="J68" s="160"/>
      <c r="K68" s="88" t="s">
        <v>17</v>
      </c>
      <c r="L68" s="2">
        <v>44924</v>
      </c>
      <c r="M68"/>
      <c r="N68" s="129">
        <f t="shared" si="6"/>
        <v>28</v>
      </c>
      <c r="O68" s="129" t="s">
        <v>1600</v>
      </c>
      <c r="P68" s="129" t="str">
        <f t="shared" si="7"/>
        <v>28 dias</v>
      </c>
      <c r="Q68"/>
      <c r="R68" s="21" t="s">
        <v>989</v>
      </c>
      <c r="S68" s="157">
        <v>0.65555555555555556</v>
      </c>
      <c r="T68" s="157">
        <v>0.47847222222222219</v>
      </c>
    </row>
    <row r="69" spans="1:21" hidden="1" x14ac:dyDescent="0.25">
      <c r="A69" s="116" t="s">
        <v>1531</v>
      </c>
      <c r="B69" t="s">
        <v>596</v>
      </c>
      <c r="C69" s="169" t="s">
        <v>693</v>
      </c>
      <c r="D69" s="122">
        <v>44897</v>
      </c>
      <c r="E69" s="88"/>
      <c r="F69" t="s">
        <v>742</v>
      </c>
      <c r="G69" s="21" t="s">
        <v>1533</v>
      </c>
      <c r="H69" t="s">
        <v>1547</v>
      </c>
      <c r="I69" s="32">
        <v>52920</v>
      </c>
      <c r="J69" s="160"/>
      <c r="K69" s="88" t="s">
        <v>17</v>
      </c>
      <c r="L69" s="2">
        <v>44924</v>
      </c>
      <c r="M69"/>
      <c r="N69" s="129">
        <f t="shared" si="6"/>
        <v>27</v>
      </c>
      <c r="O69" s="129" t="s">
        <v>1600</v>
      </c>
      <c r="P69" s="129" t="str">
        <f t="shared" si="7"/>
        <v>27 dias</v>
      </c>
      <c r="Q69"/>
      <c r="R69" t="s">
        <v>1532</v>
      </c>
      <c r="S69" s="157">
        <v>0.26944444444444443</v>
      </c>
      <c r="T69" s="157">
        <v>0.60763888888888895</v>
      </c>
    </row>
    <row r="71" spans="1:21" x14ac:dyDescent="0.25">
      <c r="A71" s="115"/>
      <c r="C71" s="169"/>
      <c r="D71" s="122"/>
      <c r="E71" s="88"/>
      <c r="G71" s="21"/>
      <c r="J71" s="160"/>
      <c r="K71" s="160"/>
      <c r="L71"/>
      <c r="M71"/>
      <c r="N71"/>
      <c r="O71"/>
      <c r="P71"/>
      <c r="Q71"/>
      <c r="T71" s="21"/>
      <c r="U71" s="157"/>
    </row>
    <row r="72" spans="1:21" x14ac:dyDescent="0.25">
      <c r="A72" s="115"/>
      <c r="B72" s="169"/>
      <c r="C72" s="169"/>
      <c r="D72" s="122"/>
      <c r="E72" s="88"/>
      <c r="G72" s="21"/>
      <c r="J72" s="160"/>
      <c r="K72" s="160"/>
      <c r="L72"/>
      <c r="M72"/>
      <c r="N72"/>
      <c r="O72"/>
      <c r="P72"/>
      <c r="Q72"/>
      <c r="R72" s="21"/>
      <c r="S72" s="21"/>
      <c r="T72" s="21"/>
    </row>
    <row r="73" spans="1:21" x14ac:dyDescent="0.25">
      <c r="A73" s="115"/>
      <c r="B73" s="169"/>
      <c r="C73" s="169"/>
      <c r="D73" s="122"/>
      <c r="E73" s="88"/>
      <c r="G73" s="21"/>
      <c r="I73" s="89">
        <f>SUBTOTAL(9,I63:I72)</f>
        <v>0</v>
      </c>
      <c r="J73" s="160"/>
      <c r="K73" s="160"/>
      <c r="L73"/>
      <c r="M73"/>
      <c r="N73"/>
      <c r="O73"/>
      <c r="P73"/>
      <c r="Q73"/>
      <c r="R73" s="21"/>
      <c r="S73" s="21"/>
      <c r="T73" s="21"/>
    </row>
    <row r="74" spans="1:21" x14ac:dyDescent="0.25">
      <c r="A74" s="115"/>
      <c r="B74" s="169"/>
      <c r="C74" s="169"/>
      <c r="D74" s="122"/>
      <c r="E74" s="88"/>
      <c r="G74" s="21"/>
      <c r="J74" s="160"/>
      <c r="K74" s="160"/>
      <c r="L74"/>
      <c r="M74"/>
      <c r="N74"/>
      <c r="O74"/>
      <c r="P74"/>
      <c r="Q74"/>
      <c r="R74" s="21"/>
      <c r="S74" s="21"/>
      <c r="T74" s="21"/>
    </row>
    <row r="75" spans="1:21" ht="15.75" thickBot="1" x14ac:dyDescent="0.3">
      <c r="I75" s="240"/>
      <c r="M75" s="131"/>
      <c r="P75" s="131"/>
      <c r="Q75" s="88"/>
      <c r="T75" s="100"/>
    </row>
    <row r="76" spans="1:21" s="1" customFormat="1" ht="15.75" thickBot="1" x14ac:dyDescent="0.3">
      <c r="D76" s="94"/>
      <c r="J76" s="1537" t="s">
        <v>701</v>
      </c>
      <c r="K76" s="1538"/>
      <c r="L76" s="1539"/>
      <c r="M76" s="1487" t="s">
        <v>754</v>
      </c>
      <c r="N76" s="1488"/>
      <c r="O76" s="1488"/>
      <c r="P76" s="1488"/>
      <c r="Q76" s="1489"/>
      <c r="T76" s="125"/>
    </row>
    <row r="77" spans="1:21" s="25" customFormat="1" ht="15.75" thickBot="1" x14ac:dyDescent="0.3">
      <c r="D77" s="56"/>
      <c r="J77" s="1531" t="s">
        <v>702</v>
      </c>
      <c r="K77" s="1532"/>
      <c r="L77" s="1533"/>
      <c r="M77" s="128" t="s">
        <v>750</v>
      </c>
      <c r="N77" s="128"/>
      <c r="O77" s="128"/>
      <c r="P77" s="128"/>
      <c r="Q77" s="60" t="s">
        <v>749</v>
      </c>
      <c r="T77" s="128"/>
    </row>
    <row r="78" spans="1:21" ht="15.75" thickBot="1" x14ac:dyDescent="0.3">
      <c r="J78" s="1534" t="s">
        <v>436</v>
      </c>
      <c r="K78" s="1534"/>
      <c r="L78" s="111">
        <v>1323000</v>
      </c>
      <c r="M78" s="129">
        <f>+L78/Q78</f>
        <v>25</v>
      </c>
      <c r="Q78" s="32">
        <v>52920</v>
      </c>
    </row>
    <row r="79" spans="1:21" x14ac:dyDescent="0.25">
      <c r="H79" s="3"/>
      <c r="J79" s="112" t="s">
        <v>696</v>
      </c>
      <c r="K79" s="113" t="s">
        <v>697</v>
      </c>
      <c r="L79" s="114" t="s">
        <v>437</v>
      </c>
    </row>
    <row r="80" spans="1:21" x14ac:dyDescent="0.25">
      <c r="H80" s="91"/>
      <c r="J80" s="104">
        <f>1270080/L78</f>
        <v>0.96</v>
      </c>
      <c r="K80" s="102" t="s">
        <v>366</v>
      </c>
      <c r="L80" s="110" t="s">
        <v>903</v>
      </c>
    </row>
    <row r="81" spans="4:20" x14ac:dyDescent="0.25">
      <c r="G81" s="158"/>
      <c r="I81" s="3">
        <f>SUM(I22:I46)</f>
        <v>1323000</v>
      </c>
      <c r="J81" s="171">
        <f>I81/L78</f>
        <v>1</v>
      </c>
      <c r="K81" s="102" t="s">
        <v>365</v>
      </c>
      <c r="L81" s="110" t="str">
        <f>+L80</f>
        <v>al 09/06/22</v>
      </c>
      <c r="M81" s="129">
        <f>+I81/Q78</f>
        <v>25</v>
      </c>
    </row>
    <row r="82" spans="4:20" ht="15.75" thickBot="1" x14ac:dyDescent="0.3">
      <c r="G82" s="158"/>
      <c r="J82" s="104">
        <f>1270080/L78</f>
        <v>0.96</v>
      </c>
      <c r="K82" s="102" t="s">
        <v>698</v>
      </c>
      <c r="L82" s="132" t="str">
        <f>+L80</f>
        <v>al 09/06/22</v>
      </c>
    </row>
    <row r="83" spans="4:20" s="1" customFormat="1" ht="15.75" thickBot="1" x14ac:dyDescent="0.3">
      <c r="D83" s="94"/>
      <c r="J83" s="1540" t="s">
        <v>755</v>
      </c>
      <c r="K83" s="1541"/>
      <c r="L83" s="133">
        <f>+L78-I81</f>
        <v>0</v>
      </c>
      <c r="M83" s="134">
        <f>+M78-M81</f>
        <v>0</v>
      </c>
      <c r="N83" s="130"/>
      <c r="O83" s="130"/>
      <c r="P83" s="130"/>
      <c r="Q83" s="87"/>
      <c r="T83" s="125"/>
    </row>
    <row r="84" spans="4:20" ht="15.75" thickBot="1" x14ac:dyDescent="0.3">
      <c r="J84" s="1526" t="s">
        <v>699</v>
      </c>
      <c r="K84" s="1527"/>
      <c r="L84" s="1528"/>
    </row>
    <row r="85" spans="4:20" x14ac:dyDescent="0.25">
      <c r="J85" s="108">
        <f>+J80/J81</f>
        <v>0.96</v>
      </c>
      <c r="K85" s="103" t="s">
        <v>700</v>
      </c>
      <c r="L85" s="109" t="str">
        <f>+L80</f>
        <v>al 09/06/22</v>
      </c>
    </row>
    <row r="86" spans="4:20" x14ac:dyDescent="0.25">
      <c r="J86" s="104">
        <f>+J82/J81</f>
        <v>0.96</v>
      </c>
      <c r="K86" s="102" t="s">
        <v>703</v>
      </c>
      <c r="L86" s="110" t="str">
        <f>+L80</f>
        <v>al 09/06/22</v>
      </c>
    </row>
    <row r="88" spans="4:20" ht="15.75" thickBot="1" x14ac:dyDescent="0.3">
      <c r="J88" s="1537" t="s">
        <v>1018</v>
      </c>
      <c r="K88" s="1538"/>
      <c r="L88" s="1539"/>
      <c r="M88" s="1487" t="s">
        <v>754</v>
      </c>
      <c r="N88" s="1488"/>
      <c r="O88" s="1488"/>
      <c r="P88" s="1488"/>
      <c r="Q88" s="1489"/>
    </row>
    <row r="89" spans="4:20" ht="15.75" thickBot="1" x14ac:dyDescent="0.3">
      <c r="J89" s="1531" t="s">
        <v>702</v>
      </c>
      <c r="K89" s="1532"/>
      <c r="L89" s="1533"/>
      <c r="M89" s="128" t="s">
        <v>750</v>
      </c>
      <c r="N89" s="128"/>
      <c r="O89" s="128"/>
      <c r="P89" s="128"/>
      <c r="Q89" s="60" t="s">
        <v>749</v>
      </c>
    </row>
    <row r="90" spans="4:20" ht="15.75" thickBot="1" x14ac:dyDescent="0.3">
      <c r="J90" s="1534" t="s">
        <v>436</v>
      </c>
      <c r="K90" s="1534"/>
      <c r="L90" s="111">
        <v>317520</v>
      </c>
      <c r="M90" s="129">
        <f>+L90/Q90</f>
        <v>6</v>
      </c>
      <c r="Q90" s="32">
        <v>52920</v>
      </c>
    </row>
    <row r="91" spans="4:20" x14ac:dyDescent="0.25">
      <c r="J91" s="112" t="s">
        <v>696</v>
      </c>
      <c r="K91" s="113" t="s">
        <v>697</v>
      </c>
      <c r="L91" s="114" t="s">
        <v>437</v>
      </c>
    </row>
    <row r="92" spans="4:20" x14ac:dyDescent="0.25">
      <c r="J92" s="104">
        <f>0/L90</f>
        <v>0</v>
      </c>
      <c r="K92" s="102" t="s">
        <v>366</v>
      </c>
      <c r="L92" s="110" t="s">
        <v>1033</v>
      </c>
    </row>
    <row r="93" spans="4:20" x14ac:dyDescent="0.25">
      <c r="I93">
        <f>52920*2</f>
        <v>105840</v>
      </c>
      <c r="J93" s="171">
        <f>I93/L90</f>
        <v>0.33333333333333331</v>
      </c>
      <c r="K93" s="102" t="s">
        <v>365</v>
      </c>
      <c r="L93" s="110" t="str">
        <f>+L92</f>
        <v>al 15/07/22</v>
      </c>
      <c r="M93" s="129">
        <f>+I93/Q90</f>
        <v>2</v>
      </c>
    </row>
    <row r="94" spans="4:20" ht="15.75" thickBot="1" x14ac:dyDescent="0.3">
      <c r="J94" s="104">
        <f>52920/L90</f>
        <v>0.16666666666666666</v>
      </c>
      <c r="K94" s="102" t="s">
        <v>698</v>
      </c>
      <c r="L94" s="132" t="str">
        <f>+L92</f>
        <v>al 15/07/22</v>
      </c>
    </row>
    <row r="95" spans="4:20" ht="15.75" thickBot="1" x14ac:dyDescent="0.3">
      <c r="J95" s="1540" t="s">
        <v>755</v>
      </c>
      <c r="K95" s="1541"/>
      <c r="L95" s="133">
        <f>+L90-I93</f>
        <v>211680</v>
      </c>
      <c r="M95" s="134">
        <f>+M90-M93</f>
        <v>4</v>
      </c>
      <c r="N95" s="130"/>
      <c r="O95" s="130"/>
      <c r="P95" s="130"/>
      <c r="Q95" s="87"/>
    </row>
    <row r="96" spans="4:20" ht="15.75" thickBot="1" x14ac:dyDescent="0.3">
      <c r="J96" s="1526" t="s">
        <v>699</v>
      </c>
      <c r="K96" s="1527"/>
      <c r="L96" s="1528"/>
    </row>
    <row r="97" spans="10:12" x14ac:dyDescent="0.25">
      <c r="J97" s="108">
        <f>+J92/J93</f>
        <v>0</v>
      </c>
      <c r="K97" s="103" t="s">
        <v>700</v>
      </c>
      <c r="L97" s="109" t="str">
        <f>+L92</f>
        <v>al 15/07/22</v>
      </c>
    </row>
    <row r="98" spans="10:12" x14ac:dyDescent="0.25">
      <c r="J98" s="104">
        <f>+J94/J93</f>
        <v>0.5</v>
      </c>
      <c r="K98" s="102" t="s">
        <v>703</v>
      </c>
      <c r="L98" s="110" t="str">
        <f>+L92</f>
        <v>al 15/07/22</v>
      </c>
    </row>
  </sheetData>
  <autoFilter ref="B3:T98" xr:uid="{00000000-0009-0000-0000-00000E000000}">
    <filterColumn colId="9">
      <filters blank="1">
        <filter val="DESCRIPC"/>
        <filter val="Ejecutado"/>
        <filter val="Facturado"/>
        <filter val="Pagado"/>
        <filter val="Total facturado"/>
        <filter val="Total pagado"/>
      </filters>
    </filterColumn>
    <filterColumn colId="15" showButton="0"/>
    <filterColumn colId="16" showButton="0"/>
    <filterColumn colId="17" showButton="0"/>
  </autoFilter>
  <mergeCells count="17">
    <mergeCell ref="J84:L84"/>
    <mergeCell ref="J77:L77"/>
    <mergeCell ref="Q3:T3"/>
    <mergeCell ref="B2:Q2"/>
    <mergeCell ref="B21:I21"/>
    <mergeCell ref="B50:I50"/>
    <mergeCell ref="J83:K83"/>
    <mergeCell ref="J76:L76"/>
    <mergeCell ref="J78:K78"/>
    <mergeCell ref="M76:Q76"/>
    <mergeCell ref="B62:I62"/>
    <mergeCell ref="J96:L96"/>
    <mergeCell ref="J88:L88"/>
    <mergeCell ref="M88:Q88"/>
    <mergeCell ref="J89:L89"/>
    <mergeCell ref="J90:K90"/>
    <mergeCell ref="J95:K9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79" r:id="rId4" name="Button 1">
              <controlPr defaultSize="0" print="0" autoFill="0" autoPict="0" macro="[0]!RETORNAR">
                <anchor moveWithCells="1" sizeWithCells="1">
                  <from>
                    <xdr:col>0</xdr:col>
                    <xdr:colOff>28575</xdr:colOff>
                    <xdr:row>0</xdr:row>
                    <xdr:rowOff>0</xdr:rowOff>
                  </from>
                  <to>
                    <xdr:col>1</xdr:col>
                    <xdr:colOff>495300</xdr:colOff>
                    <xdr:row>0</xdr:row>
                    <xdr:rowOff>257175</xdr:rowOff>
                  </to>
                </anchor>
              </controlPr>
            </control>
          </mc:Choice>
        </mc:AlternateContent>
        <mc:AlternateContent xmlns:mc="http://schemas.openxmlformats.org/markup-compatibility/2006">
          <mc:Choice Requires="x14">
            <control shapeId="36881" r:id="rId5" name="Botón 128">
              <controlPr defaultSize="0" print="0" autoFill="0" autoPict="0" macro="[0]!IR_VENTAS_2023">
                <anchor moveWithCells="1" sizeWithCells="1">
                  <from>
                    <xdr:col>0</xdr:col>
                    <xdr:colOff>314325</xdr:colOff>
                    <xdr:row>73</xdr:row>
                    <xdr:rowOff>123825</xdr:rowOff>
                  </from>
                  <to>
                    <xdr:col>1</xdr:col>
                    <xdr:colOff>752475</xdr:colOff>
                    <xdr:row>76</xdr:row>
                    <xdr:rowOff>85725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55" filterMode="1"/>
  <dimension ref="A1:V7"/>
  <sheetViews>
    <sheetView topLeftCell="B1" workbookViewId="0">
      <selection activeCell="H3" sqref="H3:J3"/>
    </sheetView>
  </sheetViews>
  <sheetFormatPr baseColWidth="10" defaultColWidth="10.85546875" defaultRowHeight="15" x14ac:dyDescent="0.25"/>
  <cols>
    <col min="2" max="2" width="23.140625" customWidth="1"/>
    <col min="3" max="3" width="5.42578125" customWidth="1"/>
    <col min="5" max="5" width="5.28515625" customWidth="1"/>
    <col min="7" max="7" width="42.5703125" customWidth="1"/>
    <col min="9" max="9" width="11.5703125" bestFit="1" customWidth="1"/>
    <col min="10" max="10" width="12" style="32" bestFit="1" customWidth="1"/>
  </cols>
  <sheetData>
    <row r="1" spans="1:22" ht="25.5" customHeight="1" x14ac:dyDescent="0.25"/>
    <row r="2" spans="1:22" x14ac:dyDescent="0.25">
      <c r="A2" t="s">
        <v>706</v>
      </c>
      <c r="B2" s="1" t="s">
        <v>0</v>
      </c>
      <c r="C2" s="1" t="s">
        <v>1</v>
      </c>
      <c r="D2" s="1" t="s">
        <v>2</v>
      </c>
      <c r="E2" s="1"/>
      <c r="F2" s="1" t="s">
        <v>3</v>
      </c>
      <c r="G2" s="1" t="s">
        <v>4</v>
      </c>
      <c r="H2" s="1" t="s">
        <v>5</v>
      </c>
      <c r="I2" s="1" t="s">
        <v>6</v>
      </c>
      <c r="J2" s="87" t="s">
        <v>1780</v>
      </c>
      <c r="K2" s="1" t="s">
        <v>8</v>
      </c>
      <c r="L2" s="1" t="s">
        <v>3998</v>
      </c>
      <c r="M2" s="1" t="s">
        <v>10</v>
      </c>
      <c r="N2" s="1480" t="s">
        <v>11</v>
      </c>
      <c r="O2" s="1480"/>
      <c r="P2" s="1480"/>
      <c r="Q2" s="1480"/>
    </row>
    <row r="3" spans="1:22" hidden="1" x14ac:dyDescent="0.25">
      <c r="A3" s="483" t="s">
        <v>5135</v>
      </c>
      <c r="B3" t="s">
        <v>875</v>
      </c>
      <c r="C3" s="233" t="s">
        <v>410</v>
      </c>
      <c r="D3" s="233">
        <v>45612</v>
      </c>
      <c r="E3" s="28"/>
      <c r="F3" s="28" t="s">
        <v>4562</v>
      </c>
      <c r="G3" t="s">
        <v>5317</v>
      </c>
      <c r="H3" t="s">
        <v>5473</v>
      </c>
      <c r="I3" s="88">
        <v>27612</v>
      </c>
      <c r="J3" s="32">
        <f>+I3-ROUND(I3*0.12,0)</f>
        <v>24299</v>
      </c>
      <c r="K3" t="s">
        <v>17</v>
      </c>
      <c r="L3" s="233">
        <v>46046</v>
      </c>
      <c r="T3" t="s">
        <v>4581</v>
      </c>
      <c r="U3" s="360">
        <v>0.38750000000000001</v>
      </c>
      <c r="V3" s="360">
        <v>0.52847222222222223</v>
      </c>
    </row>
    <row r="4" spans="1:22" hidden="1" x14ac:dyDescent="0.25">
      <c r="A4" s="483">
        <v>31032025</v>
      </c>
      <c r="B4" t="s">
        <v>5890</v>
      </c>
      <c r="C4" s="28" t="s">
        <v>410</v>
      </c>
      <c r="D4" s="233">
        <v>45747</v>
      </c>
      <c r="E4" s="28"/>
      <c r="F4" s="28" t="s">
        <v>4562</v>
      </c>
      <c r="G4" t="s">
        <v>6187</v>
      </c>
      <c r="H4" s="30" t="s">
        <v>7338</v>
      </c>
      <c r="I4" s="798">
        <v>26904</v>
      </c>
      <c r="J4" s="32">
        <f>+I4-ROUND(I4*0.12,0)</f>
        <v>23676</v>
      </c>
      <c r="K4" t="s">
        <v>17</v>
      </c>
      <c r="L4" s="233">
        <v>45969</v>
      </c>
      <c r="T4" t="s">
        <v>5891</v>
      </c>
      <c r="U4" s="360">
        <v>0.35833333333333334</v>
      </c>
      <c r="V4" s="360">
        <v>0.50972222222222219</v>
      </c>
    </row>
    <row r="5" spans="1:22" x14ac:dyDescent="0.25">
      <c r="A5" s="256"/>
      <c r="D5" s="122"/>
      <c r="F5" s="30"/>
      <c r="G5" s="30"/>
      <c r="I5" s="313"/>
      <c r="J5" s="160">
        <v>23676</v>
      </c>
      <c r="L5" s="88"/>
      <c r="T5" s="14"/>
      <c r="U5" s="14"/>
      <c r="V5" s="14"/>
    </row>
    <row r="6" spans="1:22" x14ac:dyDescent="0.25">
      <c r="A6" s="116"/>
      <c r="B6" s="169"/>
      <c r="C6" s="21"/>
      <c r="D6" s="123"/>
      <c r="E6" s="88"/>
      <c r="F6" s="21"/>
      <c r="G6" s="21"/>
      <c r="I6" s="160"/>
      <c r="J6" s="160"/>
      <c r="K6" s="160"/>
      <c r="O6" s="163"/>
      <c r="P6" s="157"/>
      <c r="Q6" s="157"/>
    </row>
    <row r="7" spans="1:22" x14ac:dyDescent="0.25">
      <c r="H7" s="5" t="s">
        <v>423</v>
      </c>
      <c r="I7" s="9">
        <f>SUBTOTAL(9,I3:I6)</f>
        <v>0</v>
      </c>
    </row>
  </sheetData>
  <autoFilter ref="A2:Q6" xr:uid="{00000000-0009-0000-0000-00000F000000}">
    <filterColumn colId="10">
      <filters blank="1"/>
    </filterColumn>
    <filterColumn colId="13" showButton="0"/>
    <filterColumn colId="14" showButton="0"/>
    <filterColumn colId="15" showButton="0"/>
  </autoFilter>
  <mergeCells count="1">
    <mergeCell ref="N2: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7633" r:id="rId3" name="Button 1">
              <controlPr defaultSize="0" print="0" autoFill="0" autoPict="0" macro="[0]!RETORNAR">
                <anchor moveWithCells="1" sizeWithCells="1">
                  <from>
                    <xdr:col>0</xdr:col>
                    <xdr:colOff>28575</xdr:colOff>
                    <xdr:row>0</xdr:row>
                    <xdr:rowOff>0</xdr:rowOff>
                  </from>
                  <to>
                    <xdr:col>2</xdr:col>
                    <xdr:colOff>323850</xdr:colOff>
                    <xdr:row>0</xdr:row>
                    <xdr:rowOff>257175</xdr:rowOff>
                  </to>
                </anchor>
              </controlPr>
            </control>
          </mc:Choice>
        </mc:AlternateContent>
        <mc:AlternateContent xmlns:mc="http://schemas.openxmlformats.org/markup-compatibility/2006">
          <mc:Choice Requires="x14">
            <control shapeId="837637" r:id="rId4" name="Botón 5">
              <controlPr defaultSize="0" print="0" autoFill="0" autoPict="0" macro="[0]!IR_VENTAS_B200_2026">
                <anchor moveWithCells="1" sizeWithCells="1">
                  <from>
                    <xdr:col>1</xdr:col>
                    <xdr:colOff>666750</xdr:colOff>
                    <xdr:row>13</xdr:row>
                    <xdr:rowOff>171450</xdr:rowOff>
                  </from>
                  <to>
                    <xdr:col>2</xdr:col>
                    <xdr:colOff>342900</xdr:colOff>
                    <xdr:row>17</xdr:row>
                    <xdr:rowOff>19050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1" filterMode="1"/>
  <dimension ref="A1:X321"/>
  <sheetViews>
    <sheetView topLeftCell="A244" zoomScale="78" zoomScaleNormal="78" workbookViewId="0">
      <selection activeCell="G304" sqref="G304"/>
    </sheetView>
  </sheetViews>
  <sheetFormatPr baseColWidth="10" defaultColWidth="10.85546875" defaultRowHeight="15" x14ac:dyDescent="0.25"/>
  <cols>
    <col min="1" max="1" width="19.140625" style="275" customWidth="1"/>
    <col min="2" max="2" width="31.85546875" bestFit="1" customWidth="1"/>
    <col min="3" max="3" width="13.140625" style="28" bestFit="1" customWidth="1"/>
    <col min="4" max="4" width="21.85546875" style="1014" customWidth="1"/>
    <col min="5" max="5" width="7.85546875" bestFit="1" customWidth="1"/>
    <col min="6" max="6" width="13.5703125" style="28" customWidth="1"/>
    <col min="7" max="7" width="50.85546875" customWidth="1"/>
    <col min="8" max="8" width="15.7109375" style="28" customWidth="1"/>
    <col min="9" max="9" width="35.85546875" bestFit="1" customWidth="1"/>
    <col min="10" max="10" width="16.140625" style="28" customWidth="1"/>
    <col min="11" max="11" width="18.7109375" customWidth="1"/>
    <col min="12" max="12" width="14.85546875" style="6" bestFit="1" customWidth="1"/>
    <col min="13" max="13" width="12" style="129" bestFit="1" customWidth="1"/>
    <col min="14" max="15" width="12.7109375" style="129" hidden="1" customWidth="1"/>
    <col min="16" max="16" width="26.5703125" style="61" customWidth="1"/>
    <col min="17" max="17" width="14.42578125" style="32" customWidth="1"/>
    <col min="20" max="20" width="19.5703125" style="74" customWidth="1"/>
  </cols>
  <sheetData>
    <row r="1" spans="1:21" ht="21.6" customHeight="1" x14ac:dyDescent="0.25"/>
    <row r="2" spans="1:21" x14ac:dyDescent="0.25">
      <c r="A2" s="208" t="s">
        <v>706</v>
      </c>
      <c r="B2" s="1" t="s">
        <v>0</v>
      </c>
      <c r="C2" s="25" t="s">
        <v>1</v>
      </c>
      <c r="D2" s="244" t="s">
        <v>2</v>
      </c>
      <c r="E2" s="1"/>
      <c r="F2" s="25" t="s">
        <v>3</v>
      </c>
      <c r="G2" s="1" t="s">
        <v>4</v>
      </c>
      <c r="H2" s="25" t="s">
        <v>5</v>
      </c>
      <c r="I2" s="1" t="s">
        <v>6</v>
      </c>
      <c r="J2" s="1" t="s">
        <v>1780</v>
      </c>
      <c r="K2" s="1" t="s">
        <v>8</v>
      </c>
      <c r="L2" s="1" t="s">
        <v>3998</v>
      </c>
      <c r="M2" s="128" t="s">
        <v>10</v>
      </c>
      <c r="N2" s="128"/>
      <c r="O2" s="128"/>
      <c r="P2" s="60" t="s">
        <v>1601</v>
      </c>
      <c r="Q2" s="1480" t="s">
        <v>11</v>
      </c>
      <c r="R2" s="1480"/>
      <c r="S2" s="1480"/>
      <c r="T2" s="1480"/>
    </row>
    <row r="3" spans="1:21" ht="15.75" thickBot="1" x14ac:dyDescent="0.3"/>
    <row r="4" spans="1:21" ht="56.25" customHeight="1" thickBot="1" x14ac:dyDescent="0.3">
      <c r="A4" s="1544" t="s">
        <v>2012</v>
      </c>
      <c r="B4" s="1545"/>
      <c r="C4" s="1545"/>
      <c r="D4" s="1545"/>
      <c r="E4" s="1545"/>
      <c r="F4" s="1545"/>
      <c r="G4" s="1545"/>
      <c r="H4" s="1546"/>
    </row>
    <row r="5" spans="1:21" ht="15" hidden="1" customHeight="1" x14ac:dyDescent="0.25">
      <c r="A5" s="115">
        <v>15122022</v>
      </c>
      <c r="B5" t="s">
        <v>596</v>
      </c>
      <c r="C5" s="169" t="s">
        <v>693</v>
      </c>
      <c r="D5" s="359">
        <v>44910</v>
      </c>
      <c r="E5" s="88"/>
      <c r="F5" s="28" t="s">
        <v>742</v>
      </c>
      <c r="G5" s="21" t="s">
        <v>1614</v>
      </c>
      <c r="H5" s="28" t="s">
        <v>1666</v>
      </c>
      <c r="I5" s="161">
        <v>59472</v>
      </c>
      <c r="J5" s="160">
        <f t="shared" ref="J5:J42" si="0">+I5*0.88</f>
        <v>52335.360000000001</v>
      </c>
      <c r="K5" s="88" t="s">
        <v>17</v>
      </c>
      <c r="L5" s="122">
        <v>44964</v>
      </c>
      <c r="M5" t="s">
        <v>1668</v>
      </c>
      <c r="N5"/>
      <c r="O5" t="s">
        <v>795</v>
      </c>
      <c r="P5" s="157">
        <v>0.60069444444444442</v>
      </c>
      <c r="Q5" s="21"/>
      <c r="T5"/>
    </row>
    <row r="6" spans="1:21" ht="15" hidden="1" customHeight="1" x14ac:dyDescent="0.25">
      <c r="A6" s="115">
        <v>18122020</v>
      </c>
      <c r="B6" t="s">
        <v>596</v>
      </c>
      <c r="C6" s="169" t="s">
        <v>693</v>
      </c>
      <c r="D6" s="359">
        <v>44914</v>
      </c>
      <c r="E6" s="88"/>
      <c r="F6" s="28" t="s">
        <v>742</v>
      </c>
      <c r="G6" s="21" t="s">
        <v>1612</v>
      </c>
      <c r="H6" s="28" t="s">
        <v>1667</v>
      </c>
      <c r="I6" s="161">
        <v>59472</v>
      </c>
      <c r="J6" s="160">
        <f t="shared" si="0"/>
        <v>52335.360000000001</v>
      </c>
      <c r="K6" s="88" t="s">
        <v>17</v>
      </c>
      <c r="L6" s="122">
        <v>44964</v>
      </c>
      <c r="M6" t="s">
        <v>1668</v>
      </c>
      <c r="N6"/>
      <c r="O6"/>
      <c r="P6"/>
      <c r="Q6"/>
      <c r="S6" t="s">
        <v>989</v>
      </c>
      <c r="T6" s="157">
        <v>0.58888888888888891</v>
      </c>
      <c r="U6" s="21"/>
    </row>
    <row r="7" spans="1:21" hidden="1" x14ac:dyDescent="0.25">
      <c r="A7" s="115">
        <v>20122022</v>
      </c>
      <c r="B7" t="s">
        <v>596</v>
      </c>
      <c r="C7" s="30" t="s">
        <v>693</v>
      </c>
      <c r="D7" s="359">
        <v>44915</v>
      </c>
      <c r="E7" s="88"/>
      <c r="F7" s="28" t="s">
        <v>236</v>
      </c>
      <c r="G7" t="s">
        <v>1611</v>
      </c>
      <c r="H7" s="28" t="s">
        <v>1959</v>
      </c>
      <c r="I7" s="89">
        <v>59472</v>
      </c>
      <c r="J7" s="88">
        <f t="shared" si="0"/>
        <v>52335.360000000001</v>
      </c>
      <c r="K7" s="88" t="s">
        <v>17</v>
      </c>
      <c r="L7" s="122">
        <v>45030</v>
      </c>
      <c r="M7"/>
      <c r="N7"/>
      <c r="O7"/>
      <c r="P7"/>
      <c r="Q7"/>
      <c r="S7" t="s">
        <v>1029</v>
      </c>
      <c r="T7"/>
      <c r="U7" s="14">
        <v>0.90833333333333333</v>
      </c>
    </row>
    <row r="8" spans="1:21" hidden="1" x14ac:dyDescent="0.25">
      <c r="A8" s="115">
        <v>31122022</v>
      </c>
      <c r="B8" t="s">
        <v>596</v>
      </c>
      <c r="C8" s="169" t="s">
        <v>693</v>
      </c>
      <c r="D8" s="359">
        <v>44926</v>
      </c>
      <c r="E8" s="88"/>
      <c r="F8" s="28" t="s">
        <v>236</v>
      </c>
      <c r="G8" s="21" t="s">
        <v>1723</v>
      </c>
      <c r="H8" s="28" t="s">
        <v>1960</v>
      </c>
      <c r="I8" s="161">
        <v>59472</v>
      </c>
      <c r="J8" s="88">
        <f t="shared" si="0"/>
        <v>52335.360000000001</v>
      </c>
      <c r="K8" s="88" t="s">
        <v>17</v>
      </c>
      <c r="L8" s="122">
        <v>45030</v>
      </c>
      <c r="M8"/>
      <c r="N8"/>
      <c r="O8"/>
      <c r="P8"/>
      <c r="Q8"/>
      <c r="S8" s="2" t="s">
        <v>1712</v>
      </c>
      <c r="T8" s="157">
        <v>0.29722222222222222</v>
      </c>
      <c r="U8" s="21"/>
    </row>
    <row r="9" spans="1:21" hidden="1" x14ac:dyDescent="0.25">
      <c r="A9" s="95" t="s">
        <v>1718</v>
      </c>
      <c r="B9" t="s">
        <v>596</v>
      </c>
      <c r="C9" t="s">
        <v>13</v>
      </c>
      <c r="D9" s="359">
        <v>44927</v>
      </c>
      <c r="F9" s="28" t="s">
        <v>236</v>
      </c>
      <c r="G9" s="21" t="s">
        <v>1875</v>
      </c>
      <c r="H9" s="28" t="s">
        <v>1961</v>
      </c>
      <c r="I9" s="161">
        <v>59472</v>
      </c>
      <c r="J9" s="88">
        <f t="shared" si="0"/>
        <v>52335.360000000001</v>
      </c>
      <c r="K9" s="88" t="s">
        <v>17</v>
      </c>
      <c r="L9" s="122">
        <v>45030</v>
      </c>
      <c r="M9"/>
      <c r="N9"/>
      <c r="O9"/>
      <c r="P9"/>
      <c r="Q9"/>
      <c r="S9" t="s">
        <v>1506</v>
      </c>
      <c r="T9" s="14">
        <v>0.51250000000000007</v>
      </c>
      <c r="U9" s="14">
        <v>0.88680555555555562</v>
      </c>
    </row>
    <row r="10" spans="1:21" hidden="1" x14ac:dyDescent="0.25">
      <c r="A10" s="95" t="s">
        <v>1745</v>
      </c>
      <c r="B10" t="s">
        <v>596</v>
      </c>
      <c r="C10" t="s">
        <v>410</v>
      </c>
      <c r="D10" s="359">
        <v>44934</v>
      </c>
      <c r="F10" s="28" t="s">
        <v>236</v>
      </c>
      <c r="G10" t="s">
        <v>1876</v>
      </c>
      <c r="H10" s="28" t="s">
        <v>1962</v>
      </c>
      <c r="I10" s="161">
        <v>59472</v>
      </c>
      <c r="J10" s="88">
        <f t="shared" si="0"/>
        <v>52335.360000000001</v>
      </c>
      <c r="K10" s="88" t="s">
        <v>17</v>
      </c>
      <c r="L10" s="122">
        <v>45030</v>
      </c>
      <c r="M10"/>
      <c r="N10"/>
      <c r="O10"/>
      <c r="P10"/>
      <c r="Q10"/>
      <c r="S10" t="s">
        <v>1029</v>
      </c>
      <c r="T10" s="14">
        <v>0.37708333333333338</v>
      </c>
      <c r="U10" s="14">
        <v>0.66319444444444442</v>
      </c>
    </row>
    <row r="11" spans="1:21" hidden="1" x14ac:dyDescent="0.25">
      <c r="A11" s="245" t="s">
        <v>1746</v>
      </c>
      <c r="B11" t="s">
        <v>596</v>
      </c>
      <c r="C11" t="s">
        <v>13</v>
      </c>
      <c r="D11" s="359">
        <v>44935</v>
      </c>
      <c r="F11" s="28" t="s">
        <v>236</v>
      </c>
      <c r="G11" t="s">
        <v>1877</v>
      </c>
      <c r="H11" s="28" t="s">
        <v>1963</v>
      </c>
      <c r="I11" s="161">
        <v>59472</v>
      </c>
      <c r="J11" s="88">
        <f t="shared" si="0"/>
        <v>52335.360000000001</v>
      </c>
      <c r="K11" s="88" t="s">
        <v>17</v>
      </c>
      <c r="L11" s="122">
        <v>45030</v>
      </c>
      <c r="M11"/>
      <c r="N11"/>
      <c r="O11"/>
      <c r="P11"/>
      <c r="Q11"/>
      <c r="S11" t="s">
        <v>1644</v>
      </c>
      <c r="T11" s="14">
        <v>0.67499999999999993</v>
      </c>
      <c r="U11" s="14">
        <v>4.8611111111111112E-3</v>
      </c>
    </row>
    <row r="12" spans="1:21" hidden="1" x14ac:dyDescent="0.25">
      <c r="A12" s="246">
        <v>10012023</v>
      </c>
      <c r="B12" t="s">
        <v>596</v>
      </c>
      <c r="C12" t="s">
        <v>410</v>
      </c>
      <c r="D12" s="359">
        <v>44936</v>
      </c>
      <c r="F12" s="28" t="s">
        <v>236</v>
      </c>
      <c r="G12" t="s">
        <v>1878</v>
      </c>
      <c r="H12" s="28" t="s">
        <v>1964</v>
      </c>
      <c r="I12" s="161">
        <v>59472</v>
      </c>
      <c r="J12" s="88">
        <f t="shared" si="0"/>
        <v>52335.360000000001</v>
      </c>
      <c r="K12" s="88" t="s">
        <v>17</v>
      </c>
      <c r="L12" s="122">
        <v>45030</v>
      </c>
      <c r="M12"/>
      <c r="N12"/>
      <c r="O12"/>
      <c r="P12"/>
      <c r="Q12"/>
      <c r="S12" t="s">
        <v>916</v>
      </c>
      <c r="T12" s="14">
        <v>0.63680555555555551</v>
      </c>
    </row>
    <row r="13" spans="1:21" hidden="1" x14ac:dyDescent="0.25">
      <c r="A13" s="246">
        <v>27012023</v>
      </c>
      <c r="B13" t="s">
        <v>596</v>
      </c>
      <c r="C13" t="s">
        <v>13</v>
      </c>
      <c r="D13" s="359">
        <v>44953</v>
      </c>
      <c r="F13" s="28" t="s">
        <v>236</v>
      </c>
      <c r="G13" t="s">
        <v>1879</v>
      </c>
      <c r="H13" s="28" t="s">
        <v>1965</v>
      </c>
      <c r="I13" s="161">
        <v>59472</v>
      </c>
      <c r="J13" s="88">
        <f t="shared" si="0"/>
        <v>52335.360000000001</v>
      </c>
      <c r="K13" s="88" t="s">
        <v>17</v>
      </c>
      <c r="L13" s="122">
        <v>45030</v>
      </c>
      <c r="M13"/>
      <c r="N13"/>
      <c r="O13"/>
      <c r="P13"/>
      <c r="Q13"/>
      <c r="S13" t="s">
        <v>922</v>
      </c>
      <c r="T13" s="14"/>
    </row>
    <row r="14" spans="1:21" hidden="1" x14ac:dyDescent="0.25">
      <c r="A14" s="95" t="s">
        <v>1843</v>
      </c>
      <c r="B14" t="s">
        <v>596</v>
      </c>
      <c r="C14" t="s">
        <v>13</v>
      </c>
      <c r="D14" s="359">
        <v>44960</v>
      </c>
      <c r="F14" s="28" t="s">
        <v>236</v>
      </c>
      <c r="G14" t="s">
        <v>1873</v>
      </c>
      <c r="H14" s="28" t="s">
        <v>1966</v>
      </c>
      <c r="I14" s="161">
        <v>59472</v>
      </c>
      <c r="J14" s="88">
        <f t="shared" si="0"/>
        <v>52335.360000000001</v>
      </c>
      <c r="K14" s="88" t="s">
        <v>17</v>
      </c>
      <c r="L14" s="122">
        <v>45030</v>
      </c>
      <c r="M14"/>
      <c r="N14"/>
      <c r="O14"/>
      <c r="P14"/>
      <c r="Q14"/>
      <c r="S14" t="s">
        <v>916</v>
      </c>
      <c r="T14" s="14">
        <v>0.32777777777777778</v>
      </c>
      <c r="U14" s="14">
        <v>0.64374999999999993</v>
      </c>
    </row>
    <row r="15" spans="1:21" hidden="1" x14ac:dyDescent="0.25">
      <c r="A15" s="95" t="s">
        <v>1843</v>
      </c>
      <c r="B15" t="s">
        <v>596</v>
      </c>
      <c r="C15" t="s">
        <v>13</v>
      </c>
      <c r="D15" s="359">
        <v>44960</v>
      </c>
      <c r="F15" s="28" t="s">
        <v>236</v>
      </c>
      <c r="G15" t="s">
        <v>1874</v>
      </c>
      <c r="H15" s="28" t="s">
        <v>1967</v>
      </c>
      <c r="I15" s="161">
        <v>59472</v>
      </c>
      <c r="J15" s="88">
        <f t="shared" si="0"/>
        <v>52335.360000000001</v>
      </c>
      <c r="K15" s="88" t="s">
        <v>17</v>
      </c>
      <c r="L15" s="122">
        <v>45030</v>
      </c>
      <c r="M15"/>
      <c r="N15"/>
      <c r="O15"/>
      <c r="P15"/>
      <c r="Q15"/>
      <c r="S15" t="s">
        <v>1816</v>
      </c>
      <c r="T15" s="14">
        <v>0.69166666666666676</v>
      </c>
      <c r="U15" s="14">
        <v>0.98541666666666661</v>
      </c>
    </row>
    <row r="16" spans="1:21" hidden="1" x14ac:dyDescent="0.25">
      <c r="A16" s="95" t="s">
        <v>1846</v>
      </c>
      <c r="B16" t="s">
        <v>596</v>
      </c>
      <c r="C16" t="s">
        <v>13</v>
      </c>
      <c r="D16" s="359">
        <v>44962</v>
      </c>
      <c r="F16" s="28" t="s">
        <v>236</v>
      </c>
      <c r="G16" t="s">
        <v>1872</v>
      </c>
      <c r="H16" s="28" t="s">
        <v>1968</v>
      </c>
      <c r="I16" s="161">
        <v>59472</v>
      </c>
      <c r="J16" s="88">
        <f t="shared" si="0"/>
        <v>52335.360000000001</v>
      </c>
      <c r="K16" s="88" t="s">
        <v>17</v>
      </c>
      <c r="L16" s="122">
        <v>45030</v>
      </c>
      <c r="M16"/>
      <c r="N16"/>
      <c r="O16"/>
      <c r="P16"/>
      <c r="Q16"/>
      <c r="S16" t="s">
        <v>1816</v>
      </c>
      <c r="T16" s="14">
        <v>0.31111111111111112</v>
      </c>
    </row>
    <row r="17" spans="1:22" hidden="1" x14ac:dyDescent="0.25">
      <c r="A17" s="256">
        <v>27022023</v>
      </c>
      <c r="B17" t="s">
        <v>596</v>
      </c>
      <c r="C17" t="s">
        <v>13</v>
      </c>
      <c r="D17" s="359">
        <v>44984</v>
      </c>
      <c r="F17" s="28" t="s">
        <v>236</v>
      </c>
      <c r="G17" t="s">
        <v>1969</v>
      </c>
      <c r="H17" s="28" t="s">
        <v>1981</v>
      </c>
      <c r="I17" s="161">
        <v>59472</v>
      </c>
      <c r="J17" s="88">
        <f t="shared" si="0"/>
        <v>52335.360000000001</v>
      </c>
      <c r="K17" s="88" t="s">
        <v>17</v>
      </c>
      <c r="L17" s="122">
        <v>45030</v>
      </c>
      <c r="M17"/>
      <c r="N17"/>
      <c r="O17"/>
      <c r="P17"/>
      <c r="Q17"/>
      <c r="S17" t="s">
        <v>916</v>
      </c>
      <c r="T17" s="14"/>
      <c r="U17" s="14"/>
    </row>
    <row r="18" spans="1:22" hidden="1" x14ac:dyDescent="0.25">
      <c r="A18" s="95" t="s">
        <v>1955</v>
      </c>
      <c r="B18" t="s">
        <v>596</v>
      </c>
      <c r="C18" t="s">
        <v>1954</v>
      </c>
      <c r="D18" s="359">
        <v>44987</v>
      </c>
      <c r="F18" s="28" t="s">
        <v>236</v>
      </c>
      <c r="G18" t="s">
        <v>1980</v>
      </c>
      <c r="H18" s="28" t="s">
        <v>1983</v>
      </c>
      <c r="I18" s="89">
        <v>59472</v>
      </c>
      <c r="J18" s="88">
        <f t="shared" si="0"/>
        <v>52335.360000000001</v>
      </c>
      <c r="K18" s="88" t="s">
        <v>17</v>
      </c>
      <c r="L18" s="122">
        <v>45054</v>
      </c>
      <c r="M18"/>
      <c r="N18"/>
      <c r="O18"/>
      <c r="P18"/>
      <c r="Q18"/>
      <c r="S18" t="s">
        <v>1950</v>
      </c>
      <c r="T18"/>
    </row>
    <row r="19" spans="1:22" hidden="1" x14ac:dyDescent="0.25">
      <c r="A19" s="95" t="s">
        <v>2011</v>
      </c>
      <c r="B19" t="s">
        <v>596</v>
      </c>
      <c r="C19"/>
      <c r="D19" s="359">
        <v>44994</v>
      </c>
      <c r="F19" s="28" t="s">
        <v>236</v>
      </c>
      <c r="G19" t="s">
        <v>2022</v>
      </c>
      <c r="H19" s="28" t="s">
        <v>2023</v>
      </c>
      <c r="I19" s="89">
        <v>59472</v>
      </c>
      <c r="J19" s="88">
        <f t="shared" si="0"/>
        <v>52335.360000000001</v>
      </c>
      <c r="K19" s="88" t="s">
        <v>17</v>
      </c>
      <c r="L19" s="122">
        <v>45054</v>
      </c>
      <c r="M19"/>
      <c r="N19"/>
      <c r="O19"/>
      <c r="P19"/>
      <c r="Q19"/>
      <c r="T19" s="14"/>
    </row>
    <row r="20" spans="1:22" hidden="1" x14ac:dyDescent="0.25">
      <c r="A20" s="256">
        <v>22032023</v>
      </c>
      <c r="B20" t="s">
        <v>596</v>
      </c>
      <c r="C20" t="s">
        <v>693</v>
      </c>
      <c r="D20" s="359">
        <v>45007</v>
      </c>
      <c r="F20" s="28" t="s">
        <v>236</v>
      </c>
      <c r="G20" t="s">
        <v>2065</v>
      </c>
      <c r="H20" s="28" t="s">
        <v>2064</v>
      </c>
      <c r="I20" s="89">
        <v>59472</v>
      </c>
      <c r="J20" s="88">
        <f t="shared" si="0"/>
        <v>52335.360000000001</v>
      </c>
      <c r="K20" s="88" t="s">
        <v>17</v>
      </c>
      <c r="L20" s="122">
        <v>45054</v>
      </c>
      <c r="M20"/>
      <c r="N20"/>
      <c r="O20"/>
      <c r="P20"/>
      <c r="Q20"/>
      <c r="S20" t="s">
        <v>2050</v>
      </c>
      <c r="T20" s="14">
        <v>0.42638888888888887</v>
      </c>
      <c r="U20" s="14"/>
    </row>
    <row r="21" spans="1:22" hidden="1" x14ac:dyDescent="0.25">
      <c r="A21" s="256">
        <v>26032023</v>
      </c>
      <c r="B21" t="s">
        <v>596</v>
      </c>
      <c r="C21" t="s">
        <v>693</v>
      </c>
      <c r="D21" s="359">
        <v>45011</v>
      </c>
      <c r="F21" s="28" t="s">
        <v>236</v>
      </c>
      <c r="G21" t="s">
        <v>2117</v>
      </c>
      <c r="H21" s="28" t="s">
        <v>2116</v>
      </c>
      <c r="I21" s="89">
        <v>59472</v>
      </c>
      <c r="J21" s="88">
        <f t="shared" si="0"/>
        <v>52335.360000000001</v>
      </c>
      <c r="K21" s="88" t="s">
        <v>17</v>
      </c>
      <c r="L21" s="122">
        <v>45054</v>
      </c>
      <c r="M21"/>
      <c r="N21"/>
      <c r="O21"/>
      <c r="P21"/>
      <c r="Q21"/>
      <c r="T21" t="s">
        <v>922</v>
      </c>
      <c r="U21" s="14">
        <v>0.69236111111111109</v>
      </c>
      <c r="V21" s="14">
        <v>1.4583333333333332E-2</v>
      </c>
    </row>
    <row r="22" spans="1:22" hidden="1" x14ac:dyDescent="0.25">
      <c r="A22" s="95" t="s">
        <v>2145</v>
      </c>
      <c r="B22" t="s">
        <v>596</v>
      </c>
      <c r="C22" t="s">
        <v>693</v>
      </c>
      <c r="D22" s="359">
        <v>45017</v>
      </c>
      <c r="F22" s="28" t="s">
        <v>236</v>
      </c>
      <c r="G22" t="s">
        <v>2150</v>
      </c>
      <c r="H22" s="28" t="s">
        <v>2149</v>
      </c>
      <c r="I22" s="89">
        <v>59472</v>
      </c>
      <c r="J22" s="88">
        <f t="shared" si="0"/>
        <v>52335.360000000001</v>
      </c>
      <c r="K22" s="88" t="s">
        <v>17</v>
      </c>
      <c r="L22" s="122">
        <v>45083</v>
      </c>
      <c r="M22"/>
      <c r="N22"/>
      <c r="O22"/>
      <c r="P22"/>
      <c r="Q22"/>
      <c r="T22" t="s">
        <v>2146</v>
      </c>
      <c r="U22" s="14">
        <v>0.23819444444444446</v>
      </c>
      <c r="V22" s="14">
        <v>0.55347222222222225</v>
      </c>
    </row>
    <row r="23" spans="1:22" hidden="1" x14ac:dyDescent="0.25">
      <c r="A23" s="95" t="s">
        <v>2159</v>
      </c>
      <c r="B23" t="s">
        <v>596</v>
      </c>
      <c r="C23" t="s">
        <v>693</v>
      </c>
      <c r="D23" s="359">
        <v>45020</v>
      </c>
      <c r="F23" s="28" t="s">
        <v>236</v>
      </c>
      <c r="G23" t="s">
        <v>2208</v>
      </c>
      <c r="H23" s="28" t="s">
        <v>2209</v>
      </c>
      <c r="I23" s="89">
        <v>59472</v>
      </c>
      <c r="J23" s="88">
        <f t="shared" si="0"/>
        <v>52335.360000000001</v>
      </c>
      <c r="K23" s="88" t="s">
        <v>17</v>
      </c>
      <c r="L23" s="122">
        <v>45083</v>
      </c>
      <c r="M23"/>
      <c r="N23"/>
      <c r="O23"/>
      <c r="P23"/>
      <c r="Q23"/>
      <c r="T23"/>
      <c r="U23" s="14"/>
    </row>
    <row r="24" spans="1:22" hidden="1" x14ac:dyDescent="0.25">
      <c r="A24" s="95" t="s">
        <v>2171</v>
      </c>
      <c r="B24" t="s">
        <v>596</v>
      </c>
      <c r="C24" t="s">
        <v>693</v>
      </c>
      <c r="D24" s="359">
        <v>45021</v>
      </c>
      <c r="F24" s="28" t="s">
        <v>236</v>
      </c>
      <c r="G24" t="s">
        <v>2210</v>
      </c>
      <c r="H24" s="28" t="s">
        <v>2211</v>
      </c>
      <c r="I24" s="89">
        <v>59472</v>
      </c>
      <c r="J24" s="88">
        <f t="shared" si="0"/>
        <v>52335.360000000001</v>
      </c>
      <c r="K24" s="88" t="s">
        <v>17</v>
      </c>
      <c r="L24" s="122">
        <v>45083</v>
      </c>
      <c r="M24"/>
      <c r="N24"/>
      <c r="O24"/>
      <c r="P24"/>
      <c r="Q24"/>
      <c r="T24" t="s">
        <v>922</v>
      </c>
      <c r="U24" s="14">
        <v>0.27083333333333331</v>
      </c>
      <c r="V24" s="14"/>
    </row>
    <row r="25" spans="1:22" hidden="1" x14ac:dyDescent="0.25">
      <c r="A25" s="256">
        <v>10042023</v>
      </c>
      <c r="B25" t="s">
        <v>596</v>
      </c>
      <c r="C25" t="s">
        <v>693</v>
      </c>
      <c r="D25" s="359">
        <v>45026</v>
      </c>
      <c r="F25" s="28" t="s">
        <v>236</v>
      </c>
      <c r="G25" t="s">
        <v>2212</v>
      </c>
      <c r="H25" s="28" t="s">
        <v>2274</v>
      </c>
      <c r="I25" s="89">
        <v>59472</v>
      </c>
      <c r="J25" s="88">
        <f t="shared" si="0"/>
        <v>52335.360000000001</v>
      </c>
      <c r="K25" s="88" t="s">
        <v>17</v>
      </c>
      <c r="L25" s="122">
        <v>45083</v>
      </c>
      <c r="M25"/>
      <c r="N25"/>
      <c r="O25"/>
      <c r="P25"/>
      <c r="Q25"/>
      <c r="T25" t="s">
        <v>1644</v>
      </c>
      <c r="U25" s="14">
        <v>0.6118055555555556</v>
      </c>
      <c r="V25" s="14"/>
    </row>
    <row r="26" spans="1:22" hidden="1" x14ac:dyDescent="0.25">
      <c r="A26" s="256">
        <v>28042023</v>
      </c>
      <c r="B26" t="s">
        <v>596</v>
      </c>
      <c r="C26" t="s">
        <v>410</v>
      </c>
      <c r="D26" s="359">
        <v>45044</v>
      </c>
      <c r="F26" s="28" t="s">
        <v>2296</v>
      </c>
      <c r="G26" s="30" t="s">
        <v>2304</v>
      </c>
      <c r="H26" s="28" t="s">
        <v>2308</v>
      </c>
      <c r="I26" s="296">
        <v>59472</v>
      </c>
      <c r="J26" s="88">
        <f t="shared" si="0"/>
        <v>52335.360000000001</v>
      </c>
      <c r="K26" s="88" t="s">
        <v>17</v>
      </c>
      <c r="L26" s="122">
        <v>45083</v>
      </c>
      <c r="M26"/>
      <c r="N26"/>
      <c r="O26"/>
      <c r="P26"/>
      <c r="Q26"/>
      <c r="T26" t="s">
        <v>922</v>
      </c>
      <c r="U26" s="14">
        <v>0.26874999999999999</v>
      </c>
    </row>
    <row r="27" spans="1:22" hidden="1" x14ac:dyDescent="0.25">
      <c r="A27" s="256">
        <v>25052023</v>
      </c>
      <c r="B27" t="s">
        <v>596</v>
      </c>
      <c r="C27" t="s">
        <v>410</v>
      </c>
      <c r="D27" s="359">
        <v>45071</v>
      </c>
      <c r="F27" s="28" t="s">
        <v>236</v>
      </c>
      <c r="G27" t="s">
        <v>2417</v>
      </c>
      <c r="H27" s="28" t="s">
        <v>2418</v>
      </c>
      <c r="I27" s="296">
        <v>59472</v>
      </c>
      <c r="J27" s="88">
        <f t="shared" si="0"/>
        <v>52335.360000000001</v>
      </c>
      <c r="K27" t="s">
        <v>17</v>
      </c>
      <c r="L27" s="122">
        <v>45127</v>
      </c>
      <c r="M27"/>
      <c r="N27"/>
      <c r="O27"/>
      <c r="P27"/>
      <c r="Q27"/>
      <c r="T27" t="s">
        <v>1029</v>
      </c>
      <c r="U27" s="204">
        <v>0.73402777777777783</v>
      </c>
      <c r="V27" s="14">
        <v>4.9305555555555554E-2</v>
      </c>
    </row>
    <row r="28" spans="1:22" hidden="1" x14ac:dyDescent="0.25">
      <c r="A28" s="256">
        <v>31052023</v>
      </c>
      <c r="B28" t="s">
        <v>596</v>
      </c>
      <c r="C28" t="s">
        <v>693</v>
      </c>
      <c r="D28" s="359">
        <v>45077</v>
      </c>
      <c r="F28" s="28" t="s">
        <v>236</v>
      </c>
      <c r="G28" t="s">
        <v>2453</v>
      </c>
      <c r="H28" s="28" t="s">
        <v>2454</v>
      </c>
      <c r="I28" s="375">
        <v>59472</v>
      </c>
      <c r="J28" s="88">
        <f t="shared" si="0"/>
        <v>52335.360000000001</v>
      </c>
      <c r="K28" t="s">
        <v>17</v>
      </c>
      <c r="L28" s="122">
        <v>45127</v>
      </c>
      <c r="M28"/>
      <c r="N28"/>
      <c r="O28"/>
      <c r="P28"/>
      <c r="Q28"/>
      <c r="T28" t="s">
        <v>1506</v>
      </c>
      <c r="U28" s="14">
        <v>0.26597222222222222</v>
      </c>
      <c r="V28" s="14"/>
    </row>
    <row r="29" spans="1:22" hidden="1" x14ac:dyDescent="0.25">
      <c r="A29" s="95" t="s">
        <v>2451</v>
      </c>
      <c r="B29" t="s">
        <v>596</v>
      </c>
      <c r="C29" t="s">
        <v>410</v>
      </c>
      <c r="D29" s="359">
        <v>45080</v>
      </c>
      <c r="F29" s="28" t="s">
        <v>236</v>
      </c>
      <c r="G29" s="30" t="s">
        <v>2475</v>
      </c>
      <c r="H29" s="28" t="s">
        <v>2476</v>
      </c>
      <c r="I29" s="375">
        <v>59472</v>
      </c>
      <c r="J29" s="88">
        <f t="shared" si="0"/>
        <v>52335.360000000001</v>
      </c>
      <c r="K29" t="s">
        <v>17</v>
      </c>
      <c r="L29" s="122">
        <v>45127</v>
      </c>
      <c r="M29"/>
      <c r="N29"/>
      <c r="O29"/>
      <c r="P29"/>
      <c r="Q29"/>
      <c r="T29" t="s">
        <v>916</v>
      </c>
      <c r="U29" s="14">
        <v>0.53541666666666665</v>
      </c>
      <c r="V29" s="14">
        <v>0.83333333333333337</v>
      </c>
    </row>
    <row r="30" spans="1:22" hidden="1" x14ac:dyDescent="0.25">
      <c r="A30" s="95" t="s">
        <v>2466</v>
      </c>
      <c r="B30" t="s">
        <v>608</v>
      </c>
      <c r="C30" t="s">
        <v>410</v>
      </c>
      <c r="D30" s="359">
        <v>45083</v>
      </c>
      <c r="F30" s="28" t="s">
        <v>236</v>
      </c>
      <c r="G30" s="30" t="s">
        <v>2474</v>
      </c>
      <c r="H30" s="28" t="s">
        <v>2477</v>
      </c>
      <c r="I30" s="236">
        <v>59472</v>
      </c>
      <c r="J30" s="88">
        <f t="shared" si="0"/>
        <v>52335.360000000001</v>
      </c>
      <c r="K30" t="s">
        <v>17</v>
      </c>
      <c r="L30" s="122">
        <v>45156</v>
      </c>
      <c r="M30"/>
      <c r="N30"/>
      <c r="O30"/>
      <c r="P30"/>
      <c r="Q30"/>
      <c r="T30" t="s">
        <v>929</v>
      </c>
      <c r="U30" s="14">
        <v>0.64722222222222225</v>
      </c>
    </row>
    <row r="31" spans="1:22" hidden="1" x14ac:dyDescent="0.25">
      <c r="A31" s="256">
        <v>10062023</v>
      </c>
      <c r="B31" t="s">
        <v>608</v>
      </c>
      <c r="C31" t="s">
        <v>410</v>
      </c>
      <c r="D31" s="359">
        <v>45087</v>
      </c>
      <c r="F31" s="28" t="s">
        <v>236</v>
      </c>
      <c r="G31" s="30" t="s">
        <v>2522</v>
      </c>
      <c r="H31" s="28" t="s">
        <v>2523</v>
      </c>
      <c r="I31" s="236">
        <v>59472</v>
      </c>
      <c r="J31" s="88">
        <f t="shared" si="0"/>
        <v>52335.360000000001</v>
      </c>
      <c r="K31" t="s">
        <v>17</v>
      </c>
      <c r="L31" s="122">
        <v>45156</v>
      </c>
      <c r="M31"/>
      <c r="N31"/>
      <c r="O31"/>
      <c r="P31"/>
      <c r="Q31"/>
      <c r="T31" s="30" t="s">
        <v>1506</v>
      </c>
      <c r="U31" s="14">
        <v>0.33263888888888887</v>
      </c>
      <c r="V31" s="14">
        <v>0.58750000000000002</v>
      </c>
    </row>
    <row r="32" spans="1:22" hidden="1" x14ac:dyDescent="0.25">
      <c r="A32" s="256">
        <v>11062023</v>
      </c>
      <c r="B32" t="s">
        <v>608</v>
      </c>
      <c r="C32" t="s">
        <v>410</v>
      </c>
      <c r="D32" s="359">
        <v>45088</v>
      </c>
      <c r="F32" s="28" t="s">
        <v>236</v>
      </c>
      <c r="G32" s="30" t="s">
        <v>2524</v>
      </c>
      <c r="H32" s="28" t="s">
        <v>2521</v>
      </c>
      <c r="I32" s="236">
        <v>59472</v>
      </c>
      <c r="J32" s="88">
        <f t="shared" si="0"/>
        <v>52335.360000000001</v>
      </c>
      <c r="K32" t="s">
        <v>17</v>
      </c>
      <c r="L32" s="122">
        <v>45156</v>
      </c>
      <c r="M32"/>
      <c r="N32"/>
      <c r="O32"/>
      <c r="P32"/>
      <c r="Q32"/>
      <c r="T32" t="s">
        <v>1816</v>
      </c>
      <c r="U32" s="14">
        <v>0.29236111111111113</v>
      </c>
      <c r="V32" s="14">
        <v>0.58402777777777781</v>
      </c>
    </row>
    <row r="33" spans="1:22" hidden="1" x14ac:dyDescent="0.25">
      <c r="A33" s="256">
        <v>11062023</v>
      </c>
      <c r="B33" t="s">
        <v>608</v>
      </c>
      <c r="C33" t="s">
        <v>693</v>
      </c>
      <c r="D33" s="359">
        <v>45088</v>
      </c>
      <c r="F33" s="28" t="s">
        <v>236</v>
      </c>
      <c r="G33" s="30" t="s">
        <v>2525</v>
      </c>
      <c r="H33" s="28" t="s">
        <v>2526</v>
      </c>
      <c r="I33" s="236">
        <v>59472</v>
      </c>
      <c r="J33" s="88">
        <f t="shared" si="0"/>
        <v>52335.360000000001</v>
      </c>
      <c r="K33" t="s">
        <v>17</v>
      </c>
      <c r="L33" s="122">
        <v>45156</v>
      </c>
      <c r="M33"/>
      <c r="N33"/>
      <c r="O33"/>
      <c r="P33"/>
      <c r="Q33"/>
      <c r="T33" t="s">
        <v>1029</v>
      </c>
      <c r="U33" s="14">
        <v>0.47500000000000003</v>
      </c>
      <c r="V33" s="14">
        <v>0.83333333333333337</v>
      </c>
    </row>
    <row r="34" spans="1:22" hidden="1" x14ac:dyDescent="0.25">
      <c r="A34" s="256">
        <v>15062023</v>
      </c>
      <c r="B34" t="s">
        <v>608</v>
      </c>
      <c r="C34" t="s">
        <v>410</v>
      </c>
      <c r="D34" s="359">
        <v>45092</v>
      </c>
      <c r="F34" s="28" t="s">
        <v>236</v>
      </c>
      <c r="G34" s="30" t="s">
        <v>2544</v>
      </c>
      <c r="H34" s="28" t="s">
        <v>2548</v>
      </c>
      <c r="I34" s="236">
        <v>59472</v>
      </c>
      <c r="J34" s="88">
        <f t="shared" si="0"/>
        <v>52335.360000000001</v>
      </c>
      <c r="K34" t="s">
        <v>17</v>
      </c>
      <c r="L34" s="122">
        <v>45156</v>
      </c>
      <c r="M34"/>
      <c r="N34"/>
      <c r="O34"/>
      <c r="P34"/>
      <c r="Q34"/>
      <c r="T34" t="s">
        <v>795</v>
      </c>
      <c r="U34" s="14">
        <v>0.26250000000000001</v>
      </c>
      <c r="V34" s="14">
        <v>0.56388888888888888</v>
      </c>
    </row>
    <row r="35" spans="1:22" hidden="1" x14ac:dyDescent="0.25">
      <c r="A35" s="256">
        <v>16062023</v>
      </c>
      <c r="B35" t="s">
        <v>608</v>
      </c>
      <c r="C35" t="s">
        <v>693</v>
      </c>
      <c r="D35" s="359">
        <v>45092</v>
      </c>
      <c r="F35" s="28" t="s">
        <v>236</v>
      </c>
      <c r="G35" s="30" t="s">
        <v>2545</v>
      </c>
      <c r="H35" s="28" t="s">
        <v>2549</v>
      </c>
      <c r="I35" s="236">
        <v>59472</v>
      </c>
      <c r="J35" s="88">
        <f t="shared" si="0"/>
        <v>52335.360000000001</v>
      </c>
      <c r="K35" t="s">
        <v>17</v>
      </c>
      <c r="L35" s="122">
        <v>45156</v>
      </c>
      <c r="M35"/>
      <c r="N35"/>
      <c r="O35"/>
      <c r="P35"/>
      <c r="Q35"/>
      <c r="T35" t="s">
        <v>1506</v>
      </c>
      <c r="U35" s="14">
        <v>6.9444444444444447E-4</v>
      </c>
      <c r="V35" s="14">
        <v>0.31944444444444448</v>
      </c>
    </row>
    <row r="36" spans="1:22" hidden="1" x14ac:dyDescent="0.25">
      <c r="A36" s="256">
        <v>17062023</v>
      </c>
      <c r="B36" t="s">
        <v>608</v>
      </c>
      <c r="C36" t="s">
        <v>693</v>
      </c>
      <c r="D36" s="359">
        <v>45094</v>
      </c>
      <c r="F36" s="28" t="s">
        <v>236</v>
      </c>
      <c r="G36" s="30" t="s">
        <v>2550</v>
      </c>
      <c r="H36" s="28" t="s">
        <v>2668</v>
      </c>
      <c r="I36" s="236">
        <v>59472</v>
      </c>
      <c r="J36" s="88">
        <f t="shared" si="0"/>
        <v>52335.360000000001</v>
      </c>
      <c r="K36" s="30" t="s">
        <v>17</v>
      </c>
      <c r="L36" s="122">
        <v>45162</v>
      </c>
      <c r="M36"/>
      <c r="N36"/>
      <c r="O36"/>
      <c r="P36"/>
      <c r="Q36"/>
      <c r="T36" s="14" t="s">
        <v>916</v>
      </c>
      <c r="U36" s="14">
        <v>0.70763888888888893</v>
      </c>
      <c r="V36" s="14">
        <v>0.50624999999999998</v>
      </c>
    </row>
    <row r="37" spans="1:22" hidden="1" x14ac:dyDescent="0.25">
      <c r="A37" s="256">
        <v>19062023</v>
      </c>
      <c r="B37" t="s">
        <v>608</v>
      </c>
      <c r="C37" t="s">
        <v>410</v>
      </c>
      <c r="D37" s="359">
        <v>45096</v>
      </c>
      <c r="F37" s="28" t="s">
        <v>236</v>
      </c>
      <c r="G37" s="30" t="s">
        <v>2551</v>
      </c>
      <c r="H37" s="28" t="s">
        <v>2669</v>
      </c>
      <c r="I37" s="236">
        <v>59472</v>
      </c>
      <c r="J37" s="88">
        <f t="shared" si="0"/>
        <v>52335.360000000001</v>
      </c>
      <c r="K37" s="30" t="s">
        <v>17</v>
      </c>
      <c r="L37" s="122">
        <v>45162</v>
      </c>
      <c r="M37"/>
      <c r="N37"/>
      <c r="O37"/>
      <c r="P37"/>
      <c r="Q37"/>
      <c r="T37" s="14" t="s">
        <v>2528</v>
      </c>
      <c r="U37" s="14"/>
    </row>
    <row r="38" spans="1:22" hidden="1" x14ac:dyDescent="0.25">
      <c r="A38" s="256">
        <v>20062023</v>
      </c>
      <c r="B38" t="s">
        <v>608</v>
      </c>
      <c r="C38" t="s">
        <v>410</v>
      </c>
      <c r="D38" s="359">
        <v>45097</v>
      </c>
      <c r="F38" s="28" t="s">
        <v>236</v>
      </c>
      <c r="G38" s="30" t="s">
        <v>2552</v>
      </c>
      <c r="H38" s="28" t="s">
        <v>2670</v>
      </c>
      <c r="I38" s="368">
        <v>59472</v>
      </c>
      <c r="J38" s="88">
        <f t="shared" si="0"/>
        <v>52335.360000000001</v>
      </c>
      <c r="K38" s="30" t="s">
        <v>17</v>
      </c>
      <c r="L38" s="122">
        <v>45162</v>
      </c>
      <c r="M38"/>
      <c r="N38"/>
      <c r="O38"/>
      <c r="P38"/>
      <c r="Q38"/>
      <c r="T38" s="14" t="s">
        <v>916</v>
      </c>
      <c r="U38" s="14">
        <v>0.43055555555555558</v>
      </c>
    </row>
    <row r="39" spans="1:22" hidden="1" x14ac:dyDescent="0.25">
      <c r="A39" s="256" t="s">
        <v>2580</v>
      </c>
      <c r="B39" t="s">
        <v>596</v>
      </c>
      <c r="C39" t="s">
        <v>13</v>
      </c>
      <c r="D39" s="359">
        <v>45108</v>
      </c>
      <c r="F39" s="28" t="s">
        <v>236</v>
      </c>
      <c r="G39" s="30" t="s">
        <v>2624</v>
      </c>
      <c r="H39" s="28" t="s">
        <v>2671</v>
      </c>
      <c r="I39" s="368">
        <v>59472</v>
      </c>
      <c r="J39" s="88">
        <f t="shared" si="0"/>
        <v>52335.360000000001</v>
      </c>
      <c r="K39" s="30" t="s">
        <v>17</v>
      </c>
      <c r="L39" s="122">
        <v>45162</v>
      </c>
      <c r="M39"/>
      <c r="N39"/>
      <c r="O39"/>
      <c r="P39"/>
      <c r="Q39"/>
      <c r="T39" s="14" t="s">
        <v>2581</v>
      </c>
      <c r="U39" s="14">
        <v>0.65833333333333333</v>
      </c>
      <c r="V39" s="14">
        <v>0.95833333333333337</v>
      </c>
    </row>
    <row r="40" spans="1:22" hidden="1" x14ac:dyDescent="0.25">
      <c r="A40" s="256" t="s">
        <v>2589</v>
      </c>
      <c r="B40" t="s">
        <v>608</v>
      </c>
      <c r="C40" t="s">
        <v>13</v>
      </c>
      <c r="D40" s="359">
        <v>45113</v>
      </c>
      <c r="F40" s="28" t="s">
        <v>236</v>
      </c>
      <c r="G40" s="30" t="s">
        <v>2625</v>
      </c>
      <c r="H40" s="28" t="s">
        <v>2672</v>
      </c>
      <c r="I40" s="368">
        <v>59472</v>
      </c>
      <c r="J40" s="88">
        <f t="shared" si="0"/>
        <v>52335.360000000001</v>
      </c>
      <c r="K40" s="30" t="s">
        <v>17</v>
      </c>
      <c r="L40" s="122">
        <v>45162</v>
      </c>
      <c r="M40"/>
      <c r="N40"/>
      <c r="O40"/>
      <c r="P40"/>
      <c r="Q40"/>
      <c r="T40" s="14" t="s">
        <v>989</v>
      </c>
      <c r="U40" s="14">
        <v>0.55138888888888882</v>
      </c>
    </row>
    <row r="41" spans="1:22" hidden="1" x14ac:dyDescent="0.25">
      <c r="A41" s="256" t="s">
        <v>2589</v>
      </c>
      <c r="B41" t="s">
        <v>608</v>
      </c>
      <c r="C41" t="s">
        <v>410</v>
      </c>
      <c r="D41" s="359">
        <v>45113</v>
      </c>
      <c r="F41" s="28" t="s">
        <v>236</v>
      </c>
      <c r="G41" s="30" t="s">
        <v>2626</v>
      </c>
      <c r="H41" s="28" t="s">
        <v>2673</v>
      </c>
      <c r="I41" s="368">
        <v>59472</v>
      </c>
      <c r="J41" s="88">
        <f t="shared" si="0"/>
        <v>52335.360000000001</v>
      </c>
      <c r="K41" s="30" t="s">
        <v>17</v>
      </c>
      <c r="L41" s="122">
        <v>45162</v>
      </c>
      <c r="M41"/>
      <c r="N41"/>
      <c r="O41"/>
      <c r="P41"/>
      <c r="Q41"/>
      <c r="T41" s="14" t="s">
        <v>795</v>
      </c>
    </row>
    <row r="42" spans="1:22" s="30" customFormat="1" hidden="1" x14ac:dyDescent="0.25">
      <c r="A42" s="256" t="s">
        <v>2596</v>
      </c>
      <c r="B42" s="30" t="s">
        <v>596</v>
      </c>
      <c r="C42" s="30" t="s">
        <v>410</v>
      </c>
      <c r="D42" s="359">
        <v>45114</v>
      </c>
      <c r="E42"/>
      <c r="F42" s="28" t="s">
        <v>236</v>
      </c>
      <c r="G42" s="30" t="s">
        <v>2627</v>
      </c>
      <c r="H42" s="28" t="s">
        <v>2674</v>
      </c>
      <c r="I42" s="368">
        <v>59472</v>
      </c>
      <c r="J42" s="88">
        <f t="shared" si="0"/>
        <v>52335.360000000001</v>
      </c>
      <c r="K42" s="30" t="s">
        <v>17</v>
      </c>
      <c r="L42" s="122">
        <v>45162</v>
      </c>
      <c r="T42" s="360" t="s">
        <v>1816</v>
      </c>
    </row>
    <row r="46" spans="1:22" x14ac:dyDescent="0.25">
      <c r="A46" s="542"/>
      <c r="D46" s="359"/>
      <c r="I46" s="61"/>
      <c r="J46"/>
      <c r="L46" s="32"/>
      <c r="M46"/>
      <c r="N46"/>
      <c r="O46"/>
      <c r="P46" s="32"/>
      <c r="Q46"/>
      <c r="T46" s="14"/>
      <c r="U46" s="14"/>
      <c r="V46" s="14"/>
    </row>
    <row r="47" spans="1:22" x14ac:dyDescent="0.25">
      <c r="A47" s="542"/>
      <c r="D47" s="359"/>
      <c r="I47" s="61"/>
      <c r="J47"/>
      <c r="L47" s="32"/>
      <c r="M47"/>
      <c r="N47"/>
      <c r="O47"/>
      <c r="P47" s="32"/>
      <c r="Q47"/>
      <c r="T47" s="14"/>
      <c r="U47" s="14"/>
      <c r="V47" s="14"/>
    </row>
    <row r="48" spans="1:22" ht="15.75" thickBot="1" x14ac:dyDescent="0.3">
      <c r="A48" s="542"/>
      <c r="D48" s="359"/>
      <c r="G48" s="30"/>
      <c r="J48"/>
      <c r="K48" s="61"/>
      <c r="L48" s="32"/>
      <c r="M48"/>
      <c r="N48"/>
      <c r="O48"/>
      <c r="P48" s="32"/>
      <c r="Q48"/>
      <c r="T48" s="14"/>
      <c r="U48" s="14"/>
      <c r="V48" s="14"/>
    </row>
    <row r="49" spans="1:22" ht="15.75" thickBot="1" x14ac:dyDescent="0.3">
      <c r="G49" s="30"/>
      <c r="H49" s="127" t="s">
        <v>1605</v>
      </c>
      <c r="I49" s="243">
        <f>SUBTOTAL(9,I5:I48)</f>
        <v>0</v>
      </c>
      <c r="J49" s="243" t="s">
        <v>6558</v>
      </c>
      <c r="L49" s="122"/>
    </row>
    <row r="50" spans="1:22" x14ac:dyDescent="0.25">
      <c r="L50" s="122"/>
    </row>
    <row r="54" spans="1:22" x14ac:dyDescent="0.25">
      <c r="L54"/>
    </row>
    <row r="55" spans="1:22" hidden="1" x14ac:dyDescent="0.25">
      <c r="A55" s="256">
        <v>11072023</v>
      </c>
      <c r="B55" t="s">
        <v>608</v>
      </c>
      <c r="C55" t="s">
        <v>410</v>
      </c>
      <c r="D55" s="359">
        <v>45118</v>
      </c>
      <c r="F55" s="28" t="s">
        <v>236</v>
      </c>
      <c r="G55" s="30" t="s">
        <v>2628</v>
      </c>
      <c r="H55" s="28" t="s">
        <v>2662</v>
      </c>
      <c r="I55" s="61">
        <v>59472</v>
      </c>
      <c r="J55">
        <f t="shared" ref="J55:J83" si="1">+I55*0.88</f>
        <v>52335.360000000001</v>
      </c>
      <c r="K55" t="s">
        <v>17</v>
      </c>
      <c r="L55" s="122">
        <v>45219</v>
      </c>
      <c r="M55"/>
      <c r="N55"/>
      <c r="O55"/>
      <c r="P55"/>
      <c r="Q55"/>
      <c r="T55" s="14" t="s">
        <v>1029</v>
      </c>
      <c r="U55" s="14">
        <v>0.42222222222222222</v>
      </c>
      <c r="V55" s="14"/>
    </row>
    <row r="56" spans="1:22" hidden="1" x14ac:dyDescent="0.25">
      <c r="A56" s="256">
        <v>11072023</v>
      </c>
      <c r="B56" t="s">
        <v>608</v>
      </c>
      <c r="C56" t="s">
        <v>13</v>
      </c>
      <c r="D56" s="359">
        <v>45118</v>
      </c>
      <c r="F56" s="28" t="s">
        <v>236</v>
      </c>
      <c r="G56" s="30" t="s">
        <v>2629</v>
      </c>
      <c r="H56" s="28" t="s">
        <v>2663</v>
      </c>
      <c r="I56" s="61">
        <v>59472</v>
      </c>
      <c r="J56">
        <f t="shared" si="1"/>
        <v>52335.360000000001</v>
      </c>
      <c r="K56" t="s">
        <v>17</v>
      </c>
      <c r="L56" s="122">
        <v>45219</v>
      </c>
      <c r="M56"/>
      <c r="N56"/>
      <c r="O56"/>
      <c r="P56"/>
      <c r="Q56"/>
      <c r="T56" s="14" t="s">
        <v>929</v>
      </c>
      <c r="U56" s="14"/>
      <c r="V56" s="14"/>
    </row>
    <row r="57" spans="1:22" hidden="1" x14ac:dyDescent="0.25">
      <c r="A57" s="256">
        <v>27072023</v>
      </c>
      <c r="B57" t="s">
        <v>596</v>
      </c>
      <c r="C57" t="s">
        <v>13</v>
      </c>
      <c r="D57" s="359">
        <v>45134</v>
      </c>
      <c r="F57" s="28" t="s">
        <v>236</v>
      </c>
      <c r="G57" s="30" t="s">
        <v>2680</v>
      </c>
      <c r="H57" s="28" t="s">
        <v>2681</v>
      </c>
      <c r="I57" s="368">
        <v>59472</v>
      </c>
      <c r="J57">
        <f t="shared" si="1"/>
        <v>52335.360000000001</v>
      </c>
      <c r="K57" t="s">
        <v>17</v>
      </c>
      <c r="L57" s="122">
        <v>45219</v>
      </c>
      <c r="M57"/>
      <c r="N57"/>
      <c r="O57"/>
      <c r="P57"/>
      <c r="Q57"/>
      <c r="T57" s="14" t="s">
        <v>1042</v>
      </c>
      <c r="U57" s="14">
        <v>0.25416666666666665</v>
      </c>
      <c r="V57" s="14"/>
    </row>
    <row r="58" spans="1:22" hidden="1" x14ac:dyDescent="0.25">
      <c r="A58" s="256">
        <v>27072023</v>
      </c>
      <c r="B58" t="s">
        <v>596</v>
      </c>
      <c r="C58" t="s">
        <v>13</v>
      </c>
      <c r="D58" s="359">
        <v>45134</v>
      </c>
      <c r="F58" s="28" t="s">
        <v>236</v>
      </c>
      <c r="G58" s="30" t="s">
        <v>7080</v>
      </c>
      <c r="H58" s="28" t="s">
        <v>2682</v>
      </c>
      <c r="I58" s="236">
        <v>47908</v>
      </c>
      <c r="J58">
        <f t="shared" si="1"/>
        <v>42159.040000000001</v>
      </c>
      <c r="K58" t="s">
        <v>17</v>
      </c>
      <c r="L58" s="122">
        <v>45219</v>
      </c>
      <c r="M58"/>
      <c r="N58"/>
      <c r="O58"/>
      <c r="P58"/>
      <c r="Q58"/>
      <c r="T58" s="14" t="s">
        <v>1656</v>
      </c>
      <c r="V58" s="14"/>
    </row>
    <row r="59" spans="1:22" hidden="1" x14ac:dyDescent="0.25">
      <c r="A59" s="256" t="s">
        <v>2705</v>
      </c>
      <c r="B59" t="s">
        <v>608</v>
      </c>
      <c r="C59" t="s">
        <v>13</v>
      </c>
      <c r="D59" s="359">
        <v>45141</v>
      </c>
      <c r="F59" s="28" t="s">
        <v>236</v>
      </c>
      <c r="G59" s="30" t="s">
        <v>2709</v>
      </c>
      <c r="H59" s="28" t="s">
        <v>2710</v>
      </c>
      <c r="I59" s="236">
        <v>59472</v>
      </c>
      <c r="J59">
        <f t="shared" si="1"/>
        <v>52335.360000000001</v>
      </c>
      <c r="K59" t="s">
        <v>17</v>
      </c>
      <c r="L59" s="122">
        <v>45219</v>
      </c>
      <c r="M59" s="30"/>
      <c r="N59" s="30"/>
      <c r="O59" s="30"/>
      <c r="P59" s="30"/>
      <c r="Q59"/>
      <c r="T59" s="14" t="s">
        <v>1042</v>
      </c>
      <c r="U59" s="14">
        <v>0.29097222222222224</v>
      </c>
      <c r="V59" s="14"/>
    </row>
    <row r="60" spans="1:22" s="30" customFormat="1" hidden="1" x14ac:dyDescent="0.25">
      <c r="A60" s="256" t="s">
        <v>2720</v>
      </c>
      <c r="B60" s="30" t="s">
        <v>596</v>
      </c>
      <c r="C60" s="30" t="s">
        <v>13</v>
      </c>
      <c r="D60" s="359">
        <v>45144</v>
      </c>
      <c r="F60" s="28" t="s">
        <v>236</v>
      </c>
      <c r="G60" s="30" t="s">
        <v>2730</v>
      </c>
      <c r="H60" s="28" t="s">
        <v>2731</v>
      </c>
      <c r="I60" s="236">
        <v>59472</v>
      </c>
      <c r="J60">
        <f t="shared" si="1"/>
        <v>52335.360000000001</v>
      </c>
      <c r="K60" t="s">
        <v>17</v>
      </c>
      <c r="L60" s="122">
        <v>45219</v>
      </c>
      <c r="T60" s="360" t="s">
        <v>2037</v>
      </c>
      <c r="U60" s="360">
        <v>0.4236111111111111</v>
      </c>
      <c r="V60" s="360">
        <v>0.7055555555555556</v>
      </c>
    </row>
    <row r="61" spans="1:22" hidden="1" x14ac:dyDescent="0.25">
      <c r="A61" s="256" t="s">
        <v>2738</v>
      </c>
      <c r="B61" t="s">
        <v>608</v>
      </c>
      <c r="C61" t="s">
        <v>13</v>
      </c>
      <c r="D61" s="359">
        <v>45146</v>
      </c>
      <c r="F61" s="28" t="s">
        <v>236</v>
      </c>
      <c r="G61" s="30" t="s">
        <v>3081</v>
      </c>
      <c r="H61" s="28" t="s">
        <v>3082</v>
      </c>
      <c r="I61" s="236">
        <v>59472</v>
      </c>
      <c r="J61">
        <f t="shared" si="1"/>
        <v>52335.360000000001</v>
      </c>
      <c r="K61" t="s">
        <v>17</v>
      </c>
      <c r="L61" s="122">
        <v>45219</v>
      </c>
      <c r="M61"/>
      <c r="N61"/>
      <c r="O61"/>
      <c r="P61"/>
      <c r="Q61"/>
      <c r="T61" s="14" t="s">
        <v>1029</v>
      </c>
      <c r="U61" s="14">
        <v>0.77013888888888893</v>
      </c>
      <c r="V61" s="14">
        <v>7.3611111111111113E-2</v>
      </c>
    </row>
    <row r="62" spans="1:22" s="30" customFormat="1" hidden="1" x14ac:dyDescent="0.25">
      <c r="A62" s="256">
        <v>10082023</v>
      </c>
      <c r="B62" s="30" t="s">
        <v>596</v>
      </c>
      <c r="C62" s="30" t="s">
        <v>410</v>
      </c>
      <c r="D62" s="359">
        <v>45148</v>
      </c>
      <c r="F62" s="28" t="s">
        <v>236</v>
      </c>
      <c r="G62" s="30" t="s">
        <v>2800</v>
      </c>
      <c r="H62" s="28" t="s">
        <v>2801</v>
      </c>
      <c r="I62" s="236">
        <v>59472</v>
      </c>
      <c r="J62">
        <f t="shared" si="1"/>
        <v>52335.360000000001</v>
      </c>
      <c r="K62" s="30" t="s">
        <v>17</v>
      </c>
      <c r="L62" s="122">
        <v>45289</v>
      </c>
      <c r="T62" s="360" t="s">
        <v>2037</v>
      </c>
      <c r="U62" s="360">
        <v>0.67499999999999993</v>
      </c>
      <c r="V62" s="360"/>
    </row>
    <row r="63" spans="1:22" hidden="1" x14ac:dyDescent="0.25">
      <c r="A63" s="256">
        <v>12082023</v>
      </c>
      <c r="B63" t="s">
        <v>596</v>
      </c>
      <c r="C63" t="s">
        <v>410</v>
      </c>
      <c r="D63" s="359">
        <v>45150</v>
      </c>
      <c r="F63" s="28" t="s">
        <v>236</v>
      </c>
      <c r="G63" s="30" t="s">
        <v>2798</v>
      </c>
      <c r="H63" s="28" t="s">
        <v>2799</v>
      </c>
      <c r="I63" s="313">
        <v>59472</v>
      </c>
      <c r="J63">
        <f t="shared" si="1"/>
        <v>52335.360000000001</v>
      </c>
      <c r="K63" s="30" t="s">
        <v>17</v>
      </c>
      <c r="L63" s="122">
        <v>45289</v>
      </c>
      <c r="M63"/>
      <c r="N63"/>
      <c r="O63"/>
      <c r="P63"/>
      <c r="Q63"/>
      <c r="T63" s="14" t="s">
        <v>1029</v>
      </c>
      <c r="U63" s="14">
        <v>0.26319444444444445</v>
      </c>
      <c r="V63" s="14">
        <v>0.57708333333333328</v>
      </c>
    </row>
    <row r="64" spans="1:22" hidden="1" x14ac:dyDescent="0.25">
      <c r="A64" s="543" t="s">
        <v>3669</v>
      </c>
      <c r="B64" s="30" t="s">
        <v>596</v>
      </c>
      <c r="C64" s="28" t="s">
        <v>3414</v>
      </c>
      <c r="D64" s="359">
        <v>45325</v>
      </c>
      <c r="F64" s="28" t="s">
        <v>236</v>
      </c>
      <c r="G64" s="30" t="s">
        <v>3745</v>
      </c>
      <c r="H64" s="30" t="s">
        <v>3752</v>
      </c>
      <c r="I64" s="237">
        <v>59472</v>
      </c>
      <c r="J64">
        <f t="shared" si="1"/>
        <v>52335.360000000001</v>
      </c>
      <c r="K64" t="s">
        <v>17</v>
      </c>
      <c r="L64" s="122">
        <v>45373</v>
      </c>
      <c r="M64"/>
      <c r="N64"/>
      <c r="O64"/>
      <c r="P64"/>
      <c r="Q64"/>
      <c r="T64" s="14" t="s">
        <v>3408</v>
      </c>
      <c r="U64" s="360">
        <v>0.25972222222222224</v>
      </c>
      <c r="V64" s="360">
        <v>0.54583333333333328</v>
      </c>
    </row>
    <row r="65" spans="1:22" s="30" customFormat="1" hidden="1" x14ac:dyDescent="0.25">
      <c r="A65" s="543">
        <v>12022023</v>
      </c>
      <c r="B65" s="30" t="s">
        <v>596</v>
      </c>
      <c r="C65" s="28" t="s">
        <v>13</v>
      </c>
      <c r="D65" s="359">
        <v>45334</v>
      </c>
      <c r="F65" s="28" t="s">
        <v>236</v>
      </c>
      <c r="G65" s="30" t="s">
        <v>3746</v>
      </c>
      <c r="H65" s="30" t="s">
        <v>3750</v>
      </c>
      <c r="I65" s="237">
        <v>59472</v>
      </c>
      <c r="J65">
        <f t="shared" si="1"/>
        <v>52335.360000000001</v>
      </c>
      <c r="K65" t="s">
        <v>17</v>
      </c>
      <c r="L65" s="122">
        <v>45373</v>
      </c>
      <c r="T65" s="360" t="s">
        <v>1644</v>
      </c>
      <c r="U65" s="360">
        <v>0.41666666666666669</v>
      </c>
      <c r="V65" s="360"/>
    </row>
    <row r="66" spans="1:22" s="30" customFormat="1" hidden="1" x14ac:dyDescent="0.25">
      <c r="A66" s="543">
        <v>12022023</v>
      </c>
      <c r="B66" s="30" t="s">
        <v>596</v>
      </c>
      <c r="C66" s="28"/>
      <c r="D66" s="359">
        <v>45334</v>
      </c>
      <c r="F66" s="28" t="s">
        <v>236</v>
      </c>
      <c r="G66" s="30" t="s">
        <v>3747</v>
      </c>
      <c r="H66" s="30" t="s">
        <v>3751</v>
      </c>
      <c r="I66" s="237">
        <v>59472</v>
      </c>
      <c r="J66">
        <f t="shared" si="1"/>
        <v>52335.360000000001</v>
      </c>
      <c r="K66" s="30" t="s">
        <v>17</v>
      </c>
      <c r="L66" s="122">
        <v>45386</v>
      </c>
      <c r="T66" s="360"/>
      <c r="U66" s="360"/>
      <c r="V66" s="360"/>
    </row>
    <row r="67" spans="1:22" hidden="1" x14ac:dyDescent="0.25">
      <c r="A67" s="543">
        <v>21022024</v>
      </c>
      <c r="B67" s="30" t="s">
        <v>596</v>
      </c>
      <c r="C67" s="28" t="s">
        <v>13</v>
      </c>
      <c r="D67" s="359">
        <v>45343</v>
      </c>
      <c r="F67" s="28" t="s">
        <v>236</v>
      </c>
      <c r="G67" s="30" t="s">
        <v>3779</v>
      </c>
      <c r="H67" s="30" t="s">
        <v>3781</v>
      </c>
      <c r="I67" s="237">
        <v>59472</v>
      </c>
      <c r="J67" s="88">
        <f t="shared" si="1"/>
        <v>52335.360000000001</v>
      </c>
      <c r="K67" s="30" t="s">
        <v>17</v>
      </c>
      <c r="L67" s="122">
        <v>45386</v>
      </c>
      <c r="M67"/>
      <c r="N67"/>
      <c r="O67"/>
      <c r="P67"/>
      <c r="Q67"/>
      <c r="T67" s="14" t="s">
        <v>2380</v>
      </c>
      <c r="U67" s="360">
        <v>0.32916666666666666</v>
      </c>
      <c r="V67" s="360">
        <v>0.61597222222222225</v>
      </c>
    </row>
    <row r="68" spans="1:22" hidden="1" x14ac:dyDescent="0.25">
      <c r="A68" s="543">
        <v>22022024</v>
      </c>
      <c r="B68" s="30" t="s">
        <v>596</v>
      </c>
      <c r="C68" s="28" t="s">
        <v>13</v>
      </c>
      <c r="D68" s="359">
        <v>45344</v>
      </c>
      <c r="F68" s="28" t="s">
        <v>236</v>
      </c>
      <c r="G68" s="30" t="s">
        <v>3778</v>
      </c>
      <c r="H68" s="30" t="s">
        <v>3782</v>
      </c>
      <c r="I68" s="237">
        <v>59472</v>
      </c>
      <c r="J68">
        <f t="shared" si="1"/>
        <v>52335.360000000001</v>
      </c>
      <c r="K68" s="30" t="s">
        <v>17</v>
      </c>
      <c r="L68" s="122">
        <v>45386</v>
      </c>
      <c r="M68"/>
      <c r="N68"/>
      <c r="O68"/>
      <c r="P68"/>
      <c r="Q68"/>
      <c r="T68" s="14" t="s">
        <v>3463</v>
      </c>
      <c r="U68" s="360">
        <v>0.67499999999999993</v>
      </c>
      <c r="V68" s="360">
        <v>0.96666666666666667</v>
      </c>
    </row>
    <row r="69" spans="1:22" hidden="1" x14ac:dyDescent="0.25">
      <c r="A69" s="543">
        <v>24022024</v>
      </c>
      <c r="B69" s="30" t="s">
        <v>596</v>
      </c>
      <c r="C69" s="28" t="s">
        <v>13</v>
      </c>
      <c r="D69" s="359">
        <v>45346</v>
      </c>
      <c r="F69" s="28" t="s">
        <v>236</v>
      </c>
      <c r="G69" s="30" t="s">
        <v>3780</v>
      </c>
      <c r="H69" s="30" t="s">
        <v>3783</v>
      </c>
      <c r="I69" s="237">
        <v>59472</v>
      </c>
      <c r="J69">
        <f t="shared" si="1"/>
        <v>52335.360000000001</v>
      </c>
      <c r="K69" t="s">
        <v>17</v>
      </c>
      <c r="L69" s="122">
        <v>45401</v>
      </c>
      <c r="M69"/>
      <c r="N69"/>
      <c r="O69"/>
      <c r="P69"/>
      <c r="Q69"/>
      <c r="T69" s="14" t="s">
        <v>1644</v>
      </c>
      <c r="U69" s="360">
        <v>0.38263888888888892</v>
      </c>
      <c r="V69" s="360">
        <v>0.17708333333333334</v>
      </c>
    </row>
    <row r="70" spans="1:22" hidden="1" x14ac:dyDescent="0.25">
      <c r="A70" s="543" t="s">
        <v>3804</v>
      </c>
      <c r="B70" s="30" t="s">
        <v>596</v>
      </c>
      <c r="C70" s="28" t="s">
        <v>13</v>
      </c>
      <c r="D70" s="563">
        <v>45353</v>
      </c>
      <c r="F70" s="28" t="s">
        <v>236</v>
      </c>
      <c r="G70" s="30" t="s">
        <v>3837</v>
      </c>
      <c r="H70" s="30" t="s">
        <v>3839</v>
      </c>
      <c r="I70" s="251">
        <v>59472</v>
      </c>
      <c r="J70">
        <f t="shared" si="1"/>
        <v>52335.360000000001</v>
      </c>
      <c r="K70" t="s">
        <v>17</v>
      </c>
      <c r="L70" s="122">
        <v>45401</v>
      </c>
      <c r="M70"/>
      <c r="N70"/>
      <c r="O70"/>
      <c r="P70"/>
      <c r="Q70"/>
      <c r="T70" s="14" t="s">
        <v>1506</v>
      </c>
      <c r="U70" s="360">
        <v>0.93472222222222223</v>
      </c>
      <c r="V70" s="360">
        <v>0.23819444444444446</v>
      </c>
    </row>
    <row r="71" spans="1:22" hidden="1" x14ac:dyDescent="0.25">
      <c r="A71" s="543" t="s">
        <v>3811</v>
      </c>
      <c r="B71" s="30" t="s">
        <v>596</v>
      </c>
      <c r="C71" s="28" t="s">
        <v>410</v>
      </c>
      <c r="D71" s="359">
        <v>45356</v>
      </c>
      <c r="F71" s="28" t="s">
        <v>236</v>
      </c>
      <c r="G71" s="30" t="s">
        <v>3836</v>
      </c>
      <c r="H71" s="30" t="s">
        <v>3838</v>
      </c>
      <c r="I71" s="237">
        <v>59472</v>
      </c>
      <c r="J71">
        <f t="shared" si="1"/>
        <v>52335.360000000001</v>
      </c>
      <c r="K71" t="s">
        <v>17</v>
      </c>
      <c r="L71" s="122">
        <v>45401</v>
      </c>
      <c r="M71"/>
      <c r="N71"/>
      <c r="O71"/>
      <c r="P71"/>
      <c r="Q71"/>
      <c r="T71" s="14" t="s">
        <v>1644</v>
      </c>
      <c r="U71" s="360">
        <v>0.75347222222222221</v>
      </c>
      <c r="V71" s="360">
        <v>2.5694444444444447E-2</v>
      </c>
    </row>
    <row r="72" spans="1:22" hidden="1" x14ac:dyDescent="0.25">
      <c r="A72" s="543">
        <v>11032024</v>
      </c>
      <c r="B72" s="30" t="s">
        <v>596</v>
      </c>
      <c r="C72" s="28" t="s">
        <v>410</v>
      </c>
      <c r="D72" s="359">
        <v>45362</v>
      </c>
      <c r="E72" s="30"/>
      <c r="F72" s="28" t="s">
        <v>236</v>
      </c>
      <c r="G72" s="30" t="s">
        <v>3840</v>
      </c>
      <c r="H72" s="30" t="s">
        <v>3842</v>
      </c>
      <c r="I72" s="237">
        <v>59472</v>
      </c>
      <c r="J72">
        <f t="shared" si="1"/>
        <v>52335.360000000001</v>
      </c>
      <c r="K72" t="s">
        <v>17</v>
      </c>
      <c r="L72" s="122">
        <v>45401</v>
      </c>
      <c r="M72"/>
      <c r="N72"/>
      <c r="O72"/>
      <c r="P72"/>
      <c r="Q72"/>
      <c r="T72" s="14" t="s">
        <v>1029</v>
      </c>
      <c r="U72" s="360"/>
      <c r="V72" s="360"/>
    </row>
    <row r="73" spans="1:22" hidden="1" x14ac:dyDescent="0.25">
      <c r="A73" s="543">
        <v>11032024</v>
      </c>
      <c r="B73" s="30" t="s">
        <v>596</v>
      </c>
      <c r="C73" s="28" t="s">
        <v>13</v>
      </c>
      <c r="D73" s="359">
        <v>45362</v>
      </c>
      <c r="E73" s="30"/>
      <c r="F73" s="28" t="s">
        <v>236</v>
      </c>
      <c r="G73" s="30" t="s">
        <v>3841</v>
      </c>
      <c r="H73" s="30" t="s">
        <v>3843</v>
      </c>
      <c r="I73" s="237">
        <v>59472</v>
      </c>
      <c r="J73">
        <f t="shared" si="1"/>
        <v>52335.360000000001</v>
      </c>
      <c r="K73" t="s">
        <v>17</v>
      </c>
      <c r="L73" s="122">
        <v>45401</v>
      </c>
      <c r="M73"/>
      <c r="N73"/>
      <c r="O73"/>
      <c r="P73"/>
      <c r="Q73"/>
      <c r="T73" s="14" t="s">
        <v>2037</v>
      </c>
      <c r="U73" s="360"/>
      <c r="V73" s="360"/>
    </row>
    <row r="74" spans="1:22" s="30" customFormat="1" hidden="1" x14ac:dyDescent="0.25">
      <c r="A74" s="543">
        <v>22032024</v>
      </c>
      <c r="B74" s="30" t="s">
        <v>596</v>
      </c>
      <c r="C74" s="28" t="s">
        <v>13</v>
      </c>
      <c r="D74" s="359">
        <v>45373</v>
      </c>
      <c r="F74" s="28" t="s">
        <v>236</v>
      </c>
      <c r="G74" s="30" t="s">
        <v>3915</v>
      </c>
      <c r="H74" s="30" t="s">
        <v>3916</v>
      </c>
      <c r="I74" s="237">
        <v>59472</v>
      </c>
      <c r="J74">
        <f t="shared" si="1"/>
        <v>52335.360000000001</v>
      </c>
      <c r="K74" t="s">
        <v>17</v>
      </c>
      <c r="L74" s="122">
        <v>45411</v>
      </c>
      <c r="T74" s="360"/>
      <c r="U74" s="360"/>
      <c r="V74" s="360"/>
    </row>
    <row r="75" spans="1:22" hidden="1" x14ac:dyDescent="0.25">
      <c r="A75" s="509">
        <v>24022024</v>
      </c>
      <c r="B75" s="30" t="s">
        <v>596</v>
      </c>
      <c r="C75" s="28" t="s">
        <v>410</v>
      </c>
      <c r="D75" s="359">
        <v>45375</v>
      </c>
      <c r="E75" s="30"/>
      <c r="F75" s="28" t="s">
        <v>236</v>
      </c>
      <c r="G75" s="30" t="s">
        <v>3921</v>
      </c>
      <c r="H75" s="30" t="s">
        <v>3922</v>
      </c>
      <c r="I75" s="251">
        <v>59472</v>
      </c>
      <c r="J75">
        <f t="shared" si="1"/>
        <v>52335.360000000001</v>
      </c>
      <c r="K75" t="s">
        <v>17</v>
      </c>
      <c r="L75" s="122">
        <v>45411</v>
      </c>
      <c r="M75"/>
      <c r="N75"/>
      <c r="O75"/>
      <c r="P75"/>
      <c r="Q75"/>
      <c r="T75" s="14" t="s">
        <v>2380</v>
      </c>
      <c r="U75" s="360">
        <v>0.88750000000000007</v>
      </c>
      <c r="V75" s="360">
        <v>0.17430555555555557</v>
      </c>
    </row>
    <row r="76" spans="1:22" hidden="1" x14ac:dyDescent="0.25">
      <c r="A76" s="509">
        <v>25022024</v>
      </c>
      <c r="B76" s="30" t="s">
        <v>596</v>
      </c>
      <c r="C76" s="28" t="s">
        <v>410</v>
      </c>
      <c r="D76" s="359">
        <v>45375</v>
      </c>
      <c r="E76" s="30"/>
      <c r="F76" s="28" t="s">
        <v>236</v>
      </c>
      <c r="G76" s="30" t="s">
        <v>3920</v>
      </c>
      <c r="H76" s="30" t="s">
        <v>3923</v>
      </c>
      <c r="I76" s="251">
        <v>59472</v>
      </c>
      <c r="J76">
        <f t="shared" si="1"/>
        <v>52335.360000000001</v>
      </c>
      <c r="K76" t="s">
        <v>17</v>
      </c>
      <c r="L76" s="122">
        <v>45411</v>
      </c>
      <c r="M76"/>
      <c r="N76"/>
      <c r="O76"/>
      <c r="P76"/>
      <c r="Q76"/>
      <c r="T76" s="14" t="s">
        <v>1042</v>
      </c>
      <c r="U76" s="360">
        <v>0.26527777777777778</v>
      </c>
      <c r="V76" s="360"/>
    </row>
    <row r="77" spans="1:22" hidden="1" x14ac:dyDescent="0.25">
      <c r="A77" s="509">
        <v>26022024</v>
      </c>
      <c r="B77" s="30" t="s">
        <v>596</v>
      </c>
      <c r="C77" s="28" t="s">
        <v>13</v>
      </c>
      <c r="D77" s="490">
        <v>45377</v>
      </c>
      <c r="E77" s="5"/>
      <c r="F77" s="127" t="s">
        <v>236</v>
      </c>
      <c r="G77" s="373" t="s">
        <v>3925</v>
      </c>
      <c r="H77" s="373" t="s">
        <v>3926</v>
      </c>
      <c r="I77" s="426">
        <v>59472</v>
      </c>
      <c r="J77">
        <f t="shared" si="1"/>
        <v>52335.360000000001</v>
      </c>
      <c r="K77" t="s">
        <v>17</v>
      </c>
      <c r="L77" s="122">
        <v>45411</v>
      </c>
      <c r="M77"/>
      <c r="N77"/>
      <c r="O77"/>
      <c r="P77"/>
      <c r="Q77"/>
      <c r="T77" s="14" t="s">
        <v>2037</v>
      </c>
      <c r="U77" s="360">
        <v>0.26111111111111113</v>
      </c>
      <c r="V77" s="360"/>
    </row>
    <row r="78" spans="1:22" hidden="1" x14ac:dyDescent="0.25">
      <c r="A78" s="509">
        <v>13042024</v>
      </c>
      <c r="B78" t="s">
        <v>608</v>
      </c>
      <c r="C78" s="28" t="s">
        <v>410</v>
      </c>
      <c r="D78" s="490">
        <v>45395</v>
      </c>
      <c r="E78" s="5"/>
      <c r="F78" s="127" t="s">
        <v>236</v>
      </c>
      <c r="G78" s="373" t="s">
        <v>4036</v>
      </c>
      <c r="H78" s="373" t="s">
        <v>4038</v>
      </c>
      <c r="I78" s="426">
        <v>59472</v>
      </c>
      <c r="J78">
        <f t="shared" si="1"/>
        <v>52335.360000000001</v>
      </c>
      <c r="K78" t="s">
        <v>17</v>
      </c>
      <c r="L78" s="122">
        <v>45422</v>
      </c>
      <c r="M78"/>
      <c r="N78"/>
      <c r="O78"/>
      <c r="P78"/>
      <c r="Q78"/>
      <c r="T78" s="14" t="s">
        <v>1506</v>
      </c>
      <c r="U78" s="360">
        <v>0.62291666666666667</v>
      </c>
      <c r="V78" s="360">
        <v>0.91805555555555562</v>
      </c>
    </row>
    <row r="79" spans="1:22" hidden="1" x14ac:dyDescent="0.25">
      <c r="A79" s="483">
        <v>16042024</v>
      </c>
      <c r="B79" t="s">
        <v>608</v>
      </c>
      <c r="C79" s="28" t="s">
        <v>410</v>
      </c>
      <c r="D79" s="359">
        <v>45398</v>
      </c>
      <c r="F79" s="28" t="s">
        <v>236</v>
      </c>
      <c r="G79" s="30" t="s">
        <v>4037</v>
      </c>
      <c r="H79" s="30" t="s">
        <v>4039</v>
      </c>
      <c r="I79" s="251">
        <v>59472</v>
      </c>
      <c r="J79">
        <f t="shared" si="1"/>
        <v>52335.360000000001</v>
      </c>
      <c r="K79" t="s">
        <v>17</v>
      </c>
      <c r="L79" s="122">
        <v>45422</v>
      </c>
      <c r="M79"/>
      <c r="N79"/>
      <c r="O79"/>
      <c r="P79"/>
      <c r="Q79"/>
      <c r="T79" s="14" t="s">
        <v>2380</v>
      </c>
      <c r="U79" s="360"/>
      <c r="V79" s="360"/>
    </row>
    <row r="80" spans="1:22" s="30" customFormat="1" hidden="1" x14ac:dyDescent="0.25">
      <c r="A80" s="256">
        <v>17042024</v>
      </c>
      <c r="B80" s="30" t="s">
        <v>608</v>
      </c>
      <c r="C80" s="28" t="s">
        <v>410</v>
      </c>
      <c r="D80" s="490">
        <v>45399</v>
      </c>
      <c r="E80" s="373"/>
      <c r="F80" s="127" t="s">
        <v>236</v>
      </c>
      <c r="G80" s="373" t="s">
        <v>4050</v>
      </c>
      <c r="H80" s="373" t="s">
        <v>4055</v>
      </c>
      <c r="I80" s="426">
        <v>59472</v>
      </c>
      <c r="J80">
        <f t="shared" si="1"/>
        <v>52335.360000000001</v>
      </c>
      <c r="K80" t="s">
        <v>17</v>
      </c>
      <c r="L80" s="122">
        <v>45422</v>
      </c>
      <c r="T80" s="360" t="s">
        <v>3463</v>
      </c>
      <c r="U80" s="360">
        <v>0.2638888888888889</v>
      </c>
      <c r="V80" s="360"/>
    </row>
    <row r="81" spans="1:22" hidden="1" x14ac:dyDescent="0.25">
      <c r="A81" s="483">
        <v>20042024</v>
      </c>
      <c r="B81" t="s">
        <v>608</v>
      </c>
      <c r="C81" s="28" t="s">
        <v>410</v>
      </c>
      <c r="D81" s="359">
        <v>45402</v>
      </c>
      <c r="F81" s="28" t="s">
        <v>236</v>
      </c>
      <c r="G81" s="30" t="s">
        <v>4080</v>
      </c>
      <c r="H81" s="30" t="s">
        <v>4081</v>
      </c>
      <c r="I81" s="251">
        <v>59472</v>
      </c>
      <c r="J81">
        <f t="shared" si="1"/>
        <v>52335.360000000001</v>
      </c>
      <c r="K81" t="s">
        <v>17</v>
      </c>
      <c r="L81" s="122">
        <v>45555</v>
      </c>
      <c r="M81"/>
      <c r="N81"/>
      <c r="O81"/>
      <c r="P81"/>
      <c r="Q81"/>
      <c r="T81" s="14" t="s">
        <v>3151</v>
      </c>
      <c r="U81" s="360">
        <v>0.74444444444444446</v>
      </c>
      <c r="V81" s="360">
        <v>1.9444444444444445E-2</v>
      </c>
    </row>
    <row r="82" spans="1:22" hidden="1" x14ac:dyDescent="0.25">
      <c r="A82" s="509">
        <v>3052024</v>
      </c>
      <c r="B82" t="s">
        <v>608</v>
      </c>
      <c r="C82" s="28" t="s">
        <v>13</v>
      </c>
      <c r="D82" s="359">
        <v>45415</v>
      </c>
      <c r="E82" s="30"/>
      <c r="F82" s="28" t="s">
        <v>236</v>
      </c>
      <c r="G82" s="30" t="s">
        <v>4128</v>
      </c>
      <c r="H82" s="30" t="s">
        <v>4130</v>
      </c>
      <c r="I82" s="237">
        <v>59472</v>
      </c>
      <c r="J82">
        <f t="shared" si="1"/>
        <v>52335.360000000001</v>
      </c>
      <c r="K82" t="s">
        <v>17</v>
      </c>
      <c r="L82" s="122">
        <v>45555</v>
      </c>
      <c r="M82"/>
      <c r="N82"/>
      <c r="O82"/>
      <c r="P82"/>
      <c r="Q82"/>
      <c r="T82" s="14" t="s">
        <v>3463</v>
      </c>
      <c r="U82" s="360">
        <v>0.27013888888888887</v>
      </c>
      <c r="V82" s="360">
        <v>0.56041666666666667</v>
      </c>
    </row>
    <row r="83" spans="1:22" hidden="1" x14ac:dyDescent="0.25">
      <c r="A83" s="509">
        <v>3052024</v>
      </c>
      <c r="B83" t="s">
        <v>608</v>
      </c>
      <c r="C83" s="28" t="s">
        <v>410</v>
      </c>
      <c r="D83" s="359">
        <v>45415</v>
      </c>
      <c r="E83" s="30"/>
      <c r="F83" s="28" t="s">
        <v>236</v>
      </c>
      <c r="G83" s="30" t="s">
        <v>4129</v>
      </c>
      <c r="H83" s="30" t="s">
        <v>4131</v>
      </c>
      <c r="I83" s="237">
        <v>59472</v>
      </c>
      <c r="J83">
        <f t="shared" si="1"/>
        <v>52335.360000000001</v>
      </c>
      <c r="K83" t="s">
        <v>17</v>
      </c>
      <c r="L83" s="122">
        <v>45555</v>
      </c>
      <c r="M83"/>
      <c r="N83"/>
      <c r="O83"/>
      <c r="P83"/>
      <c r="Q83"/>
      <c r="T83" s="14" t="s">
        <v>922</v>
      </c>
      <c r="U83" s="360">
        <v>0.50624999999999998</v>
      </c>
      <c r="V83" s="360">
        <v>0.82222222222222219</v>
      </c>
    </row>
    <row r="84" spans="1:22" ht="15" hidden="1" customHeight="1" x14ac:dyDescent="0.25">
      <c r="A84" s="509">
        <v>22062024</v>
      </c>
      <c r="B84" t="s">
        <v>608</v>
      </c>
      <c r="C84" s="28" t="s">
        <v>410</v>
      </c>
      <c r="D84" s="359">
        <v>45465</v>
      </c>
      <c r="F84" s="28" t="s">
        <v>236</v>
      </c>
      <c r="G84" s="30" t="s">
        <v>5673</v>
      </c>
      <c r="H84" s="687" t="s">
        <v>4405</v>
      </c>
      <c r="I84" s="237">
        <v>49173</v>
      </c>
      <c r="J84" s="3">
        <f t="shared" ref="J84:J109" si="2">+I84-ROUND(I84*0.12,0)</f>
        <v>43272</v>
      </c>
      <c r="K84" s="359" t="s">
        <v>17</v>
      </c>
      <c r="L84" s="122">
        <v>45624</v>
      </c>
      <c r="M84" s="359"/>
      <c r="N84"/>
      <c r="O84"/>
      <c r="P84"/>
      <c r="Q84" s="359"/>
      <c r="T84" s="14" t="s">
        <v>4365</v>
      </c>
      <c r="U84" s="360">
        <v>0.30277777777777776</v>
      </c>
      <c r="V84" s="360">
        <v>0.59236111111111112</v>
      </c>
    </row>
    <row r="85" spans="1:22" hidden="1" x14ac:dyDescent="0.25">
      <c r="A85" s="483">
        <v>19072024</v>
      </c>
      <c r="B85" t="s">
        <v>608</v>
      </c>
      <c r="C85" s="28" t="s">
        <v>410</v>
      </c>
      <c r="D85" s="359">
        <v>45492</v>
      </c>
      <c r="F85" s="28" t="s">
        <v>236</v>
      </c>
      <c r="G85" s="30" t="s">
        <v>5672</v>
      </c>
      <c r="H85" s="687" t="s">
        <v>4563</v>
      </c>
      <c r="I85" s="236">
        <v>49173</v>
      </c>
      <c r="J85" s="3">
        <f t="shared" si="2"/>
        <v>43272</v>
      </c>
      <c r="K85" s="359" t="s">
        <v>17</v>
      </c>
      <c r="L85" s="122">
        <v>45624</v>
      </c>
      <c r="M85" s="359"/>
      <c r="N85"/>
      <c r="O85"/>
      <c r="P85"/>
      <c r="Q85" s="359"/>
      <c r="T85" s="14" t="s">
        <v>4365</v>
      </c>
      <c r="U85" s="360"/>
      <c r="V85" s="360"/>
    </row>
    <row r="86" spans="1:22" hidden="1" x14ac:dyDescent="0.25">
      <c r="A86" s="483">
        <v>19082024</v>
      </c>
      <c r="B86" t="s">
        <v>608</v>
      </c>
      <c r="C86" s="28" t="s">
        <v>410</v>
      </c>
      <c r="D86" s="359">
        <v>45523</v>
      </c>
      <c r="F86" s="28" t="s">
        <v>236</v>
      </c>
      <c r="G86" s="30" t="s">
        <v>5671</v>
      </c>
      <c r="H86" s="687" t="s">
        <v>4677</v>
      </c>
      <c r="I86" s="368">
        <v>49173</v>
      </c>
      <c r="J86" s="3">
        <f t="shared" si="2"/>
        <v>43272</v>
      </c>
      <c r="K86" s="359" t="s">
        <v>17</v>
      </c>
      <c r="L86" s="122">
        <v>45624</v>
      </c>
      <c r="M86" s="359"/>
      <c r="N86"/>
      <c r="O86"/>
      <c r="P86"/>
      <c r="Q86" s="359"/>
      <c r="T86" t="s">
        <v>2050</v>
      </c>
      <c r="U86" s="360">
        <v>0.71805555555555556</v>
      </c>
      <c r="V86" s="360">
        <v>9.7222222222222224E-3</v>
      </c>
    </row>
    <row r="87" spans="1:22" hidden="1" x14ac:dyDescent="0.25">
      <c r="A87" s="483" t="s">
        <v>4912</v>
      </c>
      <c r="B87" t="s">
        <v>608</v>
      </c>
      <c r="C87" s="28" t="s">
        <v>410</v>
      </c>
      <c r="D87" s="359">
        <v>45578</v>
      </c>
      <c r="F87" s="28" t="s">
        <v>236</v>
      </c>
      <c r="G87" s="365" t="s">
        <v>5670</v>
      </c>
      <c r="H87" s="687" t="s">
        <v>4919</v>
      </c>
      <c r="I87" s="313">
        <v>49173</v>
      </c>
      <c r="J87" s="3">
        <f t="shared" si="2"/>
        <v>43272</v>
      </c>
      <c r="K87" t="s">
        <v>17</v>
      </c>
      <c r="L87" s="122">
        <v>45678</v>
      </c>
      <c r="M87" s="359"/>
      <c r="N87"/>
      <c r="O87"/>
      <c r="P87"/>
      <c r="Q87"/>
      <c r="T87" t="s">
        <v>4365</v>
      </c>
      <c r="U87" s="360">
        <v>0.37916666666666665</v>
      </c>
      <c r="V87" s="360">
        <v>0.65416666666666667</v>
      </c>
    </row>
    <row r="88" spans="1:22" hidden="1" x14ac:dyDescent="0.25">
      <c r="A88" s="483">
        <v>25102024</v>
      </c>
      <c r="B88" t="s">
        <v>608</v>
      </c>
      <c r="C88" s="28" t="s">
        <v>410</v>
      </c>
      <c r="D88" s="359">
        <v>45590</v>
      </c>
      <c r="E88" s="30"/>
      <c r="F88" s="28" t="s">
        <v>236</v>
      </c>
      <c r="G88" s="30" t="s">
        <v>5669</v>
      </c>
      <c r="H88" s="687" t="s">
        <v>5014</v>
      </c>
      <c r="I88" s="313">
        <v>49173</v>
      </c>
      <c r="J88" s="3">
        <f t="shared" si="2"/>
        <v>43272</v>
      </c>
      <c r="K88" t="s">
        <v>17</v>
      </c>
      <c r="L88" s="122">
        <v>45688</v>
      </c>
      <c r="M88" s="359"/>
      <c r="N88"/>
      <c r="O88"/>
      <c r="P88"/>
      <c r="Q88"/>
      <c r="T88" t="s">
        <v>5004</v>
      </c>
      <c r="U88" s="360">
        <v>0.25972222222222224</v>
      </c>
      <c r="V88" s="360"/>
    </row>
    <row r="89" spans="1:22" hidden="1" x14ac:dyDescent="0.25">
      <c r="A89" s="483">
        <v>28102024</v>
      </c>
      <c r="B89" t="s">
        <v>608</v>
      </c>
      <c r="C89" s="28" t="s">
        <v>410</v>
      </c>
      <c r="D89" s="359">
        <v>45593</v>
      </c>
      <c r="F89" s="28" t="s">
        <v>236</v>
      </c>
      <c r="G89" s="30" t="s">
        <v>5668</v>
      </c>
      <c r="H89" s="687" t="s">
        <v>5053</v>
      </c>
      <c r="I89" s="313">
        <v>49173</v>
      </c>
      <c r="J89" s="3">
        <f t="shared" si="2"/>
        <v>43272</v>
      </c>
      <c r="K89" t="s">
        <v>17</v>
      </c>
      <c r="L89" s="122">
        <v>45688</v>
      </c>
      <c r="M89"/>
      <c r="N89"/>
      <c r="O89"/>
      <c r="P89"/>
      <c r="Q89"/>
      <c r="T89" t="s">
        <v>4853</v>
      </c>
      <c r="U89" s="360">
        <v>0.68888888888888899</v>
      </c>
      <c r="V89" s="360">
        <v>0.93680555555555556</v>
      </c>
    </row>
    <row r="90" spans="1:22" hidden="1" x14ac:dyDescent="0.25">
      <c r="A90" s="483">
        <v>20112024</v>
      </c>
      <c r="B90" t="s">
        <v>608</v>
      </c>
      <c r="C90" s="233" t="s">
        <v>410</v>
      </c>
      <c r="D90" s="359">
        <v>45616</v>
      </c>
      <c r="E90" s="28"/>
      <c r="F90" s="28" t="s">
        <v>236</v>
      </c>
      <c r="G90" t="s">
        <v>5667</v>
      </c>
      <c r="H90" s="236" t="s">
        <v>5199</v>
      </c>
      <c r="I90" s="88">
        <v>49173</v>
      </c>
      <c r="J90" s="3">
        <f t="shared" si="2"/>
        <v>43272</v>
      </c>
      <c r="K90" t="s">
        <v>17</v>
      </c>
      <c r="L90" s="122">
        <v>45688</v>
      </c>
      <c r="M90"/>
      <c r="N90"/>
      <c r="O90"/>
      <c r="P90"/>
      <c r="Q90"/>
      <c r="T90" t="s">
        <v>5131</v>
      </c>
      <c r="V90" s="360"/>
    </row>
    <row r="91" spans="1:22" hidden="1" x14ac:dyDescent="0.25">
      <c r="A91" s="483">
        <v>20112024</v>
      </c>
      <c r="B91" t="s">
        <v>608</v>
      </c>
      <c r="C91" s="233" t="s">
        <v>13</v>
      </c>
      <c r="D91" s="359">
        <v>45616</v>
      </c>
      <c r="E91" s="28"/>
      <c r="F91" s="28" t="s">
        <v>236</v>
      </c>
      <c r="G91" t="s">
        <v>5666</v>
      </c>
      <c r="H91" s="236" t="s">
        <v>5200</v>
      </c>
      <c r="I91" s="88">
        <v>49173</v>
      </c>
      <c r="J91" s="3">
        <f t="shared" si="2"/>
        <v>43272</v>
      </c>
      <c r="K91" t="s">
        <v>17</v>
      </c>
      <c r="L91" s="122">
        <v>45688</v>
      </c>
      <c r="M91"/>
      <c r="N91"/>
      <c r="O91"/>
      <c r="P91"/>
      <c r="Q91"/>
      <c r="T91" t="s">
        <v>4867</v>
      </c>
      <c r="U91" s="360"/>
      <c r="V91" s="360"/>
    </row>
    <row r="92" spans="1:22" hidden="1" x14ac:dyDescent="0.25">
      <c r="A92" s="483" t="s">
        <v>5642</v>
      </c>
      <c r="B92" t="s">
        <v>5641</v>
      </c>
      <c r="C92" s="28" t="s">
        <v>4218</v>
      </c>
      <c r="D92" s="359">
        <v>45696</v>
      </c>
      <c r="E92" s="28"/>
      <c r="F92" s="28" t="s">
        <v>236</v>
      </c>
      <c r="G92" s="30" t="s">
        <v>5674</v>
      </c>
      <c r="H92" s="30" t="s">
        <v>5677</v>
      </c>
      <c r="I92" s="798">
        <v>49173</v>
      </c>
      <c r="J92" s="3">
        <f t="shared" si="2"/>
        <v>43272</v>
      </c>
      <c r="K92" t="s">
        <v>17</v>
      </c>
      <c r="L92" s="122">
        <v>45834</v>
      </c>
      <c r="M92"/>
      <c r="N92"/>
      <c r="O92"/>
      <c r="P92" s="88"/>
      <c r="Q92"/>
      <c r="T92" t="s">
        <v>5026</v>
      </c>
      <c r="U92" s="360">
        <v>0.61458333333333337</v>
      </c>
      <c r="V92" s="360">
        <v>0.89027777777777783</v>
      </c>
    </row>
    <row r="93" spans="1:22" hidden="1" x14ac:dyDescent="0.25">
      <c r="A93" s="483">
        <v>14022024</v>
      </c>
      <c r="B93" t="s">
        <v>608</v>
      </c>
      <c r="D93" s="359">
        <v>45702</v>
      </c>
      <c r="E93" s="28"/>
      <c r="F93" s="28" t="s">
        <v>236</v>
      </c>
      <c r="G93" s="30" t="s">
        <v>5675</v>
      </c>
      <c r="H93" s="30" t="s">
        <v>5678</v>
      </c>
      <c r="I93" s="798">
        <v>49173</v>
      </c>
      <c r="J93" s="3">
        <f t="shared" si="2"/>
        <v>43272</v>
      </c>
      <c r="K93" t="s">
        <v>17</v>
      </c>
      <c r="L93" s="122">
        <v>45834</v>
      </c>
      <c r="M93"/>
      <c r="N93"/>
      <c r="O93"/>
      <c r="P93" s="88"/>
      <c r="Q93"/>
      <c r="T93"/>
      <c r="U93" s="360"/>
      <c r="V93" s="360"/>
    </row>
    <row r="94" spans="1:22" hidden="1" x14ac:dyDescent="0.25">
      <c r="A94" s="483">
        <v>19022024</v>
      </c>
      <c r="B94" t="s">
        <v>608</v>
      </c>
      <c r="C94" s="28" t="s">
        <v>4218</v>
      </c>
      <c r="D94" s="359">
        <v>45707</v>
      </c>
      <c r="E94" s="28"/>
      <c r="F94" s="28" t="s">
        <v>236</v>
      </c>
      <c r="G94" s="30" t="s">
        <v>5676</v>
      </c>
      <c r="H94" s="30" t="s">
        <v>5679</v>
      </c>
      <c r="I94" s="798">
        <v>49173</v>
      </c>
      <c r="J94" s="3">
        <f t="shared" si="2"/>
        <v>43272</v>
      </c>
      <c r="K94" t="s">
        <v>17</v>
      </c>
      <c r="L94" s="122">
        <v>45834</v>
      </c>
      <c r="M94"/>
      <c r="N94"/>
      <c r="O94"/>
      <c r="P94" s="88"/>
      <c r="Q94"/>
      <c r="T94" t="s">
        <v>5078</v>
      </c>
      <c r="U94" s="360">
        <v>0.33124999999999999</v>
      </c>
      <c r="V94" s="360"/>
    </row>
    <row r="95" spans="1:22" hidden="1" x14ac:dyDescent="0.25">
      <c r="A95" s="483">
        <v>25022025</v>
      </c>
      <c r="B95" t="s">
        <v>608</v>
      </c>
      <c r="C95" s="28" t="s">
        <v>4218</v>
      </c>
      <c r="D95" s="359">
        <v>45713</v>
      </c>
      <c r="E95" s="28"/>
      <c r="F95" s="28" t="s">
        <v>236</v>
      </c>
      <c r="G95" s="30" t="s">
        <v>5733</v>
      </c>
      <c r="H95" s="694" t="s">
        <v>6390</v>
      </c>
      <c r="I95" s="421">
        <v>58231</v>
      </c>
      <c r="J95" s="745">
        <f t="shared" si="2"/>
        <v>51243</v>
      </c>
      <c r="K95" t="s">
        <v>17</v>
      </c>
      <c r="L95" s="122">
        <v>45863</v>
      </c>
      <c r="M95"/>
      <c r="N95"/>
      <c r="O95"/>
      <c r="P95" s="32" t="s">
        <v>5078</v>
      </c>
      <c r="Q95" s="360">
        <v>0.30486111111111108</v>
      </c>
      <c r="R95" s="360">
        <v>0.5805555555555556</v>
      </c>
      <c r="T95"/>
    </row>
    <row r="96" spans="1:22" hidden="1" x14ac:dyDescent="0.25">
      <c r="A96" s="483">
        <v>25022025</v>
      </c>
      <c r="B96" t="s">
        <v>608</v>
      </c>
      <c r="C96" s="28" t="s">
        <v>410</v>
      </c>
      <c r="D96" s="359">
        <v>45713</v>
      </c>
      <c r="E96" s="28"/>
      <c r="F96" s="28" t="s">
        <v>236</v>
      </c>
      <c r="G96" s="30" t="s">
        <v>5734</v>
      </c>
      <c r="H96" s="694" t="s">
        <v>6391</v>
      </c>
      <c r="I96" s="421">
        <v>58231</v>
      </c>
      <c r="J96" s="745">
        <f t="shared" si="2"/>
        <v>51243</v>
      </c>
      <c r="K96" t="s">
        <v>17</v>
      </c>
      <c r="L96" s="122">
        <v>45863</v>
      </c>
      <c r="M96"/>
      <c r="N96"/>
      <c r="O96"/>
      <c r="P96" s="32" t="s">
        <v>4140</v>
      </c>
      <c r="Q96" s="30"/>
      <c r="R96" s="30"/>
      <c r="T96"/>
    </row>
    <row r="97" spans="1:22" hidden="1" x14ac:dyDescent="0.25">
      <c r="A97" s="483" t="s">
        <v>5753</v>
      </c>
      <c r="B97" t="s">
        <v>608</v>
      </c>
      <c r="C97" s="28" t="s">
        <v>410</v>
      </c>
      <c r="D97" s="359">
        <v>45722</v>
      </c>
      <c r="E97" s="28"/>
      <c r="F97" s="28" t="s">
        <v>236</v>
      </c>
      <c r="G97" s="30" t="s">
        <v>5790</v>
      </c>
      <c r="H97" s="373" t="s">
        <v>5791</v>
      </c>
      <c r="I97" s="296">
        <v>58231</v>
      </c>
      <c r="J97" s="9">
        <f t="shared" si="2"/>
        <v>51243</v>
      </c>
      <c r="K97" t="s">
        <v>17</v>
      </c>
      <c r="L97" s="122">
        <v>45810</v>
      </c>
      <c r="M97"/>
      <c r="N97"/>
      <c r="O97"/>
      <c r="P97" s="32"/>
      <c r="Q97"/>
      <c r="T97" t="s">
        <v>5393</v>
      </c>
      <c r="U97" s="360">
        <v>0.4284722222222222</v>
      </c>
      <c r="V97" s="360">
        <v>0.19791666666666666</v>
      </c>
    </row>
    <row r="98" spans="1:22" hidden="1" x14ac:dyDescent="0.25">
      <c r="A98" s="483" t="s">
        <v>5775</v>
      </c>
      <c r="B98" t="s">
        <v>608</v>
      </c>
      <c r="C98" s="28" t="s">
        <v>13</v>
      </c>
      <c r="D98" s="359">
        <v>45724</v>
      </c>
      <c r="E98" s="28"/>
      <c r="F98" s="28" t="s">
        <v>236</v>
      </c>
      <c r="G98" s="30" t="s">
        <v>5789</v>
      </c>
      <c r="H98" s="373" t="s">
        <v>5792</v>
      </c>
      <c r="I98" s="935">
        <v>58231</v>
      </c>
      <c r="J98" s="9">
        <f t="shared" si="2"/>
        <v>51243</v>
      </c>
      <c r="K98" t="s">
        <v>17</v>
      </c>
      <c r="L98" s="122">
        <v>45810</v>
      </c>
      <c r="M98"/>
      <c r="N98"/>
      <c r="O98"/>
      <c r="P98" s="32"/>
      <c r="Q98"/>
      <c r="T98" t="s">
        <v>5776</v>
      </c>
      <c r="U98" s="360">
        <v>0.2722222222222222</v>
      </c>
      <c r="V98" s="30"/>
    </row>
    <row r="99" spans="1:22" hidden="1" x14ac:dyDescent="0.25">
      <c r="A99" s="483">
        <v>12032025</v>
      </c>
      <c r="B99" t="s">
        <v>608</v>
      </c>
      <c r="C99" s="28" t="s">
        <v>4218</v>
      </c>
      <c r="D99" s="359">
        <v>45728</v>
      </c>
      <c r="E99" s="28"/>
      <c r="F99" s="28" t="s">
        <v>236</v>
      </c>
      <c r="G99" s="30" t="s">
        <v>5854</v>
      </c>
      <c r="H99" s="373" t="s">
        <v>5856</v>
      </c>
      <c r="I99" s="935">
        <v>58231</v>
      </c>
      <c r="J99" s="9">
        <f t="shared" si="2"/>
        <v>51243</v>
      </c>
      <c r="K99" t="s">
        <v>17</v>
      </c>
      <c r="L99" s="122">
        <v>45810</v>
      </c>
      <c r="M99"/>
      <c r="N99"/>
      <c r="O99"/>
      <c r="P99" s="32"/>
      <c r="Q99"/>
      <c r="T99" t="s">
        <v>5797</v>
      </c>
      <c r="U99" s="360">
        <v>0.36458333333333331</v>
      </c>
      <c r="V99" s="360">
        <v>0.65833333333333333</v>
      </c>
    </row>
    <row r="100" spans="1:22" hidden="1" x14ac:dyDescent="0.25">
      <c r="A100" s="483">
        <v>13032025</v>
      </c>
      <c r="B100" t="s">
        <v>608</v>
      </c>
      <c r="C100" s="28" t="s">
        <v>13</v>
      </c>
      <c r="D100" s="359">
        <v>45729</v>
      </c>
      <c r="E100" s="28"/>
      <c r="F100" s="28" t="s">
        <v>236</v>
      </c>
      <c r="G100" s="30" t="s">
        <v>5855</v>
      </c>
      <c r="H100" s="373" t="s">
        <v>5857</v>
      </c>
      <c r="I100" s="935">
        <v>58231</v>
      </c>
      <c r="J100" s="9">
        <f t="shared" si="2"/>
        <v>51243</v>
      </c>
      <c r="K100" t="s">
        <v>17</v>
      </c>
      <c r="L100" s="122">
        <v>45810</v>
      </c>
      <c r="M100"/>
      <c r="N100"/>
      <c r="O100"/>
      <c r="P100" s="32"/>
      <c r="Q100"/>
      <c r="T100" t="s">
        <v>4509</v>
      </c>
      <c r="V100" s="30"/>
    </row>
    <row r="101" spans="1:22" s="21" customFormat="1" hidden="1" x14ac:dyDescent="0.25">
      <c r="A101" s="509">
        <v>22032025</v>
      </c>
      <c r="B101" s="21" t="s">
        <v>608</v>
      </c>
      <c r="C101" s="177" t="s">
        <v>410</v>
      </c>
      <c r="D101" s="359">
        <v>45738</v>
      </c>
      <c r="E101" s="177"/>
      <c r="F101" s="177" t="s">
        <v>236</v>
      </c>
      <c r="G101" s="21" t="s">
        <v>5881</v>
      </c>
      <c r="H101" s="20" t="s">
        <v>5882</v>
      </c>
      <c r="I101" s="995">
        <v>58231</v>
      </c>
      <c r="J101" s="9">
        <f t="shared" si="2"/>
        <v>51243</v>
      </c>
      <c r="K101" t="s">
        <v>17</v>
      </c>
      <c r="L101" s="122">
        <v>45810</v>
      </c>
      <c r="P101" s="155"/>
      <c r="T101" s="33" t="s">
        <v>4139</v>
      </c>
      <c r="U101" s="488">
        <v>0.30277777777777776</v>
      </c>
      <c r="V101" s="488">
        <v>0.58194444444444449</v>
      </c>
    </row>
    <row r="102" spans="1:22" hidden="1" x14ac:dyDescent="0.25">
      <c r="A102" s="483">
        <v>23032025</v>
      </c>
      <c r="B102" s="21" t="s">
        <v>608</v>
      </c>
      <c r="C102" s="28" t="s">
        <v>410</v>
      </c>
      <c r="D102" s="359">
        <v>45739</v>
      </c>
      <c r="E102" s="28"/>
      <c r="F102" s="28" t="s">
        <v>236</v>
      </c>
      <c r="G102" t="s">
        <v>5879</v>
      </c>
      <c r="H102" s="20" t="s">
        <v>5883</v>
      </c>
      <c r="I102" s="935">
        <v>58231</v>
      </c>
      <c r="J102" s="9">
        <f t="shared" si="2"/>
        <v>51243</v>
      </c>
      <c r="K102" t="s">
        <v>17</v>
      </c>
      <c r="L102" s="122">
        <v>45810</v>
      </c>
      <c r="M102"/>
      <c r="N102"/>
      <c r="O102"/>
      <c r="P102" s="32"/>
      <c r="Q102"/>
      <c r="T102" t="s">
        <v>4867</v>
      </c>
      <c r="U102" s="360">
        <v>0.30069444444444443</v>
      </c>
      <c r="V102" s="360">
        <v>0.59722222222222221</v>
      </c>
    </row>
    <row r="103" spans="1:22" hidden="1" x14ac:dyDescent="0.25">
      <c r="A103" s="483">
        <v>24032025</v>
      </c>
      <c r="B103" s="21" t="s">
        <v>596</v>
      </c>
      <c r="C103" s="28" t="s">
        <v>13</v>
      </c>
      <c r="D103" s="359">
        <v>45740</v>
      </c>
      <c r="E103" s="28"/>
      <c r="F103" s="28" t="s">
        <v>236</v>
      </c>
      <c r="G103" t="s">
        <v>5880</v>
      </c>
      <c r="H103" s="20" t="s">
        <v>5884</v>
      </c>
      <c r="I103" s="935">
        <v>58231</v>
      </c>
      <c r="J103" s="9">
        <f t="shared" si="2"/>
        <v>51243</v>
      </c>
      <c r="K103" t="s">
        <v>17</v>
      </c>
      <c r="L103" s="122">
        <v>45810</v>
      </c>
      <c r="M103"/>
      <c r="N103"/>
      <c r="O103"/>
      <c r="P103" s="32"/>
      <c r="Q103"/>
      <c r="T103" t="s">
        <v>4138</v>
      </c>
      <c r="U103" s="360">
        <v>0.2590277777777778</v>
      </c>
      <c r="V103" s="30"/>
    </row>
    <row r="104" spans="1:22" hidden="1" x14ac:dyDescent="0.25">
      <c r="A104" s="483" t="s">
        <v>5897</v>
      </c>
      <c r="B104" t="s">
        <v>608</v>
      </c>
      <c r="C104" s="28" t="s">
        <v>13</v>
      </c>
      <c r="D104" s="359">
        <v>45750</v>
      </c>
      <c r="E104" s="28"/>
      <c r="F104" s="28" t="s">
        <v>236</v>
      </c>
      <c r="G104" t="s">
        <v>5936</v>
      </c>
      <c r="H104" s="21" t="s">
        <v>5937</v>
      </c>
      <c r="I104" s="798">
        <v>58231</v>
      </c>
      <c r="J104" s="3">
        <f t="shared" si="2"/>
        <v>51243</v>
      </c>
      <c r="K104" t="s">
        <v>17</v>
      </c>
      <c r="L104" s="122">
        <v>45812</v>
      </c>
      <c r="M104"/>
      <c r="N104"/>
      <c r="O104"/>
      <c r="P104" s="32"/>
      <c r="Q104"/>
      <c r="T104" t="s">
        <v>5020</v>
      </c>
      <c r="U104" s="360">
        <v>0.26597222222222222</v>
      </c>
      <c r="V104" s="30"/>
    </row>
    <row r="105" spans="1:22" hidden="1" x14ac:dyDescent="0.25">
      <c r="A105" s="483" t="s">
        <v>5897</v>
      </c>
      <c r="B105" t="s">
        <v>608</v>
      </c>
      <c r="C105" s="28" t="s">
        <v>410</v>
      </c>
      <c r="D105" s="359">
        <v>45750</v>
      </c>
      <c r="E105" s="28"/>
      <c r="F105" s="28" t="s">
        <v>236</v>
      </c>
      <c r="G105" t="s">
        <v>5935</v>
      </c>
      <c r="H105" s="21" t="s">
        <v>5938</v>
      </c>
      <c r="I105" s="798">
        <v>58231</v>
      </c>
      <c r="J105" s="3">
        <f t="shared" si="2"/>
        <v>51243</v>
      </c>
      <c r="K105" t="s">
        <v>17</v>
      </c>
      <c r="L105" s="122">
        <v>45812</v>
      </c>
      <c r="M105"/>
      <c r="N105"/>
      <c r="O105"/>
      <c r="P105" s="32"/>
      <c r="Q105"/>
      <c r="T105" t="s">
        <v>5026</v>
      </c>
      <c r="U105" s="360">
        <v>0.35347222222222219</v>
      </c>
      <c r="V105" s="30"/>
    </row>
    <row r="106" spans="1:22" hidden="1" x14ac:dyDescent="0.25">
      <c r="A106" s="483" t="s">
        <v>5952</v>
      </c>
      <c r="B106" t="s">
        <v>608</v>
      </c>
      <c r="D106" s="359">
        <v>45756</v>
      </c>
      <c r="E106" s="28"/>
      <c r="F106" s="28" t="s">
        <v>236</v>
      </c>
      <c r="G106" t="s">
        <v>5996</v>
      </c>
      <c r="H106" s="20" t="s">
        <v>5999</v>
      </c>
      <c r="I106" s="935">
        <v>58231</v>
      </c>
      <c r="J106" s="9">
        <f t="shared" si="2"/>
        <v>51243</v>
      </c>
      <c r="K106" t="s">
        <v>17</v>
      </c>
      <c r="L106" s="122">
        <v>45810</v>
      </c>
      <c r="M106"/>
      <c r="N106"/>
      <c r="O106"/>
      <c r="P106"/>
      <c r="Q106"/>
      <c r="T106" t="s">
        <v>4345</v>
      </c>
      <c r="U106" s="360">
        <v>0.57708333333333328</v>
      </c>
      <c r="V106" s="30"/>
    </row>
    <row r="107" spans="1:22" hidden="1" x14ac:dyDescent="0.25">
      <c r="A107" s="483" t="s">
        <v>5974</v>
      </c>
      <c r="B107" t="s">
        <v>608</v>
      </c>
      <c r="C107" s="28" t="s">
        <v>13</v>
      </c>
      <c r="D107" s="359">
        <v>45760</v>
      </c>
      <c r="E107" s="28"/>
      <c r="F107" s="28" t="s">
        <v>236</v>
      </c>
      <c r="G107" t="s">
        <v>5997</v>
      </c>
      <c r="H107" s="20" t="s">
        <v>6000</v>
      </c>
      <c r="I107" s="935">
        <v>58231</v>
      </c>
      <c r="J107" s="9">
        <f t="shared" si="2"/>
        <v>51243</v>
      </c>
      <c r="K107" t="s">
        <v>17</v>
      </c>
      <c r="L107" s="122">
        <v>45810</v>
      </c>
      <c r="M107"/>
      <c r="N107"/>
      <c r="O107"/>
      <c r="P107"/>
      <c r="Q107"/>
      <c r="T107" t="s">
        <v>5976</v>
      </c>
      <c r="U107" s="360">
        <v>0.29652777777777778</v>
      </c>
      <c r="V107" s="360">
        <v>0.5756944444444444</v>
      </c>
    </row>
    <row r="108" spans="1:22" hidden="1" x14ac:dyDescent="0.25">
      <c r="A108" s="483" t="s">
        <v>5974</v>
      </c>
      <c r="B108" t="s">
        <v>608</v>
      </c>
      <c r="C108" s="28" t="s">
        <v>410</v>
      </c>
      <c r="D108" s="359">
        <v>45760</v>
      </c>
      <c r="E108" s="28"/>
      <c r="F108" s="28" t="s">
        <v>236</v>
      </c>
      <c r="G108" t="s">
        <v>5998</v>
      </c>
      <c r="H108" s="20" t="s">
        <v>6002</v>
      </c>
      <c r="I108" s="935">
        <v>58231</v>
      </c>
      <c r="J108" s="9">
        <f t="shared" si="2"/>
        <v>51243</v>
      </c>
      <c r="K108" t="s">
        <v>17</v>
      </c>
      <c r="L108" s="122">
        <v>45810</v>
      </c>
      <c r="M108"/>
      <c r="N108"/>
      <c r="O108"/>
      <c r="P108"/>
      <c r="Q108"/>
      <c r="T108" t="s">
        <v>4983</v>
      </c>
      <c r="U108" s="360">
        <v>0.36249999999999999</v>
      </c>
      <c r="V108" s="360">
        <v>0.63611111111111118</v>
      </c>
    </row>
    <row r="109" spans="1:22" hidden="1" x14ac:dyDescent="0.25">
      <c r="A109" s="483" t="s">
        <v>5980</v>
      </c>
      <c r="B109" t="s">
        <v>608</v>
      </c>
      <c r="C109" s="28" t="s">
        <v>13</v>
      </c>
      <c r="D109" s="359">
        <v>45761</v>
      </c>
      <c r="E109" s="28"/>
      <c r="F109" s="28" t="s">
        <v>236</v>
      </c>
      <c r="G109" t="s">
        <v>6048</v>
      </c>
      <c r="H109" s="947" t="s">
        <v>6049</v>
      </c>
      <c r="I109" s="798">
        <v>58231</v>
      </c>
      <c r="J109" s="3">
        <f t="shared" si="2"/>
        <v>51243</v>
      </c>
      <c r="K109" t="s">
        <v>17</v>
      </c>
      <c r="L109" s="122">
        <v>45845</v>
      </c>
      <c r="M109"/>
      <c r="N109"/>
      <c r="O109"/>
      <c r="P109"/>
      <c r="Q109"/>
      <c r="T109" t="s">
        <v>2050</v>
      </c>
      <c r="U109" s="360">
        <v>0.68819444444444444</v>
      </c>
      <c r="V109" s="360">
        <v>0.95763888888888893</v>
      </c>
    </row>
    <row r="110" spans="1:22" hidden="1" x14ac:dyDescent="0.25">
      <c r="A110" s="483">
        <v>26042025</v>
      </c>
      <c r="B110" t="s">
        <v>608</v>
      </c>
      <c r="C110" s="28" t="s">
        <v>4437</v>
      </c>
      <c r="D110" s="359">
        <v>45773</v>
      </c>
      <c r="E110" s="28"/>
      <c r="F110" s="28" t="s">
        <v>236</v>
      </c>
      <c r="G110" t="s">
        <v>6089</v>
      </c>
      <c r="H110" s="926" t="s">
        <v>6093</v>
      </c>
      <c r="I110" s="798">
        <v>58231</v>
      </c>
      <c r="J110" s="3">
        <f t="shared" ref="J110:J115" si="3">+I110*0.88</f>
        <v>51243.28</v>
      </c>
      <c r="K110" t="s">
        <v>17</v>
      </c>
      <c r="L110" s="122">
        <v>45845</v>
      </c>
      <c r="M110"/>
      <c r="N110"/>
      <c r="O110"/>
      <c r="P110"/>
      <c r="Q110"/>
      <c r="T110" t="s">
        <v>4417</v>
      </c>
      <c r="U110" s="360">
        <v>0.27291666666666664</v>
      </c>
      <c r="V110" s="360">
        <v>0.55138888888888882</v>
      </c>
    </row>
    <row r="111" spans="1:22" hidden="1" x14ac:dyDescent="0.25">
      <c r="A111" s="483">
        <v>28042025</v>
      </c>
      <c r="B111" t="s">
        <v>608</v>
      </c>
      <c r="C111" s="28" t="s">
        <v>4437</v>
      </c>
      <c r="D111" s="359">
        <v>45775</v>
      </c>
      <c r="E111" s="28"/>
      <c r="F111" s="28" t="s">
        <v>236</v>
      </c>
      <c r="G111" t="s">
        <v>6087</v>
      </c>
      <c r="H111" s="926" t="s">
        <v>6091</v>
      </c>
      <c r="I111" s="798">
        <v>58231</v>
      </c>
      <c r="J111" s="3">
        <f t="shared" si="3"/>
        <v>51243.28</v>
      </c>
      <c r="K111" t="s">
        <v>17</v>
      </c>
      <c r="L111" s="122">
        <v>45845</v>
      </c>
      <c r="M111"/>
      <c r="N111"/>
      <c r="O111"/>
      <c r="P111"/>
      <c r="Q111"/>
      <c r="T111" t="s">
        <v>4138</v>
      </c>
      <c r="U111" s="360">
        <v>0.24791666666666667</v>
      </c>
      <c r="V111" s="30"/>
    </row>
    <row r="112" spans="1:22" hidden="1" x14ac:dyDescent="0.25">
      <c r="A112" s="483">
        <v>28042025</v>
      </c>
      <c r="B112" t="s">
        <v>608</v>
      </c>
      <c r="C112" s="28" t="s">
        <v>13</v>
      </c>
      <c r="D112" s="359">
        <v>45775</v>
      </c>
      <c r="E112" s="28"/>
      <c r="F112" s="28" t="s">
        <v>236</v>
      </c>
      <c r="G112" t="s">
        <v>6088</v>
      </c>
      <c r="H112" s="926" t="s">
        <v>6092</v>
      </c>
      <c r="I112" s="798">
        <v>58231</v>
      </c>
      <c r="J112" s="3">
        <f t="shared" si="3"/>
        <v>51243.28</v>
      </c>
      <c r="K112" t="s">
        <v>17</v>
      </c>
      <c r="L112" s="122">
        <v>45845</v>
      </c>
      <c r="M112"/>
      <c r="N112"/>
      <c r="O112"/>
      <c r="P112"/>
      <c r="Q112"/>
      <c r="T112" t="s">
        <v>4983</v>
      </c>
      <c r="U112" s="360">
        <v>0.41875000000000001</v>
      </c>
      <c r="V112" s="30"/>
    </row>
    <row r="113" spans="1:22" hidden="1" x14ac:dyDescent="0.25">
      <c r="A113" s="483">
        <v>29042024</v>
      </c>
      <c r="B113" t="s">
        <v>608</v>
      </c>
      <c r="C113" s="28" t="s">
        <v>4437</v>
      </c>
      <c r="D113" s="359">
        <v>45776</v>
      </c>
      <c r="E113" s="28"/>
      <c r="F113" s="28" t="s">
        <v>236</v>
      </c>
      <c r="G113" t="s">
        <v>6090</v>
      </c>
      <c r="H113" t="s">
        <v>6124</v>
      </c>
      <c r="I113" s="798">
        <v>49173</v>
      </c>
      <c r="J113" s="32">
        <f>+I113-ROUND(I113*0.12,0)</f>
        <v>43272</v>
      </c>
      <c r="K113" t="s">
        <v>17</v>
      </c>
      <c r="L113" s="122">
        <v>45919</v>
      </c>
      <c r="M113"/>
      <c r="N113"/>
      <c r="O113"/>
      <c r="P113"/>
      <c r="Q113"/>
      <c r="T113" t="s">
        <v>4139</v>
      </c>
      <c r="U113" s="360">
        <v>0.31111111111111112</v>
      </c>
      <c r="V113" s="30"/>
    </row>
    <row r="114" spans="1:22" hidden="1" x14ac:dyDescent="0.25">
      <c r="A114" s="483" t="s">
        <v>6103</v>
      </c>
      <c r="B114" t="s">
        <v>608</v>
      </c>
      <c r="C114" s="28" t="s">
        <v>13</v>
      </c>
      <c r="D114" s="359">
        <v>45778</v>
      </c>
      <c r="E114" s="28"/>
      <c r="F114" s="28" t="s">
        <v>236</v>
      </c>
      <c r="G114" t="s">
        <v>6122</v>
      </c>
      <c r="H114" s="926" t="s">
        <v>6123</v>
      </c>
      <c r="I114" s="798">
        <v>58231</v>
      </c>
      <c r="J114" s="3">
        <f t="shared" si="3"/>
        <v>51243.28</v>
      </c>
      <c r="K114" t="s">
        <v>17</v>
      </c>
      <c r="L114" s="122">
        <v>45845</v>
      </c>
      <c r="M114"/>
      <c r="N114"/>
      <c r="O114"/>
      <c r="P114"/>
      <c r="Q114"/>
      <c r="T114" t="s">
        <v>5078</v>
      </c>
      <c r="U114" s="360">
        <v>0.43263888888888885</v>
      </c>
      <c r="V114" s="360">
        <v>0.6972222222222223</v>
      </c>
    </row>
    <row r="115" spans="1:22" hidden="1" x14ac:dyDescent="0.25">
      <c r="A115" s="483" t="s">
        <v>6130</v>
      </c>
      <c r="B115" t="s">
        <v>608</v>
      </c>
      <c r="C115" s="28" t="s">
        <v>660</v>
      </c>
      <c r="D115" s="359">
        <v>45784</v>
      </c>
      <c r="E115" s="28"/>
      <c r="F115" s="28" t="s">
        <v>236</v>
      </c>
      <c r="G115" t="s">
        <v>6189</v>
      </c>
      <c r="H115" t="s">
        <v>6218</v>
      </c>
      <c r="I115" s="798">
        <v>58231</v>
      </c>
      <c r="J115" s="3">
        <f t="shared" si="3"/>
        <v>51243.28</v>
      </c>
      <c r="K115" t="s">
        <v>17</v>
      </c>
      <c r="L115" s="122">
        <v>45863</v>
      </c>
      <c r="M115"/>
      <c r="N115"/>
      <c r="O115"/>
      <c r="P115"/>
      <c r="Q115"/>
      <c r="T115" t="s">
        <v>3765</v>
      </c>
      <c r="U115" s="30"/>
      <c r="V115" s="30"/>
    </row>
    <row r="116" spans="1:22" ht="15" hidden="1" customHeight="1" x14ac:dyDescent="0.25">
      <c r="A116" s="483" t="s">
        <v>6156</v>
      </c>
      <c r="B116" t="s">
        <v>608</v>
      </c>
      <c r="C116" s="28" t="s">
        <v>6152</v>
      </c>
      <c r="D116" s="359">
        <v>45787</v>
      </c>
      <c r="E116" s="28"/>
      <c r="F116" s="28" t="s">
        <v>236</v>
      </c>
      <c r="G116" t="s">
        <v>6188</v>
      </c>
      <c r="H116" t="s">
        <v>6219</v>
      </c>
      <c r="I116" s="798">
        <v>58231</v>
      </c>
      <c r="J116" s="3">
        <f t="shared" ref="J116:J122" si="4">+I116-ROUND(I116*0.12,0)</f>
        <v>51243</v>
      </c>
      <c r="K116" t="s">
        <v>17</v>
      </c>
      <c r="L116" s="122">
        <v>45863</v>
      </c>
      <c r="M116"/>
      <c r="N116"/>
      <c r="O116"/>
      <c r="P116"/>
      <c r="Q116"/>
      <c r="T116" t="s">
        <v>5004</v>
      </c>
      <c r="U116" s="360">
        <v>0.65</v>
      </c>
      <c r="V116" s="30">
        <v>21.55</v>
      </c>
    </row>
    <row r="117" spans="1:22" hidden="1" x14ac:dyDescent="0.25">
      <c r="A117" s="483" t="s">
        <v>6170</v>
      </c>
      <c r="B117" t="s">
        <v>608</v>
      </c>
      <c r="C117" s="28" t="s">
        <v>4437</v>
      </c>
      <c r="D117" s="359">
        <v>45790</v>
      </c>
      <c r="E117" s="28"/>
      <c r="F117" s="28" t="s">
        <v>236</v>
      </c>
      <c r="G117" t="s">
        <v>6194</v>
      </c>
      <c r="H117" t="s">
        <v>6220</v>
      </c>
      <c r="I117" s="798">
        <v>58231</v>
      </c>
      <c r="J117" s="3">
        <f t="shared" si="4"/>
        <v>51243</v>
      </c>
      <c r="K117" t="s">
        <v>17</v>
      </c>
      <c r="L117" s="122">
        <v>45863</v>
      </c>
      <c r="M117"/>
      <c r="N117"/>
      <c r="O117"/>
      <c r="P117"/>
      <c r="Q117"/>
      <c r="T117" t="s">
        <v>5004</v>
      </c>
      <c r="U117" s="360">
        <v>0.26597222222222222</v>
      </c>
      <c r="V117" s="30">
        <v>13.39</v>
      </c>
    </row>
    <row r="118" spans="1:22" hidden="1" x14ac:dyDescent="0.25">
      <c r="A118" s="483" t="s">
        <v>6170</v>
      </c>
      <c r="B118" t="s">
        <v>608</v>
      </c>
      <c r="C118" s="28" t="s">
        <v>660</v>
      </c>
      <c r="D118" s="359">
        <v>45790</v>
      </c>
      <c r="E118" s="28"/>
      <c r="F118" s="28" t="s">
        <v>236</v>
      </c>
      <c r="G118" t="s">
        <v>6195</v>
      </c>
      <c r="H118" t="s">
        <v>6221</v>
      </c>
      <c r="I118" s="798">
        <v>58231</v>
      </c>
      <c r="J118" s="3">
        <f t="shared" si="4"/>
        <v>51243</v>
      </c>
      <c r="K118" t="s">
        <v>17</v>
      </c>
      <c r="L118" s="122">
        <v>45863</v>
      </c>
      <c r="M118"/>
      <c r="N118"/>
      <c r="O118"/>
      <c r="P118"/>
      <c r="Q118"/>
      <c r="T118" t="s">
        <v>6171</v>
      </c>
      <c r="U118" s="360"/>
      <c r="V118" s="30"/>
    </row>
    <row r="119" spans="1:22" s="1150" customFormat="1" hidden="1" x14ac:dyDescent="0.25">
      <c r="A119" s="1149" t="s">
        <v>6170</v>
      </c>
      <c r="B119" s="1150" t="s">
        <v>608</v>
      </c>
      <c r="C119" s="1151" t="s">
        <v>660</v>
      </c>
      <c r="D119" s="1159">
        <v>45790</v>
      </c>
      <c r="E119" s="1151"/>
      <c r="F119" s="1151" t="s">
        <v>236</v>
      </c>
      <c r="G119" s="1150" t="s">
        <v>6196</v>
      </c>
      <c r="H119" s="1150" t="s">
        <v>6222</v>
      </c>
      <c r="I119" s="1153">
        <v>58231</v>
      </c>
      <c r="J119" s="1161">
        <f>+I119-ROUND(I119*0.12,0)</f>
        <v>51243</v>
      </c>
      <c r="K119" s="1150" t="s">
        <v>17</v>
      </c>
      <c r="L119" s="122">
        <v>45931</v>
      </c>
      <c r="T119" s="1150" t="s">
        <v>4911</v>
      </c>
      <c r="U119" s="1154"/>
      <c r="V119" s="1160"/>
    </row>
    <row r="120" spans="1:22" hidden="1" x14ac:dyDescent="0.25">
      <c r="A120" s="483" t="s">
        <v>6213</v>
      </c>
      <c r="B120" t="s">
        <v>608</v>
      </c>
      <c r="C120" s="28" t="s">
        <v>660</v>
      </c>
      <c r="D120" s="359">
        <v>45791</v>
      </c>
      <c r="E120" s="28"/>
      <c r="F120" s="28" t="s">
        <v>236</v>
      </c>
      <c r="G120" t="s">
        <v>6217</v>
      </c>
      <c r="H120" t="s">
        <v>6223</v>
      </c>
      <c r="I120" s="798">
        <v>58231</v>
      </c>
      <c r="J120" s="3">
        <f t="shared" si="4"/>
        <v>51243</v>
      </c>
      <c r="K120" t="s">
        <v>17</v>
      </c>
      <c r="L120" s="122">
        <v>45863</v>
      </c>
      <c r="M120"/>
      <c r="N120"/>
      <c r="O120"/>
      <c r="P120"/>
      <c r="Q120"/>
      <c r="T120" t="s">
        <v>6214</v>
      </c>
      <c r="U120" s="360">
        <v>0.79583333333333328</v>
      </c>
      <c r="V120" s="360">
        <v>0.57222222222222219</v>
      </c>
    </row>
    <row r="121" spans="1:22" hidden="1" x14ac:dyDescent="0.25">
      <c r="A121" s="483" t="s">
        <v>6229</v>
      </c>
      <c r="B121" t="s">
        <v>608</v>
      </c>
      <c r="C121" s="28" t="s">
        <v>660</v>
      </c>
      <c r="D121" s="359">
        <v>45793</v>
      </c>
      <c r="E121" s="28"/>
      <c r="F121" s="28" t="s">
        <v>236</v>
      </c>
      <c r="G121" t="s">
        <v>6245</v>
      </c>
      <c r="H121" s="944" t="s">
        <v>6246</v>
      </c>
      <c r="I121" s="798">
        <v>58231</v>
      </c>
      <c r="J121" s="3">
        <f t="shared" si="4"/>
        <v>51243</v>
      </c>
      <c r="K121" t="s">
        <v>17</v>
      </c>
      <c r="L121" s="122">
        <v>45845</v>
      </c>
      <c r="M121"/>
      <c r="N121"/>
      <c r="O121"/>
      <c r="P121"/>
      <c r="Q121"/>
      <c r="T121" t="s">
        <v>4911</v>
      </c>
      <c r="U121" s="360">
        <v>0.3263888888888889</v>
      </c>
      <c r="V121" s="30"/>
    </row>
    <row r="122" spans="1:22" hidden="1" x14ac:dyDescent="0.25">
      <c r="A122" s="483">
        <v>20052025</v>
      </c>
      <c r="B122" t="s">
        <v>608</v>
      </c>
      <c r="C122" s="28" t="s">
        <v>4437</v>
      </c>
      <c r="D122" s="359">
        <v>45797</v>
      </c>
      <c r="E122" s="28"/>
      <c r="F122" s="28" t="s">
        <v>236</v>
      </c>
      <c r="G122" t="s">
        <v>6254</v>
      </c>
      <c r="H122" t="s">
        <v>6255</v>
      </c>
      <c r="I122" s="798">
        <v>49173</v>
      </c>
      <c r="J122" s="3">
        <f t="shared" si="4"/>
        <v>43272</v>
      </c>
      <c r="K122" t="s">
        <v>17</v>
      </c>
      <c r="L122" s="122">
        <v>45834</v>
      </c>
      <c r="M122"/>
      <c r="N122"/>
      <c r="O122"/>
      <c r="P122"/>
      <c r="Q122"/>
      <c r="T122" t="s">
        <v>5078</v>
      </c>
      <c r="U122" s="360">
        <v>0.26111111111111113</v>
      </c>
      <c r="V122" s="30"/>
    </row>
    <row r="123" spans="1:22" s="1150" customFormat="1" hidden="1" x14ac:dyDescent="0.25">
      <c r="A123" s="1149">
        <v>22052025</v>
      </c>
      <c r="B123" s="1150" t="s">
        <v>608</v>
      </c>
      <c r="C123" s="1151" t="s">
        <v>660</v>
      </c>
      <c r="D123" s="1159">
        <v>45799</v>
      </c>
      <c r="E123" s="1151"/>
      <c r="F123" s="1151" t="s">
        <v>236</v>
      </c>
      <c r="G123" s="1150" t="s">
        <v>6275</v>
      </c>
      <c r="H123" s="1150" t="s">
        <v>6469</v>
      </c>
      <c r="I123" s="1153">
        <v>49173</v>
      </c>
      <c r="J123" s="1161">
        <f>+I123-ROUND(I123*0.12,0)</f>
        <v>43272</v>
      </c>
      <c r="K123" s="1150" t="s">
        <v>17</v>
      </c>
      <c r="L123" s="122">
        <v>45931</v>
      </c>
      <c r="T123" s="1150" t="s">
        <v>6147</v>
      </c>
      <c r="U123" s="1154">
        <v>0.2722222222222222</v>
      </c>
      <c r="V123" s="1160"/>
    </row>
    <row r="124" spans="1:22" hidden="1" x14ac:dyDescent="0.25">
      <c r="A124" s="483">
        <v>24052025</v>
      </c>
      <c r="B124" t="s">
        <v>608</v>
      </c>
      <c r="C124" s="28" t="s">
        <v>278</v>
      </c>
      <c r="D124" s="359">
        <v>45801</v>
      </c>
      <c r="E124" s="28"/>
      <c r="F124" s="28" t="s">
        <v>236</v>
      </c>
      <c r="G124" t="s">
        <v>6284</v>
      </c>
      <c r="H124" t="s">
        <v>6296</v>
      </c>
      <c r="I124" s="798">
        <v>58231</v>
      </c>
      <c r="J124" s="3">
        <f t="shared" ref="J124:J135" si="5">+I124*0.88</f>
        <v>51243.28</v>
      </c>
      <c r="K124" t="s">
        <v>17</v>
      </c>
      <c r="L124" s="122">
        <v>45891</v>
      </c>
      <c r="M124"/>
      <c r="N124"/>
      <c r="O124"/>
      <c r="P124"/>
      <c r="Q124"/>
      <c r="T124" t="s">
        <v>4297</v>
      </c>
      <c r="U124" s="360">
        <v>0.65486111111111112</v>
      </c>
      <c r="V124" s="360">
        <v>0.94236111111111109</v>
      </c>
    </row>
    <row r="125" spans="1:22" hidden="1" x14ac:dyDescent="0.25">
      <c r="A125" s="483">
        <v>27052025</v>
      </c>
      <c r="B125" t="s">
        <v>608</v>
      </c>
      <c r="C125" s="28" t="s">
        <v>4437</v>
      </c>
      <c r="D125" s="359">
        <v>45804</v>
      </c>
      <c r="E125" s="28"/>
      <c r="F125" s="28" t="s">
        <v>236</v>
      </c>
      <c r="G125" t="s">
        <v>6295</v>
      </c>
      <c r="H125" t="s">
        <v>6316</v>
      </c>
      <c r="I125" s="798">
        <v>58231</v>
      </c>
      <c r="J125" s="3">
        <f t="shared" si="5"/>
        <v>51243.28</v>
      </c>
      <c r="K125" t="s">
        <v>17</v>
      </c>
      <c r="L125" s="122">
        <v>45891</v>
      </c>
      <c r="M125"/>
      <c r="N125"/>
      <c r="O125"/>
      <c r="P125"/>
      <c r="Q125"/>
      <c r="T125" t="s">
        <v>6294</v>
      </c>
      <c r="U125" s="360">
        <v>0.26666666666666666</v>
      </c>
      <c r="V125" s="360"/>
    </row>
    <row r="126" spans="1:22" hidden="1" x14ac:dyDescent="0.25">
      <c r="A126" s="483">
        <v>31052025</v>
      </c>
      <c r="B126" t="s">
        <v>608</v>
      </c>
      <c r="C126" s="28" t="s">
        <v>278</v>
      </c>
      <c r="D126" s="359">
        <v>45808</v>
      </c>
      <c r="E126" s="28"/>
      <c r="F126" s="28" t="s">
        <v>236</v>
      </c>
      <c r="G126" t="s">
        <v>6335</v>
      </c>
      <c r="H126" t="s">
        <v>6336</v>
      </c>
      <c r="I126" s="798">
        <v>49173</v>
      </c>
      <c r="J126" s="88">
        <f>+I126-ROUND(I126*0.12,0)</f>
        <v>43272</v>
      </c>
      <c r="K126" t="s">
        <v>17</v>
      </c>
      <c r="L126" s="122">
        <v>45919</v>
      </c>
      <c r="M126"/>
      <c r="N126"/>
      <c r="O126"/>
      <c r="P126"/>
      <c r="Q126"/>
      <c r="T126" t="s">
        <v>5989</v>
      </c>
      <c r="U126" s="360">
        <v>0.6069444444444444</v>
      </c>
      <c r="V126" s="360">
        <v>0.87777777777777777</v>
      </c>
    </row>
    <row r="127" spans="1:22" hidden="1" x14ac:dyDescent="0.25">
      <c r="A127" s="483" t="s">
        <v>6346</v>
      </c>
      <c r="B127" t="s">
        <v>608</v>
      </c>
      <c r="C127" s="28" t="s">
        <v>278</v>
      </c>
      <c r="D127" s="359">
        <v>45813</v>
      </c>
      <c r="E127" s="28"/>
      <c r="F127" s="28" t="s">
        <v>236</v>
      </c>
      <c r="G127" t="s">
        <v>6383</v>
      </c>
      <c r="H127" t="s">
        <v>6387</v>
      </c>
      <c r="I127" s="798">
        <v>58231</v>
      </c>
      <c r="J127" s="3">
        <f t="shared" si="5"/>
        <v>51243.28</v>
      </c>
      <c r="K127" t="s">
        <v>17</v>
      </c>
      <c r="L127" s="122">
        <v>45891</v>
      </c>
      <c r="M127"/>
      <c r="N127"/>
      <c r="O127"/>
      <c r="P127"/>
      <c r="Q127"/>
      <c r="T127" t="s">
        <v>6150</v>
      </c>
      <c r="U127" s="360">
        <v>0.28750000000000003</v>
      </c>
      <c r="V127" s="360">
        <v>0.59444444444444444</v>
      </c>
    </row>
    <row r="128" spans="1:22" s="21" customFormat="1" hidden="1" x14ac:dyDescent="0.25">
      <c r="A128" s="509" t="s">
        <v>6351</v>
      </c>
      <c r="B128" s="21" t="s">
        <v>608</v>
      </c>
      <c r="C128" s="177" t="s">
        <v>660</v>
      </c>
      <c r="D128" s="359">
        <v>45815</v>
      </c>
      <c r="E128" s="177"/>
      <c r="F128" s="177" t="s">
        <v>236</v>
      </c>
      <c r="G128" s="21" t="s">
        <v>6384</v>
      </c>
      <c r="H128" t="s">
        <v>6388</v>
      </c>
      <c r="I128" s="911">
        <v>58231</v>
      </c>
      <c r="J128" s="3">
        <f t="shared" si="5"/>
        <v>51243.28</v>
      </c>
      <c r="K128" t="s">
        <v>17</v>
      </c>
      <c r="L128" s="122">
        <v>45891</v>
      </c>
      <c r="T128" s="21" t="s">
        <v>6145</v>
      </c>
      <c r="U128" s="488">
        <v>0.29652777777777778</v>
      </c>
      <c r="V128" s="488">
        <v>0.66666666666666663</v>
      </c>
    </row>
    <row r="129" spans="1:22" hidden="1" x14ac:dyDescent="0.25">
      <c r="A129" s="483" t="s">
        <v>6373</v>
      </c>
      <c r="B129" t="s">
        <v>608</v>
      </c>
      <c r="C129" s="28" t="s">
        <v>278</v>
      </c>
      <c r="D129" s="359">
        <v>45820</v>
      </c>
      <c r="E129" s="28"/>
      <c r="F129" s="28" t="s">
        <v>236</v>
      </c>
      <c r="G129" t="s">
        <v>6385</v>
      </c>
      <c r="H129" t="s">
        <v>6389</v>
      </c>
      <c r="I129" s="798">
        <v>49173</v>
      </c>
      <c r="J129" s="88">
        <f t="shared" ref="J129:J130" si="6">+I129-ROUND(I129*0.12,0)</f>
        <v>43272</v>
      </c>
      <c r="K129" t="s">
        <v>17</v>
      </c>
      <c r="L129" s="122">
        <v>45925</v>
      </c>
      <c r="M129"/>
      <c r="N129"/>
      <c r="O129"/>
      <c r="P129"/>
      <c r="Q129"/>
      <c r="T129"/>
      <c r="U129" s="30"/>
      <c r="V129" s="30"/>
    </row>
    <row r="130" spans="1:22" x14ac:dyDescent="0.25">
      <c r="A130" s="483" t="s">
        <v>6382</v>
      </c>
      <c r="B130" t="s">
        <v>608</v>
      </c>
      <c r="C130" s="28" t="s">
        <v>278</v>
      </c>
      <c r="D130" s="359">
        <v>45821</v>
      </c>
      <c r="E130" s="28"/>
      <c r="F130" s="28" t="s">
        <v>236</v>
      </c>
      <c r="G130" t="s">
        <v>6122</v>
      </c>
      <c r="H130" s="1003" t="s">
        <v>6386</v>
      </c>
      <c r="I130" s="798">
        <v>58231</v>
      </c>
      <c r="J130" s="88">
        <f t="shared" si="6"/>
        <v>51243</v>
      </c>
      <c r="K130" s="1003" t="s">
        <v>7844</v>
      </c>
      <c r="L130" s="359"/>
      <c r="M130"/>
      <c r="N130"/>
      <c r="O130"/>
      <c r="P130"/>
      <c r="Q130"/>
      <c r="T130" t="s">
        <v>5393</v>
      </c>
      <c r="U130" s="30"/>
      <c r="V130" s="30"/>
    </row>
    <row r="131" spans="1:22" hidden="1" x14ac:dyDescent="0.25">
      <c r="A131" s="483" t="s">
        <v>6382</v>
      </c>
      <c r="B131" t="s">
        <v>608</v>
      </c>
      <c r="C131" s="28" t="s">
        <v>4437</v>
      </c>
      <c r="D131" s="359">
        <v>45821</v>
      </c>
      <c r="E131" s="28"/>
      <c r="F131" s="28" t="s">
        <v>236</v>
      </c>
      <c r="G131" t="s">
        <v>6392</v>
      </c>
      <c r="H131" t="s">
        <v>6393</v>
      </c>
      <c r="I131" s="798">
        <v>58231</v>
      </c>
      <c r="J131" s="3">
        <f t="shared" si="5"/>
        <v>51243.28</v>
      </c>
      <c r="K131" t="s">
        <v>17</v>
      </c>
      <c r="L131" s="359">
        <v>45891</v>
      </c>
      <c r="M131"/>
      <c r="N131"/>
      <c r="O131"/>
      <c r="P131"/>
      <c r="Q131"/>
      <c r="T131" t="s">
        <v>6347</v>
      </c>
      <c r="U131" s="30"/>
      <c r="V131" s="30"/>
    </row>
    <row r="132" spans="1:22" hidden="1" x14ac:dyDescent="0.25">
      <c r="A132" s="483" t="s">
        <v>6447</v>
      </c>
      <c r="B132" t="s">
        <v>608</v>
      </c>
      <c r="C132" s="28" t="s">
        <v>4437</v>
      </c>
      <c r="D132" s="359">
        <v>45825</v>
      </c>
      <c r="E132" s="28"/>
      <c r="F132" s="28" t="s">
        <v>236</v>
      </c>
      <c r="G132" t="s">
        <v>6473</v>
      </c>
      <c r="H132" t="s">
        <v>6511</v>
      </c>
      <c r="I132" s="798">
        <v>58231</v>
      </c>
      <c r="J132" s="3">
        <f t="shared" si="5"/>
        <v>51243.28</v>
      </c>
      <c r="K132" t="s">
        <v>17</v>
      </c>
      <c r="L132" s="359">
        <v>45880</v>
      </c>
      <c r="M132"/>
      <c r="N132"/>
      <c r="O132"/>
      <c r="P132"/>
      <c r="Q132"/>
      <c r="T132" t="s">
        <v>5131</v>
      </c>
      <c r="U132" s="30"/>
      <c r="V132" s="30"/>
    </row>
    <row r="133" spans="1:22" hidden="1" x14ac:dyDescent="0.25">
      <c r="A133" s="483" t="s">
        <v>6450</v>
      </c>
      <c r="B133" t="s">
        <v>608</v>
      </c>
      <c r="C133" s="28" t="s">
        <v>660</v>
      </c>
      <c r="D133" s="359">
        <v>45826</v>
      </c>
      <c r="E133" s="28"/>
      <c r="F133" s="28" t="s">
        <v>236</v>
      </c>
      <c r="G133" t="s">
        <v>6472</v>
      </c>
      <c r="H133" t="s">
        <v>6512</v>
      </c>
      <c r="I133" s="798">
        <v>49173</v>
      </c>
      <c r="J133" s="3">
        <f t="shared" si="5"/>
        <v>43272.24</v>
      </c>
      <c r="K133" t="s">
        <v>17</v>
      </c>
      <c r="L133" s="359">
        <v>45856</v>
      </c>
      <c r="M133"/>
      <c r="N133"/>
      <c r="O133"/>
      <c r="P133"/>
      <c r="Q133"/>
      <c r="T133" t="s">
        <v>6145</v>
      </c>
      <c r="U133" s="360">
        <v>0.38472222222222219</v>
      </c>
      <c r="V133" s="360">
        <v>0.21388888888888891</v>
      </c>
    </row>
    <row r="134" spans="1:22" x14ac:dyDescent="0.25">
      <c r="A134" s="483">
        <v>21062025</v>
      </c>
      <c r="B134" t="s">
        <v>608</v>
      </c>
      <c r="C134" s="28" t="s">
        <v>4437</v>
      </c>
      <c r="D134" s="359">
        <v>45829</v>
      </c>
      <c r="E134" s="28"/>
      <c r="F134" s="28" t="s">
        <v>236</v>
      </c>
      <c r="G134" t="s">
        <v>6471</v>
      </c>
      <c r="H134" s="1003" t="s">
        <v>6513</v>
      </c>
      <c r="I134" s="798">
        <v>58231</v>
      </c>
      <c r="J134" s="88">
        <f t="shared" ref="J134" si="7">+I134-ROUND(I134*0.12,0)</f>
        <v>51243</v>
      </c>
      <c r="K134" s="1003" t="s">
        <v>7844</v>
      </c>
      <c r="L134" s="359"/>
      <c r="M134"/>
      <c r="N134"/>
      <c r="O134"/>
      <c r="P134"/>
      <c r="Q134"/>
      <c r="T134" t="s">
        <v>6282</v>
      </c>
      <c r="U134" s="360">
        <v>0.41805555555555557</v>
      </c>
      <c r="V134" s="360">
        <v>0.70624999999999993</v>
      </c>
    </row>
    <row r="135" spans="1:22" hidden="1" x14ac:dyDescent="0.25">
      <c r="A135" s="483">
        <v>25062025</v>
      </c>
      <c r="B135" t="s">
        <v>608</v>
      </c>
      <c r="C135" s="28" t="s">
        <v>4437</v>
      </c>
      <c r="D135" s="359">
        <v>45833</v>
      </c>
      <c r="E135" s="28"/>
      <c r="F135" s="28" t="s">
        <v>236</v>
      </c>
      <c r="G135" t="s">
        <v>6492</v>
      </c>
      <c r="H135" t="s">
        <v>6514</v>
      </c>
      <c r="I135" s="798">
        <v>58231</v>
      </c>
      <c r="J135" s="3">
        <f t="shared" si="5"/>
        <v>51243.28</v>
      </c>
      <c r="K135" t="s">
        <v>17</v>
      </c>
      <c r="L135" s="359">
        <v>45880</v>
      </c>
      <c r="M135"/>
      <c r="N135"/>
      <c r="O135"/>
      <c r="P135"/>
      <c r="Q135"/>
      <c r="T135" t="s">
        <v>5021</v>
      </c>
      <c r="U135" s="360">
        <v>0.72222222222222221</v>
      </c>
      <c r="V135" s="360">
        <v>0</v>
      </c>
    </row>
    <row r="136" spans="1:22" hidden="1" x14ac:dyDescent="0.25">
      <c r="A136" s="483" t="s">
        <v>6575</v>
      </c>
      <c r="B136" t="s">
        <v>608</v>
      </c>
      <c r="C136" s="28" t="s">
        <v>660</v>
      </c>
      <c r="D136" s="359">
        <v>45848</v>
      </c>
      <c r="E136" s="28"/>
      <c r="F136" s="28" t="s">
        <v>236</v>
      </c>
      <c r="G136" t="s">
        <v>6579</v>
      </c>
      <c r="H136" t="s">
        <v>6623</v>
      </c>
      <c r="I136" s="798">
        <v>49173</v>
      </c>
      <c r="J136" s="88">
        <f t="shared" ref="J136:J137" si="8">+I136-ROUND(I136*0.12,0)</f>
        <v>43272</v>
      </c>
      <c r="K136" t="s">
        <v>17</v>
      </c>
      <c r="L136" s="359">
        <v>45925</v>
      </c>
      <c r="M136"/>
      <c r="N136"/>
      <c r="O136"/>
      <c r="P136"/>
      <c r="Q136"/>
      <c r="T136" t="s">
        <v>4853</v>
      </c>
      <c r="U136" s="30"/>
      <c r="V136" s="30"/>
    </row>
    <row r="137" spans="1:22" hidden="1" x14ac:dyDescent="0.25">
      <c r="A137" s="483" t="s">
        <v>6583</v>
      </c>
      <c r="B137" t="s">
        <v>608</v>
      </c>
      <c r="C137" s="28" t="s">
        <v>4437</v>
      </c>
      <c r="D137" s="359">
        <v>45852</v>
      </c>
      <c r="E137" s="28"/>
      <c r="F137" s="28" t="s">
        <v>236</v>
      </c>
      <c r="G137" t="s">
        <v>6604</v>
      </c>
      <c r="H137" t="s">
        <v>6619</v>
      </c>
      <c r="I137" s="798">
        <v>58231</v>
      </c>
      <c r="J137" s="88">
        <f t="shared" si="8"/>
        <v>51243</v>
      </c>
      <c r="K137" t="s">
        <v>17</v>
      </c>
      <c r="L137" s="359">
        <v>45897</v>
      </c>
      <c r="M137"/>
      <c r="N137"/>
      <c r="O137"/>
      <c r="P137"/>
      <c r="Q137"/>
      <c r="T137" t="s">
        <v>5004</v>
      </c>
      <c r="U137" s="360">
        <v>0.49236111111111108</v>
      </c>
      <c r="V137" s="360">
        <v>0.2638888888888889</v>
      </c>
    </row>
    <row r="138" spans="1:22" hidden="1" x14ac:dyDescent="0.25">
      <c r="A138" s="483" t="s">
        <v>6587</v>
      </c>
      <c r="B138" t="s">
        <v>608</v>
      </c>
      <c r="C138" s="28" t="s">
        <v>660</v>
      </c>
      <c r="D138" s="359">
        <v>45853</v>
      </c>
      <c r="E138" s="28"/>
      <c r="F138" s="28" t="s">
        <v>236</v>
      </c>
      <c r="G138" t="s">
        <v>6605</v>
      </c>
      <c r="H138" t="s">
        <v>6620</v>
      </c>
      <c r="I138" s="798">
        <v>58231</v>
      </c>
      <c r="J138" s="88">
        <f t="shared" ref="J138:J158" si="9">+I138-ROUND(I138*0.12,0)</f>
        <v>51243</v>
      </c>
      <c r="K138" t="s">
        <v>17</v>
      </c>
      <c r="L138" s="359">
        <v>45897</v>
      </c>
      <c r="M138"/>
      <c r="N138"/>
      <c r="O138"/>
      <c r="P138"/>
      <c r="Q138"/>
      <c r="T138" t="s">
        <v>6349</v>
      </c>
      <c r="U138" s="360">
        <v>0.31180555555555556</v>
      </c>
      <c r="V138" s="360"/>
    </row>
    <row r="139" spans="1:22" hidden="1" x14ac:dyDescent="0.25">
      <c r="A139" s="483" t="s">
        <v>6587</v>
      </c>
      <c r="B139" t="s">
        <v>608</v>
      </c>
      <c r="C139" s="28" t="s">
        <v>4437</v>
      </c>
      <c r="D139" s="359">
        <v>45853</v>
      </c>
      <c r="E139" s="28"/>
      <c r="F139" s="28" t="s">
        <v>236</v>
      </c>
      <c r="G139" t="s">
        <v>6618</v>
      </c>
      <c r="H139" t="s">
        <v>6621</v>
      </c>
      <c r="I139" s="798">
        <v>58231</v>
      </c>
      <c r="J139" s="88">
        <f t="shared" si="9"/>
        <v>51243</v>
      </c>
      <c r="K139" t="s">
        <v>17</v>
      </c>
      <c r="L139" s="359">
        <v>45908</v>
      </c>
      <c r="M139"/>
      <c r="N139"/>
      <c r="O139"/>
      <c r="P139"/>
      <c r="Q139"/>
      <c r="T139" t="s">
        <v>5026</v>
      </c>
      <c r="U139" s="360">
        <v>0.65138888888888891</v>
      </c>
      <c r="V139" s="360">
        <v>0.93611111111111101</v>
      </c>
    </row>
    <row r="140" spans="1:22" hidden="1" x14ac:dyDescent="0.25">
      <c r="A140" s="483" t="s">
        <v>6595</v>
      </c>
      <c r="B140" t="s">
        <v>608</v>
      </c>
      <c r="C140" s="28" t="s">
        <v>660</v>
      </c>
      <c r="D140" s="359">
        <v>45854</v>
      </c>
      <c r="E140" s="28"/>
      <c r="F140" s="28" t="s">
        <v>236</v>
      </c>
      <c r="G140" t="s">
        <v>6617</v>
      </c>
      <c r="H140" t="s">
        <v>6622</v>
      </c>
      <c r="I140" s="798">
        <v>49173</v>
      </c>
      <c r="J140" s="88">
        <f t="shared" si="9"/>
        <v>43272</v>
      </c>
      <c r="K140" t="s">
        <v>17</v>
      </c>
      <c r="L140" s="359">
        <v>45933</v>
      </c>
      <c r="M140"/>
      <c r="N140"/>
      <c r="O140"/>
      <c r="P140"/>
      <c r="Q140"/>
      <c r="T140" t="s">
        <v>4297</v>
      </c>
      <c r="U140" s="360">
        <v>0.29652777777777778</v>
      </c>
      <c r="V140" s="360"/>
    </row>
    <row r="141" spans="1:22" hidden="1" x14ac:dyDescent="0.25">
      <c r="A141" s="483">
        <v>22072025</v>
      </c>
      <c r="B141" t="s">
        <v>608</v>
      </c>
      <c r="C141" s="28" t="s">
        <v>660</v>
      </c>
      <c r="D141" s="359">
        <v>45860</v>
      </c>
      <c r="E141" s="28"/>
      <c r="F141" s="28" t="s">
        <v>236</v>
      </c>
      <c r="G141" t="s">
        <v>6747</v>
      </c>
      <c r="H141" t="s">
        <v>6754</v>
      </c>
      <c r="I141" s="798">
        <v>58231</v>
      </c>
      <c r="J141" s="88">
        <f t="shared" si="9"/>
        <v>51243</v>
      </c>
      <c r="K141" t="s">
        <v>17</v>
      </c>
      <c r="L141" s="359">
        <v>45897</v>
      </c>
      <c r="M141" s="32"/>
      <c r="N141"/>
      <c r="O141"/>
      <c r="P141"/>
      <c r="Q141"/>
      <c r="T141"/>
      <c r="U141" s="360"/>
      <c r="V141" s="360"/>
    </row>
    <row r="142" spans="1:22" hidden="1" x14ac:dyDescent="0.25">
      <c r="A142" s="483">
        <v>25072025</v>
      </c>
      <c r="B142" t="s">
        <v>608</v>
      </c>
      <c r="C142" s="28" t="s">
        <v>4437</v>
      </c>
      <c r="D142" s="359">
        <v>45863</v>
      </c>
      <c r="E142" s="28"/>
      <c r="F142" s="28" t="s">
        <v>236</v>
      </c>
      <c r="G142" t="s">
        <v>6748</v>
      </c>
      <c r="H142" t="s">
        <v>6758</v>
      </c>
      <c r="I142" s="798">
        <v>49173</v>
      </c>
      <c r="J142" s="88">
        <f t="shared" si="9"/>
        <v>43272</v>
      </c>
      <c r="K142" t="s">
        <v>17</v>
      </c>
      <c r="L142" s="359">
        <v>45925</v>
      </c>
      <c r="M142" s="32"/>
      <c r="N142"/>
      <c r="O142"/>
      <c r="P142"/>
      <c r="Q142"/>
      <c r="T142"/>
      <c r="U142" s="360"/>
      <c r="V142" s="360"/>
    </row>
    <row r="143" spans="1:22" hidden="1" x14ac:dyDescent="0.25">
      <c r="A143" s="483">
        <v>26072025</v>
      </c>
      <c r="B143" t="s">
        <v>608</v>
      </c>
      <c r="C143" s="28" t="s">
        <v>4218</v>
      </c>
      <c r="D143" s="359">
        <v>45864</v>
      </c>
      <c r="E143" s="28"/>
      <c r="F143" s="28" t="s">
        <v>236</v>
      </c>
      <c r="G143" s="1067" t="s">
        <v>6749</v>
      </c>
      <c r="H143" t="s">
        <v>6753</v>
      </c>
      <c r="I143" s="798">
        <v>58231</v>
      </c>
      <c r="J143" s="32">
        <f t="shared" si="9"/>
        <v>51243</v>
      </c>
      <c r="K143" t="s">
        <v>17</v>
      </c>
      <c r="L143" s="359">
        <v>45908</v>
      </c>
      <c r="M143" s="32"/>
      <c r="N143"/>
      <c r="O143"/>
      <c r="P143"/>
      <c r="Q143"/>
      <c r="T143" t="s">
        <v>4297</v>
      </c>
      <c r="U143" s="360">
        <v>0.28680555555555554</v>
      </c>
      <c r="V143" s="360">
        <v>0.56805555555555554</v>
      </c>
    </row>
    <row r="144" spans="1:22" hidden="1" x14ac:dyDescent="0.25">
      <c r="A144" s="483">
        <v>27072025</v>
      </c>
      <c r="B144" t="s">
        <v>608</v>
      </c>
      <c r="C144" s="28" t="s">
        <v>4218</v>
      </c>
      <c r="D144" s="359">
        <v>45865</v>
      </c>
      <c r="E144" s="28"/>
      <c r="F144" s="28" t="s">
        <v>236</v>
      </c>
      <c r="G144" s="1067" t="s">
        <v>6750</v>
      </c>
      <c r="H144" t="s">
        <v>6755</v>
      </c>
      <c r="I144" s="798">
        <v>49173</v>
      </c>
      <c r="J144" s="88">
        <f t="shared" si="9"/>
        <v>43272</v>
      </c>
      <c r="K144" t="s">
        <v>17</v>
      </c>
      <c r="L144" s="359">
        <v>45953</v>
      </c>
      <c r="M144" s="32"/>
      <c r="N144"/>
      <c r="O144"/>
      <c r="P144"/>
      <c r="Q144"/>
      <c r="T144" t="s">
        <v>6686</v>
      </c>
      <c r="U144" s="360">
        <v>0.3923611111111111</v>
      </c>
      <c r="V144" s="360">
        <v>0.65763888888888888</v>
      </c>
    </row>
    <row r="145" spans="1:22" hidden="1" x14ac:dyDescent="0.25">
      <c r="A145" s="483">
        <v>30072025</v>
      </c>
      <c r="B145" t="s">
        <v>608</v>
      </c>
      <c r="C145" s="28" t="s">
        <v>13</v>
      </c>
      <c r="D145" s="359">
        <v>45868</v>
      </c>
      <c r="E145" s="28"/>
      <c r="F145" s="28" t="s">
        <v>236</v>
      </c>
      <c r="G145" s="1067" t="s">
        <v>6751</v>
      </c>
      <c r="H145" s="1003" t="s">
        <v>6756</v>
      </c>
      <c r="I145" s="798">
        <v>58231</v>
      </c>
      <c r="J145" s="88">
        <f t="shared" si="9"/>
        <v>51243</v>
      </c>
      <c r="K145" t="s">
        <v>17</v>
      </c>
      <c r="L145" s="359">
        <v>45916</v>
      </c>
      <c r="M145" s="32"/>
      <c r="N145"/>
      <c r="O145"/>
      <c r="P145"/>
      <c r="Q145"/>
      <c r="T145" t="s">
        <v>6687</v>
      </c>
      <c r="U145" s="360"/>
      <c r="V145" s="360"/>
    </row>
    <row r="146" spans="1:22" hidden="1" x14ac:dyDescent="0.25">
      <c r="A146" s="483" t="s">
        <v>6707</v>
      </c>
      <c r="B146" t="s">
        <v>608</v>
      </c>
      <c r="C146" s="28" t="s">
        <v>4218</v>
      </c>
      <c r="D146" s="359">
        <v>45873</v>
      </c>
      <c r="E146" s="28"/>
      <c r="F146" s="28" t="s">
        <v>236</v>
      </c>
      <c r="G146" s="1067" t="s">
        <v>6752</v>
      </c>
      <c r="H146" s="1003" t="s">
        <v>6757</v>
      </c>
      <c r="I146" s="313">
        <v>58231</v>
      </c>
      <c r="J146" s="88">
        <f t="shared" si="9"/>
        <v>51243</v>
      </c>
      <c r="K146" t="s">
        <v>17</v>
      </c>
      <c r="L146" s="359">
        <v>45915</v>
      </c>
      <c r="M146" s="32"/>
      <c r="N146"/>
      <c r="O146"/>
      <c r="P146"/>
      <c r="Q146"/>
      <c r="T146" t="s">
        <v>4140</v>
      </c>
      <c r="U146" s="360">
        <v>0.73819444444444438</v>
      </c>
      <c r="V146" s="360">
        <v>3.5416666666666666E-2</v>
      </c>
    </row>
    <row r="147" spans="1:22" hidden="1" x14ac:dyDescent="0.25">
      <c r="A147" s="483" t="s">
        <v>6766</v>
      </c>
      <c r="B147" t="s">
        <v>608</v>
      </c>
      <c r="C147" s="28" t="s">
        <v>410</v>
      </c>
      <c r="D147" s="359">
        <v>45879</v>
      </c>
      <c r="E147" s="28"/>
      <c r="F147" s="28" t="s">
        <v>236</v>
      </c>
      <c r="G147" s="1067" t="s">
        <v>6774</v>
      </c>
      <c r="H147" s="1138" t="s">
        <v>6775</v>
      </c>
      <c r="I147" s="313">
        <v>58231</v>
      </c>
      <c r="J147" s="88">
        <f t="shared" si="9"/>
        <v>51243</v>
      </c>
      <c r="K147" t="s">
        <v>17</v>
      </c>
      <c r="L147" s="359">
        <v>45915</v>
      </c>
      <c r="M147" s="32"/>
      <c r="N147"/>
      <c r="O147"/>
      <c r="P147"/>
      <c r="Q147"/>
      <c r="T147" t="s">
        <v>5393</v>
      </c>
      <c r="U147" s="360">
        <v>0.56388888888888888</v>
      </c>
      <c r="V147" s="360">
        <v>0.8256944444444444</v>
      </c>
    </row>
    <row r="148" spans="1:22" hidden="1" x14ac:dyDescent="0.25">
      <c r="A148" s="483" t="s">
        <v>6786</v>
      </c>
      <c r="B148" t="s">
        <v>608</v>
      </c>
      <c r="C148" s="28" t="s">
        <v>13</v>
      </c>
      <c r="D148" s="359">
        <v>45882</v>
      </c>
      <c r="E148" s="28"/>
      <c r="F148" s="28" t="s">
        <v>236</v>
      </c>
      <c r="G148" s="1067" t="s">
        <v>6828</v>
      </c>
      <c r="H148" t="s">
        <v>6829</v>
      </c>
      <c r="I148" s="313">
        <v>49173</v>
      </c>
      <c r="J148" s="88">
        <f t="shared" si="9"/>
        <v>43272</v>
      </c>
      <c r="K148" t="s">
        <v>17</v>
      </c>
      <c r="L148" s="359">
        <v>45925</v>
      </c>
      <c r="M148" s="32"/>
      <c r="N148"/>
      <c r="O148"/>
      <c r="P148"/>
      <c r="Q148"/>
      <c r="T148" t="s">
        <v>4138</v>
      </c>
      <c r="U148" s="360"/>
      <c r="V148" s="360"/>
    </row>
    <row r="149" spans="1:22" s="1177" customFormat="1" hidden="1" x14ac:dyDescent="0.25">
      <c r="A149" s="1176">
        <v>21082025</v>
      </c>
      <c r="B149" s="1177" t="s">
        <v>608</v>
      </c>
      <c r="C149" s="1178" t="s">
        <v>13</v>
      </c>
      <c r="D149" s="1179">
        <v>45890</v>
      </c>
      <c r="E149" s="1178"/>
      <c r="F149" s="1178" t="s">
        <v>236</v>
      </c>
      <c r="G149" s="1180" t="s">
        <v>6835</v>
      </c>
      <c r="H149" s="1177" t="s">
        <v>6862</v>
      </c>
      <c r="I149" s="1184">
        <v>58231</v>
      </c>
      <c r="J149" s="1182">
        <f t="shared" si="9"/>
        <v>51243</v>
      </c>
      <c r="K149" s="1177" t="s">
        <v>17</v>
      </c>
      <c r="L149" s="359">
        <v>45981</v>
      </c>
      <c r="M149" s="1182"/>
      <c r="U149" s="1183"/>
      <c r="V149" s="1183"/>
    </row>
    <row r="150" spans="1:22" s="1150" customFormat="1" hidden="1" x14ac:dyDescent="0.25">
      <c r="A150" s="1149">
        <v>22082025</v>
      </c>
      <c r="B150" s="1150" t="s">
        <v>608</v>
      </c>
      <c r="C150" s="1151" t="s">
        <v>410</v>
      </c>
      <c r="D150" s="1159">
        <v>45891</v>
      </c>
      <c r="E150" s="1151"/>
      <c r="F150" s="1151" t="s">
        <v>236</v>
      </c>
      <c r="G150" s="1162" t="s">
        <v>6843</v>
      </c>
      <c r="H150" s="1150" t="s">
        <v>6867</v>
      </c>
      <c r="I150" s="1153">
        <v>58231</v>
      </c>
      <c r="J150" s="1161">
        <f t="shared" si="9"/>
        <v>51243</v>
      </c>
      <c r="K150" s="1150" t="s">
        <v>17</v>
      </c>
      <c r="L150" s="359">
        <v>45931</v>
      </c>
      <c r="M150" s="1161"/>
      <c r="T150" s="1150" t="s">
        <v>6503</v>
      </c>
      <c r="U150" s="1154">
        <v>0.85069444444444453</v>
      </c>
      <c r="V150" s="1154">
        <v>0.14444444444444446</v>
      </c>
    </row>
    <row r="151" spans="1:22" hidden="1" x14ac:dyDescent="0.25">
      <c r="A151" s="483">
        <v>23082025</v>
      </c>
      <c r="B151" t="s">
        <v>608</v>
      </c>
      <c r="C151" s="28" t="s">
        <v>13</v>
      </c>
      <c r="D151" s="359">
        <v>45892</v>
      </c>
      <c r="E151" s="28"/>
      <c r="F151" s="28" t="s">
        <v>236</v>
      </c>
      <c r="G151" s="1067" t="s">
        <v>6844</v>
      </c>
      <c r="H151" t="s">
        <v>6868</v>
      </c>
      <c r="I151" s="798">
        <v>58231</v>
      </c>
      <c r="J151" s="88">
        <f t="shared" si="9"/>
        <v>51243</v>
      </c>
      <c r="K151" t="s">
        <v>17</v>
      </c>
      <c r="L151" s="359">
        <v>45986</v>
      </c>
      <c r="M151" s="88"/>
      <c r="N151"/>
      <c r="O151"/>
      <c r="P151"/>
      <c r="Q151"/>
      <c r="T151" t="s">
        <v>5026</v>
      </c>
      <c r="U151" s="360">
        <v>0.28125</v>
      </c>
      <c r="V151" s="360">
        <v>0.54999999999999993</v>
      </c>
    </row>
    <row r="152" spans="1:22" hidden="1" x14ac:dyDescent="0.25">
      <c r="A152" s="483">
        <v>27082025</v>
      </c>
      <c r="B152" t="s">
        <v>608</v>
      </c>
      <c r="C152" s="28" t="s">
        <v>410</v>
      </c>
      <c r="D152" s="359">
        <v>45896</v>
      </c>
      <c r="E152" s="28"/>
      <c r="F152" s="28" t="s">
        <v>236</v>
      </c>
      <c r="G152" s="1067" t="s">
        <v>6865</v>
      </c>
      <c r="H152" s="1003" t="s">
        <v>6869</v>
      </c>
      <c r="I152" s="313">
        <v>58231</v>
      </c>
      <c r="J152" s="88">
        <f t="shared" si="9"/>
        <v>51243</v>
      </c>
      <c r="K152" t="s">
        <v>17</v>
      </c>
      <c r="L152" s="359">
        <v>45916</v>
      </c>
      <c r="M152" s="32"/>
      <c r="N152"/>
      <c r="O152"/>
      <c r="P152"/>
      <c r="Q152"/>
      <c r="T152" t="s">
        <v>4853</v>
      </c>
      <c r="U152" s="360">
        <v>0.35000000000000003</v>
      </c>
      <c r="V152" s="360"/>
    </row>
    <row r="153" spans="1:22" s="33" customFormat="1" hidden="1" x14ac:dyDescent="0.25">
      <c r="A153" s="547" t="s">
        <v>6873</v>
      </c>
      <c r="B153" s="33" t="s">
        <v>608</v>
      </c>
      <c r="C153" s="306" t="s">
        <v>4218</v>
      </c>
      <c r="D153" s="1158">
        <v>45902</v>
      </c>
      <c r="E153" s="306"/>
      <c r="F153" s="306" t="s">
        <v>236</v>
      </c>
      <c r="G153" s="1109" t="s">
        <v>1534</v>
      </c>
      <c r="H153" s="33" t="s">
        <v>6893</v>
      </c>
      <c r="I153" s="312">
        <v>58231</v>
      </c>
      <c r="J153" s="279">
        <f t="shared" si="9"/>
        <v>51243</v>
      </c>
      <c r="K153" s="33" t="s">
        <v>17</v>
      </c>
      <c r="L153" s="359">
        <v>45965</v>
      </c>
      <c r="M153" s="279"/>
      <c r="T153" s="33" t="s">
        <v>6874</v>
      </c>
      <c r="U153" s="550">
        <v>0.83472222222222225</v>
      </c>
      <c r="V153" s="550">
        <v>0.10555555555555556</v>
      </c>
    </row>
    <row r="154" spans="1:22" s="1177" customFormat="1" hidden="1" x14ac:dyDescent="0.25">
      <c r="A154" s="1176" t="s">
        <v>6886</v>
      </c>
      <c r="B154" s="1177" t="s">
        <v>608</v>
      </c>
      <c r="C154" s="1178" t="s">
        <v>4218</v>
      </c>
      <c r="D154" s="1179">
        <v>45906</v>
      </c>
      <c r="E154" s="1178"/>
      <c r="F154" s="1178" t="s">
        <v>236</v>
      </c>
      <c r="G154" s="1180" t="s">
        <v>6892</v>
      </c>
      <c r="H154" s="1177" t="s">
        <v>6894</v>
      </c>
      <c r="I154" s="1181">
        <v>58231</v>
      </c>
      <c r="J154" s="1182">
        <f t="shared" si="9"/>
        <v>51243</v>
      </c>
      <c r="K154" s="1177" t="s">
        <v>17</v>
      </c>
      <c r="L154" s="359">
        <v>45981</v>
      </c>
      <c r="M154" s="1182"/>
      <c r="T154" s="1177" t="s">
        <v>4345</v>
      </c>
      <c r="U154" s="1183">
        <v>0.60902777777777783</v>
      </c>
      <c r="V154" s="1183">
        <v>0.87083333333333324</v>
      </c>
    </row>
    <row r="155" spans="1:22" hidden="1" x14ac:dyDescent="0.25">
      <c r="A155" s="483" t="s">
        <v>6891</v>
      </c>
      <c r="B155" t="s">
        <v>608</v>
      </c>
      <c r="C155" s="28" t="s">
        <v>13</v>
      </c>
      <c r="D155" s="359">
        <v>45909</v>
      </c>
      <c r="E155" s="28"/>
      <c r="F155" s="28" t="s">
        <v>236</v>
      </c>
      <c r="G155" s="1067" t="s">
        <v>6912</v>
      </c>
      <c r="H155" t="s">
        <v>6957</v>
      </c>
      <c r="I155" s="313">
        <v>58231</v>
      </c>
      <c r="J155" s="88">
        <f t="shared" si="9"/>
        <v>51243</v>
      </c>
      <c r="K155" t="s">
        <v>17</v>
      </c>
      <c r="L155" s="359">
        <v>45986</v>
      </c>
      <c r="M155" s="88"/>
      <c r="N155"/>
      <c r="O155"/>
      <c r="P155"/>
      <c r="Q155"/>
      <c r="T155" t="s">
        <v>4853</v>
      </c>
      <c r="U155" s="360">
        <v>0.71180555555555547</v>
      </c>
      <c r="V155" s="360">
        <v>0.99444444444444446</v>
      </c>
    </row>
    <row r="156" spans="1:22" hidden="1" x14ac:dyDescent="0.25">
      <c r="A156" s="483" t="s">
        <v>6903</v>
      </c>
      <c r="B156" t="s">
        <v>608</v>
      </c>
      <c r="C156" s="28" t="s">
        <v>4218</v>
      </c>
      <c r="D156" s="359">
        <v>45911</v>
      </c>
      <c r="E156" s="28"/>
      <c r="F156" s="28" t="s">
        <v>236</v>
      </c>
      <c r="G156" s="1067" t="s">
        <v>4693</v>
      </c>
      <c r="H156" t="s">
        <v>6958</v>
      </c>
      <c r="I156" s="313">
        <v>58231</v>
      </c>
      <c r="J156" s="88">
        <f t="shared" si="9"/>
        <v>51243</v>
      </c>
      <c r="K156" t="s">
        <v>17</v>
      </c>
      <c r="L156" s="359">
        <v>45986</v>
      </c>
      <c r="M156" s="88"/>
      <c r="N156"/>
      <c r="O156"/>
      <c r="P156"/>
      <c r="Q156"/>
      <c r="T156" t="s">
        <v>6898</v>
      </c>
      <c r="U156" s="360"/>
      <c r="V156" s="360"/>
    </row>
    <row r="157" spans="1:22" hidden="1" x14ac:dyDescent="0.25">
      <c r="A157" s="483" t="s">
        <v>6909</v>
      </c>
      <c r="B157" t="s">
        <v>608</v>
      </c>
      <c r="C157" s="28" t="s">
        <v>410</v>
      </c>
      <c r="D157" s="359">
        <v>45915</v>
      </c>
      <c r="E157" s="28"/>
      <c r="F157" s="28" t="s">
        <v>236</v>
      </c>
      <c r="G157" s="1067" t="s">
        <v>6913</v>
      </c>
      <c r="H157" t="s">
        <v>6959</v>
      </c>
      <c r="I157" s="313">
        <v>58231</v>
      </c>
      <c r="J157" s="88">
        <f t="shared" si="9"/>
        <v>51243</v>
      </c>
      <c r="K157" t="s">
        <v>17</v>
      </c>
      <c r="L157" s="359">
        <v>45986</v>
      </c>
      <c r="M157" s="88"/>
      <c r="N157"/>
      <c r="O157"/>
      <c r="P157"/>
      <c r="Q157"/>
      <c r="T157" t="s">
        <v>6349</v>
      </c>
      <c r="U157" s="360"/>
      <c r="V157" s="360"/>
    </row>
    <row r="158" spans="1:22" x14ac:dyDescent="0.25">
      <c r="A158" s="483" t="s">
        <v>6951</v>
      </c>
      <c r="B158" t="s">
        <v>608</v>
      </c>
      <c r="C158" s="28" t="s">
        <v>4218</v>
      </c>
      <c r="D158" s="359">
        <v>45917</v>
      </c>
      <c r="E158" s="28"/>
      <c r="F158" s="28" t="s">
        <v>236</v>
      </c>
      <c r="G158" s="1067" t="s">
        <v>6960</v>
      </c>
      <c r="H158" s="1003" t="s">
        <v>6961</v>
      </c>
      <c r="I158" s="313">
        <v>58231</v>
      </c>
      <c r="J158" s="88">
        <f t="shared" si="9"/>
        <v>51243</v>
      </c>
      <c r="K158" s="1003" t="s">
        <v>7844</v>
      </c>
      <c r="L158" s="359"/>
      <c r="M158" s="88"/>
      <c r="N158"/>
      <c r="O158"/>
      <c r="P158"/>
      <c r="Q158"/>
      <c r="T158" t="s">
        <v>6952</v>
      </c>
      <c r="U158" s="360">
        <v>0.27986111111111112</v>
      </c>
      <c r="V158" s="360">
        <v>0.56111111111111112</v>
      </c>
    </row>
    <row r="159" spans="1:22" hidden="1" x14ac:dyDescent="0.25">
      <c r="A159" s="483">
        <v>20092025</v>
      </c>
      <c r="B159" t="s">
        <v>608</v>
      </c>
      <c r="C159" s="28" t="s">
        <v>13</v>
      </c>
      <c r="D159" s="359">
        <v>45920</v>
      </c>
      <c r="E159" s="28"/>
      <c r="F159" s="28" t="s">
        <v>6982</v>
      </c>
      <c r="G159" s="1067" t="s">
        <v>6384</v>
      </c>
      <c r="H159" t="s">
        <v>7044</v>
      </c>
      <c r="I159" s="88">
        <v>58231</v>
      </c>
      <c r="J159" s="32">
        <f t="shared" ref="J159:J188" si="10">+I159-ROUND(I159*0.12,0)</f>
        <v>51243</v>
      </c>
      <c r="K159" t="s">
        <v>17</v>
      </c>
      <c r="L159" s="359">
        <v>46017</v>
      </c>
      <c r="M159"/>
      <c r="N159"/>
      <c r="O159"/>
      <c r="P159"/>
      <c r="Q159"/>
      <c r="T159" t="s">
        <v>6067</v>
      </c>
      <c r="U159" s="360">
        <v>0.67361111111111116</v>
      </c>
      <c r="V159" s="360">
        <v>0.94791666666666663</v>
      </c>
    </row>
    <row r="160" spans="1:22" x14ac:dyDescent="0.25">
      <c r="A160" s="483">
        <v>21092025</v>
      </c>
      <c r="B160" t="s">
        <v>608</v>
      </c>
      <c r="C160" s="28" t="s">
        <v>13</v>
      </c>
      <c r="D160" s="359">
        <v>45921</v>
      </c>
      <c r="F160" s="28" t="s">
        <v>236</v>
      </c>
      <c r="G160" s="1067" t="s">
        <v>7034</v>
      </c>
      <c r="H160" t="s">
        <v>8287</v>
      </c>
      <c r="I160" s="935">
        <v>58231</v>
      </c>
      <c r="J160" s="88">
        <f t="shared" si="10"/>
        <v>51243</v>
      </c>
      <c r="K160" t="s">
        <v>7843</v>
      </c>
      <c r="L160"/>
      <c r="M160" s="88"/>
      <c r="N160"/>
      <c r="O160"/>
      <c r="P160"/>
      <c r="Q160"/>
      <c r="T160" t="s">
        <v>6952</v>
      </c>
      <c r="U160" s="360">
        <v>0.66249999999999998</v>
      </c>
      <c r="V160" s="360">
        <v>0.94305555555555554</v>
      </c>
    </row>
    <row r="161" spans="1:22" s="379" customFormat="1" hidden="1" x14ac:dyDescent="0.25">
      <c r="A161" s="765" t="s">
        <v>7059</v>
      </c>
      <c r="B161" s="379" t="s">
        <v>608</v>
      </c>
      <c r="C161" s="381" t="s">
        <v>13</v>
      </c>
      <c r="D161" s="1190">
        <v>45933</v>
      </c>
      <c r="E161" s="381"/>
      <c r="F161" s="381" t="s">
        <v>236</v>
      </c>
      <c r="G161" s="1191" t="s">
        <v>7073</v>
      </c>
      <c r="H161" s="379" t="s">
        <v>7075</v>
      </c>
      <c r="I161" s="382">
        <v>58231</v>
      </c>
      <c r="J161" s="383">
        <f t="shared" si="10"/>
        <v>51243</v>
      </c>
      <c r="K161" s="379" t="s">
        <v>17</v>
      </c>
      <c r="L161" s="2">
        <v>45987</v>
      </c>
      <c r="M161" s="383"/>
      <c r="N161"/>
      <c r="O161"/>
      <c r="T161" s="379" t="s">
        <v>6150</v>
      </c>
      <c r="U161" s="767">
        <v>0.27291666666666664</v>
      </c>
      <c r="V161" s="767"/>
    </row>
    <row r="162" spans="1:22" s="379" customFormat="1" hidden="1" x14ac:dyDescent="0.25">
      <c r="A162" s="765" t="s">
        <v>7062</v>
      </c>
      <c r="B162" s="379" t="s">
        <v>608</v>
      </c>
      <c r="C162" s="381" t="s">
        <v>4218</v>
      </c>
      <c r="D162" s="1190">
        <v>45934</v>
      </c>
      <c r="E162" s="381"/>
      <c r="F162" s="381" t="s">
        <v>236</v>
      </c>
      <c r="G162" s="1191" t="s">
        <v>7074</v>
      </c>
      <c r="H162" s="379" t="s">
        <v>7076</v>
      </c>
      <c r="I162" s="382">
        <v>58231</v>
      </c>
      <c r="J162" s="383">
        <f t="shared" si="10"/>
        <v>51243</v>
      </c>
      <c r="K162" s="379" t="s">
        <v>17</v>
      </c>
      <c r="L162" s="2">
        <v>45987</v>
      </c>
      <c r="M162" s="383"/>
      <c r="N162"/>
      <c r="O162"/>
      <c r="T162" s="379" t="s">
        <v>6150</v>
      </c>
      <c r="U162" s="767">
        <v>0.74722222222222223</v>
      </c>
      <c r="V162" s="767">
        <v>1.1111111111111112E-2</v>
      </c>
    </row>
    <row r="163" spans="1:22" hidden="1" x14ac:dyDescent="0.25">
      <c r="A163" s="483">
        <v>14102025</v>
      </c>
      <c r="B163" t="s">
        <v>608</v>
      </c>
      <c r="C163" s="28" t="s">
        <v>4218</v>
      </c>
      <c r="D163" s="359">
        <v>45944</v>
      </c>
      <c r="E163" s="28"/>
      <c r="F163" s="28" t="s">
        <v>236</v>
      </c>
      <c r="G163" s="1067" t="s">
        <v>7117</v>
      </c>
      <c r="H163" t="s">
        <v>7118</v>
      </c>
      <c r="I163" s="313">
        <v>58231</v>
      </c>
      <c r="J163" s="88">
        <f t="shared" si="10"/>
        <v>51243</v>
      </c>
      <c r="K163" t="s">
        <v>17</v>
      </c>
      <c r="L163" s="359">
        <v>45988</v>
      </c>
      <c r="M163" s="88"/>
      <c r="N163"/>
      <c r="O163"/>
      <c r="P163"/>
      <c r="Q163"/>
      <c r="T163" t="s">
        <v>4138</v>
      </c>
      <c r="U163" s="360">
        <v>0.92083333333333339</v>
      </c>
      <c r="V163" s="360">
        <v>0.1875</v>
      </c>
    </row>
    <row r="164" spans="1:22" hidden="1" x14ac:dyDescent="0.25">
      <c r="A164" s="483">
        <v>18102025</v>
      </c>
      <c r="B164" t="s">
        <v>608</v>
      </c>
      <c r="C164" s="28" t="s">
        <v>410</v>
      </c>
      <c r="D164" s="359">
        <v>45948</v>
      </c>
      <c r="E164" s="28"/>
      <c r="F164" s="28" t="s">
        <v>236</v>
      </c>
      <c r="G164" s="1108" t="s">
        <v>7133</v>
      </c>
      <c r="H164" t="s">
        <v>7135</v>
      </c>
      <c r="I164" s="313">
        <v>58231</v>
      </c>
      <c r="J164" s="88">
        <f t="shared" si="10"/>
        <v>51243</v>
      </c>
      <c r="K164" t="s">
        <v>17</v>
      </c>
      <c r="L164" s="359">
        <v>45988</v>
      </c>
      <c r="M164" s="88"/>
      <c r="N164"/>
      <c r="O164"/>
      <c r="P164"/>
      <c r="Q164"/>
      <c r="T164" t="s">
        <v>5131</v>
      </c>
      <c r="U164" s="360">
        <v>0.85763888888888884</v>
      </c>
      <c r="V164" s="360">
        <v>0.11944444444444445</v>
      </c>
    </row>
    <row r="165" spans="1:22" hidden="1" x14ac:dyDescent="0.25">
      <c r="A165" s="483">
        <v>21102025</v>
      </c>
      <c r="B165" t="s">
        <v>608</v>
      </c>
      <c r="C165" s="28" t="s">
        <v>13</v>
      </c>
      <c r="D165" s="359">
        <v>45951</v>
      </c>
      <c r="E165" s="28"/>
      <c r="F165" s="28" t="s">
        <v>236</v>
      </c>
      <c r="G165" s="1067" t="s">
        <v>7134</v>
      </c>
      <c r="H165" t="s">
        <v>7136</v>
      </c>
      <c r="I165" s="313">
        <v>58231</v>
      </c>
      <c r="J165" s="88">
        <f t="shared" si="10"/>
        <v>51243</v>
      </c>
      <c r="K165" s="1150" t="s">
        <v>17</v>
      </c>
      <c r="L165" s="1227">
        <v>46010</v>
      </c>
      <c r="M165" s="88"/>
      <c r="N165"/>
      <c r="O165"/>
      <c r="P165"/>
      <c r="Q165"/>
      <c r="T165" t="s">
        <v>7122</v>
      </c>
      <c r="U165" s="360">
        <v>0.71458333333333324</v>
      </c>
      <c r="V165" s="360">
        <v>0.98611111111111116</v>
      </c>
    </row>
    <row r="166" spans="1:22" hidden="1" x14ac:dyDescent="0.25">
      <c r="A166" s="483">
        <v>30102025</v>
      </c>
      <c r="B166" t="s">
        <v>608</v>
      </c>
      <c r="C166" s="28" t="s">
        <v>13</v>
      </c>
      <c r="D166" s="359">
        <v>45960</v>
      </c>
      <c r="E166" s="28"/>
      <c r="F166" s="28" t="s">
        <v>236</v>
      </c>
      <c r="G166" s="1067" t="s">
        <v>7213</v>
      </c>
      <c r="H166" t="s">
        <v>7230</v>
      </c>
      <c r="I166" s="313">
        <v>58231</v>
      </c>
      <c r="J166" s="88">
        <f t="shared" si="10"/>
        <v>51243</v>
      </c>
      <c r="K166" t="s">
        <v>17</v>
      </c>
      <c r="L166" s="359">
        <v>46017</v>
      </c>
      <c r="M166" s="88"/>
      <c r="N166"/>
      <c r="O166"/>
      <c r="P166"/>
      <c r="Q166"/>
      <c r="T166" t="s">
        <v>4297</v>
      </c>
      <c r="U166" s="360">
        <v>0.34722222222222227</v>
      </c>
      <c r="V166" s="360"/>
    </row>
    <row r="167" spans="1:22" hidden="1" x14ac:dyDescent="0.25">
      <c r="A167" s="483" t="s">
        <v>7223</v>
      </c>
      <c r="B167" t="s">
        <v>608</v>
      </c>
      <c r="C167" s="28" t="s">
        <v>13</v>
      </c>
      <c r="D167" s="359">
        <v>45962</v>
      </c>
      <c r="E167" s="28"/>
      <c r="F167" s="28" t="s">
        <v>236</v>
      </c>
      <c r="G167" s="1067" t="s">
        <v>7229</v>
      </c>
      <c r="H167" t="s">
        <v>7231</v>
      </c>
      <c r="I167" s="798">
        <v>58231</v>
      </c>
      <c r="J167" s="88">
        <f t="shared" si="10"/>
        <v>51243</v>
      </c>
      <c r="K167" t="s">
        <v>17</v>
      </c>
      <c r="L167" s="359">
        <v>46017</v>
      </c>
      <c r="M167" s="88"/>
      <c r="N167"/>
      <c r="O167"/>
      <c r="P167"/>
      <c r="Q167"/>
      <c r="T167" t="s">
        <v>7105</v>
      </c>
      <c r="U167" s="360">
        <v>0.38472222222222224</v>
      </c>
      <c r="V167" s="360">
        <v>0.66666666666666663</v>
      </c>
    </row>
    <row r="168" spans="1:22" x14ac:dyDescent="0.25">
      <c r="A168" s="483" t="s">
        <v>7233</v>
      </c>
      <c r="B168" t="s">
        <v>608</v>
      </c>
      <c r="C168" s="28" t="s">
        <v>4218</v>
      </c>
      <c r="D168" s="359">
        <v>45968</v>
      </c>
      <c r="E168" s="28"/>
      <c r="F168" s="28" t="s">
        <v>236</v>
      </c>
      <c r="G168" s="1067" t="s">
        <v>7255</v>
      </c>
      <c r="H168" s="1003" t="s">
        <v>7267</v>
      </c>
      <c r="I168" s="798">
        <v>58231</v>
      </c>
      <c r="J168" s="88">
        <f t="shared" si="10"/>
        <v>51243</v>
      </c>
      <c r="K168" s="1003" t="s">
        <v>7844</v>
      </c>
      <c r="L168" s="88"/>
      <c r="M168" s="88"/>
      <c r="N168"/>
      <c r="O168"/>
      <c r="P168"/>
      <c r="Q168"/>
      <c r="T168" t="s">
        <v>6294</v>
      </c>
      <c r="U168" s="360">
        <v>0.27083333333333331</v>
      </c>
      <c r="V168" s="360"/>
    </row>
    <row r="169" spans="1:22" s="30" customFormat="1" x14ac:dyDescent="0.25">
      <c r="A169" s="483" t="s">
        <v>7245</v>
      </c>
      <c r="B169" s="30" t="s">
        <v>608</v>
      </c>
      <c r="C169" s="28" t="s">
        <v>13</v>
      </c>
      <c r="D169" s="359">
        <v>45969</v>
      </c>
      <c r="F169" s="28" t="s">
        <v>236</v>
      </c>
      <c r="G169" s="1156" t="s">
        <v>7256</v>
      </c>
      <c r="H169" t="s">
        <v>8287</v>
      </c>
      <c r="I169" s="1336">
        <v>58231</v>
      </c>
      <c r="J169" s="88">
        <f t="shared" si="10"/>
        <v>51243</v>
      </c>
      <c r="K169" t="s">
        <v>7843</v>
      </c>
      <c r="L169" s="236"/>
      <c r="M169" s="236"/>
      <c r="T169" s="30" t="s">
        <v>6147</v>
      </c>
      <c r="U169" s="360">
        <v>0.94027777777777777</v>
      </c>
      <c r="V169" s="360">
        <v>0.22569444444444445</v>
      </c>
    </row>
    <row r="170" spans="1:22" x14ac:dyDescent="0.25">
      <c r="A170" s="483">
        <v>13112025</v>
      </c>
      <c r="B170" t="s">
        <v>608</v>
      </c>
      <c r="C170" s="28" t="s">
        <v>4218</v>
      </c>
      <c r="D170" s="359">
        <v>45974</v>
      </c>
      <c r="E170" s="28"/>
      <c r="F170" s="28" t="s">
        <v>236</v>
      </c>
      <c r="G170" s="1156" t="s">
        <v>7265</v>
      </c>
      <c r="H170" t="s">
        <v>8287</v>
      </c>
      <c r="I170" s="935">
        <v>58231</v>
      </c>
      <c r="J170" s="88">
        <f t="shared" si="10"/>
        <v>51243</v>
      </c>
      <c r="K170" t="s">
        <v>7843</v>
      </c>
      <c r="L170" s="88"/>
      <c r="M170" s="88"/>
      <c r="N170"/>
      <c r="O170"/>
      <c r="P170"/>
      <c r="Q170"/>
      <c r="T170" t="s">
        <v>5393</v>
      </c>
      <c r="U170" s="360"/>
      <c r="V170" s="360"/>
    </row>
    <row r="171" spans="1:22" x14ac:dyDescent="0.25">
      <c r="A171" s="483">
        <v>13112025</v>
      </c>
      <c r="B171" t="s">
        <v>608</v>
      </c>
      <c r="C171" s="28" t="s">
        <v>13</v>
      </c>
      <c r="D171" s="359">
        <v>45974</v>
      </c>
      <c r="E171" s="28"/>
      <c r="F171" s="28" t="s">
        <v>236</v>
      </c>
      <c r="G171" s="1156" t="s">
        <v>7266</v>
      </c>
      <c r="H171" t="s">
        <v>8287</v>
      </c>
      <c r="I171" s="935">
        <v>58231</v>
      </c>
      <c r="J171" s="88">
        <f t="shared" si="10"/>
        <v>51243</v>
      </c>
      <c r="K171" t="s">
        <v>7843</v>
      </c>
      <c r="L171" s="359"/>
      <c r="M171" s="88"/>
      <c r="N171"/>
      <c r="O171"/>
      <c r="P171"/>
      <c r="Q171"/>
      <c r="T171" t="s">
        <v>6067</v>
      </c>
      <c r="U171" s="360"/>
      <c r="V171" s="360"/>
    </row>
    <row r="172" spans="1:22" x14ac:dyDescent="0.25">
      <c r="A172" s="483">
        <v>19112025</v>
      </c>
      <c r="B172" t="s">
        <v>608</v>
      </c>
      <c r="C172" s="28" t="s">
        <v>4218</v>
      </c>
      <c r="D172" s="359">
        <v>45980</v>
      </c>
      <c r="E172" s="28"/>
      <c r="F172" s="28" t="s">
        <v>236</v>
      </c>
      <c r="G172" s="1156" t="s">
        <v>7333</v>
      </c>
      <c r="H172" t="s">
        <v>8287</v>
      </c>
      <c r="I172" s="798">
        <v>58231</v>
      </c>
      <c r="J172" s="88">
        <f t="shared" si="10"/>
        <v>51243</v>
      </c>
      <c r="K172" t="s">
        <v>7843</v>
      </c>
      <c r="L172" s="88"/>
      <c r="M172" s="88"/>
      <c r="N172"/>
      <c r="O172"/>
      <c r="P172"/>
      <c r="Q172"/>
      <c r="T172" t="s">
        <v>5131</v>
      </c>
      <c r="U172" s="360">
        <v>0.27986111111111112</v>
      </c>
      <c r="V172" s="360"/>
    </row>
    <row r="173" spans="1:22" x14ac:dyDescent="0.25">
      <c r="A173" s="483">
        <v>24112025</v>
      </c>
      <c r="B173" t="s">
        <v>608</v>
      </c>
      <c r="C173" s="28" t="s">
        <v>4218</v>
      </c>
      <c r="D173" s="359">
        <v>45985</v>
      </c>
      <c r="E173" s="28"/>
      <c r="F173" s="28" t="s">
        <v>236</v>
      </c>
      <c r="G173" s="1156" t="s">
        <v>7334</v>
      </c>
      <c r="H173" t="s">
        <v>8287</v>
      </c>
      <c r="I173" s="935">
        <v>58231</v>
      </c>
      <c r="J173" s="88">
        <f t="shared" si="10"/>
        <v>51243</v>
      </c>
      <c r="K173" t="s">
        <v>7843</v>
      </c>
      <c r="L173" s="88"/>
      <c r="M173" s="88"/>
      <c r="N173"/>
      <c r="O173"/>
      <c r="P173"/>
      <c r="Q173"/>
      <c r="R173" s="5" t="s">
        <v>7141</v>
      </c>
      <c r="S173" s="360">
        <v>0.39930555555555558</v>
      </c>
      <c r="T173" s="360">
        <v>0.82430555555555562</v>
      </c>
    </row>
    <row r="174" spans="1:22" x14ac:dyDescent="0.25">
      <c r="A174" s="483">
        <v>30112025</v>
      </c>
      <c r="B174" t="s">
        <v>608</v>
      </c>
      <c r="C174" s="28" t="s">
        <v>4218</v>
      </c>
      <c r="D174" s="359">
        <v>45991</v>
      </c>
      <c r="E174" s="28"/>
      <c r="F174" s="28" t="s">
        <v>236</v>
      </c>
      <c r="G174" s="1156" t="s">
        <v>7353</v>
      </c>
      <c r="H174" t="s">
        <v>8287</v>
      </c>
      <c r="I174" s="935">
        <v>58231</v>
      </c>
      <c r="J174" s="88">
        <f t="shared" si="10"/>
        <v>51243</v>
      </c>
      <c r="K174" t="s">
        <v>7843</v>
      </c>
      <c r="L174" s="88"/>
      <c r="M174" s="88"/>
      <c r="N174"/>
      <c r="O174"/>
      <c r="P174"/>
      <c r="Q174"/>
      <c r="R174" t="s">
        <v>7335</v>
      </c>
      <c r="S174" s="360">
        <v>0.27777777777777779</v>
      </c>
      <c r="T174" s="360">
        <v>0.55347222222222225</v>
      </c>
    </row>
    <row r="175" spans="1:22" x14ac:dyDescent="0.25">
      <c r="A175" s="483" t="s">
        <v>7360</v>
      </c>
      <c r="B175" t="s">
        <v>608</v>
      </c>
      <c r="C175" s="28" t="s">
        <v>410</v>
      </c>
      <c r="D175" s="359">
        <v>45995</v>
      </c>
      <c r="E175" s="28"/>
      <c r="F175" s="28" t="s">
        <v>236</v>
      </c>
      <c r="G175" s="1156" t="s">
        <v>7368</v>
      </c>
      <c r="H175" t="s">
        <v>8287</v>
      </c>
      <c r="I175" s="1337">
        <v>58231</v>
      </c>
      <c r="J175" s="88">
        <f t="shared" si="10"/>
        <v>51243</v>
      </c>
      <c r="K175" t="s">
        <v>7843</v>
      </c>
      <c r="L175" s="447"/>
      <c r="M175" s="88"/>
      <c r="N175"/>
      <c r="O175"/>
      <c r="P175"/>
      <c r="Q175"/>
      <c r="T175" t="s">
        <v>6349</v>
      </c>
      <c r="U175" s="360">
        <v>0.2986111111111111</v>
      </c>
      <c r="V175" s="360"/>
    </row>
    <row r="176" spans="1:22" x14ac:dyDescent="0.25">
      <c r="A176" s="483" t="s">
        <v>7365</v>
      </c>
      <c r="B176" t="s">
        <v>608</v>
      </c>
      <c r="C176" s="28" t="s">
        <v>4218</v>
      </c>
      <c r="D176" s="359">
        <v>45997</v>
      </c>
      <c r="E176" s="28"/>
      <c r="F176" s="28" t="s">
        <v>236</v>
      </c>
      <c r="G176" s="1156" t="s">
        <v>7369</v>
      </c>
      <c r="H176" t="s">
        <v>8287</v>
      </c>
      <c r="I176" s="1337">
        <v>58231</v>
      </c>
      <c r="J176" s="88">
        <f t="shared" si="10"/>
        <v>51243</v>
      </c>
      <c r="K176" t="s">
        <v>7843</v>
      </c>
      <c r="L176" s="447"/>
      <c r="M176" s="88"/>
      <c r="N176"/>
      <c r="O176"/>
      <c r="P176"/>
      <c r="Q176"/>
      <c r="T176" t="s">
        <v>4140</v>
      </c>
      <c r="U176" s="360">
        <v>0.29652777777777778</v>
      </c>
      <c r="V176" s="360">
        <v>0.61041666666666672</v>
      </c>
    </row>
    <row r="177" spans="1:24" x14ac:dyDescent="0.25">
      <c r="A177" s="483" t="s">
        <v>7366</v>
      </c>
      <c r="B177" t="s">
        <v>608</v>
      </c>
      <c r="C177" s="28" t="s">
        <v>410</v>
      </c>
      <c r="D177" s="359">
        <v>45998</v>
      </c>
      <c r="E177" s="28"/>
      <c r="F177" s="28" t="s">
        <v>236</v>
      </c>
      <c r="G177" s="1156" t="s">
        <v>7371</v>
      </c>
      <c r="H177" t="s">
        <v>8287</v>
      </c>
      <c r="I177" s="1337">
        <v>58231</v>
      </c>
      <c r="J177" s="88">
        <f t="shared" si="10"/>
        <v>51243</v>
      </c>
      <c r="K177" t="s">
        <v>7843</v>
      </c>
      <c r="L177" s="447"/>
      <c r="M177" s="88"/>
      <c r="N177"/>
      <c r="O177"/>
      <c r="P177"/>
      <c r="Q177"/>
      <c r="T177" t="s">
        <v>7092</v>
      </c>
      <c r="U177" s="360">
        <v>0.48819444444444443</v>
      </c>
      <c r="V177" s="360">
        <v>0.77222222222222225</v>
      </c>
    </row>
    <row r="178" spans="1:24" hidden="1" x14ac:dyDescent="0.25">
      <c r="A178" s="483" t="s">
        <v>7366</v>
      </c>
      <c r="B178" t="s">
        <v>608</v>
      </c>
      <c r="C178" s="28" t="s">
        <v>4218</v>
      </c>
      <c r="D178" s="359">
        <v>45998</v>
      </c>
      <c r="E178" s="28"/>
      <c r="F178" s="28" t="s">
        <v>236</v>
      </c>
      <c r="G178" s="1156" t="s">
        <v>7370</v>
      </c>
      <c r="H178" s="30" t="s">
        <v>7372</v>
      </c>
      <c r="I178" s="240">
        <v>49173</v>
      </c>
      <c r="J178" s="88">
        <f t="shared" si="10"/>
        <v>43272</v>
      </c>
      <c r="K178" t="s">
        <v>17</v>
      </c>
      <c r="L178" s="359">
        <v>46031</v>
      </c>
      <c r="M178" s="88"/>
      <c r="N178"/>
      <c r="O178"/>
      <c r="P178"/>
      <c r="Q178"/>
      <c r="T178" t="s">
        <v>7141</v>
      </c>
      <c r="U178" s="360">
        <v>0.33749999999999997</v>
      </c>
      <c r="V178" s="360">
        <v>0.59513888888888888</v>
      </c>
    </row>
    <row r="179" spans="1:24" hidden="1" x14ac:dyDescent="0.25">
      <c r="A179" s="483">
        <v>19122025</v>
      </c>
      <c r="B179" t="s">
        <v>608</v>
      </c>
      <c r="C179" s="28" t="s">
        <v>4218</v>
      </c>
      <c r="D179" s="359">
        <v>46010</v>
      </c>
      <c r="E179" s="28"/>
      <c r="F179" s="28" t="s">
        <v>236</v>
      </c>
      <c r="G179" s="1067" t="s">
        <v>7421</v>
      </c>
      <c r="H179" s="30" t="s">
        <v>7487</v>
      </c>
      <c r="I179" s="1337">
        <v>58231</v>
      </c>
      <c r="J179" s="88">
        <f t="shared" si="10"/>
        <v>51243</v>
      </c>
      <c r="K179" t="s">
        <v>17</v>
      </c>
      <c r="L179" s="359">
        <v>46121</v>
      </c>
      <c r="M179" s="88"/>
      <c r="N179"/>
      <c r="O179"/>
      <c r="P179"/>
      <c r="Q179"/>
      <c r="T179" s="5" t="s">
        <v>4140</v>
      </c>
      <c r="U179" s="360">
        <v>0.62708333333333333</v>
      </c>
      <c r="V179" s="360">
        <v>0.91041666666666676</v>
      </c>
    </row>
    <row r="180" spans="1:24" hidden="1" x14ac:dyDescent="0.25">
      <c r="A180" s="483">
        <v>27122025</v>
      </c>
      <c r="B180" t="s">
        <v>608</v>
      </c>
      <c r="C180" s="28" t="s">
        <v>4218</v>
      </c>
      <c r="D180" s="359">
        <v>46018</v>
      </c>
      <c r="E180" s="28"/>
      <c r="F180" s="28" t="s">
        <v>236</v>
      </c>
      <c r="G180" s="1067" t="s">
        <v>7485</v>
      </c>
      <c r="H180" s="30" t="s">
        <v>7488</v>
      </c>
      <c r="I180" s="478">
        <v>58231</v>
      </c>
      <c r="J180" s="88">
        <f t="shared" si="10"/>
        <v>51243</v>
      </c>
      <c r="K180" t="s">
        <v>17</v>
      </c>
      <c r="L180" s="359">
        <v>46094</v>
      </c>
      <c r="M180" s="88"/>
      <c r="N180"/>
      <c r="O180"/>
      <c r="P180"/>
      <c r="Q180"/>
      <c r="T180" s="5" t="s">
        <v>7060</v>
      </c>
      <c r="U180" s="360">
        <v>0.6875</v>
      </c>
      <c r="V180" s="360">
        <v>0.98125000000000007</v>
      </c>
    </row>
    <row r="181" spans="1:24" hidden="1" x14ac:dyDescent="0.25">
      <c r="A181" s="483" t="s">
        <v>7445</v>
      </c>
      <c r="B181" t="s">
        <v>608</v>
      </c>
      <c r="C181" s="233" t="s">
        <v>4218</v>
      </c>
      <c r="D181" s="359">
        <v>46025</v>
      </c>
      <c r="E181" s="28"/>
      <c r="F181" s="28" t="s">
        <v>236</v>
      </c>
      <c r="G181" t="s">
        <v>7486</v>
      </c>
      <c r="H181" s="30" t="s">
        <v>7489</v>
      </c>
      <c r="I181" s="88">
        <v>49173</v>
      </c>
      <c r="J181" s="88">
        <f t="shared" si="10"/>
        <v>43272</v>
      </c>
      <c r="K181" t="s">
        <v>17</v>
      </c>
      <c r="L181" s="359">
        <v>46085</v>
      </c>
      <c r="M181"/>
      <c r="N181"/>
      <c r="O181"/>
      <c r="P181"/>
      <c r="Q181"/>
      <c r="T181" t="s">
        <v>6503</v>
      </c>
      <c r="U181" s="360">
        <v>0.28402777777777777</v>
      </c>
      <c r="V181" s="360" t="s">
        <v>7443</v>
      </c>
    </row>
    <row r="182" spans="1:24" hidden="1" x14ac:dyDescent="0.25">
      <c r="A182" s="483" t="s">
        <v>7517</v>
      </c>
      <c r="B182" t="s">
        <v>608</v>
      </c>
      <c r="C182" s="233" t="s">
        <v>4218</v>
      </c>
      <c r="D182" s="359">
        <v>46033</v>
      </c>
      <c r="E182" s="28"/>
      <c r="F182" s="28" t="s">
        <v>236</v>
      </c>
      <c r="G182" s="1067" t="s">
        <v>7518</v>
      </c>
      <c r="H182" s="30" t="s">
        <v>7519</v>
      </c>
      <c r="I182" s="240">
        <v>58231</v>
      </c>
      <c r="J182" s="88">
        <f t="shared" si="10"/>
        <v>51243</v>
      </c>
      <c r="K182" t="s">
        <v>17</v>
      </c>
      <c r="L182" s="359">
        <v>46065</v>
      </c>
      <c r="M182" s="88"/>
      <c r="N182"/>
      <c r="O182"/>
      <c r="P182"/>
      <c r="Q182"/>
      <c r="T182" t="s">
        <v>7078</v>
      </c>
      <c r="U182" s="360">
        <v>0.28680555555555554</v>
      </c>
      <c r="V182" s="360">
        <v>0.56736111111111109</v>
      </c>
    </row>
    <row r="183" spans="1:24" hidden="1" x14ac:dyDescent="0.25">
      <c r="A183" s="483" t="s">
        <v>7592</v>
      </c>
      <c r="B183" t="s">
        <v>608</v>
      </c>
      <c r="C183" s="28" t="s">
        <v>410</v>
      </c>
      <c r="D183" s="359">
        <v>46045</v>
      </c>
      <c r="E183" s="28"/>
      <c r="F183" s="28" t="s">
        <v>236</v>
      </c>
      <c r="G183" s="1067" t="s">
        <v>7613</v>
      </c>
      <c r="H183" s="30" t="s">
        <v>7615</v>
      </c>
      <c r="I183" s="313">
        <v>58231</v>
      </c>
      <c r="J183" s="88">
        <f t="shared" si="10"/>
        <v>51243</v>
      </c>
      <c r="K183" t="s">
        <v>17</v>
      </c>
      <c r="L183" s="359">
        <v>46065</v>
      </c>
      <c r="M183" s="88"/>
      <c r="N183"/>
      <c r="O183"/>
      <c r="P183"/>
      <c r="Q183"/>
      <c r="T183" t="s">
        <v>5989</v>
      </c>
      <c r="U183" s="360">
        <v>0.21458333333333335</v>
      </c>
      <c r="V183" s="360">
        <v>0.5</v>
      </c>
    </row>
    <row r="184" spans="1:24" hidden="1" x14ac:dyDescent="0.25">
      <c r="A184" s="483" t="s">
        <v>7597</v>
      </c>
      <c r="B184" t="s">
        <v>608</v>
      </c>
      <c r="C184" s="28" t="s">
        <v>4218</v>
      </c>
      <c r="D184" s="359">
        <v>46048</v>
      </c>
      <c r="E184" s="28"/>
      <c r="F184" s="28" t="s">
        <v>236</v>
      </c>
      <c r="G184" s="1067" t="s">
        <v>7614</v>
      </c>
      <c r="H184" s="30" t="s">
        <v>7616</v>
      </c>
      <c r="I184" s="313">
        <v>58231</v>
      </c>
      <c r="J184" s="88">
        <f t="shared" si="10"/>
        <v>51243</v>
      </c>
      <c r="K184" t="s">
        <v>17</v>
      </c>
      <c r="L184" s="359">
        <v>46077</v>
      </c>
      <c r="M184" s="88"/>
      <c r="N184"/>
      <c r="O184"/>
      <c r="P184"/>
      <c r="Q184"/>
      <c r="T184" t="s">
        <v>6349</v>
      </c>
      <c r="U184" s="360"/>
      <c r="V184" s="360"/>
    </row>
    <row r="185" spans="1:24" hidden="1" x14ac:dyDescent="0.25">
      <c r="A185" s="483" t="s">
        <v>7780</v>
      </c>
      <c r="B185" t="s">
        <v>608</v>
      </c>
      <c r="C185" s="28" t="s">
        <v>13</v>
      </c>
      <c r="D185" s="359">
        <v>46085</v>
      </c>
      <c r="E185" s="28"/>
      <c r="F185" s="28" t="s">
        <v>236</v>
      </c>
      <c r="G185" s="1067" t="s">
        <v>7789</v>
      </c>
      <c r="H185" s="30" t="s">
        <v>7790</v>
      </c>
      <c r="I185" s="1271">
        <v>58231</v>
      </c>
      <c r="J185" s="88">
        <f t="shared" si="10"/>
        <v>51243</v>
      </c>
      <c r="K185" t="s">
        <v>17</v>
      </c>
      <c r="L185" s="359">
        <v>46120</v>
      </c>
      <c r="M185" s="88"/>
      <c r="N185"/>
      <c r="O185"/>
      <c r="P185"/>
      <c r="Q185"/>
      <c r="T185"/>
      <c r="U185" s="360"/>
      <c r="V185" s="360"/>
    </row>
    <row r="186" spans="1:24" ht="14.1" hidden="1" customHeight="1" x14ac:dyDescent="0.25">
      <c r="A186" s="483" t="s">
        <v>7941</v>
      </c>
      <c r="B186" t="s">
        <v>608</v>
      </c>
      <c r="C186" s="28" t="s">
        <v>4218</v>
      </c>
      <c r="D186" s="359">
        <v>46120</v>
      </c>
      <c r="E186" s="28"/>
      <c r="F186" s="28" t="s">
        <v>236</v>
      </c>
      <c r="G186" s="88" t="s">
        <v>7945</v>
      </c>
      <c r="H186" s="30" t="s">
        <v>7944</v>
      </c>
      <c r="I186" s="915">
        <v>61235</v>
      </c>
      <c r="J186" s="88">
        <f t="shared" si="10"/>
        <v>53887</v>
      </c>
      <c r="K186" s="30" t="s">
        <v>17</v>
      </c>
      <c r="L186" s="359">
        <v>46141</v>
      </c>
      <c r="M186" s="558"/>
      <c r="N186" s="88"/>
      <c r="O186"/>
      <c r="P186"/>
      <c r="Q186"/>
      <c r="T186"/>
      <c r="U186" t="s">
        <v>5131</v>
      </c>
      <c r="V186" s="360">
        <v>0.40277777777777773</v>
      </c>
      <c r="W186" s="360"/>
    </row>
    <row r="187" spans="1:24" hidden="1" x14ac:dyDescent="0.25">
      <c r="A187" s="483" t="s">
        <v>7943</v>
      </c>
      <c r="B187" t="s">
        <v>608</v>
      </c>
      <c r="C187" s="28" t="s">
        <v>410</v>
      </c>
      <c r="D187" s="359">
        <v>46121</v>
      </c>
      <c r="E187" s="28"/>
      <c r="F187" s="28" t="s">
        <v>236</v>
      </c>
      <c r="G187" s="88" t="s">
        <v>7949</v>
      </c>
      <c r="H187" s="30" t="s">
        <v>7948</v>
      </c>
      <c r="I187" s="798">
        <v>61235</v>
      </c>
      <c r="J187" s="88">
        <f t="shared" si="10"/>
        <v>53887</v>
      </c>
      <c r="K187" s="30" t="s">
        <v>17</v>
      </c>
      <c r="L187" s="359">
        <v>46141</v>
      </c>
      <c r="M187" s="798"/>
      <c r="N187"/>
      <c r="O187"/>
      <c r="P187"/>
      <c r="Q187"/>
      <c r="T187"/>
      <c r="V187" s="360"/>
      <c r="W187" s="360"/>
    </row>
    <row r="188" spans="1:24" hidden="1" x14ac:dyDescent="0.25">
      <c r="A188" s="483" t="s">
        <v>7946</v>
      </c>
      <c r="B188" t="s">
        <v>608</v>
      </c>
      <c r="C188" s="28" t="s">
        <v>4218</v>
      </c>
      <c r="D188" s="359">
        <v>46122</v>
      </c>
      <c r="E188" s="28"/>
      <c r="F188" s="28" t="s">
        <v>236</v>
      </c>
      <c r="G188" s="1342" t="s">
        <v>7970</v>
      </c>
      <c r="H188" s="30" t="s">
        <v>7971</v>
      </c>
      <c r="I188" s="798">
        <v>61235</v>
      </c>
      <c r="J188" s="88">
        <f t="shared" si="10"/>
        <v>53887</v>
      </c>
      <c r="K188" s="1345" t="s">
        <v>17</v>
      </c>
      <c r="L188" s="359">
        <v>46150</v>
      </c>
      <c r="M188" s="798"/>
      <c r="N188"/>
      <c r="O188"/>
      <c r="P188"/>
      <c r="Q188"/>
      <c r="T188"/>
      <c r="U188" t="s">
        <v>7858</v>
      </c>
      <c r="V188" s="360"/>
      <c r="W188" s="360"/>
    </row>
    <row r="189" spans="1:24" hidden="1" x14ac:dyDescent="0.25">
      <c r="A189" s="483" t="s">
        <v>8021</v>
      </c>
      <c r="B189" t="s">
        <v>608</v>
      </c>
      <c r="C189" s="28" t="s">
        <v>4218</v>
      </c>
      <c r="D189" s="359">
        <v>46137</v>
      </c>
      <c r="E189" s="28"/>
      <c r="F189" s="28" t="s">
        <v>236</v>
      </c>
      <c r="G189" s="88" t="s">
        <v>8042</v>
      </c>
      <c r="H189" s="30" t="s">
        <v>8047</v>
      </c>
      <c r="I189" s="798">
        <v>63150</v>
      </c>
      <c r="J189" s="88">
        <f t="shared" ref="J189:J191" si="11">+I189-ROUND(I189*0.12,0)</f>
        <v>55572</v>
      </c>
      <c r="K189" s="1345" t="s">
        <v>17</v>
      </c>
      <c r="L189" s="359">
        <v>46174</v>
      </c>
      <c r="M189" s="798"/>
      <c r="N189"/>
      <c r="O189"/>
      <c r="P189"/>
      <c r="Q189"/>
      <c r="T189"/>
      <c r="U189" t="s">
        <v>4297</v>
      </c>
      <c r="V189" s="360">
        <v>0.42986111111111108</v>
      </c>
      <c r="W189" s="360">
        <v>0.70416666666666661</v>
      </c>
    </row>
    <row r="190" spans="1:24" hidden="1" x14ac:dyDescent="0.25">
      <c r="A190" s="483" t="s">
        <v>8043</v>
      </c>
      <c r="B190" t="s">
        <v>608</v>
      </c>
      <c r="C190" s="28" t="s">
        <v>13</v>
      </c>
      <c r="D190" s="359">
        <v>46141</v>
      </c>
      <c r="E190" s="28"/>
      <c r="F190" s="28" t="s">
        <v>236</v>
      </c>
      <c r="G190" s="88" t="s">
        <v>8053</v>
      </c>
      <c r="H190" s="30" t="s">
        <v>8054</v>
      </c>
      <c r="I190" s="798">
        <v>63150</v>
      </c>
      <c r="J190" s="88">
        <f t="shared" si="11"/>
        <v>55572</v>
      </c>
      <c r="K190" s="1345" t="s">
        <v>17</v>
      </c>
      <c r="L190" s="359">
        <v>46174</v>
      </c>
      <c r="M190" s="798"/>
      <c r="N190"/>
      <c r="O190"/>
      <c r="P190"/>
      <c r="Q190"/>
      <c r="T190"/>
      <c r="U190" t="s">
        <v>7092</v>
      </c>
      <c r="V190" s="360">
        <v>0.60347222222222219</v>
      </c>
      <c r="W190" s="360">
        <v>0.89722222222222225</v>
      </c>
    </row>
    <row r="191" spans="1:24" x14ac:dyDescent="0.25">
      <c r="A191" s="1447" t="s">
        <v>8545</v>
      </c>
      <c r="B191" s="21" t="s">
        <v>8546</v>
      </c>
      <c r="C191" s="31"/>
      <c r="D191" s="359">
        <v>46262</v>
      </c>
      <c r="E191" s="28"/>
      <c r="F191" s="313" t="s">
        <v>236</v>
      </c>
      <c r="G191" s="88" t="s">
        <v>8562</v>
      </c>
      <c r="H191"/>
      <c r="I191" s="915">
        <v>61810</v>
      </c>
      <c r="J191" s="88">
        <f t="shared" si="11"/>
        <v>54393</v>
      </c>
      <c r="L191"/>
      <c r="M191"/>
      <c r="N191" s="558"/>
      <c r="O191" s="88"/>
      <c r="P191"/>
      <c r="Q191"/>
      <c r="T191"/>
      <c r="W191" s="360"/>
      <c r="X191" s="30"/>
    </row>
    <row r="192" spans="1:24" x14ac:dyDescent="0.25">
      <c r="A192" s="483"/>
      <c r="D192" s="359"/>
      <c r="E192" s="28"/>
      <c r="H192"/>
      <c r="J192" s="88"/>
      <c r="L192" s="88"/>
      <c r="M192" s="88"/>
      <c r="N192"/>
      <c r="O192"/>
      <c r="P192"/>
      <c r="Q192"/>
      <c r="T192"/>
      <c r="U192" s="360"/>
      <c r="V192" s="360"/>
    </row>
    <row r="193" spans="1:22" x14ac:dyDescent="0.25">
      <c r="H193"/>
      <c r="L193" s="359"/>
    </row>
    <row r="194" spans="1:22" ht="15.75" thickBot="1" x14ac:dyDescent="0.3">
      <c r="A194" s="483"/>
      <c r="D194" s="368"/>
      <c r="E194" s="28"/>
      <c r="G194" s="30"/>
      <c r="I194" s="313"/>
      <c r="J194" s="3"/>
      <c r="L194"/>
      <c r="M194"/>
      <c r="N194"/>
      <c r="O194"/>
      <c r="P194" s="32"/>
      <c r="Q194" s="30"/>
      <c r="R194" s="30"/>
      <c r="T194"/>
    </row>
    <row r="195" spans="1:22" ht="15.75" thickBot="1" x14ac:dyDescent="0.3">
      <c r="I195" s="415">
        <f>SUBTOTAL(9,I55:I194)</f>
        <v>877044</v>
      </c>
      <c r="L195" s="88"/>
      <c r="M195" s="313"/>
    </row>
    <row r="196" spans="1:22" x14ac:dyDescent="0.25">
      <c r="J196" s="996"/>
      <c r="K196" s="996"/>
      <c r="L196" s="996"/>
      <c r="M196" s="131"/>
    </row>
    <row r="197" spans="1:22" ht="15.75" thickBot="1" x14ac:dyDescent="0.3"/>
    <row r="198" spans="1:22" ht="54" customHeight="1" thickBot="1" x14ac:dyDescent="0.3">
      <c r="B198" s="1547" t="s">
        <v>3561</v>
      </c>
      <c r="C198" s="1548"/>
      <c r="D198" s="1549"/>
      <c r="E198" s="1548"/>
      <c r="F198" s="1550"/>
      <c r="G198" s="1548"/>
      <c r="H198" s="1548"/>
      <c r="I198" s="1551"/>
      <c r="L198" s="32"/>
    </row>
    <row r="199" spans="1:22" s="21" customFormat="1" ht="15" hidden="1" customHeight="1" x14ac:dyDescent="0.25">
      <c r="A199" s="184" t="s">
        <v>2850</v>
      </c>
      <c r="B199" s="21" t="s">
        <v>608</v>
      </c>
      <c r="C199" s="21" t="s">
        <v>809</v>
      </c>
      <c r="D199" s="466">
        <v>45170</v>
      </c>
      <c r="F199" s="177" t="s">
        <v>236</v>
      </c>
      <c r="G199" s="169" t="s">
        <v>2884</v>
      </c>
      <c r="H199" s="177" t="s">
        <v>2905</v>
      </c>
      <c r="I199" s="314">
        <v>59472</v>
      </c>
      <c r="J199" s="21">
        <f>+I199*0.88</f>
        <v>52335.360000000001</v>
      </c>
      <c r="K199" s="21" t="s">
        <v>17</v>
      </c>
      <c r="L199" s="123">
        <v>45233</v>
      </c>
      <c r="T199" s="157" t="s">
        <v>894</v>
      </c>
      <c r="U199" s="157">
        <v>0.51111111111111118</v>
      </c>
      <c r="V199" s="157">
        <v>0.82708333333333339</v>
      </c>
    </row>
    <row r="200" spans="1:22" s="21" customFormat="1" ht="15" hidden="1" customHeight="1" x14ac:dyDescent="0.25">
      <c r="A200" s="184" t="s">
        <v>2855</v>
      </c>
      <c r="B200" s="21" t="s">
        <v>608</v>
      </c>
      <c r="C200" s="21" t="s">
        <v>410</v>
      </c>
      <c r="D200" s="466">
        <v>45173</v>
      </c>
      <c r="F200" s="177" t="s">
        <v>236</v>
      </c>
      <c r="G200" s="169" t="s">
        <v>2885</v>
      </c>
      <c r="H200" s="177" t="s">
        <v>2906</v>
      </c>
      <c r="I200" s="314">
        <v>59472</v>
      </c>
      <c r="J200" s="21">
        <f t="shared" ref="J200:J231" si="12">+I200*0.88</f>
        <v>52335.360000000001</v>
      </c>
      <c r="K200" s="21" t="s">
        <v>17</v>
      </c>
      <c r="L200" s="123">
        <v>45233</v>
      </c>
      <c r="T200" s="157" t="s">
        <v>1644</v>
      </c>
      <c r="U200" s="157">
        <v>0.6430555555555556</v>
      </c>
      <c r="V200" s="157">
        <v>1.8055555555555557E-2</v>
      </c>
    </row>
    <row r="201" spans="1:22" hidden="1" x14ac:dyDescent="0.25">
      <c r="A201" s="256" t="s">
        <v>2886</v>
      </c>
      <c r="B201" t="s">
        <v>608</v>
      </c>
      <c r="C201" t="s">
        <v>410</v>
      </c>
      <c r="D201" s="359">
        <v>45174</v>
      </c>
      <c r="F201" s="28" t="s">
        <v>236</v>
      </c>
      <c r="G201" t="s">
        <v>2903</v>
      </c>
      <c r="H201" s="313" t="s">
        <v>2904</v>
      </c>
      <c r="I201" s="313">
        <v>59472</v>
      </c>
      <c r="J201">
        <f t="shared" si="12"/>
        <v>52335.360000000001</v>
      </c>
      <c r="K201" t="s">
        <v>17</v>
      </c>
      <c r="L201" s="122">
        <v>45233</v>
      </c>
      <c r="M201"/>
      <c r="N201"/>
      <c r="O201"/>
      <c r="P201"/>
      <c r="Q201"/>
      <c r="T201" s="14" t="s">
        <v>1029</v>
      </c>
      <c r="U201" s="14">
        <v>0.8520833333333333</v>
      </c>
      <c r="V201" s="14">
        <v>0.18472222222222223</v>
      </c>
    </row>
    <row r="202" spans="1:22" hidden="1" x14ac:dyDescent="0.25">
      <c r="A202" s="256" t="s">
        <v>2888</v>
      </c>
      <c r="B202" t="s">
        <v>608</v>
      </c>
      <c r="C202" t="s">
        <v>410</v>
      </c>
      <c r="D202" s="359">
        <v>45177</v>
      </c>
      <c r="F202" s="28" t="s">
        <v>236</v>
      </c>
      <c r="G202" s="30" t="s">
        <v>2902</v>
      </c>
      <c r="H202" s="28" t="s">
        <v>2907</v>
      </c>
      <c r="I202" s="236">
        <v>59472</v>
      </c>
      <c r="J202">
        <f t="shared" si="12"/>
        <v>52335.360000000001</v>
      </c>
      <c r="K202" t="s">
        <v>17</v>
      </c>
      <c r="L202" s="122">
        <v>45233</v>
      </c>
      <c r="M202"/>
      <c r="N202"/>
      <c r="O202"/>
      <c r="P202"/>
      <c r="Q202"/>
      <c r="T202" s="14" t="s">
        <v>1029</v>
      </c>
      <c r="U202" s="14">
        <v>0.63958333333333328</v>
      </c>
      <c r="V202" s="14">
        <v>0.93472222222222223</v>
      </c>
    </row>
    <row r="203" spans="1:22" hidden="1" x14ac:dyDescent="0.25">
      <c r="A203" s="256">
        <v>16092023</v>
      </c>
      <c r="B203" t="s">
        <v>596</v>
      </c>
      <c r="C203" t="s">
        <v>13</v>
      </c>
      <c r="D203" s="359">
        <v>45185</v>
      </c>
      <c r="F203" s="28" t="s">
        <v>236</v>
      </c>
      <c r="G203" s="30" t="s">
        <v>2934</v>
      </c>
      <c r="H203" s="28" t="s">
        <v>2932</v>
      </c>
      <c r="I203" s="236">
        <v>59472</v>
      </c>
      <c r="J203">
        <f t="shared" si="12"/>
        <v>52335.360000000001</v>
      </c>
      <c r="K203" t="s">
        <v>17</v>
      </c>
      <c r="L203" s="122">
        <v>45266</v>
      </c>
      <c r="M203"/>
      <c r="N203"/>
      <c r="O203"/>
      <c r="P203"/>
      <c r="Q203"/>
      <c r="T203" s="14" t="s">
        <v>916</v>
      </c>
      <c r="U203" s="14">
        <v>0.27638888888888885</v>
      </c>
      <c r="V203" s="14">
        <v>7.9861111111111105E-2</v>
      </c>
    </row>
    <row r="204" spans="1:22" hidden="1" x14ac:dyDescent="0.25">
      <c r="A204" s="256">
        <v>20092023</v>
      </c>
      <c r="B204" t="s">
        <v>596</v>
      </c>
      <c r="C204" t="s">
        <v>13</v>
      </c>
      <c r="D204" s="359">
        <v>45189</v>
      </c>
      <c r="F204" s="28" t="s">
        <v>236</v>
      </c>
      <c r="G204" s="30" t="s">
        <v>2936</v>
      </c>
      <c r="H204" s="28" t="s">
        <v>2933</v>
      </c>
      <c r="I204" s="236">
        <v>59472</v>
      </c>
      <c r="J204">
        <f t="shared" si="12"/>
        <v>52335.360000000001</v>
      </c>
      <c r="K204" t="s">
        <v>17</v>
      </c>
      <c r="L204" s="122">
        <v>45233</v>
      </c>
      <c r="M204"/>
      <c r="N204"/>
      <c r="O204"/>
      <c r="P204"/>
      <c r="Q204"/>
      <c r="T204" s="14" t="s">
        <v>2050</v>
      </c>
      <c r="U204" s="14">
        <v>0.64513888888888882</v>
      </c>
      <c r="V204" s="14">
        <v>0.93055555555555547</v>
      </c>
    </row>
    <row r="205" spans="1:22" hidden="1" x14ac:dyDescent="0.25">
      <c r="A205" s="542">
        <v>21092023</v>
      </c>
      <c r="B205" t="s">
        <v>596</v>
      </c>
      <c r="C205" s="28" t="s">
        <v>13</v>
      </c>
      <c r="D205" s="359">
        <v>45190</v>
      </c>
      <c r="F205" s="28" t="s">
        <v>236</v>
      </c>
      <c r="G205" s="30" t="s">
        <v>2935</v>
      </c>
      <c r="H205" s="28" t="s">
        <v>3593</v>
      </c>
      <c r="I205" s="236">
        <v>59472</v>
      </c>
      <c r="J205">
        <f t="shared" si="12"/>
        <v>52335.360000000001</v>
      </c>
      <c r="K205" t="s">
        <v>17</v>
      </c>
      <c r="L205" s="122">
        <v>45513</v>
      </c>
      <c r="M205"/>
      <c r="N205"/>
      <c r="O205"/>
      <c r="P205"/>
      <c r="Q205"/>
      <c r="T205" s="14" t="s">
        <v>893</v>
      </c>
      <c r="U205" s="14">
        <v>0.33263888888888887</v>
      </c>
      <c r="V205" s="14">
        <v>0.60486111111111118</v>
      </c>
    </row>
    <row r="206" spans="1:22" hidden="1" x14ac:dyDescent="0.25">
      <c r="A206" s="542">
        <v>22092023</v>
      </c>
      <c r="B206" t="s">
        <v>596</v>
      </c>
      <c r="C206" s="28" t="s">
        <v>410</v>
      </c>
      <c r="D206" s="359">
        <v>45191</v>
      </c>
      <c r="F206" s="28" t="s">
        <v>236</v>
      </c>
      <c r="G206" t="s">
        <v>3015</v>
      </c>
      <c r="H206" s="28" t="s">
        <v>3594</v>
      </c>
      <c r="I206" s="236">
        <v>59472</v>
      </c>
      <c r="J206">
        <f t="shared" si="12"/>
        <v>52335.360000000001</v>
      </c>
      <c r="K206" t="s">
        <v>17</v>
      </c>
      <c r="L206" s="122">
        <v>45513</v>
      </c>
      <c r="M206"/>
      <c r="N206"/>
      <c r="O206"/>
      <c r="P206"/>
      <c r="Q206"/>
      <c r="T206" s="14" t="s">
        <v>2050</v>
      </c>
      <c r="U206" s="14">
        <v>0.26041666666666669</v>
      </c>
      <c r="V206" s="14">
        <v>0.53472222222222221</v>
      </c>
    </row>
    <row r="207" spans="1:22" hidden="1" x14ac:dyDescent="0.25">
      <c r="A207" s="256">
        <v>25092023</v>
      </c>
      <c r="B207" t="s">
        <v>596</v>
      </c>
      <c r="C207" t="s">
        <v>410</v>
      </c>
      <c r="D207" s="359">
        <v>45194</v>
      </c>
      <c r="F207" s="28" t="s">
        <v>236</v>
      </c>
      <c r="G207" t="s">
        <v>3016</v>
      </c>
      <c r="H207" s="28" t="s">
        <v>3017</v>
      </c>
      <c r="I207" s="236">
        <v>59472</v>
      </c>
      <c r="J207">
        <f t="shared" si="12"/>
        <v>52335.360000000001</v>
      </c>
      <c r="K207" t="s">
        <v>17</v>
      </c>
      <c r="L207" s="122">
        <v>45233</v>
      </c>
      <c r="M207"/>
      <c r="N207"/>
      <c r="O207"/>
      <c r="P207"/>
      <c r="Q207"/>
      <c r="T207" s="14" t="s">
        <v>922</v>
      </c>
      <c r="U207" s="14">
        <v>0.42291666666666666</v>
      </c>
      <c r="V207" s="14"/>
    </row>
    <row r="208" spans="1:22" s="30" customFormat="1" ht="15.6" hidden="1" customHeight="1" x14ac:dyDescent="0.25">
      <c r="A208" s="542">
        <v>30092023</v>
      </c>
      <c r="B208" s="30" t="s">
        <v>596</v>
      </c>
      <c r="C208" s="28" t="s">
        <v>410</v>
      </c>
      <c r="D208" s="359">
        <v>45199</v>
      </c>
      <c r="F208" s="28" t="s">
        <v>236</v>
      </c>
      <c r="G208" t="s">
        <v>3018</v>
      </c>
      <c r="H208" s="28" t="s">
        <v>3595</v>
      </c>
      <c r="I208" s="236">
        <v>59472</v>
      </c>
      <c r="J208">
        <f t="shared" si="12"/>
        <v>52335.360000000001</v>
      </c>
      <c r="K208" t="s">
        <v>17</v>
      </c>
      <c r="L208" s="122">
        <v>45513</v>
      </c>
      <c r="T208" s="360" t="s">
        <v>2050</v>
      </c>
      <c r="U208" s="360">
        <v>0.33680555555555558</v>
      </c>
      <c r="V208" s="360">
        <v>0.62916666666666665</v>
      </c>
    </row>
    <row r="209" spans="1:22" hidden="1" x14ac:dyDescent="0.25">
      <c r="A209" s="542" t="s">
        <v>3006</v>
      </c>
      <c r="B209" t="s">
        <v>596</v>
      </c>
      <c r="C209" s="28" t="s">
        <v>13</v>
      </c>
      <c r="D209" s="359">
        <v>45204</v>
      </c>
      <c r="F209" s="28" t="s">
        <v>236</v>
      </c>
      <c r="G209" t="s">
        <v>3019</v>
      </c>
      <c r="H209" s="28" t="s">
        <v>3596</v>
      </c>
      <c r="I209" s="313">
        <v>59472</v>
      </c>
      <c r="J209">
        <f t="shared" si="12"/>
        <v>52335.360000000001</v>
      </c>
      <c r="K209" t="s">
        <v>17</v>
      </c>
      <c r="L209" s="122">
        <v>45513</v>
      </c>
      <c r="M209"/>
      <c r="N209"/>
      <c r="O209"/>
      <c r="P209"/>
      <c r="Q209"/>
      <c r="T209" s="14" t="s">
        <v>1816</v>
      </c>
      <c r="U209" s="14">
        <v>0.48333333333333334</v>
      </c>
      <c r="V209" s="14"/>
    </row>
    <row r="210" spans="1:22" s="30" customFormat="1" hidden="1" x14ac:dyDescent="0.25">
      <c r="A210" s="542" t="s">
        <v>3028</v>
      </c>
      <c r="B210" s="30" t="s">
        <v>596</v>
      </c>
      <c r="C210" s="28" t="s">
        <v>13</v>
      </c>
      <c r="D210" s="359">
        <v>45207</v>
      </c>
      <c r="F210" s="28" t="s">
        <v>236</v>
      </c>
      <c r="G210" s="30" t="s">
        <v>3052</v>
      </c>
      <c r="H210" s="28" t="s">
        <v>3597</v>
      </c>
      <c r="I210" s="236">
        <v>59472</v>
      </c>
      <c r="J210">
        <f t="shared" si="12"/>
        <v>52335.360000000001</v>
      </c>
      <c r="K210" t="s">
        <v>17</v>
      </c>
      <c r="L210" s="122">
        <v>45526</v>
      </c>
      <c r="T210" s="360" t="s">
        <v>922</v>
      </c>
      <c r="U210" s="360">
        <v>0.47291666666666665</v>
      </c>
      <c r="V210" s="360">
        <v>0.77083333333333337</v>
      </c>
    </row>
    <row r="211" spans="1:22" s="30" customFormat="1" hidden="1" x14ac:dyDescent="0.25">
      <c r="A211" s="542" t="s">
        <v>3025</v>
      </c>
      <c r="B211" s="30" t="s">
        <v>596</v>
      </c>
      <c r="C211" s="28" t="s">
        <v>13</v>
      </c>
      <c r="D211" s="359">
        <v>45208</v>
      </c>
      <c r="E211" s="28"/>
      <c r="F211" s="28" t="s">
        <v>236</v>
      </c>
      <c r="G211" s="30" t="s">
        <v>3053</v>
      </c>
      <c r="H211" s="28" t="s">
        <v>3598</v>
      </c>
      <c r="I211" s="236">
        <v>59472</v>
      </c>
      <c r="J211">
        <f t="shared" si="12"/>
        <v>52335.360000000001</v>
      </c>
      <c r="K211" t="s">
        <v>17</v>
      </c>
      <c r="L211" s="122">
        <v>45524</v>
      </c>
      <c r="T211" s="360" t="s">
        <v>1029</v>
      </c>
      <c r="U211" s="360">
        <v>0.69513888888888886</v>
      </c>
      <c r="V211" s="360">
        <v>6.2499999999999995E-3</v>
      </c>
    </row>
    <row r="212" spans="1:22" s="30" customFormat="1" hidden="1" x14ac:dyDescent="0.25">
      <c r="A212" s="542">
        <v>12102023</v>
      </c>
      <c r="B212" s="30" t="s">
        <v>596</v>
      </c>
      <c r="C212" s="28" t="s">
        <v>13</v>
      </c>
      <c r="D212" s="359">
        <v>45211</v>
      </c>
      <c r="F212" s="28" t="s">
        <v>236</v>
      </c>
      <c r="G212" s="30" t="s">
        <v>3070</v>
      </c>
      <c r="H212" s="28" t="s">
        <v>3599</v>
      </c>
      <c r="I212" s="236">
        <v>59472</v>
      </c>
      <c r="J212">
        <f t="shared" si="12"/>
        <v>52335.360000000001</v>
      </c>
      <c r="K212" t="s">
        <v>17</v>
      </c>
      <c r="L212" s="122">
        <v>45520</v>
      </c>
      <c r="N212" s="28"/>
      <c r="O212" s="28"/>
      <c r="T212" s="360" t="s">
        <v>2380</v>
      </c>
      <c r="U212" s="360">
        <v>0.7284722222222223</v>
      </c>
      <c r="V212" s="360">
        <v>0.54652777777777783</v>
      </c>
    </row>
    <row r="213" spans="1:22" hidden="1" x14ac:dyDescent="0.25">
      <c r="A213" s="542">
        <v>18102023</v>
      </c>
      <c r="B213" t="s">
        <v>596</v>
      </c>
      <c r="C213" s="28" t="s">
        <v>410</v>
      </c>
      <c r="D213" s="359">
        <v>45217</v>
      </c>
      <c r="F213" s="28" t="s">
        <v>236</v>
      </c>
      <c r="G213" t="s">
        <v>3073</v>
      </c>
      <c r="H213" s="28" t="s">
        <v>3600</v>
      </c>
      <c r="I213" s="414">
        <v>59472</v>
      </c>
      <c r="J213">
        <f t="shared" si="12"/>
        <v>52335.360000000001</v>
      </c>
      <c r="K213" t="s">
        <v>17</v>
      </c>
      <c r="L213" s="122">
        <v>45520</v>
      </c>
      <c r="M213"/>
      <c r="N213"/>
      <c r="O213"/>
      <c r="P213"/>
      <c r="Q213"/>
      <c r="R213" s="14" t="s">
        <v>916</v>
      </c>
      <c r="S213" s="14">
        <v>0.27847222222222223</v>
      </c>
      <c r="T213" s="14"/>
    </row>
    <row r="214" spans="1:22" s="30" customFormat="1" hidden="1" x14ac:dyDescent="0.25">
      <c r="A214" s="542">
        <v>19102023</v>
      </c>
      <c r="B214" s="30" t="s">
        <v>596</v>
      </c>
      <c r="C214" s="28" t="s">
        <v>13</v>
      </c>
      <c r="D214" s="359">
        <v>45218</v>
      </c>
      <c r="F214" s="28" t="s">
        <v>236</v>
      </c>
      <c r="G214" s="30" t="s">
        <v>3077</v>
      </c>
      <c r="H214" s="28" t="s">
        <v>3601</v>
      </c>
      <c r="I214" s="236">
        <v>59472</v>
      </c>
      <c r="J214">
        <f t="shared" si="12"/>
        <v>52335.360000000001</v>
      </c>
      <c r="K214" t="s">
        <v>17</v>
      </c>
      <c r="L214" s="122">
        <v>45513</v>
      </c>
      <c r="T214" s="360"/>
      <c r="U214" s="360"/>
      <c r="V214" s="360"/>
    </row>
    <row r="215" spans="1:22" s="30" customFormat="1" hidden="1" x14ac:dyDescent="0.25">
      <c r="A215" s="542">
        <v>20102023</v>
      </c>
      <c r="B215" s="30" t="s">
        <v>596</v>
      </c>
      <c r="C215" s="28" t="s">
        <v>13</v>
      </c>
      <c r="D215" s="359">
        <v>45219</v>
      </c>
      <c r="F215" s="28" t="s">
        <v>236</v>
      </c>
      <c r="G215" s="30" t="s">
        <v>3085</v>
      </c>
      <c r="H215" s="28" t="s">
        <v>3602</v>
      </c>
      <c r="I215" s="236">
        <v>59472</v>
      </c>
      <c r="J215">
        <f t="shared" si="12"/>
        <v>52335.360000000001</v>
      </c>
      <c r="K215" t="s">
        <v>17</v>
      </c>
      <c r="L215" s="122">
        <v>45513</v>
      </c>
      <c r="T215" s="360" t="s">
        <v>1029</v>
      </c>
      <c r="U215" s="360">
        <v>0.53680555555555554</v>
      </c>
      <c r="V215" s="360"/>
    </row>
    <row r="216" spans="1:22" hidden="1" x14ac:dyDescent="0.25">
      <c r="A216" s="542">
        <v>23102023</v>
      </c>
      <c r="B216" t="s">
        <v>596</v>
      </c>
      <c r="C216" s="28" t="s">
        <v>13</v>
      </c>
      <c r="D216" s="359">
        <v>45222</v>
      </c>
      <c r="F216" s="28" t="s">
        <v>236</v>
      </c>
      <c r="G216" s="30" t="s">
        <v>3086</v>
      </c>
      <c r="H216" s="28" t="s">
        <v>3608</v>
      </c>
      <c r="I216" s="313">
        <v>59472</v>
      </c>
      <c r="J216">
        <f t="shared" si="12"/>
        <v>52335.360000000001</v>
      </c>
      <c r="K216" t="s">
        <v>17</v>
      </c>
      <c r="L216" s="122">
        <v>45527</v>
      </c>
      <c r="M216"/>
      <c r="N216"/>
      <c r="O216"/>
      <c r="P216"/>
      <c r="Q216"/>
      <c r="T216" t="s">
        <v>989</v>
      </c>
      <c r="U216" s="14">
        <v>0.58819444444444446</v>
      </c>
      <c r="V216" s="14">
        <v>0.8833333333333333</v>
      </c>
    </row>
    <row r="217" spans="1:22" hidden="1" x14ac:dyDescent="0.25">
      <c r="A217" s="256">
        <v>26102023</v>
      </c>
      <c r="B217" t="s">
        <v>608</v>
      </c>
      <c r="C217" t="s">
        <v>13</v>
      </c>
      <c r="D217" s="359">
        <v>45225</v>
      </c>
      <c r="F217" s="28" t="s">
        <v>236</v>
      </c>
      <c r="G217" s="30" t="s">
        <v>3139</v>
      </c>
      <c r="H217" s="28" t="s">
        <v>3137</v>
      </c>
      <c r="I217" s="313">
        <v>59472</v>
      </c>
      <c r="J217">
        <f t="shared" si="12"/>
        <v>52335.360000000001</v>
      </c>
      <c r="K217" s="30" t="s">
        <v>17</v>
      </c>
      <c r="L217" s="122">
        <v>45289</v>
      </c>
      <c r="M217"/>
      <c r="N217"/>
      <c r="O217"/>
      <c r="P217"/>
      <c r="Q217"/>
      <c r="T217" s="14" t="s">
        <v>916</v>
      </c>
      <c r="U217" s="14">
        <v>0.8305555555555556</v>
      </c>
      <c r="V217" s="14">
        <v>0.10833333333333334</v>
      </c>
    </row>
    <row r="218" spans="1:22" s="28" customFormat="1" hidden="1" x14ac:dyDescent="0.25">
      <c r="A218" s="256">
        <v>29102023</v>
      </c>
      <c r="B218" t="s">
        <v>608</v>
      </c>
      <c r="C218" s="30" t="s">
        <v>13</v>
      </c>
      <c r="D218" s="359">
        <v>45228</v>
      </c>
      <c r="F218" s="28" t="s">
        <v>236</v>
      </c>
      <c r="G218" s="357" t="s">
        <v>3140</v>
      </c>
      <c r="H218" s="28" t="s">
        <v>3138</v>
      </c>
      <c r="I218" s="313">
        <v>59472</v>
      </c>
      <c r="J218">
        <f t="shared" si="12"/>
        <v>52335.360000000001</v>
      </c>
      <c r="K218" s="30" t="s">
        <v>17</v>
      </c>
      <c r="L218" s="122">
        <v>45289</v>
      </c>
      <c r="T218" s="276" t="s">
        <v>1644</v>
      </c>
      <c r="U218" s="276">
        <v>0.25555555555555559</v>
      </c>
      <c r="V218" s="276">
        <v>0.54513888888888895</v>
      </c>
    </row>
    <row r="219" spans="1:22" hidden="1" x14ac:dyDescent="0.25">
      <c r="A219" s="256" t="s">
        <v>3146</v>
      </c>
      <c r="B219" t="s">
        <v>608</v>
      </c>
      <c r="C219" t="s">
        <v>410</v>
      </c>
      <c r="D219" s="359">
        <v>45232</v>
      </c>
      <c r="F219" s="28" t="s">
        <v>236</v>
      </c>
      <c r="G219" s="30" t="s">
        <v>3147</v>
      </c>
      <c r="H219" s="28" t="s">
        <v>3149</v>
      </c>
      <c r="I219" s="313">
        <v>59472</v>
      </c>
      <c r="J219">
        <f t="shared" si="12"/>
        <v>52335.360000000001</v>
      </c>
      <c r="K219" t="s">
        <v>17</v>
      </c>
      <c r="L219" s="122">
        <v>45275</v>
      </c>
      <c r="M219"/>
      <c r="N219"/>
      <c r="O219"/>
      <c r="P219"/>
      <c r="Q219"/>
      <c r="T219" s="14" t="s">
        <v>1506</v>
      </c>
      <c r="U219" s="14">
        <v>0.47638888888888892</v>
      </c>
      <c r="V219" s="14"/>
    </row>
    <row r="220" spans="1:22" hidden="1" x14ac:dyDescent="0.25">
      <c r="A220" s="256" t="s">
        <v>3146</v>
      </c>
      <c r="B220" t="s">
        <v>608</v>
      </c>
      <c r="C220" t="s">
        <v>13</v>
      </c>
      <c r="D220" s="359">
        <v>45232</v>
      </c>
      <c r="F220" s="28" t="s">
        <v>236</v>
      </c>
      <c r="G220" s="30" t="s">
        <v>3148</v>
      </c>
      <c r="H220" s="28" t="s">
        <v>3150</v>
      </c>
      <c r="I220" s="313">
        <v>59472</v>
      </c>
      <c r="J220">
        <f t="shared" si="12"/>
        <v>52335.360000000001</v>
      </c>
      <c r="K220" t="s">
        <v>17</v>
      </c>
      <c r="L220" s="122">
        <v>45275</v>
      </c>
      <c r="M220"/>
      <c r="N220"/>
      <c r="O220"/>
      <c r="P220"/>
      <c r="Q220"/>
      <c r="T220" s="14" t="s">
        <v>1042</v>
      </c>
      <c r="U220" s="14"/>
      <c r="V220" s="14"/>
    </row>
    <row r="221" spans="1:22" hidden="1" x14ac:dyDescent="0.25">
      <c r="A221" s="542">
        <v>21112023</v>
      </c>
      <c r="B221" t="s">
        <v>596</v>
      </c>
      <c r="C221" s="28" t="s">
        <v>13</v>
      </c>
      <c r="D221" s="359">
        <v>45251</v>
      </c>
      <c r="F221" s="28" t="s">
        <v>236</v>
      </c>
      <c r="G221" s="30" t="s">
        <v>3215</v>
      </c>
      <c r="H221" s="28" t="s">
        <v>3603</v>
      </c>
      <c r="I221" s="236">
        <v>59472</v>
      </c>
      <c r="J221">
        <f t="shared" si="12"/>
        <v>52335.360000000001</v>
      </c>
      <c r="K221" t="s">
        <v>17</v>
      </c>
      <c r="L221" s="122">
        <v>45531</v>
      </c>
      <c r="M221"/>
      <c r="N221"/>
      <c r="O221"/>
      <c r="P221"/>
      <c r="Q221"/>
      <c r="T221" s="14" t="s">
        <v>989</v>
      </c>
      <c r="U221" s="14">
        <v>0.37986111111111115</v>
      </c>
      <c r="V221" s="14">
        <v>0.68819444444444444</v>
      </c>
    </row>
    <row r="222" spans="1:22" hidden="1" x14ac:dyDescent="0.25">
      <c r="A222" s="542">
        <v>21112023</v>
      </c>
      <c r="B222" t="s">
        <v>596</v>
      </c>
      <c r="C222" s="28" t="s">
        <v>13</v>
      </c>
      <c r="D222" s="359">
        <v>45251</v>
      </c>
      <c r="F222" s="28" t="s">
        <v>236</v>
      </c>
      <c r="G222" s="30" t="s">
        <v>3216</v>
      </c>
      <c r="H222" s="28" t="s">
        <v>3763</v>
      </c>
      <c r="I222" s="236">
        <v>59472</v>
      </c>
      <c r="J222">
        <f t="shared" si="12"/>
        <v>52335.360000000001</v>
      </c>
      <c r="K222" t="s">
        <v>17</v>
      </c>
      <c r="L222" s="122">
        <v>45531</v>
      </c>
      <c r="M222"/>
      <c r="N222"/>
      <c r="O222"/>
      <c r="P222"/>
      <c r="Q222"/>
      <c r="T222" s="14" t="s">
        <v>3151</v>
      </c>
      <c r="U222" s="14">
        <v>0.73125000000000007</v>
      </c>
      <c r="V222" s="14">
        <v>9.0277777777777787E-3</v>
      </c>
    </row>
    <row r="223" spans="1:22" hidden="1" x14ac:dyDescent="0.25">
      <c r="A223" s="542">
        <v>22112023</v>
      </c>
      <c r="B223" t="s">
        <v>596</v>
      </c>
      <c r="C223" s="28" t="s">
        <v>410</v>
      </c>
      <c r="D223" s="359">
        <v>45252</v>
      </c>
      <c r="F223" s="28" t="s">
        <v>236</v>
      </c>
      <c r="G223" s="30" t="s">
        <v>3217</v>
      </c>
      <c r="H223" s="28" t="s">
        <v>3764</v>
      </c>
      <c r="I223" s="236">
        <v>59472</v>
      </c>
      <c r="J223">
        <f t="shared" si="12"/>
        <v>52335.360000000001</v>
      </c>
      <c r="K223" t="s">
        <v>17</v>
      </c>
      <c r="L223" s="122">
        <v>45531</v>
      </c>
      <c r="M223"/>
      <c r="N223"/>
      <c r="O223"/>
      <c r="P223"/>
      <c r="Q223"/>
      <c r="T223" s="14" t="s">
        <v>989</v>
      </c>
      <c r="U223" s="14">
        <v>0.68402777777777779</v>
      </c>
      <c r="V223" s="14">
        <v>0.97083333333333333</v>
      </c>
    </row>
    <row r="224" spans="1:22" hidden="1" x14ac:dyDescent="0.25">
      <c r="A224" s="542">
        <v>27112023</v>
      </c>
      <c r="B224" t="s">
        <v>596</v>
      </c>
      <c r="C224" s="28" t="s">
        <v>410</v>
      </c>
      <c r="D224" s="359">
        <v>45257</v>
      </c>
      <c r="F224" s="28" t="s">
        <v>236</v>
      </c>
      <c r="G224" s="30" t="s">
        <v>3242</v>
      </c>
      <c r="H224" s="28" t="s">
        <v>3604</v>
      </c>
      <c r="I224" s="236">
        <v>59472</v>
      </c>
      <c r="J224">
        <f t="shared" si="12"/>
        <v>52335.360000000001</v>
      </c>
      <c r="K224" t="s">
        <v>17</v>
      </c>
      <c r="L224" s="122">
        <v>45531</v>
      </c>
      <c r="M224"/>
      <c r="N224"/>
      <c r="O224"/>
      <c r="P224"/>
      <c r="Q224"/>
      <c r="T224" s="14" t="s">
        <v>922</v>
      </c>
      <c r="U224" s="14">
        <v>0.65069444444444446</v>
      </c>
      <c r="V224" s="14"/>
    </row>
    <row r="225" spans="1:23" hidden="1" x14ac:dyDescent="0.25">
      <c r="A225" s="542">
        <v>27112023</v>
      </c>
      <c r="B225" t="s">
        <v>596</v>
      </c>
      <c r="C225" s="28" t="s">
        <v>13</v>
      </c>
      <c r="D225" s="359">
        <v>45257</v>
      </c>
      <c r="F225" s="28" t="s">
        <v>236</v>
      </c>
      <c r="G225" s="30" t="s">
        <v>3243</v>
      </c>
      <c r="H225" s="28" t="s">
        <v>3605</v>
      </c>
      <c r="I225" s="236">
        <v>59472</v>
      </c>
      <c r="J225">
        <f t="shared" si="12"/>
        <v>52335.360000000001</v>
      </c>
      <c r="K225" t="s">
        <v>17</v>
      </c>
      <c r="L225" s="122">
        <v>45531</v>
      </c>
      <c r="M225"/>
      <c r="N225"/>
      <c r="O225"/>
      <c r="P225"/>
      <c r="Q225"/>
      <c r="T225" s="14" t="s">
        <v>3151</v>
      </c>
      <c r="U225" s="14"/>
      <c r="V225" s="14"/>
    </row>
    <row r="226" spans="1:23" hidden="1" x14ac:dyDescent="0.25">
      <c r="A226" s="514" t="s">
        <v>3275</v>
      </c>
      <c r="B226" t="s">
        <v>596</v>
      </c>
      <c r="C226" s="28" t="s">
        <v>410</v>
      </c>
      <c r="D226" s="359">
        <v>45266</v>
      </c>
      <c r="F226" s="28" t="s">
        <v>236</v>
      </c>
      <c r="G226" s="30" t="s">
        <v>3482</v>
      </c>
      <c r="H226" s="28" t="s">
        <v>3606</v>
      </c>
      <c r="I226" s="313">
        <v>59472</v>
      </c>
      <c r="J226">
        <f t="shared" si="12"/>
        <v>52335.360000000001</v>
      </c>
      <c r="K226" t="s">
        <v>17</v>
      </c>
      <c r="L226" s="122">
        <v>45513</v>
      </c>
      <c r="M226"/>
      <c r="N226"/>
      <c r="O226"/>
      <c r="P226"/>
      <c r="Q226"/>
      <c r="T226" s="14" t="s">
        <v>1029</v>
      </c>
      <c r="U226" s="14">
        <v>0.54791666666666672</v>
      </c>
      <c r="V226" s="14"/>
    </row>
    <row r="227" spans="1:23" hidden="1" x14ac:dyDescent="0.25">
      <c r="A227" s="514" t="s">
        <v>3303</v>
      </c>
      <c r="B227" t="s">
        <v>596</v>
      </c>
      <c r="C227" s="28" t="s">
        <v>278</v>
      </c>
      <c r="D227" s="359">
        <v>45269</v>
      </c>
      <c r="F227" s="28" t="s">
        <v>236</v>
      </c>
      <c r="G227" s="30" t="s">
        <v>3483</v>
      </c>
      <c r="H227" s="28" t="s">
        <v>3607</v>
      </c>
      <c r="I227" s="236">
        <v>59472</v>
      </c>
      <c r="J227">
        <f t="shared" si="12"/>
        <v>52335.360000000001</v>
      </c>
      <c r="K227" t="s">
        <v>17</v>
      </c>
      <c r="L227" s="122">
        <v>45513</v>
      </c>
      <c r="M227"/>
      <c r="N227"/>
      <c r="O227"/>
      <c r="P227"/>
      <c r="Q227"/>
      <c r="T227" s="14" t="s">
        <v>1644</v>
      </c>
      <c r="U227" s="14">
        <v>0.54305555555555551</v>
      </c>
      <c r="V227" s="14">
        <v>0.82847222222222217</v>
      </c>
    </row>
    <row r="228" spans="1:23" hidden="1" x14ac:dyDescent="0.25">
      <c r="A228" s="514" t="s">
        <v>3390</v>
      </c>
      <c r="B228" t="s">
        <v>596</v>
      </c>
      <c r="C228" s="28" t="s">
        <v>13</v>
      </c>
      <c r="D228" s="359">
        <v>45287</v>
      </c>
      <c r="F228" s="28" t="s">
        <v>236</v>
      </c>
      <c r="G228" s="30" t="s">
        <v>3484</v>
      </c>
      <c r="H228" s="28" t="s">
        <v>3520</v>
      </c>
      <c r="I228" s="313">
        <v>59472</v>
      </c>
      <c r="J228">
        <f t="shared" si="12"/>
        <v>52335.360000000001</v>
      </c>
      <c r="K228" t="s">
        <v>17</v>
      </c>
      <c r="L228" s="122">
        <v>45513</v>
      </c>
      <c r="M228"/>
      <c r="N228"/>
      <c r="O228"/>
      <c r="P228"/>
      <c r="Q228"/>
      <c r="T228" s="14" t="s">
        <v>3393</v>
      </c>
      <c r="U228" s="14">
        <v>0.7284722222222223</v>
      </c>
      <c r="V228" s="14">
        <v>0.11944444444444445</v>
      </c>
      <c r="W228" t="s">
        <v>3394</v>
      </c>
    </row>
    <row r="229" spans="1:23" hidden="1" x14ac:dyDescent="0.25">
      <c r="A229" s="514" t="s">
        <v>3407</v>
      </c>
      <c r="B229" t="s">
        <v>596</v>
      </c>
      <c r="C229" s="28" t="s">
        <v>13</v>
      </c>
      <c r="D229" s="359">
        <v>45657</v>
      </c>
      <c r="F229" s="28" t="s">
        <v>236</v>
      </c>
      <c r="G229" s="30" t="s">
        <v>3485</v>
      </c>
      <c r="H229" s="28" t="s">
        <v>3521</v>
      </c>
      <c r="I229" s="313">
        <v>59472</v>
      </c>
      <c r="J229">
        <f t="shared" si="12"/>
        <v>52335.360000000001</v>
      </c>
      <c r="K229" t="s">
        <v>17</v>
      </c>
      <c r="L229" s="122">
        <v>45513</v>
      </c>
      <c r="M229"/>
      <c r="N229"/>
      <c r="O229"/>
      <c r="P229"/>
      <c r="Q229"/>
      <c r="T229" s="14" t="s">
        <v>3408</v>
      </c>
      <c r="U229" s="14">
        <v>0.25555555555555559</v>
      </c>
      <c r="V229" s="14">
        <v>0.53819444444444442</v>
      </c>
    </row>
    <row r="230" spans="1:23" s="28" customFormat="1" hidden="1" x14ac:dyDescent="0.25">
      <c r="A230" s="542" t="s">
        <v>3410</v>
      </c>
      <c r="B230" t="s">
        <v>596</v>
      </c>
      <c r="C230" s="28" t="s">
        <v>410</v>
      </c>
      <c r="D230" s="359">
        <v>45292</v>
      </c>
      <c r="E230" s="251"/>
      <c r="F230" s="28" t="s">
        <v>236</v>
      </c>
      <c r="G230" s="30" t="s">
        <v>3479</v>
      </c>
      <c r="H230" s="28" t="s">
        <v>3522</v>
      </c>
      <c r="I230" s="251">
        <v>59472</v>
      </c>
      <c r="J230">
        <f t="shared" si="12"/>
        <v>52335.360000000001</v>
      </c>
      <c r="K230" s="30" t="s">
        <v>17</v>
      </c>
      <c r="L230" s="122">
        <v>45364</v>
      </c>
      <c r="T230" s="28" t="s">
        <v>1029</v>
      </c>
      <c r="U230" s="488">
        <v>0.30972222222222223</v>
      </c>
      <c r="V230" s="488">
        <v>0.58611111111111114</v>
      </c>
    </row>
    <row r="231" spans="1:23" hidden="1" x14ac:dyDescent="0.25">
      <c r="A231" s="542" t="s">
        <v>3415</v>
      </c>
      <c r="B231" t="s">
        <v>596</v>
      </c>
      <c r="C231" s="28" t="s">
        <v>410</v>
      </c>
      <c r="D231" s="359">
        <v>45294</v>
      </c>
      <c r="F231" s="28" t="s">
        <v>236</v>
      </c>
      <c r="G231" s="30" t="s">
        <v>3480</v>
      </c>
      <c r="H231" s="28" t="s">
        <v>3523</v>
      </c>
      <c r="I231" s="251">
        <v>59472</v>
      </c>
      <c r="J231">
        <f t="shared" si="12"/>
        <v>52335.360000000001</v>
      </c>
      <c r="K231" s="30" t="s">
        <v>17</v>
      </c>
      <c r="L231" s="122">
        <v>45364</v>
      </c>
      <c r="M231"/>
      <c r="N231"/>
      <c r="O231"/>
      <c r="P231"/>
      <c r="Q231"/>
      <c r="T231" s="276" t="s">
        <v>3408</v>
      </c>
      <c r="U231" s="360">
        <v>0.2590277777777778</v>
      </c>
      <c r="V231" s="360">
        <v>0.53819444444444442</v>
      </c>
    </row>
    <row r="232" spans="1:23" hidden="1" x14ac:dyDescent="0.25">
      <c r="A232" s="542" t="s">
        <v>3415</v>
      </c>
      <c r="B232" t="s">
        <v>596</v>
      </c>
      <c r="C232" s="28" t="s">
        <v>3414</v>
      </c>
      <c r="D232" s="359">
        <v>45294</v>
      </c>
      <c r="F232" s="28" t="s">
        <v>236</v>
      </c>
      <c r="G232" s="30" t="s">
        <v>3481</v>
      </c>
      <c r="H232" s="28" t="s">
        <v>3524</v>
      </c>
      <c r="I232" s="251">
        <v>59472</v>
      </c>
      <c r="J232">
        <f>+I232*0.88</f>
        <v>52335.360000000001</v>
      </c>
      <c r="K232" s="30" t="s">
        <v>17</v>
      </c>
      <c r="L232" s="122">
        <v>45364</v>
      </c>
      <c r="M232"/>
      <c r="N232"/>
      <c r="O232"/>
      <c r="P232"/>
      <c r="Q232"/>
      <c r="T232" s="14" t="s">
        <v>3416</v>
      </c>
      <c r="U232" s="360">
        <v>0.67708333333333337</v>
      </c>
      <c r="V232" s="360" t="s">
        <v>3453</v>
      </c>
    </row>
    <row r="233" spans="1:23" hidden="1" x14ac:dyDescent="0.25">
      <c r="A233" s="542">
        <v>15012024</v>
      </c>
      <c r="B233" t="s">
        <v>596</v>
      </c>
      <c r="C233" s="28" t="s">
        <v>3414</v>
      </c>
      <c r="D233" s="359">
        <v>45306</v>
      </c>
      <c r="F233" s="28" t="s">
        <v>236</v>
      </c>
      <c r="G233" s="30" t="s">
        <v>3531</v>
      </c>
      <c r="H233" s="28" t="s">
        <v>3532</v>
      </c>
      <c r="I233" s="251">
        <v>59472</v>
      </c>
      <c r="J233">
        <f>+I233*0.88</f>
        <v>52335.360000000001</v>
      </c>
      <c r="K233" s="30" t="s">
        <v>17</v>
      </c>
      <c r="L233" s="122">
        <v>45373</v>
      </c>
      <c r="M233"/>
      <c r="N233"/>
      <c r="O233"/>
      <c r="P233"/>
      <c r="Q233"/>
      <c r="T233" s="14" t="s">
        <v>3151</v>
      </c>
      <c r="U233" s="360">
        <v>0.29444444444444445</v>
      </c>
      <c r="V233" s="360"/>
    </row>
    <row r="234" spans="1:23" hidden="1" x14ac:dyDescent="0.25">
      <c r="A234" s="542">
        <v>22012023</v>
      </c>
      <c r="B234" s="30" t="s">
        <v>608</v>
      </c>
      <c r="C234" s="28" t="s">
        <v>3414</v>
      </c>
      <c r="D234" s="359">
        <v>45313</v>
      </c>
      <c r="F234" s="28" t="s">
        <v>236</v>
      </c>
      <c r="G234" s="30" t="s">
        <v>3588</v>
      </c>
      <c r="H234" s="28" t="s">
        <v>3592</v>
      </c>
      <c r="I234" s="251">
        <v>59472</v>
      </c>
      <c r="J234">
        <f>+I234*0.88</f>
        <v>52335.360000000001</v>
      </c>
      <c r="K234" s="30" t="s">
        <v>17</v>
      </c>
      <c r="L234" s="122">
        <v>45373</v>
      </c>
      <c r="M234"/>
      <c r="N234"/>
      <c r="O234"/>
      <c r="P234"/>
      <c r="Q234"/>
      <c r="T234" s="14" t="s">
        <v>3463</v>
      </c>
      <c r="U234" s="360"/>
      <c r="V234" s="360"/>
    </row>
    <row r="235" spans="1:23" x14ac:dyDescent="0.25">
      <c r="K235" s="32"/>
    </row>
    <row r="236" spans="1:23" x14ac:dyDescent="0.25">
      <c r="A236" s="514"/>
      <c r="D236" s="359"/>
      <c r="G236" s="28"/>
      <c r="H236"/>
      <c r="I236" s="61"/>
      <c r="K236" s="61"/>
      <c r="L236" s="32"/>
      <c r="M236"/>
      <c r="N236"/>
      <c r="O236"/>
      <c r="P236" s="32"/>
      <c r="Q236"/>
      <c r="T236" s="14"/>
      <c r="U236" s="14"/>
      <c r="V236" s="14"/>
    </row>
    <row r="237" spans="1:23" x14ac:dyDescent="0.25">
      <c r="A237" s="514"/>
      <c r="D237" s="359"/>
      <c r="G237" s="28"/>
      <c r="H237"/>
      <c r="I237" s="61"/>
      <c r="K237" s="61"/>
      <c r="L237" s="91"/>
      <c r="M237"/>
      <c r="N237"/>
      <c r="O237"/>
      <c r="P237" s="32"/>
      <c r="Q237"/>
      <c r="T237" s="14"/>
      <c r="U237" s="14"/>
      <c r="V237" s="14"/>
    </row>
    <row r="238" spans="1:23" ht="15.75" thickBot="1" x14ac:dyDescent="0.3">
      <c r="A238" s="542"/>
      <c r="D238" s="359"/>
      <c r="G238" s="30"/>
      <c r="H238" s="30"/>
      <c r="I238" s="30"/>
      <c r="J238" s="368"/>
      <c r="L238" s="32"/>
      <c r="M238"/>
      <c r="N238"/>
      <c r="O238"/>
      <c r="P238" s="32"/>
      <c r="Q238"/>
      <c r="T238" s="14"/>
      <c r="U238" s="14"/>
      <c r="V238" s="14"/>
    </row>
    <row r="239" spans="1:23" ht="15.75" thickBot="1" x14ac:dyDescent="0.3">
      <c r="A239" s="542"/>
      <c r="D239" s="359"/>
      <c r="H239" s="28" t="s">
        <v>3218</v>
      </c>
      <c r="I239" s="415">
        <f>SUBTOTAL(9,I199:I238)</f>
        <v>0</v>
      </c>
      <c r="J239"/>
      <c r="K239" s="61"/>
      <c r="L239" s="32"/>
      <c r="M239"/>
      <c r="N239"/>
      <c r="O239"/>
      <c r="P239" s="32"/>
      <c r="Q239"/>
      <c r="T239" s="14"/>
      <c r="U239" s="14"/>
    </row>
    <row r="240" spans="1:23" x14ac:dyDescent="0.25">
      <c r="A240" s="542"/>
      <c r="D240" s="359"/>
      <c r="I240" s="471"/>
      <c r="J240"/>
      <c r="K240" s="313"/>
      <c r="L240" s="88"/>
      <c r="M240"/>
      <c r="N240"/>
      <c r="O240"/>
      <c r="P240" s="32"/>
      <c r="Q240"/>
      <c r="T240" s="14"/>
      <c r="U240" s="14"/>
    </row>
    <row r="241" spans="1:22" x14ac:dyDescent="0.25">
      <c r="M241" s="131"/>
      <c r="N241" s="131"/>
      <c r="O241" s="131"/>
      <c r="P241" s="313"/>
      <c r="Q241" s="88"/>
      <c r="T241" s="100"/>
    </row>
    <row r="243" spans="1:22" ht="15.75" customHeight="1" thickBot="1" x14ac:dyDescent="0.3">
      <c r="I243" s="91"/>
    </row>
    <row r="244" spans="1:22" ht="54" customHeight="1" thickBot="1" x14ac:dyDescent="0.3">
      <c r="C244" s="1552" t="s">
        <v>4126</v>
      </c>
      <c r="D244" s="1552"/>
      <c r="E244" s="1552"/>
      <c r="F244" s="1552"/>
      <c r="G244" s="1552"/>
      <c r="H244" s="1552"/>
      <c r="I244" s="1553"/>
    </row>
    <row r="245" spans="1:22" s="28" customFormat="1" ht="20.25" customHeight="1" x14ac:dyDescent="0.25">
      <c r="B245" s="955"/>
      <c r="C245" s="956"/>
      <c r="D245" s="1105" t="s">
        <v>437</v>
      </c>
      <c r="E245" s="956"/>
      <c r="F245" s="956" t="s">
        <v>3</v>
      </c>
      <c r="G245" s="956" t="s">
        <v>5955</v>
      </c>
      <c r="H245" s="956" t="s">
        <v>2044</v>
      </c>
      <c r="I245" s="956" t="s">
        <v>5542</v>
      </c>
      <c r="L245" s="53"/>
      <c r="M245" s="129"/>
      <c r="N245" s="129"/>
      <c r="O245" s="129"/>
      <c r="P245" s="61"/>
      <c r="Q245" s="61"/>
      <c r="T245" s="129"/>
    </row>
    <row r="246" spans="1:22" hidden="1" x14ac:dyDescent="0.25">
      <c r="A246" s="483">
        <v>9052024</v>
      </c>
      <c r="B246" t="s">
        <v>4124</v>
      </c>
      <c r="C246" s="28" t="s">
        <v>13</v>
      </c>
      <c r="D246" s="359">
        <v>45421</v>
      </c>
      <c r="F246" s="28" t="s">
        <v>236</v>
      </c>
      <c r="G246" s="365" t="s">
        <v>4190</v>
      </c>
      <c r="H246" s="472" t="s">
        <v>4191</v>
      </c>
      <c r="I246" s="313">
        <v>58231</v>
      </c>
      <c r="J246" s="3">
        <f t="shared" ref="J246:J263" si="13">+I246-ROUND(I246*0.12,0)</f>
        <v>51243</v>
      </c>
      <c r="K246" t="s">
        <v>17</v>
      </c>
      <c r="L246" s="233">
        <v>45757</v>
      </c>
      <c r="M246"/>
      <c r="N246"/>
      <c r="O246"/>
      <c r="P246" s="32"/>
      <c r="Q246"/>
      <c r="T246" s="14" t="s">
        <v>4125</v>
      </c>
      <c r="U246" s="360">
        <v>0.75277777777777777</v>
      </c>
      <c r="V246" s="360">
        <v>6.458333333333334E-2</v>
      </c>
    </row>
    <row r="247" spans="1:22" hidden="1" x14ac:dyDescent="0.25">
      <c r="A247" s="483">
        <v>12052024</v>
      </c>
      <c r="B247" t="s">
        <v>4124</v>
      </c>
      <c r="C247" s="28" t="s">
        <v>13</v>
      </c>
      <c r="D247" s="359">
        <v>45424</v>
      </c>
      <c r="F247" s="28" t="s">
        <v>236</v>
      </c>
      <c r="G247" s="30" t="s">
        <v>4189</v>
      </c>
      <c r="H247" s="472" t="s">
        <v>4192</v>
      </c>
      <c r="I247" s="313">
        <v>58231</v>
      </c>
      <c r="J247" s="3">
        <f t="shared" si="13"/>
        <v>51243</v>
      </c>
      <c r="K247" t="s">
        <v>17</v>
      </c>
      <c r="L247" s="233">
        <v>45478</v>
      </c>
      <c r="M247"/>
      <c r="N247"/>
      <c r="O247"/>
      <c r="P247"/>
      <c r="Q247"/>
      <c r="T247" s="14" t="s">
        <v>4138</v>
      </c>
      <c r="U247" s="360">
        <v>0.80138888888888893</v>
      </c>
      <c r="V247" s="360">
        <v>7.7777777777777779E-2</v>
      </c>
    </row>
    <row r="248" spans="1:22" hidden="1" x14ac:dyDescent="0.25">
      <c r="A248" s="483">
        <v>24052024</v>
      </c>
      <c r="B248" t="s">
        <v>4124</v>
      </c>
      <c r="C248" s="28" t="s">
        <v>4218</v>
      </c>
      <c r="D248" s="359">
        <v>45436</v>
      </c>
      <c r="F248" s="28" t="s">
        <v>236</v>
      </c>
      <c r="G248" s="30" t="s">
        <v>4281</v>
      </c>
      <c r="H248" s="472" t="s">
        <v>4283</v>
      </c>
      <c r="I248" s="236">
        <v>58231</v>
      </c>
      <c r="J248" s="3">
        <f t="shared" si="13"/>
        <v>51243</v>
      </c>
      <c r="K248" t="s">
        <v>17</v>
      </c>
      <c r="L248" s="233">
        <v>45540</v>
      </c>
      <c r="M248"/>
      <c r="N248"/>
      <c r="O248"/>
      <c r="P248"/>
      <c r="Q248"/>
      <c r="T248" s="14" t="s">
        <v>4095</v>
      </c>
      <c r="U248" s="360">
        <v>0.2638888888888889</v>
      </c>
      <c r="V248" s="360"/>
    </row>
    <row r="249" spans="1:22" hidden="1" x14ac:dyDescent="0.25">
      <c r="A249" s="509" t="s">
        <v>4256</v>
      </c>
      <c r="B249" t="s">
        <v>608</v>
      </c>
      <c r="C249" s="28" t="s">
        <v>13</v>
      </c>
      <c r="D249" s="359">
        <v>45448</v>
      </c>
      <c r="F249" s="28" t="s">
        <v>236</v>
      </c>
      <c r="G249" s="30" t="s">
        <v>4282</v>
      </c>
      <c r="H249" s="472" t="s">
        <v>4284</v>
      </c>
      <c r="I249" s="237">
        <v>58231</v>
      </c>
      <c r="J249" s="3">
        <f t="shared" si="13"/>
        <v>51243</v>
      </c>
      <c r="K249" t="s">
        <v>17</v>
      </c>
      <c r="L249" s="233">
        <v>45540</v>
      </c>
      <c r="M249"/>
      <c r="N249"/>
      <c r="O249"/>
      <c r="P249"/>
      <c r="Q249"/>
      <c r="T249" s="14" t="s">
        <v>4138</v>
      </c>
      <c r="U249" s="360">
        <v>0.66111111111111109</v>
      </c>
      <c r="V249" s="360">
        <v>0.97569444444444453</v>
      </c>
    </row>
    <row r="250" spans="1:22" hidden="1" x14ac:dyDescent="0.25">
      <c r="A250" s="509">
        <v>12062024</v>
      </c>
      <c r="B250" t="s">
        <v>608</v>
      </c>
      <c r="C250" s="28" t="s">
        <v>4218</v>
      </c>
      <c r="D250" s="359">
        <v>45455</v>
      </c>
      <c r="F250" s="28" t="s">
        <v>236</v>
      </c>
      <c r="G250" s="30" t="s">
        <v>4337</v>
      </c>
      <c r="H250" s="472" t="s">
        <v>4336</v>
      </c>
      <c r="I250" s="237">
        <v>58231</v>
      </c>
      <c r="J250" s="3">
        <f t="shared" si="13"/>
        <v>51243</v>
      </c>
      <c r="K250" t="s">
        <v>17</v>
      </c>
      <c r="L250" s="233">
        <v>45540</v>
      </c>
      <c r="M250"/>
      <c r="N250"/>
      <c r="O250"/>
      <c r="P250"/>
      <c r="Q250"/>
      <c r="T250" s="14" t="s">
        <v>2050</v>
      </c>
      <c r="U250" s="360">
        <v>0.63541666666666663</v>
      </c>
    </row>
    <row r="251" spans="1:22" hidden="1" x14ac:dyDescent="0.25">
      <c r="A251" s="509">
        <v>16062024</v>
      </c>
      <c r="B251" t="s">
        <v>608</v>
      </c>
      <c r="C251" s="28" t="s">
        <v>13</v>
      </c>
      <c r="D251" s="359">
        <v>45459</v>
      </c>
      <c r="F251" s="28" t="s">
        <v>236</v>
      </c>
      <c r="G251" s="357" t="s">
        <v>4348</v>
      </c>
      <c r="H251" s="472" t="s">
        <v>4349</v>
      </c>
      <c r="I251" s="237">
        <v>58231</v>
      </c>
      <c r="J251" s="3">
        <f t="shared" si="13"/>
        <v>51243</v>
      </c>
      <c r="K251" t="s">
        <v>17</v>
      </c>
      <c r="L251" s="233">
        <v>45540</v>
      </c>
      <c r="M251"/>
      <c r="N251"/>
      <c r="O251"/>
      <c r="P251"/>
      <c r="Q251"/>
      <c r="T251" s="14" t="s">
        <v>1506</v>
      </c>
      <c r="U251" s="360">
        <v>1.3194444444444444E-2</v>
      </c>
      <c r="V251" s="360">
        <v>0.28680555555555554</v>
      </c>
    </row>
    <row r="252" spans="1:22" hidden="1" x14ac:dyDescent="0.25">
      <c r="A252" s="509">
        <v>22062024</v>
      </c>
      <c r="B252" t="s">
        <v>596</v>
      </c>
      <c r="C252" s="28" t="s">
        <v>13</v>
      </c>
      <c r="D252" s="359">
        <v>45465</v>
      </c>
      <c r="F252" s="28" t="s">
        <v>236</v>
      </c>
      <c r="G252" s="30" t="s">
        <v>4404</v>
      </c>
      <c r="H252" s="472" t="s">
        <v>4403</v>
      </c>
      <c r="I252" s="237">
        <v>58231</v>
      </c>
      <c r="J252" s="3">
        <f t="shared" si="13"/>
        <v>51243</v>
      </c>
      <c r="K252" t="s">
        <v>17</v>
      </c>
      <c r="L252" s="233">
        <v>45540</v>
      </c>
      <c r="M252"/>
      <c r="N252"/>
      <c r="O252"/>
      <c r="P252"/>
      <c r="Q252"/>
      <c r="T252" s="14" t="s">
        <v>4139</v>
      </c>
      <c r="U252" s="360">
        <v>0.6118055555555556</v>
      </c>
      <c r="V252" s="360">
        <v>0.89513888888888893</v>
      </c>
    </row>
    <row r="253" spans="1:22" hidden="1" x14ac:dyDescent="0.25">
      <c r="A253" s="509">
        <v>27062024</v>
      </c>
      <c r="B253" t="s">
        <v>596</v>
      </c>
      <c r="C253" s="28" t="s">
        <v>4218</v>
      </c>
      <c r="D253" s="359">
        <v>45470</v>
      </c>
      <c r="F253" s="28" t="s">
        <v>236</v>
      </c>
      <c r="G253" s="30" t="s">
        <v>4422</v>
      </c>
      <c r="H253" s="472" t="s">
        <v>4427</v>
      </c>
      <c r="I253" s="237">
        <v>58231</v>
      </c>
      <c r="J253" s="3">
        <f t="shared" si="13"/>
        <v>51243</v>
      </c>
      <c r="K253" t="s">
        <v>17</v>
      </c>
      <c r="L253" s="233">
        <v>45576</v>
      </c>
      <c r="M253"/>
      <c r="N253"/>
      <c r="O253"/>
      <c r="P253"/>
      <c r="Q253"/>
      <c r="T253" s="14" t="s">
        <v>3151</v>
      </c>
      <c r="U253" s="360">
        <v>0.73333333333333339</v>
      </c>
      <c r="V253" s="360">
        <v>0.5083333333333333</v>
      </c>
    </row>
    <row r="254" spans="1:22" hidden="1" x14ac:dyDescent="0.25">
      <c r="A254" s="509">
        <v>27062024</v>
      </c>
      <c r="B254" t="s">
        <v>596</v>
      </c>
      <c r="C254" s="28" t="s">
        <v>410</v>
      </c>
      <c r="D254" s="359">
        <v>45470</v>
      </c>
      <c r="F254" s="28" t="s">
        <v>236</v>
      </c>
      <c r="G254" s="30" t="s">
        <v>4423</v>
      </c>
      <c r="H254" s="472" t="s">
        <v>4428</v>
      </c>
      <c r="I254" s="237">
        <v>58231</v>
      </c>
      <c r="J254" s="3">
        <f t="shared" si="13"/>
        <v>51243</v>
      </c>
      <c r="K254" t="s">
        <v>17</v>
      </c>
      <c r="L254" s="233">
        <v>45576</v>
      </c>
      <c r="M254"/>
      <c r="N254"/>
      <c r="O254"/>
      <c r="P254"/>
      <c r="Q254"/>
      <c r="T254" s="14" t="s">
        <v>4277</v>
      </c>
      <c r="U254" s="360">
        <v>0.74305555555555547</v>
      </c>
      <c r="V254" s="360">
        <v>5.5555555555555552E-2</v>
      </c>
    </row>
    <row r="255" spans="1:22" hidden="1" x14ac:dyDescent="0.25">
      <c r="A255" s="483" t="s">
        <v>4513</v>
      </c>
      <c r="B255" t="s">
        <v>608</v>
      </c>
      <c r="C255" s="28" t="s">
        <v>4218</v>
      </c>
      <c r="D255" s="359">
        <v>45487</v>
      </c>
      <c r="F255" s="28" t="s">
        <v>236</v>
      </c>
      <c r="G255" s="30" t="s">
        <v>4528</v>
      </c>
      <c r="H255" s="472" t="s">
        <v>4533</v>
      </c>
      <c r="I255" s="236">
        <v>58231</v>
      </c>
      <c r="J255" s="3">
        <f t="shared" si="13"/>
        <v>51243</v>
      </c>
      <c r="K255" t="s">
        <v>17</v>
      </c>
      <c r="L255" s="233">
        <v>45576</v>
      </c>
      <c r="M255"/>
      <c r="N255"/>
      <c r="O255"/>
      <c r="P255"/>
      <c r="Q255"/>
      <c r="T255" s="14" t="s">
        <v>4365</v>
      </c>
      <c r="U255" s="360">
        <v>0.40069444444444446</v>
      </c>
      <c r="V255" s="360">
        <v>0.67222222222222217</v>
      </c>
    </row>
    <row r="256" spans="1:22" hidden="1" x14ac:dyDescent="0.25">
      <c r="A256" s="483" t="s">
        <v>4516</v>
      </c>
      <c r="B256" t="s">
        <v>596</v>
      </c>
      <c r="C256" s="28" t="s">
        <v>4218</v>
      </c>
      <c r="D256" s="359">
        <v>45489</v>
      </c>
      <c r="F256" s="28" t="s">
        <v>236</v>
      </c>
      <c r="G256" s="30" t="s">
        <v>4529</v>
      </c>
      <c r="H256" s="472" t="s">
        <v>4534</v>
      </c>
      <c r="I256" s="236">
        <v>58231</v>
      </c>
      <c r="J256" s="3">
        <f t="shared" si="13"/>
        <v>51243</v>
      </c>
      <c r="K256" t="s">
        <v>17</v>
      </c>
      <c r="L256" s="233">
        <v>45576</v>
      </c>
      <c r="M256"/>
      <c r="N256"/>
      <c r="O256"/>
      <c r="P256"/>
      <c r="Q256"/>
      <c r="T256" s="14" t="s">
        <v>4138</v>
      </c>
      <c r="U256" s="360">
        <v>0.62777777777777777</v>
      </c>
      <c r="V256" s="30"/>
    </row>
    <row r="257" spans="1:22" hidden="1" x14ac:dyDescent="0.25">
      <c r="A257" s="483" t="s">
        <v>4517</v>
      </c>
      <c r="B257" t="s">
        <v>596</v>
      </c>
      <c r="C257" s="28" t="s">
        <v>13</v>
      </c>
      <c r="D257" s="359">
        <v>45490</v>
      </c>
      <c r="F257" s="28" t="s">
        <v>236</v>
      </c>
      <c r="G257" s="30" t="s">
        <v>4530</v>
      </c>
      <c r="H257" s="472" t="s">
        <v>4535</v>
      </c>
      <c r="I257" s="236">
        <v>58231</v>
      </c>
      <c r="J257" s="3">
        <f t="shared" si="13"/>
        <v>51243</v>
      </c>
      <c r="K257" t="s">
        <v>17</v>
      </c>
      <c r="L257" s="233">
        <v>45576</v>
      </c>
      <c r="M257"/>
      <c r="N257"/>
      <c r="O257"/>
      <c r="P257"/>
      <c r="Q257"/>
      <c r="T257" s="14"/>
      <c r="U257" s="360"/>
      <c r="V257" s="30"/>
    </row>
    <row r="258" spans="1:22" hidden="1" x14ac:dyDescent="0.25">
      <c r="A258" s="483">
        <v>26072024</v>
      </c>
      <c r="B258" t="s">
        <v>608</v>
      </c>
      <c r="C258" s="28" t="s">
        <v>410</v>
      </c>
      <c r="D258" s="359">
        <v>45499</v>
      </c>
      <c r="F258" s="28" t="s">
        <v>236</v>
      </c>
      <c r="G258" s="30" t="s">
        <v>4564</v>
      </c>
      <c r="H258" s="472" t="s">
        <v>4573</v>
      </c>
      <c r="I258" s="236">
        <v>58231</v>
      </c>
      <c r="J258" s="3">
        <f t="shared" si="13"/>
        <v>51243</v>
      </c>
      <c r="K258" t="s">
        <v>17</v>
      </c>
      <c r="L258" s="233">
        <v>45576</v>
      </c>
      <c r="M258"/>
      <c r="N258"/>
      <c r="O258"/>
      <c r="P258"/>
      <c r="Q258"/>
      <c r="T258" s="14" t="s">
        <v>4138</v>
      </c>
      <c r="U258" s="360">
        <v>0.73611111111111116</v>
      </c>
      <c r="V258" s="360">
        <v>1.2499999999999999E-2</v>
      </c>
    </row>
    <row r="259" spans="1:22" hidden="1" x14ac:dyDescent="0.25">
      <c r="A259" s="483">
        <v>26072024</v>
      </c>
      <c r="B259" t="s">
        <v>608</v>
      </c>
      <c r="C259" s="28" t="s">
        <v>13</v>
      </c>
      <c r="D259" s="359">
        <v>45499</v>
      </c>
      <c r="F259" s="28" t="s">
        <v>236</v>
      </c>
      <c r="G259" s="30" t="s">
        <v>4565</v>
      </c>
      <c r="H259" s="472" t="s">
        <v>4574</v>
      </c>
      <c r="I259" s="236">
        <v>58231</v>
      </c>
      <c r="J259" s="3">
        <f t="shared" si="13"/>
        <v>51243</v>
      </c>
      <c r="K259" t="s">
        <v>17</v>
      </c>
      <c r="L259" s="233">
        <v>45576</v>
      </c>
      <c r="M259"/>
      <c r="N259"/>
      <c r="O259"/>
      <c r="P259"/>
      <c r="Q259"/>
      <c r="T259" s="14" t="s">
        <v>4097</v>
      </c>
      <c r="U259" s="360">
        <v>0.85</v>
      </c>
      <c r="V259" s="360">
        <v>0.10902777777777778</v>
      </c>
    </row>
    <row r="260" spans="1:22" hidden="1" x14ac:dyDescent="0.25">
      <c r="A260" s="483" t="s">
        <v>4579</v>
      </c>
      <c r="B260" t="s">
        <v>608</v>
      </c>
      <c r="C260" s="28" t="s">
        <v>13</v>
      </c>
      <c r="D260" s="359">
        <v>45507</v>
      </c>
      <c r="F260" s="28" t="s">
        <v>236</v>
      </c>
      <c r="G260" s="30" t="s">
        <v>4598</v>
      </c>
      <c r="H260" s="472" t="s">
        <v>4601</v>
      </c>
      <c r="I260" s="313">
        <v>58231</v>
      </c>
      <c r="J260" s="3">
        <f t="shared" si="13"/>
        <v>51243</v>
      </c>
      <c r="K260" t="s">
        <v>17</v>
      </c>
      <c r="L260" s="233">
        <v>45576</v>
      </c>
      <c r="M260"/>
      <c r="N260"/>
      <c r="O260"/>
      <c r="P260"/>
      <c r="Q260"/>
      <c r="T260" t="s">
        <v>4277</v>
      </c>
      <c r="U260" s="360">
        <v>0.68402777777777779</v>
      </c>
      <c r="V260" s="360">
        <v>0.96597222222222223</v>
      </c>
    </row>
    <row r="261" spans="1:22" hidden="1" x14ac:dyDescent="0.25">
      <c r="A261" s="483">
        <v>12082024</v>
      </c>
      <c r="B261" t="s">
        <v>608</v>
      </c>
      <c r="C261" s="28" t="s">
        <v>13</v>
      </c>
      <c r="D261" s="359">
        <v>45516</v>
      </c>
      <c r="F261" s="28" t="s">
        <v>236</v>
      </c>
      <c r="G261" s="30" t="s">
        <v>4667</v>
      </c>
      <c r="H261" s="472" t="s">
        <v>4668</v>
      </c>
      <c r="I261" s="236">
        <v>58231</v>
      </c>
      <c r="J261" s="3">
        <f t="shared" si="13"/>
        <v>51243</v>
      </c>
      <c r="K261" t="s">
        <v>17</v>
      </c>
      <c r="L261" s="233">
        <v>45576</v>
      </c>
      <c r="M261"/>
      <c r="N261"/>
      <c r="O261"/>
      <c r="P261"/>
      <c r="Q261"/>
      <c r="T261" t="s">
        <v>4396</v>
      </c>
      <c r="U261" s="360">
        <v>0.87777777777777777</v>
      </c>
      <c r="V261" s="360">
        <v>0.64513888888888882</v>
      </c>
    </row>
    <row r="262" spans="1:22" hidden="1" x14ac:dyDescent="0.25">
      <c r="A262" s="483">
        <v>13082024</v>
      </c>
      <c r="B262" t="s">
        <v>608</v>
      </c>
      <c r="C262" s="28" t="s">
        <v>410</v>
      </c>
      <c r="D262" s="359">
        <v>45517</v>
      </c>
      <c r="F262" s="28" t="s">
        <v>236</v>
      </c>
      <c r="G262" s="30" t="s">
        <v>4670</v>
      </c>
      <c r="H262" s="472" t="s">
        <v>4669</v>
      </c>
      <c r="I262" s="236">
        <v>58231</v>
      </c>
      <c r="J262" s="3">
        <f t="shared" si="13"/>
        <v>51243</v>
      </c>
      <c r="K262" t="s">
        <v>17</v>
      </c>
      <c r="L262" s="233">
        <v>45576</v>
      </c>
      <c r="M262"/>
      <c r="N262"/>
      <c r="O262"/>
      <c r="P262"/>
      <c r="Q262"/>
      <c r="T262" t="s">
        <v>4297</v>
      </c>
      <c r="U262" s="360">
        <v>0.58680555555555558</v>
      </c>
      <c r="V262" s="360">
        <v>0.86041666666666661</v>
      </c>
    </row>
    <row r="263" spans="1:22" hidden="1" x14ac:dyDescent="0.25">
      <c r="A263" s="483">
        <v>23082024</v>
      </c>
      <c r="B263" t="s">
        <v>608</v>
      </c>
      <c r="C263" s="28" t="s">
        <v>13</v>
      </c>
      <c r="D263" s="359">
        <v>45527</v>
      </c>
      <c r="F263" s="28" t="s">
        <v>236</v>
      </c>
      <c r="G263" s="30" t="s">
        <v>4694</v>
      </c>
      <c r="H263" s="472" t="s">
        <v>4730</v>
      </c>
      <c r="I263" s="368">
        <v>58231</v>
      </c>
      <c r="J263" s="3">
        <f t="shared" si="13"/>
        <v>51243</v>
      </c>
      <c r="K263" t="s">
        <v>17</v>
      </c>
      <c r="L263" s="233">
        <v>45617</v>
      </c>
      <c r="M263"/>
      <c r="N263"/>
      <c r="O263"/>
      <c r="P263"/>
      <c r="Q263"/>
      <c r="T263" t="s">
        <v>4071</v>
      </c>
      <c r="U263" s="360">
        <v>0.66180555555555554</v>
      </c>
      <c r="V263" s="360"/>
    </row>
    <row r="264" spans="1:22" hidden="1" x14ac:dyDescent="0.25">
      <c r="A264" s="483">
        <v>27082024</v>
      </c>
      <c r="B264" t="s">
        <v>608</v>
      </c>
      <c r="C264" s="28" t="s">
        <v>410</v>
      </c>
      <c r="D264" s="359">
        <v>45531</v>
      </c>
      <c r="F264" s="28" t="s">
        <v>236</v>
      </c>
      <c r="G264" s="30" t="s">
        <v>4693</v>
      </c>
      <c r="H264" s="472" t="s">
        <v>4731</v>
      </c>
      <c r="I264" s="236">
        <v>58231</v>
      </c>
      <c r="J264" s="3">
        <f t="shared" ref="J264:J295" si="14">+I264-ROUND(I264*0.12,0)</f>
        <v>51243</v>
      </c>
      <c r="K264" t="s">
        <v>17</v>
      </c>
      <c r="L264" s="233">
        <v>45617</v>
      </c>
      <c r="M264"/>
      <c r="N264"/>
      <c r="O264"/>
      <c r="P264"/>
      <c r="Q264"/>
      <c r="T264" t="s">
        <v>4071</v>
      </c>
      <c r="U264" s="360"/>
      <c r="V264" s="360"/>
    </row>
    <row r="265" spans="1:22" hidden="1" x14ac:dyDescent="0.25">
      <c r="A265" s="483">
        <v>29082024</v>
      </c>
      <c r="B265" t="s">
        <v>596</v>
      </c>
      <c r="C265" s="28" t="s">
        <v>13</v>
      </c>
      <c r="D265" s="359">
        <v>45533</v>
      </c>
      <c r="F265" s="28" t="s">
        <v>236</v>
      </c>
      <c r="G265" s="30" t="s">
        <v>4801</v>
      </c>
      <c r="H265" s="472" t="s">
        <v>4811</v>
      </c>
      <c r="I265" s="236">
        <v>58231</v>
      </c>
      <c r="J265" s="3">
        <f t="shared" si="14"/>
        <v>51243</v>
      </c>
      <c r="K265" t="s">
        <v>17</v>
      </c>
      <c r="L265" s="233">
        <v>45617</v>
      </c>
      <c r="M265"/>
      <c r="N265"/>
      <c r="O265"/>
      <c r="P265"/>
      <c r="Q265"/>
      <c r="T265" t="s">
        <v>4509</v>
      </c>
      <c r="U265" s="360">
        <v>0.40416666666666667</v>
      </c>
      <c r="V265" s="360">
        <v>0.70138888888888884</v>
      </c>
    </row>
    <row r="266" spans="1:22" hidden="1" x14ac:dyDescent="0.25">
      <c r="A266" s="483">
        <v>31082024</v>
      </c>
      <c r="B266" t="s">
        <v>4701</v>
      </c>
      <c r="C266" s="28" t="s">
        <v>13</v>
      </c>
      <c r="D266" s="359">
        <v>45535</v>
      </c>
      <c r="F266" s="28" t="s">
        <v>236</v>
      </c>
      <c r="G266" s="30" t="s">
        <v>4800</v>
      </c>
      <c r="H266" s="472" t="s">
        <v>4810</v>
      </c>
      <c r="I266" s="236">
        <v>58231</v>
      </c>
      <c r="J266" s="3">
        <f t="shared" si="14"/>
        <v>51243</v>
      </c>
      <c r="K266" t="s">
        <v>17</v>
      </c>
      <c r="L266" s="233">
        <v>45617</v>
      </c>
      <c r="M266"/>
      <c r="N266"/>
      <c r="O266"/>
      <c r="P266"/>
      <c r="Q266"/>
      <c r="T266" t="s">
        <v>4022</v>
      </c>
      <c r="U266" s="360">
        <v>0.74305555555555558</v>
      </c>
      <c r="V266" s="360">
        <v>1.2500000000000001E-2</v>
      </c>
    </row>
    <row r="267" spans="1:22" hidden="1" x14ac:dyDescent="0.25">
      <c r="A267" s="483">
        <v>6092024</v>
      </c>
      <c r="B267" t="s">
        <v>608</v>
      </c>
      <c r="C267" s="28" t="s">
        <v>410</v>
      </c>
      <c r="D267" s="359">
        <v>45541</v>
      </c>
      <c r="F267" s="28" t="s">
        <v>236</v>
      </c>
      <c r="G267" s="30" t="s">
        <v>4799</v>
      </c>
      <c r="H267" s="472" t="s">
        <v>4809</v>
      </c>
      <c r="I267" s="368">
        <v>58231</v>
      </c>
      <c r="J267" s="3">
        <f t="shared" si="14"/>
        <v>51243</v>
      </c>
      <c r="K267" t="s">
        <v>17</v>
      </c>
      <c r="L267" s="233">
        <v>45617</v>
      </c>
      <c r="M267"/>
      <c r="N267"/>
      <c r="O267"/>
      <c r="P267"/>
      <c r="Q267"/>
      <c r="T267" t="s">
        <v>4396</v>
      </c>
      <c r="U267" s="360"/>
      <c r="V267" s="30"/>
    </row>
    <row r="268" spans="1:22" hidden="1" x14ac:dyDescent="0.25">
      <c r="A268" s="483">
        <v>9092024</v>
      </c>
      <c r="B268" t="s">
        <v>608</v>
      </c>
      <c r="C268" s="28" t="s">
        <v>410</v>
      </c>
      <c r="D268" s="359">
        <v>45544</v>
      </c>
      <c r="F268" s="28" t="s">
        <v>236</v>
      </c>
      <c r="G268" s="30" t="s">
        <v>4795</v>
      </c>
      <c r="H268" s="472" t="s">
        <v>4808</v>
      </c>
      <c r="I268" s="368">
        <v>58231</v>
      </c>
      <c r="J268" s="3">
        <f t="shared" si="14"/>
        <v>51243</v>
      </c>
      <c r="K268" t="s">
        <v>17</v>
      </c>
      <c r="L268" s="233">
        <v>45617</v>
      </c>
      <c r="M268"/>
      <c r="N268"/>
      <c r="O268"/>
      <c r="P268"/>
      <c r="Q268"/>
      <c r="T268" t="s">
        <v>4022</v>
      </c>
      <c r="U268" s="360"/>
      <c r="V268" s="30"/>
    </row>
    <row r="269" spans="1:22" hidden="1" x14ac:dyDescent="0.25">
      <c r="A269" s="483">
        <v>10092024</v>
      </c>
      <c r="B269" t="s">
        <v>608</v>
      </c>
      <c r="C269" s="28" t="s">
        <v>410</v>
      </c>
      <c r="D269" s="359">
        <v>45545</v>
      </c>
      <c r="F269" s="28" t="s">
        <v>236</v>
      </c>
      <c r="G269" s="30" t="s">
        <v>4796</v>
      </c>
      <c r="H269" s="472" t="s">
        <v>4807</v>
      </c>
      <c r="I269" s="236">
        <v>58231</v>
      </c>
      <c r="J269" s="3">
        <f t="shared" si="14"/>
        <v>51243</v>
      </c>
      <c r="K269" t="s">
        <v>17</v>
      </c>
      <c r="L269" s="233">
        <v>45622</v>
      </c>
      <c r="M269"/>
      <c r="N269"/>
      <c r="O269"/>
      <c r="P269"/>
      <c r="Q269"/>
      <c r="T269" t="s">
        <v>4509</v>
      </c>
      <c r="U269" s="360">
        <v>0.88055555555555554</v>
      </c>
      <c r="V269" s="360">
        <v>0.14097222222222222</v>
      </c>
    </row>
    <row r="270" spans="1:22" hidden="1" x14ac:dyDescent="0.25">
      <c r="A270" s="483">
        <v>10092024</v>
      </c>
      <c r="B270" t="s">
        <v>608</v>
      </c>
      <c r="C270" s="28" t="s">
        <v>410</v>
      </c>
      <c r="D270" s="359">
        <v>45545</v>
      </c>
      <c r="F270" s="28" t="s">
        <v>236</v>
      </c>
      <c r="G270" s="30" t="s">
        <v>4797</v>
      </c>
      <c r="H270" s="472" t="s">
        <v>4806</v>
      </c>
      <c r="I270" s="368">
        <v>58231</v>
      </c>
      <c r="J270" s="3">
        <f t="shared" si="14"/>
        <v>51243</v>
      </c>
      <c r="K270" t="s">
        <v>17</v>
      </c>
      <c r="L270" s="233">
        <v>45622</v>
      </c>
      <c r="M270"/>
      <c r="N270"/>
      <c r="O270"/>
      <c r="P270"/>
      <c r="Q270"/>
      <c r="T270" t="s">
        <v>1506</v>
      </c>
      <c r="U270" s="360">
        <v>0.27569444444444446</v>
      </c>
      <c r="V270" s="360">
        <v>0.58402777777777781</v>
      </c>
    </row>
    <row r="271" spans="1:22" ht="14.1" hidden="1" customHeight="1" x14ac:dyDescent="0.25">
      <c r="A271" s="483">
        <v>10092024</v>
      </c>
      <c r="B271" t="s">
        <v>608</v>
      </c>
      <c r="C271" s="28" t="s">
        <v>410</v>
      </c>
      <c r="D271" s="359">
        <v>45545</v>
      </c>
      <c r="F271" s="28" t="s">
        <v>236</v>
      </c>
      <c r="G271" s="30" t="s">
        <v>4798</v>
      </c>
      <c r="H271" s="472" t="s">
        <v>4805</v>
      </c>
      <c r="I271" s="368">
        <v>58231</v>
      </c>
      <c r="J271" s="3">
        <f t="shared" si="14"/>
        <v>51243</v>
      </c>
      <c r="K271" t="s">
        <v>17</v>
      </c>
      <c r="L271" s="233">
        <v>45622</v>
      </c>
      <c r="M271"/>
      <c r="N271"/>
      <c r="O271"/>
      <c r="P271"/>
      <c r="Q271"/>
      <c r="T271" t="s">
        <v>4509</v>
      </c>
      <c r="U271" s="360">
        <v>0.72013888888888899</v>
      </c>
      <c r="V271" s="360">
        <v>2.0833333333333332E-2</v>
      </c>
    </row>
    <row r="272" spans="1:22" hidden="1" x14ac:dyDescent="0.25">
      <c r="A272" s="483">
        <v>11092024</v>
      </c>
      <c r="B272" t="s">
        <v>608</v>
      </c>
      <c r="C272" s="28" t="s">
        <v>13</v>
      </c>
      <c r="D272" s="359">
        <v>45546</v>
      </c>
      <c r="F272" s="28" t="s">
        <v>236</v>
      </c>
      <c r="G272" s="30" t="s">
        <v>4794</v>
      </c>
      <c r="H272" s="472" t="s">
        <v>4804</v>
      </c>
      <c r="I272" s="368">
        <v>58231</v>
      </c>
      <c r="J272" s="3">
        <f t="shared" si="14"/>
        <v>51243</v>
      </c>
      <c r="K272" t="s">
        <v>17</v>
      </c>
      <c r="L272" s="233">
        <v>45622</v>
      </c>
      <c r="M272"/>
      <c r="N272"/>
      <c r="O272"/>
      <c r="P272"/>
      <c r="Q272"/>
      <c r="T272" t="s">
        <v>4138</v>
      </c>
      <c r="U272" s="360">
        <v>0.77847222222222223</v>
      </c>
      <c r="V272" s="360">
        <v>5.9722222222222225E-2</v>
      </c>
    </row>
    <row r="273" spans="1:22" hidden="1" x14ac:dyDescent="0.25">
      <c r="A273" s="483">
        <v>16092024</v>
      </c>
      <c r="B273" t="s">
        <v>608</v>
      </c>
      <c r="C273" s="28" t="s">
        <v>13</v>
      </c>
      <c r="D273" s="359">
        <v>45551</v>
      </c>
      <c r="F273" s="28" t="s">
        <v>236</v>
      </c>
      <c r="G273" s="30" t="s">
        <v>4802</v>
      </c>
      <c r="H273" s="472" t="s">
        <v>4803</v>
      </c>
      <c r="I273" s="368">
        <v>58231</v>
      </c>
      <c r="J273" s="3">
        <f t="shared" si="14"/>
        <v>51243</v>
      </c>
      <c r="K273" t="s">
        <v>17</v>
      </c>
      <c r="L273" s="233">
        <v>45622</v>
      </c>
      <c r="M273"/>
      <c r="N273"/>
      <c r="O273"/>
      <c r="P273"/>
      <c r="Q273"/>
      <c r="T273" t="s">
        <v>1644</v>
      </c>
      <c r="U273" s="360">
        <v>0.75486111111111109</v>
      </c>
      <c r="V273" s="360">
        <v>2.9861111111111113E-2</v>
      </c>
    </row>
    <row r="274" spans="1:22" hidden="1" x14ac:dyDescent="0.25">
      <c r="A274" s="483">
        <v>21092024</v>
      </c>
      <c r="B274" t="s">
        <v>608</v>
      </c>
      <c r="C274" s="28" t="s">
        <v>13</v>
      </c>
      <c r="D274" s="359">
        <v>45556</v>
      </c>
      <c r="F274" s="28" t="s">
        <v>236</v>
      </c>
      <c r="G274" s="30" t="s">
        <v>4914</v>
      </c>
      <c r="H274" s="472" t="s">
        <v>4916</v>
      </c>
      <c r="I274" s="236">
        <v>58231</v>
      </c>
      <c r="J274" s="3">
        <f t="shared" si="14"/>
        <v>51243</v>
      </c>
      <c r="K274" t="s">
        <v>17</v>
      </c>
      <c r="L274" s="233">
        <v>45628</v>
      </c>
      <c r="M274"/>
      <c r="N274"/>
      <c r="O274"/>
      <c r="P274"/>
      <c r="Q274"/>
      <c r="T274" t="s">
        <v>1644</v>
      </c>
      <c r="U274" s="360">
        <v>0.67986111111111114</v>
      </c>
      <c r="V274" s="360">
        <v>0.95416666666666661</v>
      </c>
    </row>
    <row r="275" spans="1:22" hidden="1" x14ac:dyDescent="0.25">
      <c r="A275" s="483">
        <v>25092024</v>
      </c>
      <c r="B275" t="s">
        <v>596</v>
      </c>
      <c r="C275" s="28" t="s">
        <v>410</v>
      </c>
      <c r="D275" s="359">
        <v>45560</v>
      </c>
      <c r="F275" s="28" t="s">
        <v>236</v>
      </c>
      <c r="G275" s="30" t="s">
        <v>4915</v>
      </c>
      <c r="H275" s="472" t="s">
        <v>4917</v>
      </c>
      <c r="I275" s="313">
        <v>58231</v>
      </c>
      <c r="J275" s="3">
        <f t="shared" si="14"/>
        <v>51243</v>
      </c>
      <c r="K275" t="s">
        <v>17</v>
      </c>
      <c r="L275" s="233">
        <v>45628</v>
      </c>
      <c r="M275"/>
      <c r="N275"/>
      <c r="O275"/>
      <c r="P275"/>
      <c r="Q275"/>
      <c r="T275" t="s">
        <v>1644</v>
      </c>
      <c r="U275" s="360"/>
      <c r="V275" s="30"/>
    </row>
    <row r="276" spans="1:22" hidden="1" x14ac:dyDescent="0.25">
      <c r="A276" s="483" t="s">
        <v>4913</v>
      </c>
      <c r="B276" t="s">
        <v>608</v>
      </c>
      <c r="C276" s="28" t="s">
        <v>410</v>
      </c>
      <c r="D276" s="359">
        <v>45579</v>
      </c>
      <c r="F276" s="276" t="s">
        <v>236</v>
      </c>
      <c r="G276" s="30" t="s">
        <v>4977</v>
      </c>
      <c r="H276" s="472" t="s">
        <v>4979</v>
      </c>
      <c r="I276" s="313">
        <v>58231</v>
      </c>
      <c r="J276" s="3">
        <f t="shared" si="14"/>
        <v>51243</v>
      </c>
      <c r="K276" t="s">
        <v>17</v>
      </c>
      <c r="L276" s="233">
        <v>45628</v>
      </c>
      <c r="M276"/>
      <c r="N276"/>
      <c r="O276"/>
      <c r="P276"/>
      <c r="Q276"/>
      <c r="T276" t="s">
        <v>4940</v>
      </c>
      <c r="U276" s="360">
        <v>0.72013888888888899</v>
      </c>
      <c r="V276" s="360">
        <v>1.5277777777777777E-2</v>
      </c>
    </row>
    <row r="277" spans="1:22" s="19" customFormat="1" hidden="1" x14ac:dyDescent="0.25">
      <c r="A277" s="690">
        <v>21102024</v>
      </c>
      <c r="B277" s="19" t="s">
        <v>608</v>
      </c>
      <c r="C277" s="472" t="s">
        <v>4218</v>
      </c>
      <c r="D277" s="1106">
        <v>45586</v>
      </c>
      <c r="F277" s="472" t="s">
        <v>236</v>
      </c>
      <c r="G277" s="365" t="s">
        <v>4998</v>
      </c>
      <c r="H277" s="472" t="s">
        <v>4999</v>
      </c>
      <c r="I277" s="366">
        <v>58231</v>
      </c>
      <c r="J277" s="692">
        <f t="shared" si="14"/>
        <v>51243</v>
      </c>
      <c r="K277" t="s">
        <v>17</v>
      </c>
      <c r="L277" s="233">
        <v>45628</v>
      </c>
      <c r="N277"/>
      <c r="O277"/>
      <c r="T277" s="19" t="s">
        <v>4417</v>
      </c>
      <c r="U277" s="693">
        <v>0.6479166666666667</v>
      </c>
      <c r="V277" s="693">
        <v>0.92777777777777781</v>
      </c>
    </row>
    <row r="278" spans="1:22" hidden="1" x14ac:dyDescent="0.25">
      <c r="A278" s="483">
        <v>25102024</v>
      </c>
      <c r="B278" t="s">
        <v>608</v>
      </c>
      <c r="C278" s="28" t="s">
        <v>410</v>
      </c>
      <c r="D278" s="359">
        <v>45590</v>
      </c>
      <c r="F278" s="28" t="s">
        <v>236</v>
      </c>
      <c r="G278" s="30" t="s">
        <v>5012</v>
      </c>
      <c r="H278" s="472" t="s">
        <v>5013</v>
      </c>
      <c r="I278" s="313">
        <v>58231</v>
      </c>
      <c r="J278" s="3">
        <f t="shared" si="14"/>
        <v>51243</v>
      </c>
      <c r="K278" t="s">
        <v>17</v>
      </c>
      <c r="L278" s="233">
        <v>45688</v>
      </c>
      <c r="M278"/>
      <c r="N278"/>
      <c r="O278"/>
      <c r="P278"/>
      <c r="Q278"/>
      <c r="T278"/>
      <c r="U278" s="360"/>
      <c r="V278" s="360"/>
    </row>
    <row r="279" spans="1:22" hidden="1" x14ac:dyDescent="0.25">
      <c r="A279" s="483">
        <v>29102024</v>
      </c>
      <c r="B279" t="s">
        <v>596</v>
      </c>
      <c r="C279" s="28" t="s">
        <v>13</v>
      </c>
      <c r="D279" s="359">
        <v>45594</v>
      </c>
      <c r="F279" s="28" t="s">
        <v>236</v>
      </c>
      <c r="G279" s="30" t="s">
        <v>5044</v>
      </c>
      <c r="H279" s="472" t="s">
        <v>5054</v>
      </c>
      <c r="I279" s="313">
        <v>58231</v>
      </c>
      <c r="J279" s="3">
        <f t="shared" si="14"/>
        <v>51243</v>
      </c>
      <c r="K279" t="s">
        <v>17</v>
      </c>
      <c r="L279" s="233">
        <v>45688</v>
      </c>
      <c r="M279"/>
      <c r="N279"/>
      <c r="O279"/>
      <c r="P279"/>
      <c r="Q279"/>
      <c r="T279" t="s">
        <v>5020</v>
      </c>
      <c r="U279" s="360">
        <v>0.67083333333333339</v>
      </c>
      <c r="V279" s="360">
        <v>0.96944444444444444</v>
      </c>
    </row>
    <row r="280" spans="1:22" hidden="1" x14ac:dyDescent="0.25">
      <c r="A280" s="483" t="s">
        <v>5096</v>
      </c>
      <c r="B280" t="s">
        <v>608</v>
      </c>
      <c r="C280" s="233" t="s">
        <v>13</v>
      </c>
      <c r="D280" s="359">
        <v>45608</v>
      </c>
      <c r="E280" s="28"/>
      <c r="F280" s="28" t="s">
        <v>236</v>
      </c>
      <c r="G280" t="s">
        <v>5128</v>
      </c>
      <c r="H280" s="472" t="s">
        <v>5129</v>
      </c>
      <c r="I280" s="88">
        <v>58231</v>
      </c>
      <c r="J280" s="3">
        <f t="shared" si="14"/>
        <v>51243</v>
      </c>
      <c r="K280" t="s">
        <v>17</v>
      </c>
      <c r="L280" s="233">
        <v>45688</v>
      </c>
      <c r="M280"/>
      <c r="N280"/>
      <c r="O280"/>
      <c r="P280"/>
      <c r="Q280"/>
      <c r="T280" t="s">
        <v>4396</v>
      </c>
      <c r="U280" s="360">
        <v>0.94722222222222219</v>
      </c>
      <c r="V280" s="360">
        <v>0.22361111111111112</v>
      </c>
    </row>
    <row r="281" spans="1:22" hidden="1" x14ac:dyDescent="0.25">
      <c r="A281" s="483">
        <v>30112024</v>
      </c>
      <c r="B281" t="s">
        <v>608</v>
      </c>
      <c r="C281" s="233" t="s">
        <v>13</v>
      </c>
      <c r="D281" s="359">
        <v>45626</v>
      </c>
      <c r="E281" s="28"/>
      <c r="F281" s="28" t="s">
        <v>236</v>
      </c>
      <c r="G281" t="s">
        <v>4693</v>
      </c>
      <c r="H281" s="472" t="s">
        <v>5255</v>
      </c>
      <c r="I281" s="88">
        <v>58231</v>
      </c>
      <c r="J281" s="3">
        <f t="shared" si="14"/>
        <v>51243</v>
      </c>
      <c r="K281" t="s">
        <v>17</v>
      </c>
      <c r="L281" s="233">
        <v>45673</v>
      </c>
      <c r="M281"/>
      <c r="N281"/>
      <c r="O281"/>
      <c r="P281"/>
      <c r="Q281"/>
      <c r="T281" t="s">
        <v>5098</v>
      </c>
      <c r="U281" s="360">
        <v>0.26944444444444443</v>
      </c>
      <c r="V281" s="360">
        <v>0.57361111111111118</v>
      </c>
    </row>
    <row r="282" spans="1:22" hidden="1" x14ac:dyDescent="0.25">
      <c r="A282" s="483">
        <v>3122024</v>
      </c>
      <c r="B282" t="s">
        <v>608</v>
      </c>
      <c r="C282" s="233" t="s">
        <v>410</v>
      </c>
      <c r="D282" s="359">
        <v>45629</v>
      </c>
      <c r="E282" s="28"/>
      <c r="F282" s="28" t="s">
        <v>236</v>
      </c>
      <c r="G282" t="s">
        <v>5299</v>
      </c>
      <c r="H282" s="472" t="s">
        <v>5300</v>
      </c>
      <c r="I282" s="88">
        <v>58231</v>
      </c>
      <c r="J282" s="3">
        <f t="shared" si="14"/>
        <v>51243</v>
      </c>
      <c r="K282" t="s">
        <v>17</v>
      </c>
      <c r="L282" s="233">
        <v>45673</v>
      </c>
      <c r="M282">
        <f>51243*3</f>
        <v>153729</v>
      </c>
      <c r="N282"/>
      <c r="O282"/>
      <c r="P282"/>
      <c r="Q282"/>
      <c r="T282"/>
      <c r="U282" s="360"/>
      <c r="V282" s="360"/>
    </row>
    <row r="283" spans="1:22" hidden="1" x14ac:dyDescent="0.25">
      <c r="A283" s="483">
        <v>28122024</v>
      </c>
      <c r="B283" t="s">
        <v>608</v>
      </c>
      <c r="C283" s="233" t="s">
        <v>4218</v>
      </c>
      <c r="D283" s="359">
        <v>45654</v>
      </c>
      <c r="E283" s="28"/>
      <c r="F283" s="28" t="s">
        <v>236</v>
      </c>
      <c r="G283" s="954" t="s">
        <v>5451</v>
      </c>
      <c r="H283" s="472" t="s">
        <v>5476</v>
      </c>
      <c r="I283" s="88">
        <v>58231</v>
      </c>
      <c r="J283" s="692">
        <f t="shared" si="14"/>
        <v>51243</v>
      </c>
      <c r="K283" t="s">
        <v>17</v>
      </c>
      <c r="L283" s="233">
        <v>45800</v>
      </c>
      <c r="M283"/>
      <c r="N283"/>
      <c r="O283"/>
      <c r="P283" s="32"/>
      <c r="Q283"/>
      <c r="T283" t="s">
        <v>4139</v>
      </c>
      <c r="U283" s="360">
        <v>0.26458333333333334</v>
      </c>
      <c r="V283" s="360">
        <v>0.55069444444444449</v>
      </c>
    </row>
    <row r="284" spans="1:22" hidden="1" x14ac:dyDescent="0.25">
      <c r="A284" s="483">
        <v>31122024</v>
      </c>
      <c r="B284" t="s">
        <v>608</v>
      </c>
      <c r="C284" s="233" t="s">
        <v>4218</v>
      </c>
      <c r="D284" s="359">
        <v>45657</v>
      </c>
      <c r="E284" s="28"/>
      <c r="F284" s="28" t="s">
        <v>236</v>
      </c>
      <c r="G284" s="19" t="s">
        <v>5474</v>
      </c>
      <c r="H284" s="472" t="s">
        <v>5477</v>
      </c>
      <c r="I284" s="88">
        <v>58231</v>
      </c>
      <c r="J284" s="692">
        <f t="shared" si="14"/>
        <v>51243</v>
      </c>
      <c r="K284" t="s">
        <v>17</v>
      </c>
      <c r="L284" s="233">
        <v>45800</v>
      </c>
      <c r="M284"/>
      <c r="N284"/>
      <c r="O284"/>
      <c r="P284" s="32"/>
      <c r="Q284"/>
      <c r="T284" t="s">
        <v>5131</v>
      </c>
      <c r="U284" s="360">
        <v>0.60902777777777783</v>
      </c>
      <c r="V284" s="360">
        <v>0.875</v>
      </c>
    </row>
    <row r="285" spans="1:22" hidden="1" x14ac:dyDescent="0.25">
      <c r="A285" s="483">
        <v>31122024</v>
      </c>
      <c r="B285" t="s">
        <v>608</v>
      </c>
      <c r="C285" s="233" t="s">
        <v>410</v>
      </c>
      <c r="D285" s="359">
        <v>45657</v>
      </c>
      <c r="E285" s="28"/>
      <c r="F285" s="28" t="s">
        <v>236</v>
      </c>
      <c r="G285" s="19" t="s">
        <v>5475</v>
      </c>
      <c r="H285" s="472" t="s">
        <v>5478</v>
      </c>
      <c r="I285" s="88">
        <v>58231</v>
      </c>
      <c r="J285" s="692">
        <f t="shared" si="14"/>
        <v>51243</v>
      </c>
      <c r="K285" t="s">
        <v>17</v>
      </c>
      <c r="L285" s="233">
        <v>45800</v>
      </c>
      <c r="M285"/>
      <c r="N285"/>
      <c r="O285"/>
      <c r="P285" s="32"/>
      <c r="Q285"/>
      <c r="T285" t="s">
        <v>4983</v>
      </c>
      <c r="U285" s="360">
        <v>0.61249999999999993</v>
      </c>
      <c r="V285" s="360">
        <v>0.88055555555555554</v>
      </c>
    </row>
    <row r="286" spans="1:22" hidden="1" x14ac:dyDescent="0.25">
      <c r="A286" s="483">
        <v>13012025</v>
      </c>
      <c r="B286" t="s">
        <v>608</v>
      </c>
      <c r="C286" s="233" t="s">
        <v>4218</v>
      </c>
      <c r="D286" s="359">
        <v>45670</v>
      </c>
      <c r="E286" s="28"/>
      <c r="F286" s="28" t="s">
        <v>236</v>
      </c>
      <c r="G286" s="19" t="s">
        <v>5532</v>
      </c>
      <c r="H286" s="472" t="s">
        <v>5533</v>
      </c>
      <c r="I286" s="88">
        <v>58231</v>
      </c>
      <c r="J286" s="692">
        <f t="shared" si="14"/>
        <v>51243</v>
      </c>
      <c r="K286" t="s">
        <v>17</v>
      </c>
      <c r="L286" s="233">
        <v>45769</v>
      </c>
      <c r="M286"/>
      <c r="N286"/>
      <c r="O286"/>
      <c r="P286" s="32"/>
      <c r="Q286"/>
      <c r="T286" t="s">
        <v>5078</v>
      </c>
      <c r="U286" s="360">
        <v>0.26041666666666669</v>
      </c>
      <c r="V286" s="360"/>
    </row>
    <row r="287" spans="1:22" hidden="1" x14ac:dyDescent="0.25">
      <c r="A287" s="483">
        <v>15012025</v>
      </c>
      <c r="B287" t="s">
        <v>608</v>
      </c>
      <c r="C287" s="233" t="s">
        <v>4218</v>
      </c>
      <c r="D287" s="359">
        <v>45672</v>
      </c>
      <c r="E287" s="28"/>
      <c r="F287" s="28" t="s">
        <v>236</v>
      </c>
      <c r="G287" s="19" t="s">
        <v>5531</v>
      </c>
      <c r="H287" s="472" t="s">
        <v>5534</v>
      </c>
      <c r="I287" s="88">
        <v>58231</v>
      </c>
      <c r="J287" s="692">
        <f t="shared" si="14"/>
        <v>51243</v>
      </c>
      <c r="K287" t="s">
        <v>17</v>
      </c>
      <c r="L287" s="233">
        <v>45769</v>
      </c>
      <c r="M287"/>
      <c r="N287"/>
      <c r="O287"/>
      <c r="P287" s="32"/>
      <c r="Q287"/>
      <c r="T287" t="s">
        <v>4617</v>
      </c>
      <c r="U287" s="360">
        <v>0.54236111111111118</v>
      </c>
      <c r="V287" s="360">
        <v>0.82500000000000007</v>
      </c>
    </row>
    <row r="288" spans="1:22" hidden="1" x14ac:dyDescent="0.25">
      <c r="A288" s="483">
        <v>17012025</v>
      </c>
      <c r="B288" t="s">
        <v>608</v>
      </c>
      <c r="C288" s="233" t="s">
        <v>4218</v>
      </c>
      <c r="D288" s="359">
        <v>45674</v>
      </c>
      <c r="E288" s="28"/>
      <c r="F288" s="28" t="s">
        <v>236</v>
      </c>
      <c r="G288" s="19" t="s">
        <v>5549</v>
      </c>
      <c r="H288" s="1101" t="s">
        <v>5551</v>
      </c>
      <c r="I288" s="88">
        <v>58231</v>
      </c>
      <c r="J288" s="692">
        <f t="shared" si="14"/>
        <v>51243</v>
      </c>
      <c r="K288" t="s">
        <v>17</v>
      </c>
      <c r="L288" s="233">
        <v>45769</v>
      </c>
      <c r="M288"/>
      <c r="N288"/>
      <c r="O288"/>
      <c r="P288" s="32"/>
      <c r="Q288"/>
      <c r="T288" t="s">
        <v>5131</v>
      </c>
      <c r="U288" s="360">
        <v>0.41597222222222219</v>
      </c>
      <c r="V288" s="360">
        <v>0.68194444444444446</v>
      </c>
    </row>
    <row r="289" spans="1:24" ht="14.1" hidden="1" customHeight="1" x14ac:dyDescent="0.25">
      <c r="A289" s="483">
        <v>17012025</v>
      </c>
      <c r="B289" t="s">
        <v>608</v>
      </c>
      <c r="C289" s="233" t="s">
        <v>410</v>
      </c>
      <c r="D289" s="359">
        <v>45674</v>
      </c>
      <c r="E289" s="28"/>
      <c r="F289" s="28" t="s">
        <v>236</v>
      </c>
      <c r="G289" t="s">
        <v>5548</v>
      </c>
      <c r="H289" s="1101" t="s">
        <v>5552</v>
      </c>
      <c r="I289" s="88">
        <v>58231</v>
      </c>
      <c r="J289" s="692">
        <f t="shared" si="14"/>
        <v>51243</v>
      </c>
      <c r="K289" t="s">
        <v>17</v>
      </c>
      <c r="L289" s="233">
        <v>45769</v>
      </c>
      <c r="M289"/>
      <c r="N289"/>
      <c r="O289"/>
      <c r="P289" s="32"/>
      <c r="Q289" s="149"/>
      <c r="T289" t="s">
        <v>4911</v>
      </c>
      <c r="U289" s="360">
        <v>0.71597222222222223</v>
      </c>
      <c r="V289" s="360">
        <v>0.50694444444444442</v>
      </c>
    </row>
    <row r="290" spans="1:24" hidden="1" x14ac:dyDescent="0.25">
      <c r="A290" s="483">
        <v>18012025</v>
      </c>
      <c r="B290" t="s">
        <v>608</v>
      </c>
      <c r="C290" s="233" t="s">
        <v>4218</v>
      </c>
      <c r="D290" s="359">
        <v>45675</v>
      </c>
      <c r="E290" s="28"/>
      <c r="F290" s="28" t="s">
        <v>236</v>
      </c>
      <c r="G290" t="s">
        <v>5547</v>
      </c>
      <c r="H290" s="1101" t="s">
        <v>5553</v>
      </c>
      <c r="I290" s="88">
        <v>58231</v>
      </c>
      <c r="J290" s="3">
        <f t="shared" si="14"/>
        <v>51243</v>
      </c>
      <c r="K290" t="s">
        <v>17</v>
      </c>
      <c r="L290" s="233">
        <v>45776</v>
      </c>
      <c r="M290"/>
      <c r="N290"/>
      <c r="O290"/>
      <c r="P290" s="32"/>
      <c r="Q290"/>
      <c r="T290" t="s">
        <v>4365</v>
      </c>
      <c r="U290" s="360">
        <v>0.26944444444444443</v>
      </c>
      <c r="V290" s="360">
        <v>0.55486111111111114</v>
      </c>
    </row>
    <row r="291" spans="1:24" hidden="1" x14ac:dyDescent="0.25">
      <c r="A291" s="483">
        <v>20012025</v>
      </c>
      <c r="B291" t="s">
        <v>608</v>
      </c>
      <c r="C291" s="233" t="s">
        <v>4218</v>
      </c>
      <c r="D291" s="359">
        <v>45677</v>
      </c>
      <c r="F291" s="28" t="s">
        <v>236</v>
      </c>
      <c r="G291" t="s">
        <v>5550</v>
      </c>
      <c r="H291" s="1101" t="s">
        <v>5554</v>
      </c>
      <c r="I291" s="88">
        <v>58231</v>
      </c>
      <c r="J291" s="3">
        <f t="shared" si="14"/>
        <v>51243</v>
      </c>
      <c r="K291" t="s">
        <v>17</v>
      </c>
      <c r="L291" s="233">
        <v>45776</v>
      </c>
      <c r="M291"/>
      <c r="N291"/>
      <c r="O291"/>
      <c r="P291" s="32"/>
      <c r="Q291" s="152"/>
      <c r="T291" t="s">
        <v>4138</v>
      </c>
      <c r="U291" s="360">
        <v>0.75277777777777777</v>
      </c>
      <c r="V291" s="360">
        <v>9.7222222222222224E-3</v>
      </c>
    </row>
    <row r="292" spans="1:24" hidden="1" x14ac:dyDescent="0.25">
      <c r="A292" s="483">
        <v>22012025</v>
      </c>
      <c r="B292" t="s">
        <v>608</v>
      </c>
      <c r="C292" s="233" t="s">
        <v>4218</v>
      </c>
      <c r="D292" s="359">
        <v>45679</v>
      </c>
      <c r="F292" s="28" t="s">
        <v>236</v>
      </c>
      <c r="G292" t="s">
        <v>5559</v>
      </c>
      <c r="H292" s="1101" t="s">
        <v>5592</v>
      </c>
      <c r="I292" s="313">
        <v>58231</v>
      </c>
      <c r="J292" s="3">
        <f t="shared" si="14"/>
        <v>51243</v>
      </c>
      <c r="K292" t="s">
        <v>17</v>
      </c>
      <c r="L292" s="233">
        <v>45776</v>
      </c>
      <c r="M292"/>
      <c r="N292"/>
      <c r="O292"/>
      <c r="P292" s="32"/>
      <c r="Q292"/>
      <c r="T292" t="s">
        <v>5506</v>
      </c>
      <c r="U292" s="360">
        <v>0.46319444444444446</v>
      </c>
      <c r="V292" s="360">
        <v>0.73125000000000007</v>
      </c>
    </row>
    <row r="293" spans="1:24" hidden="1" x14ac:dyDescent="0.25">
      <c r="A293" s="483" t="s">
        <v>5634</v>
      </c>
      <c r="B293" t="s">
        <v>608</v>
      </c>
      <c r="C293" s="28" t="s">
        <v>4218</v>
      </c>
      <c r="D293" s="359">
        <v>45695</v>
      </c>
      <c r="E293" s="28"/>
      <c r="F293" s="28" t="s">
        <v>236</v>
      </c>
      <c r="G293" s="30" t="s">
        <v>5680</v>
      </c>
      <c r="H293" s="1101" t="s">
        <v>5665</v>
      </c>
      <c r="I293" s="798">
        <v>58231</v>
      </c>
      <c r="J293" s="3">
        <f t="shared" si="14"/>
        <v>51243</v>
      </c>
      <c r="K293" t="s">
        <v>17</v>
      </c>
      <c r="L293" s="233">
        <v>45796</v>
      </c>
      <c r="M293"/>
      <c r="N293"/>
      <c r="O293"/>
      <c r="P293" s="32"/>
      <c r="Q293"/>
      <c r="T293" t="s">
        <v>5078</v>
      </c>
      <c r="U293" s="360">
        <v>0.25555555555555559</v>
      </c>
      <c r="V293" s="360">
        <v>0.55763888888888891</v>
      </c>
    </row>
    <row r="294" spans="1:24" hidden="1" x14ac:dyDescent="0.25">
      <c r="A294" s="483">
        <v>19022024</v>
      </c>
      <c r="B294" t="s">
        <v>608</v>
      </c>
      <c r="C294" s="28" t="s">
        <v>13</v>
      </c>
      <c r="D294" s="359">
        <v>45707</v>
      </c>
      <c r="E294" s="28"/>
      <c r="F294" s="28" t="s">
        <v>236</v>
      </c>
      <c r="G294" s="30" t="s">
        <v>5724</v>
      </c>
      <c r="H294" s="1101" t="s">
        <v>5729</v>
      </c>
      <c r="I294" s="798">
        <v>58231</v>
      </c>
      <c r="J294" s="3">
        <f t="shared" si="14"/>
        <v>51243</v>
      </c>
      <c r="K294" t="s">
        <v>17</v>
      </c>
      <c r="L294" s="233">
        <v>45796</v>
      </c>
      <c r="M294"/>
      <c r="N294"/>
      <c r="O294"/>
      <c r="P294" s="32"/>
      <c r="Q294"/>
      <c r="T294" t="s">
        <v>4345</v>
      </c>
      <c r="U294" s="360">
        <v>0.6694444444444444</v>
      </c>
      <c r="V294" s="360"/>
    </row>
    <row r="295" spans="1:24" hidden="1" x14ac:dyDescent="0.25">
      <c r="A295" s="483">
        <v>21022024</v>
      </c>
      <c r="B295" t="s">
        <v>608</v>
      </c>
      <c r="C295" s="28" t="s">
        <v>4218</v>
      </c>
      <c r="D295" s="359">
        <v>45709</v>
      </c>
      <c r="E295" s="28"/>
      <c r="F295" s="28" t="s">
        <v>236</v>
      </c>
      <c r="G295" s="30" t="s">
        <v>5723</v>
      </c>
      <c r="H295" s="1101" t="s">
        <v>5730</v>
      </c>
      <c r="I295" s="313">
        <v>58231</v>
      </c>
      <c r="J295" s="3">
        <f t="shared" si="14"/>
        <v>51243</v>
      </c>
      <c r="K295" t="s">
        <v>17</v>
      </c>
      <c r="L295" s="233">
        <v>45806</v>
      </c>
      <c r="M295"/>
      <c r="N295"/>
      <c r="O295"/>
      <c r="P295" s="32"/>
      <c r="Q295"/>
      <c r="T295" t="s">
        <v>4853</v>
      </c>
      <c r="U295" s="360">
        <v>0.4069444444444445</v>
      </c>
      <c r="V295" s="360">
        <v>0.69930555555555562</v>
      </c>
    </row>
    <row r="298" spans="1:24" ht="15.75" thickBot="1" x14ac:dyDescent="0.3">
      <c r="A298" s="509"/>
      <c r="D298" s="359"/>
      <c r="G298" s="30"/>
      <c r="H298" s="30"/>
      <c r="I298" s="237"/>
      <c r="J298"/>
      <c r="L298" s="251"/>
      <c r="M298"/>
      <c r="N298"/>
      <c r="O298"/>
      <c r="P298" s="32"/>
      <c r="Q298"/>
      <c r="T298" s="14"/>
      <c r="U298" s="360"/>
      <c r="V298" s="360"/>
    </row>
    <row r="299" spans="1:24" ht="54" customHeight="1" thickBot="1" x14ac:dyDescent="0.3">
      <c r="C299" s="1552" t="s">
        <v>8583</v>
      </c>
      <c r="D299" s="1552"/>
      <c r="E299" s="1552"/>
      <c r="F299" s="1552"/>
      <c r="G299" s="1552"/>
      <c r="H299" s="1552"/>
      <c r="I299" s="1553"/>
    </row>
    <row r="300" spans="1:24" s="28" customFormat="1" ht="20.25" customHeight="1" x14ac:dyDescent="0.25">
      <c r="B300" s="955"/>
      <c r="C300" s="956"/>
      <c r="D300" s="1105" t="s">
        <v>437</v>
      </c>
      <c r="E300" s="956"/>
      <c r="F300" s="956" t="s">
        <v>3</v>
      </c>
      <c r="G300" s="956" t="s">
        <v>5955</v>
      </c>
      <c r="H300" s="956" t="s">
        <v>2044</v>
      </c>
      <c r="I300" s="956" t="s">
        <v>5542</v>
      </c>
      <c r="L300" s="53"/>
      <c r="M300" s="129"/>
      <c r="N300" s="129"/>
      <c r="O300" s="129"/>
      <c r="P300" s="61"/>
      <c r="Q300" s="61"/>
      <c r="T300" s="129"/>
    </row>
    <row r="301" spans="1:24" s="19" customFormat="1" x14ac:dyDescent="0.25">
      <c r="A301" s="1475" t="s">
        <v>8584</v>
      </c>
      <c r="B301" s="163" t="s">
        <v>608</v>
      </c>
      <c r="C301" s="1476" t="s">
        <v>13</v>
      </c>
      <c r="D301" s="691">
        <v>46268</v>
      </c>
      <c r="E301" s="472"/>
      <c r="F301" s="1101" t="s">
        <v>236</v>
      </c>
      <c r="G301" s="140" t="s">
        <v>8660</v>
      </c>
      <c r="H301" s="472"/>
      <c r="I301" s="1477">
        <v>58790</v>
      </c>
      <c r="M301" s="1478"/>
      <c r="N301" s="983"/>
      <c r="O301" s="140"/>
      <c r="V301" s="19" t="s">
        <v>8065</v>
      </c>
      <c r="W301" s="693">
        <v>0.28611111111111109</v>
      </c>
      <c r="X301" s="693">
        <v>0.55833333333333335</v>
      </c>
    </row>
    <row r="302" spans="1:24" s="28" customFormat="1" ht="20.25" customHeight="1" x14ac:dyDescent="0.25">
      <c r="A302" s="1448" t="s">
        <v>8644</v>
      </c>
      <c r="B302" s="163" t="s">
        <v>608</v>
      </c>
      <c r="C302" s="31" t="s">
        <v>13</v>
      </c>
      <c r="D302" s="233">
        <v>46284</v>
      </c>
      <c r="F302" s="313" t="s">
        <v>236</v>
      </c>
      <c r="G302" s="88" t="s">
        <v>8659</v>
      </c>
      <c r="I302" s="915">
        <v>58790</v>
      </c>
      <c r="J302"/>
      <c r="K302"/>
      <c r="L302"/>
      <c r="N302" s="129"/>
      <c r="O302" s="129"/>
      <c r="P302" s="61"/>
      <c r="Q302" s="61"/>
      <c r="T302" s="129"/>
    </row>
    <row r="303" spans="1:24" s="28" customFormat="1" ht="20.25" customHeight="1" x14ac:dyDescent="0.25">
      <c r="A303" s="1618" t="s">
        <v>8674</v>
      </c>
      <c r="B303" s="1619" t="s">
        <v>8677</v>
      </c>
      <c r="C303" s="1620" t="s">
        <v>410</v>
      </c>
      <c r="D303" s="1621">
        <v>46290</v>
      </c>
      <c r="E303" s="1622"/>
      <c r="F303" s="313" t="s">
        <v>236</v>
      </c>
      <c r="G303" s="1623" t="s">
        <v>8683</v>
      </c>
      <c r="H303" s="88"/>
      <c r="I303" s="915">
        <v>58790</v>
      </c>
      <c r="J303" s="1623"/>
      <c r="K303" s="1623"/>
      <c r="L303" s="1623"/>
      <c r="N303" s="129"/>
      <c r="O303" s="129"/>
      <c r="P303" s="61"/>
      <c r="Q303" s="61"/>
      <c r="T303" s="129"/>
    </row>
    <row r="304" spans="1:24" s="28" customFormat="1" ht="20.25" customHeight="1" x14ac:dyDescent="0.25">
      <c r="B304" s="955"/>
      <c r="C304" s="956"/>
      <c r="D304" s="1105"/>
      <c r="E304" s="956"/>
      <c r="F304" s="956"/>
      <c r="G304" s="956"/>
      <c r="H304" s="956"/>
      <c r="I304" s="956"/>
      <c r="L304" s="53"/>
      <c r="M304" s="129"/>
      <c r="N304" s="129"/>
      <c r="O304" s="129"/>
      <c r="P304" s="61"/>
      <c r="Q304" s="61"/>
      <c r="T304" s="129"/>
    </row>
    <row r="305" spans="1:22" x14ac:dyDescent="0.25">
      <c r="A305" s="483"/>
      <c r="D305" s="359"/>
      <c r="G305" s="28"/>
      <c r="H305"/>
      <c r="I305" s="313"/>
      <c r="J305"/>
      <c r="L305" s="88"/>
      <c r="M305"/>
      <c r="N305"/>
      <c r="O305"/>
      <c r="P305" s="32"/>
      <c r="Q305"/>
      <c r="T305" s="14"/>
      <c r="U305" s="360"/>
      <c r="V305" s="360"/>
    </row>
    <row r="306" spans="1:22" ht="15.75" thickBot="1" x14ac:dyDescent="0.3">
      <c r="A306" s="483"/>
      <c r="D306" s="359"/>
      <c r="G306" s="28"/>
      <c r="H306"/>
      <c r="I306" s="313"/>
      <c r="J306"/>
      <c r="L306" s="88"/>
      <c r="M306"/>
      <c r="N306"/>
      <c r="O306"/>
      <c r="P306" s="32"/>
      <c r="Q306"/>
      <c r="T306" s="14"/>
      <c r="U306" s="360"/>
      <c r="V306" s="360"/>
    </row>
    <row r="307" spans="1:22" ht="15.75" thickBot="1" x14ac:dyDescent="0.3">
      <c r="A307" s="483"/>
      <c r="D307" s="359"/>
      <c r="G307" s="28"/>
      <c r="H307" s="25" t="s">
        <v>8547</v>
      </c>
      <c r="I307" s="593">
        <f>SUM(I301:I305)</f>
        <v>176370</v>
      </c>
      <c r="J307"/>
      <c r="L307" s="88"/>
      <c r="M307"/>
      <c r="N307"/>
      <c r="O307"/>
      <c r="P307" s="32"/>
      <c r="Q307"/>
      <c r="T307" s="14"/>
      <c r="U307" s="360"/>
      <c r="V307" s="360"/>
    </row>
    <row r="308" spans="1:22" ht="15.75" thickBot="1" x14ac:dyDescent="0.3">
      <c r="I308" s="91"/>
    </row>
    <row r="309" spans="1:22" ht="15.75" thickBot="1" x14ac:dyDescent="0.3">
      <c r="H309" s="25" t="s">
        <v>3218</v>
      </c>
      <c r="I309" s="415">
        <f>+I307+I239+I195</f>
        <v>1053414</v>
      </c>
    </row>
    <row r="311" spans="1:22" x14ac:dyDescent="0.25">
      <c r="I311" t="s">
        <v>8548</v>
      </c>
      <c r="J311" s="32"/>
      <c r="K311" s="28"/>
      <c r="L311" s="28" t="s">
        <v>2468</v>
      </c>
    </row>
    <row r="312" spans="1:22" x14ac:dyDescent="0.25">
      <c r="I312" s="28" t="s">
        <v>219</v>
      </c>
      <c r="J312" s="32">
        <v>4997150</v>
      </c>
      <c r="K312" s="28">
        <v>85</v>
      </c>
      <c r="L312" s="122">
        <v>46268</v>
      </c>
    </row>
    <row r="313" spans="1:22" x14ac:dyDescent="0.25">
      <c r="I313" s="28" t="s">
        <v>2048</v>
      </c>
      <c r="J313" s="32">
        <v>58790</v>
      </c>
      <c r="K313" s="28">
        <f>+J313/58231</f>
        <v>1.0095996977554911</v>
      </c>
      <c r="L313" s="122">
        <f>+L312</f>
        <v>46268</v>
      </c>
    </row>
    <row r="314" spans="1:22" x14ac:dyDescent="0.25">
      <c r="I314" s="344" t="s">
        <v>2128</v>
      </c>
      <c r="J314" s="345">
        <f>+J312-J313</f>
        <v>4938360</v>
      </c>
      <c r="K314" s="344">
        <f>+K312-K313</f>
        <v>83.99040030224451</v>
      </c>
      <c r="L314"/>
    </row>
    <row r="315" spans="1:22" x14ac:dyDescent="0.25">
      <c r="H315" s="88"/>
    </row>
    <row r="316" spans="1:22" x14ac:dyDescent="0.25">
      <c r="H316" s="88"/>
    </row>
    <row r="317" spans="1:22" x14ac:dyDescent="0.25">
      <c r="G317" s="88"/>
      <c r="J317" s="61"/>
    </row>
    <row r="318" spans="1:22" x14ac:dyDescent="0.25">
      <c r="I318" s="17"/>
    </row>
    <row r="319" spans="1:22" x14ac:dyDescent="0.25">
      <c r="I319" s="149"/>
    </row>
    <row r="321" spans="8:8" x14ac:dyDescent="0.25">
      <c r="H321" s="29"/>
    </row>
  </sheetData>
  <autoFilter ref="A2:V314" xr:uid="{00000000-0009-0000-0000-000010000000}">
    <filterColumn colId="10">
      <filters blank="1">
        <filter val="1.009599698"/>
        <filter val="83.9904003"/>
        <filter val="85"/>
        <filter val="RECONOCIMIENTO CARTA 24-2026 REFACTURACION - FACTURA F001-4844"/>
        <filter val="RECONOCIMIENTO CARTA 87-2026 REFACTURACION - FACTURA F001-4845"/>
      </filters>
    </filterColumn>
    <filterColumn colId="16" showButton="0"/>
    <filterColumn colId="17" showButton="0"/>
    <filterColumn colId="18" showButton="0"/>
  </autoFilter>
  <mergeCells count="5">
    <mergeCell ref="A4:H4"/>
    <mergeCell ref="Q2:T2"/>
    <mergeCell ref="B198:I198"/>
    <mergeCell ref="C244:I244"/>
    <mergeCell ref="C299:I299"/>
  </mergeCells>
  <phoneticPr fontId="16" type="noConversion"/>
  <conditionalFormatting sqref="M84:M86">
    <cfRule type="timePeriod" dxfId="0" priority="2" timePeriod="lastMonth">
      <formula>AND(MONTH(M84)=MONTH(EDATE(TODAY(),0-1)),YEAR(M84)=YEAR(EDATE(TODAY(),0-1)))</formula>
    </cfRule>
  </conditionalFormatting>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61830" r:id="rId4" name="Button 1">
              <controlPr defaultSize="0" print="0" autoFill="0" autoPict="0" macro="[0]!RETORNAR">
                <anchor moveWithCells="1" sizeWithCells="1">
                  <from>
                    <xdr:col>0</xdr:col>
                    <xdr:colOff>28575</xdr:colOff>
                    <xdr:row>0</xdr:row>
                    <xdr:rowOff>0</xdr:rowOff>
                  </from>
                  <to>
                    <xdr:col>1</xdr:col>
                    <xdr:colOff>495300</xdr:colOff>
                    <xdr:row>0</xdr:row>
                    <xdr:rowOff>257175</xdr:rowOff>
                  </to>
                </anchor>
              </controlPr>
            </control>
          </mc:Choice>
        </mc:AlternateContent>
        <mc:AlternateContent xmlns:mc="http://schemas.openxmlformats.org/markup-compatibility/2006">
          <mc:Choice Requires="x14">
            <control shapeId="461898" r:id="rId5" name="Botón 74">
              <controlPr defaultSize="0" print="0" autoFill="0" autoPict="0" macro="[0]!IR_VENTAS_B200_2026">
                <anchor moveWithCells="1" sizeWithCells="1">
                  <from>
                    <xdr:col>0</xdr:col>
                    <xdr:colOff>666750</xdr:colOff>
                    <xdr:row>312</xdr:row>
                    <xdr:rowOff>47625</xdr:rowOff>
                  </from>
                  <to>
                    <xdr:col>1</xdr:col>
                    <xdr:colOff>619125</xdr:colOff>
                    <xdr:row>315</xdr:row>
                    <xdr:rowOff>76200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1" filterMode="1"/>
  <dimension ref="A1:V27"/>
  <sheetViews>
    <sheetView topLeftCell="B1" workbookViewId="0">
      <selection activeCell="G31" sqref="G31"/>
    </sheetView>
  </sheetViews>
  <sheetFormatPr baseColWidth="10" defaultColWidth="10.85546875" defaultRowHeight="15" x14ac:dyDescent="0.25"/>
  <cols>
    <col min="7" max="7" width="45.5703125" customWidth="1"/>
    <col min="9" max="9" width="12" bestFit="1" customWidth="1"/>
    <col min="10" max="10" width="12" style="32" bestFit="1" customWidth="1"/>
  </cols>
  <sheetData>
    <row r="1" spans="1:20" ht="22.5" customHeight="1" x14ac:dyDescent="0.25"/>
    <row r="2" spans="1:20" x14ac:dyDescent="0.25">
      <c r="A2" t="s">
        <v>706</v>
      </c>
      <c r="B2" s="1" t="s">
        <v>0</v>
      </c>
      <c r="C2" s="1" t="s">
        <v>1</v>
      </c>
      <c r="D2" s="1" t="s">
        <v>2</v>
      </c>
      <c r="E2" s="1"/>
      <c r="F2" s="1" t="s">
        <v>3</v>
      </c>
      <c r="G2" s="1" t="s">
        <v>4</v>
      </c>
      <c r="H2" s="1" t="s">
        <v>5</v>
      </c>
      <c r="I2" s="1" t="s">
        <v>6</v>
      </c>
      <c r="J2" s="87" t="s">
        <v>1780</v>
      </c>
      <c r="K2" s="1" t="s">
        <v>8</v>
      </c>
      <c r="L2" s="1" t="s">
        <v>3998</v>
      </c>
      <c r="M2" s="1" t="s">
        <v>10</v>
      </c>
      <c r="N2" s="1480" t="s">
        <v>11</v>
      </c>
      <c r="O2" s="1480"/>
      <c r="P2" s="1480"/>
      <c r="Q2" s="1480"/>
    </row>
    <row r="3" spans="1:20" hidden="1" x14ac:dyDescent="0.25">
      <c r="A3" s="1555" t="s">
        <v>1079</v>
      </c>
      <c r="B3" s="169" t="s">
        <v>1080</v>
      </c>
      <c r="C3" s="21" t="s">
        <v>410</v>
      </c>
      <c r="D3" s="1554">
        <v>44776</v>
      </c>
      <c r="E3" s="32"/>
      <c r="F3" s="1556" t="s">
        <v>1160</v>
      </c>
      <c r="G3" s="163" t="s">
        <v>1252</v>
      </c>
      <c r="H3" t="s">
        <v>1248</v>
      </c>
      <c r="I3" s="205">
        <v>38700</v>
      </c>
      <c r="J3" s="159"/>
      <c r="K3" s="32" t="s">
        <v>17</v>
      </c>
      <c r="L3" s="2">
        <v>44833</v>
      </c>
      <c r="O3" s="163" t="s">
        <v>655</v>
      </c>
      <c r="P3" s="14">
        <v>0.42569444444444443</v>
      </c>
      <c r="Q3" s="14"/>
    </row>
    <row r="4" spans="1:20" hidden="1" x14ac:dyDescent="0.25">
      <c r="A4" s="1555"/>
      <c r="B4" s="169"/>
      <c r="C4" s="21"/>
      <c r="D4" s="1554"/>
      <c r="E4" s="32"/>
      <c r="F4" s="1556"/>
      <c r="G4" s="163" t="s">
        <v>1253</v>
      </c>
      <c r="H4" t="s">
        <v>1249</v>
      </c>
      <c r="I4" s="205">
        <v>7200</v>
      </c>
      <c r="J4" s="159"/>
      <c r="K4" s="32" t="s">
        <v>17</v>
      </c>
      <c r="L4" s="2">
        <v>44833</v>
      </c>
      <c r="O4" s="163"/>
      <c r="P4" s="14"/>
      <c r="Q4" s="14"/>
    </row>
    <row r="5" spans="1:20" hidden="1" x14ac:dyDescent="0.25">
      <c r="A5" s="116">
        <v>13082022</v>
      </c>
      <c r="B5" s="169" t="s">
        <v>1080</v>
      </c>
      <c r="C5" s="21" t="s">
        <v>693</v>
      </c>
      <c r="D5" s="123">
        <v>44786</v>
      </c>
      <c r="E5" s="88"/>
      <c r="F5" s="21" t="s">
        <v>1094</v>
      </c>
      <c r="G5" s="21" t="s">
        <v>1254</v>
      </c>
      <c r="H5" t="s">
        <v>1250</v>
      </c>
      <c r="I5" s="160">
        <v>40595</v>
      </c>
      <c r="J5" s="159"/>
      <c r="K5" s="32" t="s">
        <v>17</v>
      </c>
      <c r="L5" s="2">
        <v>44833</v>
      </c>
      <c r="O5" s="163" t="s">
        <v>653</v>
      </c>
      <c r="P5" s="157">
        <v>0.46249999999999997</v>
      </c>
      <c r="Q5" s="157">
        <v>0.7729166666666667</v>
      </c>
    </row>
    <row r="6" spans="1:20" hidden="1" x14ac:dyDescent="0.25">
      <c r="A6" s="1555">
        <v>23082022</v>
      </c>
      <c r="B6" s="169" t="s">
        <v>1080</v>
      </c>
      <c r="C6" s="169" t="s">
        <v>693</v>
      </c>
      <c r="D6" s="1536">
        <v>44796</v>
      </c>
      <c r="E6" s="88"/>
      <c r="F6" s="1556" t="s">
        <v>1160</v>
      </c>
      <c r="G6" s="163" t="s">
        <v>1255</v>
      </c>
      <c r="H6" t="s">
        <v>1251</v>
      </c>
      <c r="I6" s="205">
        <v>38700</v>
      </c>
      <c r="J6" s="159"/>
      <c r="K6" s="32" t="s">
        <v>17</v>
      </c>
      <c r="L6" s="2">
        <v>44833</v>
      </c>
      <c r="O6" s="163" t="s">
        <v>653</v>
      </c>
      <c r="P6" s="157">
        <v>0.35625000000000001</v>
      </c>
      <c r="Q6" s="157">
        <v>0.77638888888888891</v>
      </c>
    </row>
    <row r="7" spans="1:20" hidden="1" x14ac:dyDescent="0.25">
      <c r="A7" s="1555"/>
      <c r="B7" s="169"/>
      <c r="C7" s="169"/>
      <c r="D7" s="1536"/>
      <c r="E7" s="88"/>
      <c r="F7" s="1556"/>
      <c r="G7" s="163" t="s">
        <v>1256</v>
      </c>
      <c r="H7" t="s">
        <v>1257</v>
      </c>
      <c r="I7" s="205">
        <v>7200</v>
      </c>
      <c r="J7" s="159"/>
      <c r="K7" s="32" t="s">
        <v>17</v>
      </c>
      <c r="L7" s="2">
        <v>44833</v>
      </c>
      <c r="O7" s="163"/>
      <c r="P7" s="157"/>
      <c r="Q7" s="157"/>
    </row>
    <row r="8" spans="1:20" hidden="1" x14ac:dyDescent="0.25">
      <c r="A8" s="116" t="s">
        <v>1452</v>
      </c>
      <c r="B8" s="169" t="s">
        <v>1080</v>
      </c>
      <c r="C8" s="169" t="s">
        <v>693</v>
      </c>
      <c r="D8" s="122">
        <v>44874</v>
      </c>
      <c r="E8" s="88"/>
      <c r="F8" t="s">
        <v>304</v>
      </c>
      <c r="G8" s="21" t="s">
        <v>1544</v>
      </c>
      <c r="H8" t="s">
        <v>1564</v>
      </c>
      <c r="I8" s="160">
        <v>40545</v>
      </c>
      <c r="J8" s="160"/>
      <c r="K8" s="32" t="s">
        <v>17</v>
      </c>
      <c r="L8" s="2">
        <v>44921</v>
      </c>
      <c r="O8" s="21" t="s">
        <v>893</v>
      </c>
      <c r="P8" s="157">
        <v>0.32708333333333334</v>
      </c>
      <c r="Q8" s="157">
        <v>0.60902777777777783</v>
      </c>
    </row>
    <row r="9" spans="1:20" hidden="1" x14ac:dyDescent="0.25">
      <c r="A9" s="116">
        <v>11112022</v>
      </c>
      <c r="B9" s="169" t="s">
        <v>1080</v>
      </c>
      <c r="C9" s="169" t="s">
        <v>693</v>
      </c>
      <c r="D9" s="122">
        <v>44876</v>
      </c>
      <c r="E9" s="88"/>
      <c r="F9" t="s">
        <v>304</v>
      </c>
      <c r="G9" s="21" t="s">
        <v>1565</v>
      </c>
      <c r="H9" t="s">
        <v>1584</v>
      </c>
      <c r="I9" s="160">
        <v>40545</v>
      </c>
      <c r="J9" s="160"/>
      <c r="K9" s="32" t="s">
        <v>17</v>
      </c>
      <c r="L9" s="2">
        <v>44921</v>
      </c>
      <c r="O9" s="21" t="s">
        <v>1029</v>
      </c>
      <c r="P9" s="157">
        <v>0.43055555555555558</v>
      </c>
      <c r="Q9" s="157">
        <v>0.67013888888888884</v>
      </c>
    </row>
    <row r="10" spans="1:20" hidden="1" x14ac:dyDescent="0.25">
      <c r="A10" s="116"/>
      <c r="B10" s="169"/>
      <c r="C10" s="169"/>
      <c r="D10" s="122"/>
      <c r="E10" s="88"/>
      <c r="G10" s="21" t="s">
        <v>1615</v>
      </c>
      <c r="H10" t="s">
        <v>1621</v>
      </c>
      <c r="I10" s="160">
        <v>39788</v>
      </c>
      <c r="J10" s="160">
        <f t="shared" ref="J10:J20" si="0">+I10*0.88</f>
        <v>35013.440000000002</v>
      </c>
      <c r="K10" s="32" t="s">
        <v>17</v>
      </c>
      <c r="L10" s="2">
        <v>44924</v>
      </c>
      <c r="O10" s="21"/>
      <c r="P10" s="157"/>
      <c r="Q10" s="157"/>
    </row>
    <row r="11" spans="1:20" hidden="1" x14ac:dyDescent="0.25">
      <c r="A11" s="116">
        <v>26112022</v>
      </c>
      <c r="B11" s="169" t="s">
        <v>1080</v>
      </c>
      <c r="C11" s="30" t="s">
        <v>27</v>
      </c>
      <c r="D11" s="122">
        <v>44891</v>
      </c>
      <c r="E11" s="88"/>
      <c r="F11" t="s">
        <v>1504</v>
      </c>
      <c r="G11" s="21" t="s">
        <v>1616</v>
      </c>
      <c r="H11" t="s">
        <v>1630</v>
      </c>
      <c r="I11" s="160">
        <v>9300</v>
      </c>
      <c r="J11" s="160">
        <f t="shared" si="0"/>
        <v>8184</v>
      </c>
      <c r="K11" s="32" t="s">
        <v>17</v>
      </c>
      <c r="L11" s="2">
        <v>44924</v>
      </c>
      <c r="O11" s="21" t="s">
        <v>795</v>
      </c>
      <c r="P11" s="157">
        <v>0.34791666666666665</v>
      </c>
      <c r="Q11" s="157">
        <v>0.63750000000000007</v>
      </c>
    </row>
    <row r="12" spans="1:20" hidden="1" x14ac:dyDescent="0.25">
      <c r="A12" s="116"/>
      <c r="B12" s="169"/>
      <c r="C12" s="30"/>
      <c r="D12" s="122"/>
      <c r="E12" s="88"/>
      <c r="G12" s="21" t="s">
        <v>1622</v>
      </c>
      <c r="H12" t="s">
        <v>1629</v>
      </c>
      <c r="I12" s="160">
        <v>39788</v>
      </c>
      <c r="J12" s="160">
        <f t="shared" si="0"/>
        <v>35013.440000000002</v>
      </c>
      <c r="K12" s="32" t="s">
        <v>17</v>
      </c>
      <c r="L12" s="2">
        <v>44924</v>
      </c>
      <c r="O12" s="21"/>
      <c r="P12" s="157"/>
      <c r="Q12" s="157"/>
    </row>
    <row r="13" spans="1:20" hidden="1" x14ac:dyDescent="0.25">
      <c r="A13" s="116" t="s">
        <v>1551</v>
      </c>
      <c r="B13" s="169" t="s">
        <v>1080</v>
      </c>
      <c r="C13" s="169" t="s">
        <v>693</v>
      </c>
      <c r="D13" s="122">
        <v>44900</v>
      </c>
      <c r="E13" s="88"/>
      <c r="F13" t="s">
        <v>1504</v>
      </c>
      <c r="G13" s="21" t="s">
        <v>1623</v>
      </c>
      <c r="H13" t="s">
        <v>1628</v>
      </c>
      <c r="I13" s="160">
        <v>9300</v>
      </c>
      <c r="J13" s="160">
        <f t="shared" si="0"/>
        <v>8184</v>
      </c>
      <c r="K13" s="32" t="s">
        <v>17</v>
      </c>
      <c r="L13" s="2">
        <v>44924</v>
      </c>
      <c r="O13" t="s">
        <v>893</v>
      </c>
      <c r="P13" s="157">
        <v>0.3444444444444445</v>
      </c>
      <c r="Q13" s="157">
        <v>0.65208333333333335</v>
      </c>
    </row>
    <row r="14" spans="1:20" hidden="1" x14ac:dyDescent="0.25">
      <c r="A14" s="246">
        <v>25012024</v>
      </c>
      <c r="B14" t="s">
        <v>1080</v>
      </c>
      <c r="D14" s="122">
        <v>44951</v>
      </c>
      <c r="F14" t="s">
        <v>304</v>
      </c>
      <c r="G14" t="s">
        <v>1860</v>
      </c>
      <c r="H14" t="s">
        <v>1936</v>
      </c>
      <c r="I14" s="32">
        <v>39600</v>
      </c>
      <c r="J14" s="160">
        <f t="shared" si="0"/>
        <v>34848</v>
      </c>
      <c r="K14" s="32" t="s">
        <v>17</v>
      </c>
      <c r="L14" s="2">
        <v>44977</v>
      </c>
      <c r="T14" s="14"/>
    </row>
    <row r="15" spans="1:20" hidden="1" x14ac:dyDescent="0.25">
      <c r="A15" s="246">
        <v>26012023</v>
      </c>
      <c r="B15" t="s">
        <v>1080</v>
      </c>
      <c r="C15" t="s">
        <v>410</v>
      </c>
      <c r="D15" s="122">
        <v>44952</v>
      </c>
      <c r="F15" t="s">
        <v>1857</v>
      </c>
      <c r="G15" t="s">
        <v>1858</v>
      </c>
      <c r="H15" t="s">
        <v>1937</v>
      </c>
      <c r="I15" s="32">
        <v>10384</v>
      </c>
      <c r="J15" s="160">
        <f t="shared" si="0"/>
        <v>9137.92</v>
      </c>
      <c r="K15" s="32" t="s">
        <v>17</v>
      </c>
      <c r="L15" s="2">
        <v>44977</v>
      </c>
      <c r="T15" s="14"/>
    </row>
    <row r="16" spans="1:20" hidden="1" x14ac:dyDescent="0.25">
      <c r="A16" s="246">
        <v>26012023</v>
      </c>
      <c r="B16" t="s">
        <v>1080</v>
      </c>
      <c r="C16" t="s">
        <v>410</v>
      </c>
      <c r="D16" s="122">
        <v>44952</v>
      </c>
      <c r="F16" t="s">
        <v>304</v>
      </c>
      <c r="G16" t="s">
        <v>1859</v>
      </c>
      <c r="H16" t="s">
        <v>2013</v>
      </c>
      <c r="I16" s="32">
        <v>39600</v>
      </c>
      <c r="J16" s="160">
        <f t="shared" si="0"/>
        <v>34848</v>
      </c>
      <c r="K16" s="32" t="s">
        <v>17</v>
      </c>
      <c r="L16" s="2">
        <v>44994</v>
      </c>
      <c r="S16" t="s">
        <v>916</v>
      </c>
      <c r="T16" s="14">
        <v>0.4694444444444445</v>
      </c>
    </row>
    <row r="17" spans="1:22" hidden="1" x14ac:dyDescent="0.25">
      <c r="A17" s="256">
        <v>20032023</v>
      </c>
      <c r="B17" t="s">
        <v>1080</v>
      </c>
      <c r="C17" t="s">
        <v>693</v>
      </c>
      <c r="D17" s="122">
        <v>45005</v>
      </c>
      <c r="F17" t="s">
        <v>872</v>
      </c>
      <c r="G17" t="s">
        <v>2292</v>
      </c>
      <c r="H17" t="s">
        <v>2322</v>
      </c>
      <c r="I17" s="88">
        <v>39600</v>
      </c>
      <c r="J17" s="88">
        <f t="shared" si="0"/>
        <v>34848</v>
      </c>
      <c r="K17" s="32" t="s">
        <v>17</v>
      </c>
      <c r="L17" s="122">
        <v>45049</v>
      </c>
      <c r="S17" t="s">
        <v>2037</v>
      </c>
      <c r="T17" s="14">
        <v>0.44722222222222219</v>
      </c>
      <c r="U17" s="14"/>
    </row>
    <row r="18" spans="1:22" hidden="1" x14ac:dyDescent="0.25">
      <c r="A18" s="256">
        <v>12042023</v>
      </c>
      <c r="B18" t="s">
        <v>1080</v>
      </c>
      <c r="C18" t="s">
        <v>693</v>
      </c>
      <c r="D18" s="122">
        <v>45028</v>
      </c>
      <c r="F18" t="s">
        <v>872</v>
      </c>
      <c r="G18" t="s">
        <v>2293</v>
      </c>
      <c r="H18" t="s">
        <v>2323</v>
      </c>
      <c r="I18" s="88">
        <v>39600</v>
      </c>
      <c r="J18" s="88">
        <f t="shared" si="0"/>
        <v>34848</v>
      </c>
      <c r="K18" s="32" t="s">
        <v>17</v>
      </c>
      <c r="L18" s="122">
        <v>45049</v>
      </c>
      <c r="T18" t="s">
        <v>1029</v>
      </c>
      <c r="U18" s="14"/>
      <c r="V18" s="14"/>
    </row>
    <row r="19" spans="1:22" hidden="1" x14ac:dyDescent="0.25">
      <c r="A19" s="256">
        <v>14052023</v>
      </c>
      <c r="B19" t="s">
        <v>1080</v>
      </c>
      <c r="D19" s="122">
        <v>45060</v>
      </c>
      <c r="F19" s="30" t="s">
        <v>872</v>
      </c>
      <c r="G19" s="30" t="s">
        <v>2445</v>
      </c>
      <c r="H19" t="s">
        <v>2446</v>
      </c>
      <c r="I19" s="313">
        <v>39600</v>
      </c>
      <c r="J19" s="88">
        <f t="shared" si="0"/>
        <v>34848</v>
      </c>
      <c r="K19" s="32" t="s">
        <v>17</v>
      </c>
      <c r="L19" s="122">
        <v>45082</v>
      </c>
      <c r="T19" t="s">
        <v>1042</v>
      </c>
      <c r="U19" s="14">
        <v>0.30486111111111108</v>
      </c>
      <c r="V19" s="14">
        <v>0.57500000000000007</v>
      </c>
    </row>
    <row r="20" spans="1:22" hidden="1" x14ac:dyDescent="0.25">
      <c r="A20" s="256" t="s">
        <v>2589</v>
      </c>
      <c r="B20" t="s">
        <v>1080</v>
      </c>
      <c r="C20" t="s">
        <v>410</v>
      </c>
      <c r="D20" s="122">
        <v>45113</v>
      </c>
      <c r="F20" s="30" t="s">
        <v>2595</v>
      </c>
      <c r="G20" s="30" t="s">
        <v>1859</v>
      </c>
      <c r="H20" s="30" t="s">
        <v>2715</v>
      </c>
      <c r="I20" s="368">
        <v>38055</v>
      </c>
      <c r="J20" s="32">
        <f t="shared" si="0"/>
        <v>33488.400000000001</v>
      </c>
      <c r="K20" s="32" t="s">
        <v>17</v>
      </c>
      <c r="L20" s="122">
        <v>45163</v>
      </c>
      <c r="T20" s="14" t="s">
        <v>893</v>
      </c>
      <c r="U20" s="14">
        <v>0.54236111111111118</v>
      </c>
    </row>
    <row r="21" spans="1:22" s="21" customFormat="1" hidden="1" x14ac:dyDescent="0.25">
      <c r="A21" s="184" t="s">
        <v>3168</v>
      </c>
      <c r="B21" s="21" t="s">
        <v>1080</v>
      </c>
      <c r="C21" s="21" t="s">
        <v>410</v>
      </c>
      <c r="D21" s="123">
        <v>45238</v>
      </c>
      <c r="F21" s="169" t="s">
        <v>872</v>
      </c>
      <c r="G21" s="169" t="s">
        <v>3228</v>
      </c>
      <c r="H21" s="21" t="s">
        <v>3247</v>
      </c>
      <c r="I21" s="314">
        <v>38100</v>
      </c>
      <c r="J21" s="155">
        <f>+I21*0.88</f>
        <v>33528</v>
      </c>
      <c r="K21" s="123" t="s">
        <v>17</v>
      </c>
      <c r="L21" s="123">
        <v>45260</v>
      </c>
      <c r="T21" s="157"/>
      <c r="U21" s="157"/>
      <c r="V21" s="157"/>
    </row>
    <row r="22" spans="1:22" x14ac:dyDescent="0.25">
      <c r="A22" s="116"/>
      <c r="B22" s="169"/>
      <c r="C22" s="21"/>
      <c r="D22" s="123"/>
      <c r="E22" s="88"/>
      <c r="F22" s="21"/>
      <c r="G22" s="21"/>
      <c r="I22" s="160"/>
      <c r="J22" s="160"/>
      <c r="K22" s="160"/>
      <c r="O22" s="163"/>
      <c r="P22" s="157"/>
      <c r="Q22" s="157"/>
    </row>
    <row r="23" spans="1:22" x14ac:dyDescent="0.25">
      <c r="H23" s="5" t="s">
        <v>423</v>
      </c>
      <c r="I23" s="9">
        <f>SUBTOTAL(9,I3:I21)</f>
        <v>0</v>
      </c>
    </row>
    <row r="26" spans="1:22" x14ac:dyDescent="0.25">
      <c r="G26" s="21"/>
    </row>
    <row r="27" spans="1:22" x14ac:dyDescent="0.25">
      <c r="G27" s="21"/>
    </row>
  </sheetData>
  <autoFilter ref="F2:Q22" xr:uid="{00000000-0009-0000-0000-000011000000}">
    <filterColumn colId="5">
      <filters blank="1"/>
    </filterColumn>
    <filterColumn colId="8" showButton="0"/>
    <filterColumn colId="9" showButton="0"/>
    <filterColumn colId="10" showButton="0"/>
  </autoFilter>
  <mergeCells count="7">
    <mergeCell ref="D6:D7"/>
    <mergeCell ref="D3:D4"/>
    <mergeCell ref="A3:A4"/>
    <mergeCell ref="A6:A7"/>
    <mergeCell ref="N2:Q2"/>
    <mergeCell ref="F6:F7"/>
    <mergeCell ref="F3:F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6516" r:id="rId4" name="Button 1">
              <controlPr defaultSize="0" print="0" autoFill="0" autoPict="0" macro="[0]!RETORNAR">
                <anchor moveWithCells="1" sizeWithCells="1">
                  <from>
                    <xdr:col>0</xdr:col>
                    <xdr:colOff>28575</xdr:colOff>
                    <xdr:row>0</xdr:row>
                    <xdr:rowOff>0</xdr:rowOff>
                  </from>
                  <to>
                    <xdr:col>2</xdr:col>
                    <xdr:colOff>323850</xdr:colOff>
                    <xdr:row>0</xdr:row>
                    <xdr:rowOff>257175</xdr:rowOff>
                  </to>
                </anchor>
              </controlPr>
            </control>
          </mc:Choice>
        </mc:AlternateContent>
        <mc:AlternateContent xmlns:mc="http://schemas.openxmlformats.org/markup-compatibility/2006">
          <mc:Choice Requires="x14">
            <control shapeId="576520" r:id="rId5" name="Botón 8">
              <controlPr defaultSize="0" print="0" autoFill="0" autoPict="0" macro="[0]!IR_VENTAS_B200_2026">
                <anchor moveWithCells="1" sizeWithCells="1">
                  <from>
                    <xdr:col>1</xdr:col>
                    <xdr:colOff>666750</xdr:colOff>
                    <xdr:row>29</xdr:row>
                    <xdr:rowOff>28575</xdr:rowOff>
                  </from>
                  <to>
                    <xdr:col>3</xdr:col>
                    <xdr:colOff>447675</xdr:colOff>
                    <xdr:row>32</xdr:row>
                    <xdr:rowOff>57150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6" filterMode="1"/>
  <dimension ref="A1:T30"/>
  <sheetViews>
    <sheetView workbookViewId="0">
      <selection activeCell="B37" sqref="B37"/>
    </sheetView>
  </sheetViews>
  <sheetFormatPr baseColWidth="10" defaultColWidth="10.85546875" defaultRowHeight="15" x14ac:dyDescent="0.25"/>
  <cols>
    <col min="4" max="4" width="16.42578125" style="6" customWidth="1"/>
    <col min="5" max="5" width="0" hidden="1" customWidth="1"/>
    <col min="6" max="6" width="17.28515625" customWidth="1"/>
    <col min="7" max="7" width="55.5703125" customWidth="1"/>
    <col min="8" max="8" width="22.42578125" customWidth="1"/>
    <col min="9" max="9" width="12" style="32" bestFit="1" customWidth="1"/>
    <col min="10" max="11" width="12" bestFit="1" customWidth="1"/>
    <col min="17" max="18" width="0" hidden="1" customWidth="1"/>
  </cols>
  <sheetData>
    <row r="1" spans="1:20" ht="21.6" customHeight="1" x14ac:dyDescent="0.25"/>
    <row r="2" spans="1:20" x14ac:dyDescent="0.25">
      <c r="B2" s="1" t="s">
        <v>0</v>
      </c>
      <c r="C2" s="1" t="s">
        <v>1</v>
      </c>
      <c r="D2" s="94" t="s">
        <v>2</v>
      </c>
      <c r="E2" s="1"/>
      <c r="F2" s="1" t="s">
        <v>3</v>
      </c>
      <c r="G2" s="1" t="s">
        <v>4</v>
      </c>
      <c r="H2" s="1" t="s">
        <v>5</v>
      </c>
      <c r="I2" s="1" t="s">
        <v>1780</v>
      </c>
      <c r="J2" s="1" t="s">
        <v>7</v>
      </c>
      <c r="K2" s="1" t="s">
        <v>8</v>
      </c>
      <c r="L2" s="1" t="s">
        <v>3998</v>
      </c>
      <c r="M2" s="1" t="s">
        <v>10</v>
      </c>
      <c r="N2" s="1480" t="s">
        <v>11</v>
      </c>
      <c r="O2" s="1480"/>
      <c r="P2" s="1480"/>
      <c r="Q2" s="1480"/>
      <c r="S2" s="128" t="s">
        <v>1601</v>
      </c>
    </row>
    <row r="3" spans="1:20" hidden="1" x14ac:dyDescent="0.25">
      <c r="B3" t="s">
        <v>259</v>
      </c>
      <c r="C3" t="s">
        <v>31</v>
      </c>
      <c r="D3" s="122">
        <v>44298</v>
      </c>
      <c r="E3" s="2"/>
      <c r="F3" t="s">
        <v>145</v>
      </c>
      <c r="G3" t="s">
        <v>260</v>
      </c>
      <c r="H3" t="s">
        <v>261</v>
      </c>
      <c r="I3" s="32">
        <v>29784.5</v>
      </c>
      <c r="K3" t="s">
        <v>17</v>
      </c>
      <c r="L3" s="2">
        <v>44335</v>
      </c>
      <c r="M3" t="s">
        <v>18</v>
      </c>
      <c r="Q3" s="129">
        <f>IF(K3="PAGADA",L3-D3,0)</f>
        <v>37</v>
      </c>
      <c r="R3" s="129" t="s">
        <v>1600</v>
      </c>
      <c r="S3" s="129" t="str">
        <f>CONCATENATE(Q3,R3)</f>
        <v>37 dias</v>
      </c>
    </row>
    <row r="4" spans="1:20" hidden="1" x14ac:dyDescent="0.25">
      <c r="B4" t="s">
        <v>259</v>
      </c>
      <c r="C4" t="s">
        <v>27</v>
      </c>
      <c r="D4" s="122">
        <v>44299</v>
      </c>
      <c r="E4" s="2"/>
      <c r="F4" t="s">
        <v>262</v>
      </c>
      <c r="G4" t="s">
        <v>263</v>
      </c>
      <c r="H4" t="s">
        <v>264</v>
      </c>
      <c r="I4" s="32">
        <v>45430</v>
      </c>
      <c r="K4" t="s">
        <v>17</v>
      </c>
      <c r="L4" s="2">
        <v>44335</v>
      </c>
      <c r="M4" t="s">
        <v>18</v>
      </c>
      <c r="Q4" s="129">
        <f t="shared" ref="Q4:Q16" si="0">IF(K4="PAGADA",L4-D4,0)</f>
        <v>36</v>
      </c>
      <c r="R4" s="129" t="s">
        <v>1600</v>
      </c>
      <c r="S4" s="129" t="str">
        <f t="shared" ref="S4:S16" si="1">CONCATENATE(Q4,R4)</f>
        <v>36 dias</v>
      </c>
    </row>
    <row r="5" spans="1:20" hidden="1" x14ac:dyDescent="0.25">
      <c r="B5" t="s">
        <v>259</v>
      </c>
      <c r="C5" t="s">
        <v>27</v>
      </c>
      <c r="D5" s="122">
        <v>44341</v>
      </c>
      <c r="E5" s="2"/>
      <c r="F5" t="s">
        <v>14</v>
      </c>
      <c r="H5" t="s">
        <v>265</v>
      </c>
      <c r="I5" s="32">
        <v>33618.199999999997</v>
      </c>
      <c r="J5" s="4"/>
      <c r="K5" t="s">
        <v>17</v>
      </c>
      <c r="L5" s="2">
        <v>44372</v>
      </c>
      <c r="M5" t="s">
        <v>18</v>
      </c>
      <c r="Q5" s="129">
        <f t="shared" si="0"/>
        <v>31</v>
      </c>
      <c r="R5" s="129" t="s">
        <v>1600</v>
      </c>
      <c r="S5" s="129" t="str">
        <f t="shared" si="1"/>
        <v>31 dias</v>
      </c>
    </row>
    <row r="6" spans="1:20" hidden="1" x14ac:dyDescent="0.25">
      <c r="B6" t="s">
        <v>259</v>
      </c>
      <c r="C6" t="s">
        <v>27</v>
      </c>
      <c r="D6" s="122">
        <v>44426</v>
      </c>
      <c r="E6" s="7">
        <v>4</v>
      </c>
      <c r="F6" t="s">
        <v>266</v>
      </c>
      <c r="G6" t="s">
        <v>267</v>
      </c>
      <c r="H6" s="29" t="s">
        <v>268</v>
      </c>
      <c r="I6" s="32">
        <v>40417.83</v>
      </c>
      <c r="K6" t="s">
        <v>17</v>
      </c>
      <c r="L6" s="2">
        <v>44487</v>
      </c>
      <c r="M6" t="s">
        <v>18</v>
      </c>
      <c r="Q6" s="129">
        <f t="shared" si="0"/>
        <v>61</v>
      </c>
      <c r="R6" s="129" t="s">
        <v>1600</v>
      </c>
      <c r="S6" s="129" t="str">
        <f t="shared" si="1"/>
        <v>61 dias</v>
      </c>
    </row>
    <row r="7" spans="1:20" hidden="1" x14ac:dyDescent="0.25">
      <c r="B7" t="s">
        <v>259</v>
      </c>
      <c r="C7" t="s">
        <v>27</v>
      </c>
      <c r="D7" s="122">
        <v>44442</v>
      </c>
      <c r="E7">
        <v>3</v>
      </c>
      <c r="F7" t="s">
        <v>204</v>
      </c>
      <c r="G7" t="s">
        <v>269</v>
      </c>
      <c r="H7" t="s">
        <v>270</v>
      </c>
      <c r="I7" s="32">
        <v>23779.83</v>
      </c>
      <c r="K7" t="s">
        <v>17</v>
      </c>
      <c r="L7" s="2">
        <v>44506</v>
      </c>
      <c r="Q7" s="129">
        <f t="shared" si="0"/>
        <v>64</v>
      </c>
      <c r="R7" s="129" t="s">
        <v>1600</v>
      </c>
      <c r="S7" s="129" t="str">
        <f t="shared" si="1"/>
        <v>64 dias</v>
      </c>
    </row>
    <row r="8" spans="1:20" hidden="1" x14ac:dyDescent="0.25">
      <c r="B8" t="s">
        <v>259</v>
      </c>
      <c r="C8" t="s">
        <v>67</v>
      </c>
      <c r="D8" s="122">
        <v>44455</v>
      </c>
      <c r="E8">
        <v>3</v>
      </c>
      <c r="F8" t="s">
        <v>271</v>
      </c>
      <c r="G8" t="s">
        <v>272</v>
      </c>
      <c r="H8" t="s">
        <v>273</v>
      </c>
      <c r="I8" s="32">
        <v>36845</v>
      </c>
      <c r="K8" t="s">
        <v>17</v>
      </c>
      <c r="L8" s="2">
        <v>44506</v>
      </c>
      <c r="Q8" s="129">
        <f t="shared" si="0"/>
        <v>51</v>
      </c>
      <c r="R8" s="129" t="s">
        <v>1600</v>
      </c>
      <c r="S8" s="129" t="str">
        <f t="shared" si="1"/>
        <v>51 dias</v>
      </c>
    </row>
    <row r="9" spans="1:20" hidden="1" x14ac:dyDescent="0.25">
      <c r="B9" t="s">
        <v>259</v>
      </c>
      <c r="C9" t="s">
        <v>67</v>
      </c>
      <c r="D9" s="122">
        <v>44467</v>
      </c>
      <c r="E9">
        <v>3.5</v>
      </c>
      <c r="F9" t="s">
        <v>274</v>
      </c>
      <c r="G9" t="s">
        <v>275</v>
      </c>
      <c r="H9" t="s">
        <v>276</v>
      </c>
      <c r="I9" s="32">
        <v>33545</v>
      </c>
      <c r="J9" s="8"/>
      <c r="K9" t="s">
        <v>17</v>
      </c>
      <c r="L9" s="2">
        <v>44568</v>
      </c>
      <c r="M9" t="s">
        <v>18</v>
      </c>
      <c r="Q9" s="129">
        <f t="shared" si="0"/>
        <v>101</v>
      </c>
      <c r="R9" s="129" t="s">
        <v>1600</v>
      </c>
      <c r="S9" s="129" t="str">
        <f t="shared" si="1"/>
        <v>101 dias</v>
      </c>
    </row>
    <row r="10" spans="1:20" hidden="1" x14ac:dyDescent="0.25">
      <c r="B10" t="s">
        <v>259</v>
      </c>
      <c r="C10" t="s">
        <v>27</v>
      </c>
      <c r="D10" s="122">
        <v>44533</v>
      </c>
      <c r="E10">
        <v>2.5</v>
      </c>
      <c r="F10" t="s">
        <v>323</v>
      </c>
      <c r="G10" t="s">
        <v>391</v>
      </c>
      <c r="H10" t="s">
        <v>392</v>
      </c>
      <c r="I10" s="32">
        <v>41350</v>
      </c>
      <c r="K10" t="s">
        <v>17</v>
      </c>
      <c r="L10" s="2">
        <v>44568</v>
      </c>
      <c r="M10" t="s">
        <v>18</v>
      </c>
      <c r="Q10" s="129">
        <f t="shared" si="0"/>
        <v>35</v>
      </c>
      <c r="R10" s="129" t="s">
        <v>1600</v>
      </c>
      <c r="S10" s="129" t="str">
        <f t="shared" si="1"/>
        <v>35 dias</v>
      </c>
    </row>
    <row r="11" spans="1:20" hidden="1" x14ac:dyDescent="0.25">
      <c r="B11" t="s">
        <v>259</v>
      </c>
      <c r="C11" t="s">
        <v>27</v>
      </c>
      <c r="D11" s="122">
        <v>44533</v>
      </c>
      <c r="E11">
        <v>2.5</v>
      </c>
      <c r="F11" t="s">
        <v>323</v>
      </c>
      <c r="G11" t="s">
        <v>393</v>
      </c>
      <c r="H11" t="s">
        <v>394</v>
      </c>
      <c r="I11" s="32">
        <v>29609</v>
      </c>
      <c r="K11" t="s">
        <v>17</v>
      </c>
      <c r="L11" s="2">
        <v>44568</v>
      </c>
      <c r="M11" t="s">
        <v>18</v>
      </c>
      <c r="Q11" s="129">
        <f t="shared" si="0"/>
        <v>35</v>
      </c>
      <c r="R11" s="129" t="s">
        <v>1600</v>
      </c>
      <c r="S11" s="129" t="str">
        <f t="shared" si="1"/>
        <v>35 dias</v>
      </c>
    </row>
    <row r="12" spans="1:20" hidden="1" x14ac:dyDescent="0.25">
      <c r="B12" t="s">
        <v>259</v>
      </c>
      <c r="C12" t="s">
        <v>27</v>
      </c>
      <c r="D12" s="122">
        <v>44548</v>
      </c>
      <c r="E12">
        <v>5</v>
      </c>
      <c r="F12" t="s">
        <v>395</v>
      </c>
      <c r="G12" t="s">
        <v>396</v>
      </c>
      <c r="H12" t="s">
        <v>397</v>
      </c>
      <c r="I12" s="32">
        <v>52380</v>
      </c>
      <c r="K12" t="s">
        <v>17</v>
      </c>
      <c r="L12" s="2">
        <v>44610</v>
      </c>
      <c r="Q12" s="129">
        <f t="shared" si="0"/>
        <v>62</v>
      </c>
      <c r="R12" s="129" t="s">
        <v>1600</v>
      </c>
      <c r="S12" s="129" t="str">
        <f t="shared" si="1"/>
        <v>62 dias</v>
      </c>
    </row>
    <row r="13" spans="1:20" hidden="1" x14ac:dyDescent="0.25">
      <c r="B13" t="s">
        <v>259</v>
      </c>
      <c r="C13" t="s">
        <v>27</v>
      </c>
      <c r="D13" s="122">
        <v>44629</v>
      </c>
      <c r="E13">
        <v>4</v>
      </c>
      <c r="F13" t="s">
        <v>266</v>
      </c>
      <c r="G13" t="s">
        <v>396</v>
      </c>
      <c r="H13" t="s">
        <v>791</v>
      </c>
      <c r="I13" s="32">
        <v>41655</v>
      </c>
      <c r="K13" t="s">
        <v>17</v>
      </c>
      <c r="L13" s="2">
        <v>44664</v>
      </c>
      <c r="Q13" s="129">
        <f t="shared" si="0"/>
        <v>35</v>
      </c>
      <c r="R13" s="129" t="s">
        <v>1600</v>
      </c>
      <c r="S13" s="129" t="str">
        <f t="shared" si="1"/>
        <v>35 dias</v>
      </c>
    </row>
    <row r="14" spans="1:20" hidden="1" x14ac:dyDescent="0.25">
      <c r="A14" s="115">
        <v>19042022</v>
      </c>
      <c r="B14" t="s">
        <v>259</v>
      </c>
      <c r="D14" s="122">
        <v>44670</v>
      </c>
      <c r="E14" s="32">
        <v>3.2</v>
      </c>
      <c r="F14" t="s">
        <v>790</v>
      </c>
      <c r="G14" t="s">
        <v>396</v>
      </c>
      <c r="H14" t="s">
        <v>783</v>
      </c>
      <c r="I14" s="32">
        <v>30373.200000000001</v>
      </c>
      <c r="J14" s="32"/>
      <c r="K14" s="32" t="s">
        <v>17</v>
      </c>
      <c r="L14" s="2">
        <v>44694</v>
      </c>
      <c r="M14" t="s">
        <v>18</v>
      </c>
      <c r="Q14" s="129">
        <f t="shared" si="0"/>
        <v>24</v>
      </c>
      <c r="R14" s="129" t="s">
        <v>1600</v>
      </c>
      <c r="S14" s="129" t="str">
        <f t="shared" si="1"/>
        <v>24 dias</v>
      </c>
    </row>
    <row r="15" spans="1:20" hidden="1" x14ac:dyDescent="0.25">
      <c r="A15" s="115">
        <v>20042022</v>
      </c>
      <c r="B15" t="s">
        <v>259</v>
      </c>
      <c r="C15" t="s">
        <v>410</v>
      </c>
      <c r="D15" s="122">
        <v>44671</v>
      </c>
      <c r="E15" s="32"/>
      <c r="F15" t="s">
        <v>271</v>
      </c>
      <c r="G15" t="s">
        <v>396</v>
      </c>
      <c r="H15" t="s">
        <v>786</v>
      </c>
      <c r="I15" s="32">
        <v>41323.599999999999</v>
      </c>
      <c r="J15" s="32"/>
      <c r="K15" s="32" t="s">
        <v>17</v>
      </c>
      <c r="L15" s="2">
        <v>44694</v>
      </c>
      <c r="M15" t="s">
        <v>18</v>
      </c>
      <c r="O15" t="s">
        <v>653</v>
      </c>
      <c r="P15" s="14">
        <v>0.69236111111111109</v>
      </c>
      <c r="Q15" s="129">
        <f t="shared" si="0"/>
        <v>23</v>
      </c>
      <c r="R15" s="129" t="s">
        <v>1600</v>
      </c>
      <c r="S15" s="129" t="str">
        <f t="shared" si="1"/>
        <v>23 dias</v>
      </c>
      <c r="T15" t="s">
        <v>770</v>
      </c>
    </row>
    <row r="16" spans="1:20" hidden="1" x14ac:dyDescent="0.25">
      <c r="A16" s="115">
        <v>20042022</v>
      </c>
      <c r="B16" t="s">
        <v>259</v>
      </c>
      <c r="C16" t="s">
        <v>410</v>
      </c>
      <c r="D16" s="122">
        <v>44675</v>
      </c>
      <c r="E16" s="32"/>
      <c r="F16" t="s">
        <v>323</v>
      </c>
      <c r="G16" t="s">
        <v>396</v>
      </c>
      <c r="H16" t="s">
        <v>797</v>
      </c>
      <c r="I16" s="32">
        <v>27671</v>
      </c>
      <c r="J16" s="32"/>
      <c r="K16" s="32" t="s">
        <v>17</v>
      </c>
      <c r="L16" s="2">
        <v>44694</v>
      </c>
      <c r="M16" t="s">
        <v>18</v>
      </c>
      <c r="O16" t="s">
        <v>653</v>
      </c>
      <c r="P16" s="14">
        <v>0.69236111111111109</v>
      </c>
      <c r="Q16" s="129">
        <f t="shared" si="0"/>
        <v>19</v>
      </c>
      <c r="R16" s="129" t="s">
        <v>1600</v>
      </c>
      <c r="S16" s="129" t="str">
        <f t="shared" si="1"/>
        <v>19 dias</v>
      </c>
      <c r="T16" t="s">
        <v>770</v>
      </c>
    </row>
    <row r="17" spans="1:19" x14ac:dyDescent="0.25">
      <c r="A17" s="115"/>
      <c r="E17" s="32"/>
      <c r="H17" s="19"/>
      <c r="I17"/>
      <c r="J17" s="32"/>
      <c r="K17" s="32"/>
      <c r="P17" s="14"/>
      <c r="Q17" s="14"/>
    </row>
    <row r="18" spans="1:19" x14ac:dyDescent="0.25">
      <c r="H18" t="s">
        <v>385</v>
      </c>
      <c r="I18" s="89">
        <v>0</v>
      </c>
      <c r="K18" s="2"/>
    </row>
    <row r="20" spans="1:19" x14ac:dyDescent="0.25">
      <c r="J20" t="s">
        <v>799</v>
      </c>
      <c r="K20" s="3">
        <f>151028-I13-I14-I15-I16</f>
        <v>10005.200000000004</v>
      </c>
      <c r="L20" s="152">
        <f>+K20/K24</f>
        <v>1.5783263292065784E-2</v>
      </c>
    </row>
    <row r="21" spans="1:19" s="13" customFormat="1" x14ac:dyDescent="0.25">
      <c r="A21" s="116"/>
      <c r="B21" s="169"/>
      <c r="C21" s="21"/>
      <c r="D21" s="123"/>
      <c r="E21" s="180"/>
      <c r="F21" s="21"/>
      <c r="G21" s="21"/>
      <c r="I21" s="181"/>
      <c r="J21" s="181"/>
      <c r="K21" s="180"/>
      <c r="O21" s="163"/>
      <c r="P21" s="157"/>
      <c r="Q21" s="157"/>
    </row>
    <row r="24" spans="1:19" x14ac:dyDescent="0.25">
      <c r="J24" t="s">
        <v>866</v>
      </c>
      <c r="K24" s="32">
        <v>633912</v>
      </c>
      <c r="L24" s="152">
        <f>+K24/K24</f>
        <v>1</v>
      </c>
    </row>
    <row r="25" spans="1:19" ht="15.75" thickBot="1" x14ac:dyDescent="0.3">
      <c r="J25" t="s">
        <v>867</v>
      </c>
      <c r="K25" s="3">
        <f>+K24-K20</f>
        <v>623906.80000000005</v>
      </c>
      <c r="L25" s="152">
        <f>+K25/K24</f>
        <v>0.9842167367079343</v>
      </c>
    </row>
    <row r="26" spans="1:19" ht="15.75" thickBot="1" x14ac:dyDescent="0.3">
      <c r="A26" s="1487" t="s">
        <v>355</v>
      </c>
      <c r="B26" s="1488"/>
      <c r="C26" s="1488"/>
      <c r="D26" s="1489"/>
      <c r="E26" s="1492"/>
      <c r="F26" s="1487"/>
      <c r="G26" s="1488"/>
      <c r="H26" s="1489"/>
    </row>
    <row r="27" spans="1:19" hidden="1" x14ac:dyDescent="0.25">
      <c r="A27" s="116" t="s">
        <v>1097</v>
      </c>
      <c r="B27" s="30" t="s">
        <v>259</v>
      </c>
      <c r="C27" t="s">
        <v>410</v>
      </c>
      <c r="D27" s="122">
        <v>44784</v>
      </c>
      <c r="E27" s="180"/>
      <c r="F27" t="s">
        <v>1099</v>
      </c>
      <c r="G27" t="s">
        <v>277</v>
      </c>
      <c r="H27" t="s">
        <v>1148</v>
      </c>
      <c r="I27" s="88">
        <v>20800</v>
      </c>
      <c r="J27" s="88"/>
      <c r="K27" s="88" t="s">
        <v>17</v>
      </c>
      <c r="L27" s="2">
        <v>44813</v>
      </c>
      <c r="M27" t="s">
        <v>18</v>
      </c>
      <c r="O27" s="19" t="s">
        <v>655</v>
      </c>
      <c r="P27" s="14">
        <v>0.37777777777777777</v>
      </c>
      <c r="Q27" s="129">
        <f>IF(K27="PAGADA",L27-D27,0)</f>
        <v>29</v>
      </c>
      <c r="R27" s="129" t="s">
        <v>1600</v>
      </c>
      <c r="S27" s="129" t="str">
        <f>CONCATENATE(Q27,R27)</f>
        <v>29 dias</v>
      </c>
    </row>
    <row r="28" spans="1:19" x14ac:dyDescent="0.25">
      <c r="G28" t="s">
        <v>708</v>
      </c>
      <c r="L28" s="7"/>
    </row>
    <row r="29" spans="1:19" x14ac:dyDescent="0.25">
      <c r="I29" s="89">
        <f>SUBTOTAL(9,I28)</f>
        <v>0</v>
      </c>
    </row>
    <row r="30" spans="1:19" x14ac:dyDescent="0.25">
      <c r="L30" s="91"/>
    </row>
  </sheetData>
  <autoFilter ref="A2:T30" xr:uid="{00000000-0009-0000-0000-000012000000}">
    <filterColumn colId="10">
      <filters blank="1">
        <filter val="633,912.00"/>
        <filter val="S/10,005.20"/>
        <filter val="S/623,906.80"/>
      </filters>
    </filterColumn>
    <filterColumn colId="13" showButton="0"/>
    <filterColumn colId="14" showButton="0"/>
    <filterColumn colId="15" showButton="0"/>
  </autoFilter>
  <mergeCells count="2">
    <mergeCell ref="N2:Q2"/>
    <mergeCell ref="A26:H2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5" r:id="rId4" name="Button 1">
              <controlPr defaultSize="0" print="0" autoFill="0" autoPict="0" macro="[0]!RETORNAR">
                <anchor moveWithCells="1" sizeWithCells="1">
                  <from>
                    <xdr:col>0</xdr:col>
                    <xdr:colOff>28575</xdr:colOff>
                    <xdr:row>0</xdr:row>
                    <xdr:rowOff>0</xdr:rowOff>
                  </from>
                  <to>
                    <xdr:col>2</xdr:col>
                    <xdr:colOff>323850</xdr:colOff>
                    <xdr:row>0</xdr:row>
                    <xdr:rowOff>257175</xdr:rowOff>
                  </to>
                </anchor>
              </controlPr>
            </control>
          </mc:Choice>
        </mc:AlternateContent>
        <mc:AlternateContent xmlns:mc="http://schemas.openxmlformats.org/markup-compatibility/2006">
          <mc:Choice Requires="x14">
            <control shapeId="76809" r:id="rId5" name="Botón 9">
              <controlPr defaultSize="0" print="0" autoFill="0" autoPict="0" macro="[0]!IR_VENTAS_B200_2026">
                <anchor moveWithCells="1" sizeWithCells="1">
                  <from>
                    <xdr:col>0</xdr:col>
                    <xdr:colOff>333375</xdr:colOff>
                    <xdr:row>35</xdr:row>
                    <xdr:rowOff>57150</xdr:rowOff>
                  </from>
                  <to>
                    <xdr:col>2</xdr:col>
                    <xdr:colOff>123825</xdr:colOff>
                    <xdr:row>38</xdr:row>
                    <xdr:rowOff>85725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5" filterMode="1"/>
  <dimension ref="A1:V75"/>
  <sheetViews>
    <sheetView zoomScale="87" zoomScaleNormal="87" workbookViewId="0">
      <selection activeCell="A30" sqref="A30:XFD33"/>
    </sheetView>
  </sheetViews>
  <sheetFormatPr baseColWidth="10" defaultColWidth="10.85546875" defaultRowHeight="15" x14ac:dyDescent="0.25"/>
  <cols>
    <col min="1" max="1" width="12.140625" customWidth="1"/>
    <col min="2" max="2" width="12.42578125" customWidth="1"/>
    <col min="5" max="5" width="11" customWidth="1"/>
    <col min="6" max="6" width="10.85546875" style="30"/>
    <col min="7" max="7" width="58.140625" bestFit="1" customWidth="1"/>
    <col min="8" max="8" width="15.85546875" bestFit="1" customWidth="1"/>
    <col min="9" max="9" width="13.5703125" bestFit="1" customWidth="1"/>
    <col min="10" max="10" width="11.42578125" style="74"/>
    <col min="12" max="12" width="18.7109375" style="6" customWidth="1"/>
    <col min="13" max="13" width="13.42578125" customWidth="1"/>
    <col min="14" max="14" width="7.5703125" customWidth="1"/>
    <col min="15" max="15" width="5.85546875" customWidth="1"/>
    <col min="19" max="19" width="11.140625" bestFit="1" customWidth="1"/>
  </cols>
  <sheetData>
    <row r="1" spans="1:20" ht="24.6" customHeight="1" x14ac:dyDescent="0.25"/>
    <row r="2" spans="1:20" x14ac:dyDescent="0.25">
      <c r="B2" s="1" t="s">
        <v>0</v>
      </c>
      <c r="C2" s="1" t="s">
        <v>1</v>
      </c>
      <c r="D2" s="1" t="s">
        <v>2</v>
      </c>
      <c r="E2" s="1"/>
      <c r="F2" s="115" t="s">
        <v>3</v>
      </c>
      <c r="G2" s="1" t="s">
        <v>4</v>
      </c>
      <c r="H2" s="1" t="s">
        <v>5</v>
      </c>
      <c r="I2" s="1" t="s">
        <v>6</v>
      </c>
      <c r="J2" s="1" t="s">
        <v>1780</v>
      </c>
      <c r="K2" s="1" t="s">
        <v>8</v>
      </c>
      <c r="L2" s="1" t="s">
        <v>3998</v>
      </c>
      <c r="M2" s="1" t="s">
        <v>10</v>
      </c>
      <c r="N2" s="1"/>
      <c r="O2" s="1"/>
      <c r="P2" s="128" t="s">
        <v>1601</v>
      </c>
      <c r="Q2" s="1480" t="s">
        <v>11</v>
      </c>
      <c r="R2" s="1480"/>
      <c r="S2" s="1480"/>
      <c r="T2" s="1480"/>
    </row>
    <row r="3" spans="1:20" hidden="1" x14ac:dyDescent="0.25">
      <c r="B3" t="s">
        <v>280</v>
      </c>
      <c r="C3" t="s">
        <v>31</v>
      </c>
      <c r="D3" s="122">
        <v>44280</v>
      </c>
      <c r="E3" s="2"/>
      <c r="F3" s="30" t="s">
        <v>262</v>
      </c>
      <c r="G3" t="s">
        <v>281</v>
      </c>
      <c r="H3" t="s">
        <v>282</v>
      </c>
      <c r="I3" s="3">
        <v>44097</v>
      </c>
      <c r="J3" s="3">
        <f t="shared" ref="J3:J26" si="0">+I3-ROUND(I3*0.12,0)</f>
        <v>38805</v>
      </c>
      <c r="K3" t="s">
        <v>17</v>
      </c>
      <c r="L3" s="122">
        <v>44424</v>
      </c>
      <c r="M3" t="s">
        <v>81</v>
      </c>
      <c r="N3" s="129">
        <f>IF(K3="PAGADA",L3-D3,0)</f>
        <v>144</v>
      </c>
      <c r="O3" s="129" t="s">
        <v>1600</v>
      </c>
      <c r="P3" s="129" t="str">
        <f>CONCATENATE(N3,O3)</f>
        <v>144 dias</v>
      </c>
    </row>
    <row r="4" spans="1:20" hidden="1" x14ac:dyDescent="0.25">
      <c r="B4" t="s">
        <v>280</v>
      </c>
      <c r="C4" t="s">
        <v>31</v>
      </c>
      <c r="D4" s="122">
        <v>44345</v>
      </c>
      <c r="E4" s="2"/>
      <c r="F4" s="30" t="s">
        <v>262</v>
      </c>
      <c r="G4" t="s">
        <v>283</v>
      </c>
      <c r="H4" s="14" t="s">
        <v>284</v>
      </c>
      <c r="I4" s="3">
        <v>48156</v>
      </c>
      <c r="J4" s="3">
        <f t="shared" si="0"/>
        <v>42377</v>
      </c>
      <c r="K4" t="s">
        <v>17</v>
      </c>
      <c r="L4" s="122">
        <v>44431</v>
      </c>
      <c r="M4" t="s">
        <v>81</v>
      </c>
      <c r="N4" s="129">
        <f t="shared" ref="N4:N23" si="1">IF(K4="PAGADA",L4-D4,0)</f>
        <v>86</v>
      </c>
      <c r="O4" s="129" t="s">
        <v>1600</v>
      </c>
      <c r="P4" s="129" t="str">
        <f t="shared" ref="P4:P21" si="2">CONCATENATE(N4,O4)</f>
        <v>86 dias</v>
      </c>
    </row>
    <row r="5" spans="1:20" hidden="1" x14ac:dyDescent="0.25">
      <c r="B5" t="s">
        <v>280</v>
      </c>
      <c r="C5" t="s">
        <v>67</v>
      </c>
      <c r="D5" s="122">
        <v>44413</v>
      </c>
      <c r="E5" s="7">
        <v>4</v>
      </c>
      <c r="F5" s="30" t="s">
        <v>285</v>
      </c>
      <c r="G5" t="s">
        <v>286</v>
      </c>
      <c r="H5" t="s">
        <v>287</v>
      </c>
      <c r="I5" s="3">
        <v>46360</v>
      </c>
      <c r="J5" s="3">
        <f t="shared" si="0"/>
        <v>40797</v>
      </c>
      <c r="K5" t="s">
        <v>17</v>
      </c>
      <c r="L5" s="122">
        <v>44496</v>
      </c>
      <c r="M5" t="s">
        <v>81</v>
      </c>
      <c r="N5" s="129">
        <f t="shared" si="1"/>
        <v>83</v>
      </c>
      <c r="O5" s="129" t="s">
        <v>1600</v>
      </c>
      <c r="P5" s="129" t="str">
        <f t="shared" si="2"/>
        <v>83 dias</v>
      </c>
    </row>
    <row r="6" spans="1:20" x14ac:dyDescent="0.25">
      <c r="B6" t="s">
        <v>280</v>
      </c>
      <c r="C6" t="s">
        <v>67</v>
      </c>
      <c r="D6" s="122">
        <v>44427</v>
      </c>
      <c r="E6" s="508">
        <v>4503873688</v>
      </c>
      <c r="F6" s="30" t="s">
        <v>285</v>
      </c>
      <c r="G6" t="s">
        <v>288</v>
      </c>
      <c r="H6" t="s">
        <v>784</v>
      </c>
      <c r="I6" s="159">
        <v>47500</v>
      </c>
      <c r="J6" s="3">
        <f t="shared" si="0"/>
        <v>41800</v>
      </c>
      <c r="K6" t="s">
        <v>3995</v>
      </c>
      <c r="L6" s="122"/>
      <c r="M6" t="s">
        <v>695</v>
      </c>
      <c r="N6" s="129">
        <f t="shared" si="1"/>
        <v>0</v>
      </c>
      <c r="O6" s="129" t="s">
        <v>1600</v>
      </c>
      <c r="P6" s="129" t="str">
        <f t="shared" si="2"/>
        <v>0 dias</v>
      </c>
      <c r="Q6" t="s">
        <v>1789</v>
      </c>
      <c r="R6" s="129" t="s">
        <v>2760</v>
      </c>
      <c r="S6">
        <v>122</v>
      </c>
    </row>
    <row r="7" spans="1:20" hidden="1" x14ac:dyDescent="0.25">
      <c r="B7" t="s">
        <v>280</v>
      </c>
      <c r="C7" t="s">
        <v>67</v>
      </c>
      <c r="D7" s="122">
        <v>44475</v>
      </c>
      <c r="E7">
        <v>4</v>
      </c>
      <c r="F7" s="30" t="s">
        <v>285</v>
      </c>
      <c r="G7" t="s">
        <v>289</v>
      </c>
      <c r="H7" t="s">
        <v>290</v>
      </c>
      <c r="I7" s="3">
        <v>47500</v>
      </c>
      <c r="J7" s="3">
        <f t="shared" si="0"/>
        <v>41800</v>
      </c>
      <c r="K7" s="19" t="s">
        <v>17</v>
      </c>
      <c r="L7" s="122">
        <v>44525</v>
      </c>
      <c r="M7" t="s">
        <v>81</v>
      </c>
      <c r="N7" s="129">
        <f t="shared" si="1"/>
        <v>50</v>
      </c>
      <c r="O7" s="129" t="s">
        <v>1600</v>
      </c>
      <c r="P7" s="129" t="str">
        <f t="shared" si="2"/>
        <v>50 dias</v>
      </c>
    </row>
    <row r="8" spans="1:20" hidden="1" x14ac:dyDescent="0.25">
      <c r="B8" t="s">
        <v>280</v>
      </c>
      <c r="C8" t="s">
        <v>27</v>
      </c>
      <c r="D8" s="122">
        <v>44484</v>
      </c>
      <c r="E8">
        <v>4</v>
      </c>
      <c r="F8" s="30" t="s">
        <v>285</v>
      </c>
      <c r="G8" t="s">
        <v>291</v>
      </c>
      <c r="H8" t="s">
        <v>292</v>
      </c>
      <c r="I8" s="3">
        <v>45085</v>
      </c>
      <c r="J8" s="3">
        <f t="shared" si="0"/>
        <v>39675</v>
      </c>
      <c r="K8" s="19" t="s">
        <v>17</v>
      </c>
      <c r="L8" s="122">
        <v>44525</v>
      </c>
      <c r="M8" t="s">
        <v>81</v>
      </c>
      <c r="N8" s="129">
        <f t="shared" si="1"/>
        <v>41</v>
      </c>
      <c r="O8" s="129" t="s">
        <v>1600</v>
      </c>
      <c r="P8" s="129" t="str">
        <f t="shared" si="2"/>
        <v>41 dias</v>
      </c>
    </row>
    <row r="9" spans="1:20" hidden="1" x14ac:dyDescent="0.25">
      <c r="B9" t="s">
        <v>280</v>
      </c>
      <c r="C9" t="s">
        <v>67</v>
      </c>
      <c r="D9" s="122">
        <v>44597</v>
      </c>
      <c r="E9">
        <v>4</v>
      </c>
      <c r="F9" s="30" t="s">
        <v>285</v>
      </c>
      <c r="G9" t="s">
        <v>562</v>
      </c>
      <c r="H9" t="s">
        <v>589</v>
      </c>
      <c r="I9" s="3">
        <v>45085</v>
      </c>
      <c r="J9" s="3">
        <f t="shared" si="0"/>
        <v>39675</v>
      </c>
      <c r="K9" s="5" t="s">
        <v>17</v>
      </c>
      <c r="L9" s="122">
        <v>44644</v>
      </c>
      <c r="N9" s="129">
        <f t="shared" si="1"/>
        <v>47</v>
      </c>
      <c r="O9" s="129" t="s">
        <v>1600</v>
      </c>
      <c r="P9" s="129" t="str">
        <f t="shared" si="2"/>
        <v>47 dias</v>
      </c>
    </row>
    <row r="10" spans="1:20" hidden="1" x14ac:dyDescent="0.25">
      <c r="B10" t="s">
        <v>576</v>
      </c>
      <c r="C10" t="s">
        <v>67</v>
      </c>
      <c r="D10" s="122">
        <v>44609</v>
      </c>
      <c r="E10">
        <v>4</v>
      </c>
      <c r="F10" s="30" t="s">
        <v>285</v>
      </c>
      <c r="G10" t="s">
        <v>605</v>
      </c>
      <c r="H10" t="s">
        <v>585</v>
      </c>
      <c r="I10" s="32">
        <v>42800</v>
      </c>
      <c r="J10" s="3">
        <f t="shared" si="0"/>
        <v>37664</v>
      </c>
      <c r="K10" s="5" t="s">
        <v>17</v>
      </c>
      <c r="L10" s="122">
        <v>44638</v>
      </c>
      <c r="M10" t="s">
        <v>297</v>
      </c>
      <c r="N10" s="129">
        <f t="shared" si="1"/>
        <v>29</v>
      </c>
      <c r="O10" s="129" t="s">
        <v>1600</v>
      </c>
      <c r="P10" s="129" t="str">
        <f t="shared" si="2"/>
        <v>29 dias</v>
      </c>
      <c r="Q10" t="s">
        <v>71</v>
      </c>
      <c r="R10" s="122">
        <v>44615</v>
      </c>
    </row>
    <row r="11" spans="1:20" hidden="1" x14ac:dyDescent="0.25">
      <c r="B11" t="s">
        <v>576</v>
      </c>
      <c r="C11" t="s">
        <v>67</v>
      </c>
      <c r="D11" s="122">
        <v>44618</v>
      </c>
      <c r="E11">
        <v>4</v>
      </c>
      <c r="F11" s="30" t="s">
        <v>285</v>
      </c>
      <c r="G11" t="s">
        <v>604</v>
      </c>
      <c r="H11" t="s">
        <v>630</v>
      </c>
      <c r="I11" s="32">
        <v>42800</v>
      </c>
      <c r="J11" s="3">
        <f t="shared" si="0"/>
        <v>37664</v>
      </c>
      <c r="K11" s="5" t="s">
        <v>17</v>
      </c>
      <c r="L11" s="122">
        <v>44644</v>
      </c>
      <c r="N11" s="129">
        <f t="shared" si="1"/>
        <v>26</v>
      </c>
      <c r="O11" s="129" t="s">
        <v>1600</v>
      </c>
      <c r="P11" s="129" t="str">
        <f t="shared" si="2"/>
        <v>26 dias</v>
      </c>
    </row>
    <row r="12" spans="1:20" hidden="1" x14ac:dyDescent="0.25">
      <c r="B12" t="s">
        <v>280</v>
      </c>
      <c r="C12" t="s">
        <v>660</v>
      </c>
      <c r="D12" s="122">
        <v>44650</v>
      </c>
      <c r="E12">
        <v>4</v>
      </c>
      <c r="F12" s="30" t="s">
        <v>285</v>
      </c>
      <c r="G12" t="s">
        <v>721</v>
      </c>
      <c r="H12" t="s">
        <v>722</v>
      </c>
      <c r="I12" s="32">
        <v>42800</v>
      </c>
      <c r="J12" s="3">
        <f t="shared" si="0"/>
        <v>37664</v>
      </c>
      <c r="K12" t="s">
        <v>17</v>
      </c>
      <c r="L12" s="122">
        <v>44680</v>
      </c>
      <c r="N12" s="129">
        <f t="shared" si="1"/>
        <v>30</v>
      </c>
      <c r="O12" s="129" t="s">
        <v>1600</v>
      </c>
      <c r="P12" s="129" t="str">
        <f t="shared" si="2"/>
        <v>30 dias</v>
      </c>
      <c r="R12" s="14"/>
    </row>
    <row r="13" spans="1:20" s="163" customFormat="1" hidden="1" x14ac:dyDescent="0.25">
      <c r="A13" s="168" t="s">
        <v>890</v>
      </c>
      <c r="B13" s="169" t="s">
        <v>280</v>
      </c>
      <c r="C13" t="s">
        <v>67</v>
      </c>
      <c r="D13" s="122">
        <v>44721</v>
      </c>
      <c r="E13">
        <v>4</v>
      </c>
      <c r="F13" s="464" t="s">
        <v>285</v>
      </c>
      <c r="G13" s="163" t="s">
        <v>279</v>
      </c>
      <c r="H13" s="163" t="s">
        <v>987</v>
      </c>
      <c r="I13" s="3">
        <v>42030</v>
      </c>
      <c r="J13" s="3">
        <f t="shared" si="0"/>
        <v>36986</v>
      </c>
      <c r="K13" s="156" t="s">
        <v>17</v>
      </c>
      <c r="L13" s="122">
        <v>44792</v>
      </c>
      <c r="M13" s="163" t="s">
        <v>388</v>
      </c>
      <c r="N13" s="129">
        <f t="shared" si="1"/>
        <v>71</v>
      </c>
      <c r="O13" s="129" t="s">
        <v>1600</v>
      </c>
      <c r="P13" s="129" t="str">
        <f t="shared" si="2"/>
        <v>71 dias</v>
      </c>
      <c r="S13" s="163" t="s">
        <v>653</v>
      </c>
      <c r="T13" s="167">
        <v>9.9999999999999992E-2</v>
      </c>
    </row>
    <row r="14" spans="1:20" hidden="1" x14ac:dyDescent="0.25">
      <c r="A14" s="116" t="s">
        <v>1082</v>
      </c>
      <c r="B14" s="169" t="s">
        <v>576</v>
      </c>
      <c r="C14" s="21" t="s">
        <v>693</v>
      </c>
      <c r="D14" s="122">
        <v>44777</v>
      </c>
      <c r="E14">
        <v>4</v>
      </c>
      <c r="F14" s="464" t="s">
        <v>285</v>
      </c>
      <c r="G14" s="163" t="s">
        <v>1167</v>
      </c>
      <c r="H14" t="s">
        <v>1166</v>
      </c>
      <c r="I14" s="159">
        <v>45910</v>
      </c>
      <c r="J14" s="3">
        <f t="shared" si="0"/>
        <v>40401</v>
      </c>
      <c r="K14" s="32" t="s">
        <v>17</v>
      </c>
      <c r="L14" s="122">
        <v>44827</v>
      </c>
      <c r="N14" s="129">
        <f t="shared" si="1"/>
        <v>50</v>
      </c>
      <c r="O14" s="129" t="s">
        <v>1600</v>
      </c>
      <c r="P14" s="129" t="str">
        <f t="shared" si="2"/>
        <v>50 dias</v>
      </c>
      <c r="R14" s="163"/>
      <c r="S14" s="14"/>
      <c r="T14" s="14"/>
    </row>
    <row r="15" spans="1:20" hidden="1" x14ac:dyDescent="0.25">
      <c r="A15" s="116" t="s">
        <v>1224</v>
      </c>
      <c r="B15" s="169" t="s">
        <v>576</v>
      </c>
      <c r="C15" s="21" t="s">
        <v>693</v>
      </c>
      <c r="D15" s="122">
        <v>44812</v>
      </c>
      <c r="E15" s="74">
        <v>4</v>
      </c>
      <c r="F15" s="464" t="s">
        <v>285</v>
      </c>
      <c r="G15" s="163" t="s">
        <v>1241</v>
      </c>
      <c r="H15" t="s">
        <v>1227</v>
      </c>
      <c r="I15" s="159">
        <v>46492</v>
      </c>
      <c r="J15" s="3">
        <f t="shared" si="0"/>
        <v>40913</v>
      </c>
      <c r="K15" s="32" t="s">
        <v>17</v>
      </c>
      <c r="L15" s="122">
        <v>44876</v>
      </c>
      <c r="N15" s="129">
        <f t="shared" si="1"/>
        <v>64</v>
      </c>
      <c r="O15" s="129" t="s">
        <v>1600</v>
      </c>
      <c r="P15" s="129" t="str">
        <f t="shared" si="2"/>
        <v>64 dias</v>
      </c>
      <c r="R15" s="163"/>
      <c r="S15" s="14"/>
      <c r="T15" s="14"/>
    </row>
    <row r="16" spans="1:20" hidden="1" x14ac:dyDescent="0.25">
      <c r="A16" s="115">
        <v>14092022</v>
      </c>
      <c r="B16" s="169" t="s">
        <v>576</v>
      </c>
      <c r="C16" s="30" t="s">
        <v>410</v>
      </c>
      <c r="D16" s="122">
        <v>44818</v>
      </c>
      <c r="E16" s="74">
        <v>4</v>
      </c>
      <c r="F16" s="464" t="s">
        <v>285</v>
      </c>
      <c r="G16" s="21" t="s">
        <v>1240</v>
      </c>
      <c r="H16" t="s">
        <v>1239</v>
      </c>
      <c r="I16" s="160">
        <v>46492</v>
      </c>
      <c r="J16" s="3">
        <f t="shared" si="0"/>
        <v>40913</v>
      </c>
      <c r="K16" s="32" t="s">
        <v>17</v>
      </c>
      <c r="L16" s="122">
        <v>44876</v>
      </c>
      <c r="N16" s="129">
        <f t="shared" si="1"/>
        <v>58</v>
      </c>
      <c r="O16" s="129" t="s">
        <v>1600</v>
      </c>
      <c r="P16" s="129" t="str">
        <f t="shared" si="2"/>
        <v>58 dias</v>
      </c>
      <c r="R16" s="21" t="s">
        <v>1225</v>
      </c>
      <c r="S16" s="157">
        <v>0.30208333333333331</v>
      </c>
      <c r="T16" s="21"/>
    </row>
    <row r="17" spans="1:22" hidden="1" x14ac:dyDescent="0.25">
      <c r="A17" s="116" t="s">
        <v>1316</v>
      </c>
      <c r="B17" s="169" t="s">
        <v>576</v>
      </c>
      <c r="C17" s="210">
        <v>828</v>
      </c>
      <c r="D17" s="122">
        <v>44838</v>
      </c>
      <c r="E17" s="74">
        <v>4</v>
      </c>
      <c r="F17" s="464" t="s">
        <v>285</v>
      </c>
      <c r="G17" s="21" t="s">
        <v>1357</v>
      </c>
      <c r="H17" t="s">
        <v>1372</v>
      </c>
      <c r="I17" s="160">
        <v>46492</v>
      </c>
      <c r="J17" s="3">
        <f t="shared" si="0"/>
        <v>40913</v>
      </c>
      <c r="K17" s="32" t="s">
        <v>17</v>
      </c>
      <c r="L17" s="122">
        <v>44876</v>
      </c>
      <c r="N17" s="129">
        <f t="shared" si="1"/>
        <v>38</v>
      </c>
      <c r="O17" s="129" t="s">
        <v>1600</v>
      </c>
      <c r="P17" s="129" t="str">
        <f t="shared" si="2"/>
        <v>38 dias</v>
      </c>
      <c r="R17" s="20" t="s">
        <v>1317</v>
      </c>
      <c r="S17" s="157">
        <v>0.69444444444444453</v>
      </c>
      <c r="T17" s="157">
        <v>0.95972222222222225</v>
      </c>
    </row>
    <row r="18" spans="1:22" hidden="1" x14ac:dyDescent="0.25">
      <c r="A18" s="116">
        <v>11102022</v>
      </c>
      <c r="B18" s="169" t="s">
        <v>576</v>
      </c>
      <c r="C18" s="169" t="s">
        <v>693</v>
      </c>
      <c r="D18" s="122">
        <v>44845</v>
      </c>
      <c r="E18" s="88"/>
      <c r="F18" s="464" t="s">
        <v>285</v>
      </c>
      <c r="G18" s="21" t="s">
        <v>1373</v>
      </c>
      <c r="H18" t="s">
        <v>1390</v>
      </c>
      <c r="I18" s="160">
        <v>46492</v>
      </c>
      <c r="J18" s="3">
        <f t="shared" si="0"/>
        <v>40913</v>
      </c>
      <c r="K18" s="32" t="s">
        <v>17</v>
      </c>
      <c r="L18" s="122">
        <v>44876</v>
      </c>
      <c r="N18" s="129">
        <f t="shared" si="1"/>
        <v>31</v>
      </c>
      <c r="O18" s="129" t="s">
        <v>1600</v>
      </c>
      <c r="P18" s="129" t="str">
        <f t="shared" si="2"/>
        <v>31 dias</v>
      </c>
      <c r="R18" s="21" t="s">
        <v>1225</v>
      </c>
      <c r="S18" s="157">
        <v>0.45069444444444445</v>
      </c>
      <c r="T18" s="157">
        <v>0.73263888888888884</v>
      </c>
    </row>
    <row r="19" spans="1:22" hidden="1" x14ac:dyDescent="0.25">
      <c r="A19" s="116">
        <v>18102022</v>
      </c>
      <c r="B19" s="169" t="s">
        <v>576</v>
      </c>
      <c r="C19" s="169" t="s">
        <v>693</v>
      </c>
      <c r="D19" s="122">
        <v>44852</v>
      </c>
      <c r="E19" s="88"/>
      <c r="F19" s="464" t="s">
        <v>285</v>
      </c>
      <c r="G19" s="21" t="s">
        <v>1391</v>
      </c>
      <c r="H19" t="s">
        <v>1392</v>
      </c>
      <c r="I19" s="160">
        <v>46492</v>
      </c>
      <c r="J19" s="3">
        <f t="shared" si="0"/>
        <v>40913</v>
      </c>
      <c r="K19" s="32" t="s">
        <v>17</v>
      </c>
      <c r="L19" s="122">
        <v>44936</v>
      </c>
      <c r="N19" s="129">
        <f t="shared" si="1"/>
        <v>84</v>
      </c>
      <c r="O19" s="129" t="s">
        <v>1600</v>
      </c>
      <c r="P19" s="129" t="str">
        <f t="shared" si="2"/>
        <v>84 dias</v>
      </c>
      <c r="R19" s="21" t="s">
        <v>1042</v>
      </c>
      <c r="S19" s="157">
        <v>0.31319444444444444</v>
      </c>
      <c r="T19" s="157">
        <v>0.60416666666666663</v>
      </c>
    </row>
    <row r="20" spans="1:22" hidden="1" x14ac:dyDescent="0.25">
      <c r="A20" s="116">
        <v>22102022</v>
      </c>
      <c r="B20" s="169" t="s">
        <v>576</v>
      </c>
      <c r="C20" s="30" t="s">
        <v>410</v>
      </c>
      <c r="D20" s="122">
        <v>44856</v>
      </c>
      <c r="E20" s="88"/>
      <c r="F20" s="464" t="s">
        <v>285</v>
      </c>
      <c r="G20" s="21" t="s">
        <v>1539</v>
      </c>
      <c r="H20" t="s">
        <v>1561</v>
      </c>
      <c r="I20" s="160">
        <v>46492</v>
      </c>
      <c r="J20" s="3">
        <f t="shared" si="0"/>
        <v>40913</v>
      </c>
      <c r="K20" s="32" t="s">
        <v>17</v>
      </c>
      <c r="L20" s="122">
        <v>44945</v>
      </c>
      <c r="N20" s="129">
        <f t="shared" si="1"/>
        <v>89</v>
      </c>
      <c r="O20" s="129" t="s">
        <v>1600</v>
      </c>
      <c r="P20" s="129" t="str">
        <f t="shared" si="2"/>
        <v>89 dias</v>
      </c>
      <c r="R20" s="21" t="s">
        <v>916</v>
      </c>
      <c r="S20" s="157">
        <v>0.53472222222222221</v>
      </c>
      <c r="T20" s="157">
        <v>0.88888888888888884</v>
      </c>
    </row>
    <row r="21" spans="1:22" hidden="1" x14ac:dyDescent="0.25">
      <c r="A21" s="116" t="s">
        <v>1452</v>
      </c>
      <c r="B21" s="169" t="s">
        <v>576</v>
      </c>
      <c r="C21" s="30" t="s">
        <v>410</v>
      </c>
      <c r="D21" s="122">
        <v>44874</v>
      </c>
      <c r="E21" s="88"/>
      <c r="F21" s="464" t="s">
        <v>285</v>
      </c>
      <c r="G21" s="21" t="s">
        <v>1484</v>
      </c>
      <c r="H21" t="s">
        <v>1562</v>
      </c>
      <c r="I21" s="160">
        <v>46492</v>
      </c>
      <c r="J21" s="3">
        <f t="shared" si="0"/>
        <v>40913</v>
      </c>
      <c r="K21" s="32" t="s">
        <v>17</v>
      </c>
      <c r="L21" s="122">
        <v>44958</v>
      </c>
      <c r="N21" s="129">
        <f t="shared" si="1"/>
        <v>84</v>
      </c>
      <c r="O21" s="129" t="s">
        <v>1600</v>
      </c>
      <c r="P21" s="129" t="str">
        <f t="shared" si="2"/>
        <v>84 dias</v>
      </c>
      <c r="R21" s="21" t="s">
        <v>916</v>
      </c>
      <c r="S21" s="157">
        <v>0.66111111111111109</v>
      </c>
      <c r="T21" s="157"/>
    </row>
    <row r="22" spans="1:22" hidden="1" x14ac:dyDescent="0.25">
      <c r="A22" s="256">
        <v>11052023</v>
      </c>
      <c r="B22" t="s">
        <v>576</v>
      </c>
      <c r="C22" t="s">
        <v>410</v>
      </c>
      <c r="D22" s="122">
        <v>45057</v>
      </c>
      <c r="F22" s="30" t="s">
        <v>2353</v>
      </c>
      <c r="G22" s="30" t="s">
        <v>2443</v>
      </c>
      <c r="H22" t="s">
        <v>2444</v>
      </c>
      <c r="I22" s="313">
        <v>45430</v>
      </c>
      <c r="J22" s="3">
        <f t="shared" si="0"/>
        <v>39978</v>
      </c>
      <c r="K22" s="88" t="s">
        <v>17</v>
      </c>
      <c r="L22" s="122">
        <v>45091</v>
      </c>
      <c r="N22" s="131">
        <f t="shared" si="1"/>
        <v>34</v>
      </c>
      <c r="T22" t="s">
        <v>1225</v>
      </c>
      <c r="U22" s="14"/>
      <c r="V22" s="14"/>
    </row>
    <row r="23" spans="1:22" hidden="1" x14ac:dyDescent="0.25">
      <c r="A23" s="509">
        <v>21022024</v>
      </c>
      <c r="B23" s="30" t="s">
        <v>576</v>
      </c>
      <c r="C23" s="28" t="s">
        <v>13</v>
      </c>
      <c r="D23" s="233">
        <v>45343</v>
      </c>
      <c r="F23" s="30" t="s">
        <v>285</v>
      </c>
      <c r="G23" s="30" t="s">
        <v>3759</v>
      </c>
      <c r="H23" s="30" t="s">
        <v>3761</v>
      </c>
      <c r="I23" s="237">
        <v>34240</v>
      </c>
      <c r="J23" s="3">
        <f t="shared" si="0"/>
        <v>30131</v>
      </c>
      <c r="K23" s="30" t="s">
        <v>17</v>
      </c>
      <c r="L23" s="122">
        <v>45364</v>
      </c>
      <c r="N23" s="131">
        <f t="shared" si="1"/>
        <v>21</v>
      </c>
      <c r="T23" s="14" t="s">
        <v>916</v>
      </c>
      <c r="U23" s="360">
        <v>0.37916666666666665</v>
      </c>
      <c r="V23" s="360"/>
    </row>
    <row r="24" spans="1:22" hidden="1" x14ac:dyDescent="0.25">
      <c r="A24" s="509">
        <v>21022024</v>
      </c>
      <c r="B24" s="30" t="s">
        <v>576</v>
      </c>
      <c r="C24" s="28" t="s">
        <v>13</v>
      </c>
      <c r="D24" s="233">
        <v>45343</v>
      </c>
      <c r="F24" s="30" t="s">
        <v>285</v>
      </c>
      <c r="G24" s="30" t="s">
        <v>3760</v>
      </c>
      <c r="H24" s="30" t="s">
        <v>3762</v>
      </c>
      <c r="I24" s="237">
        <v>8560</v>
      </c>
      <c r="J24" s="3">
        <f t="shared" si="0"/>
        <v>7533</v>
      </c>
      <c r="K24" s="30" t="s">
        <v>17</v>
      </c>
      <c r="L24" s="122">
        <v>45364</v>
      </c>
      <c r="T24" s="14" t="s">
        <v>916</v>
      </c>
      <c r="U24" s="360">
        <v>0.37916666666666665</v>
      </c>
      <c r="V24" s="360"/>
    </row>
    <row r="25" spans="1:22" hidden="1" x14ac:dyDescent="0.25">
      <c r="A25" s="509"/>
      <c r="B25" s="30"/>
      <c r="C25" s="28"/>
      <c r="D25" s="233"/>
      <c r="G25" s="30" t="s">
        <v>5195</v>
      </c>
      <c r="H25" s="30" t="s">
        <v>5193</v>
      </c>
      <c r="I25" s="237">
        <v>35164</v>
      </c>
      <c r="J25" s="3">
        <f t="shared" si="0"/>
        <v>30944</v>
      </c>
      <c r="K25" s="30" t="s">
        <v>17</v>
      </c>
      <c r="L25" s="122">
        <v>45708</v>
      </c>
      <c r="T25" s="14"/>
      <c r="U25" s="360"/>
      <c r="V25" s="360"/>
    </row>
    <row r="26" spans="1:22" hidden="1" x14ac:dyDescent="0.25">
      <c r="A26" s="95" t="s">
        <v>4616</v>
      </c>
      <c r="B26" t="s">
        <v>576</v>
      </c>
      <c r="C26" s="28" t="s">
        <v>410</v>
      </c>
      <c r="D26" s="233">
        <v>45513</v>
      </c>
      <c r="F26" s="30" t="s">
        <v>285</v>
      </c>
      <c r="G26" s="30" t="s">
        <v>5196</v>
      </c>
      <c r="H26" s="30" t="s">
        <v>5194</v>
      </c>
      <c r="I26" s="368">
        <v>9086</v>
      </c>
      <c r="J26" s="3">
        <f t="shared" si="0"/>
        <v>7996</v>
      </c>
      <c r="K26" s="30" t="s">
        <v>17</v>
      </c>
      <c r="L26" s="122">
        <v>45708</v>
      </c>
      <c r="T26" t="s">
        <v>4617</v>
      </c>
      <c r="U26" s="360">
        <v>0.24097222222222223</v>
      </c>
      <c r="V26" s="360">
        <v>0.50069444444444444</v>
      </c>
    </row>
    <row r="27" spans="1:22" hidden="1" x14ac:dyDescent="0.25">
      <c r="A27" s="483">
        <v>28062025</v>
      </c>
      <c r="B27" t="s">
        <v>576</v>
      </c>
      <c r="C27" s="28" t="s">
        <v>278</v>
      </c>
      <c r="D27" s="233">
        <v>45836</v>
      </c>
      <c r="E27" s="28"/>
      <c r="F27" s="30" t="s">
        <v>285</v>
      </c>
      <c r="G27" t="s">
        <v>6559</v>
      </c>
      <c r="H27" s="30" t="s">
        <v>6781</v>
      </c>
      <c r="I27" s="798">
        <v>42800</v>
      </c>
      <c r="J27" s="3">
        <f>+I27-ROUND(I27*0.12,0)</f>
        <v>37664</v>
      </c>
      <c r="K27" s="30" t="s">
        <v>17</v>
      </c>
      <c r="L27" s="122">
        <v>45897</v>
      </c>
      <c r="T27" t="s">
        <v>6419</v>
      </c>
      <c r="U27" s="360">
        <v>0.35347222222222219</v>
      </c>
      <c r="V27" s="360">
        <v>0.60555555555555551</v>
      </c>
    </row>
    <row r="28" spans="1:22" hidden="1" x14ac:dyDescent="0.25">
      <c r="A28" s="483" t="s">
        <v>6796</v>
      </c>
      <c r="B28" t="s">
        <v>576</v>
      </c>
      <c r="C28" s="28" t="s">
        <v>13</v>
      </c>
      <c r="D28" s="233">
        <v>45883</v>
      </c>
      <c r="E28" s="28"/>
      <c r="F28" s="30" t="s">
        <v>285</v>
      </c>
      <c r="G28" s="1067" t="s">
        <v>6817</v>
      </c>
      <c r="H28" t="s">
        <v>6858</v>
      </c>
      <c r="I28" s="88">
        <v>42800</v>
      </c>
      <c r="J28" s="88">
        <f>+I28-ROUND(I28*0.12,0)</f>
        <v>37664</v>
      </c>
      <c r="K28" t="s">
        <v>17</v>
      </c>
      <c r="L28" s="122">
        <v>45927</v>
      </c>
      <c r="M28" s="32"/>
      <c r="T28" t="s">
        <v>5131</v>
      </c>
      <c r="U28" s="360">
        <v>0.30833333333333335</v>
      </c>
      <c r="V28" s="360">
        <v>0.53263888888888888</v>
      </c>
    </row>
    <row r="29" spans="1:22" hidden="1" x14ac:dyDescent="0.25">
      <c r="A29" s="483">
        <v>24082025</v>
      </c>
      <c r="B29" t="s">
        <v>576</v>
      </c>
      <c r="C29" s="28" t="s">
        <v>410</v>
      </c>
      <c r="D29" s="233">
        <v>45893</v>
      </c>
      <c r="E29" s="28"/>
      <c r="F29" s="30" t="s">
        <v>285</v>
      </c>
      <c r="G29" s="1067" t="s">
        <v>6846</v>
      </c>
      <c r="H29" t="s">
        <v>6870</v>
      </c>
      <c r="I29" s="798">
        <v>42800</v>
      </c>
      <c r="J29" s="32">
        <f>+I29-ROUND(I29*0.12,0)</f>
        <v>37664</v>
      </c>
      <c r="K29" t="s">
        <v>17</v>
      </c>
      <c r="L29" s="122">
        <v>45952</v>
      </c>
      <c r="M29" s="32"/>
      <c r="T29" t="s">
        <v>6147</v>
      </c>
      <c r="U29" s="360">
        <v>0.41111111111111115</v>
      </c>
      <c r="V29" s="360">
        <v>0.63888888888888895</v>
      </c>
    </row>
    <row r="30" spans="1:22" x14ac:dyDescent="0.25">
      <c r="A30" s="483">
        <v>28082025</v>
      </c>
      <c r="B30" t="s">
        <v>576</v>
      </c>
      <c r="C30" s="28" t="s">
        <v>410</v>
      </c>
      <c r="D30" s="233">
        <v>45897</v>
      </c>
      <c r="E30" s="28"/>
      <c r="F30" s="30" t="s">
        <v>285</v>
      </c>
      <c r="G30" s="1067" t="s">
        <v>6866</v>
      </c>
      <c r="H30" t="s">
        <v>6915</v>
      </c>
      <c r="I30" s="313">
        <v>42800</v>
      </c>
      <c r="J30" s="3">
        <f t="shared" ref="J30:J32" si="3">+I30-ROUND(I30*0.12,0)</f>
        <v>37664</v>
      </c>
      <c r="L30"/>
      <c r="M30" s="88"/>
      <c r="T30" t="s">
        <v>6294</v>
      </c>
      <c r="U30" s="360">
        <v>0.29444444444444445</v>
      </c>
      <c r="V30" s="360"/>
    </row>
    <row r="31" spans="1:22" hidden="1" x14ac:dyDescent="0.25">
      <c r="A31" s="483" t="s">
        <v>6910</v>
      </c>
      <c r="B31" t="s">
        <v>576</v>
      </c>
      <c r="C31" s="28" t="s">
        <v>13</v>
      </c>
      <c r="D31" s="233">
        <v>45914</v>
      </c>
      <c r="E31" s="28"/>
      <c r="F31" s="30" t="s">
        <v>285</v>
      </c>
      <c r="G31" s="1108" t="s">
        <v>6914</v>
      </c>
      <c r="H31" t="s">
        <v>7045</v>
      </c>
      <c r="I31" s="313">
        <v>42800</v>
      </c>
      <c r="J31" s="3">
        <f t="shared" si="3"/>
        <v>37664</v>
      </c>
      <c r="K31" s="30" t="s">
        <v>17</v>
      </c>
      <c r="L31" s="122">
        <v>46169</v>
      </c>
      <c r="M31" s="32"/>
      <c r="T31" t="s">
        <v>4853</v>
      </c>
      <c r="U31" s="360">
        <v>0.30763888888888891</v>
      </c>
      <c r="V31" s="360">
        <v>0.7319444444444444</v>
      </c>
    </row>
    <row r="32" spans="1:22" hidden="1" x14ac:dyDescent="0.25">
      <c r="A32" s="483" t="s">
        <v>7061</v>
      </c>
      <c r="B32" t="s">
        <v>576</v>
      </c>
      <c r="C32" s="28" t="s">
        <v>4218</v>
      </c>
      <c r="D32" s="233">
        <v>45936</v>
      </c>
      <c r="E32" s="28"/>
      <c r="F32" s="30" t="s">
        <v>285</v>
      </c>
      <c r="G32" s="1067" t="s">
        <v>7120</v>
      </c>
      <c r="H32" t="s">
        <v>7214</v>
      </c>
      <c r="I32" s="313">
        <v>42800</v>
      </c>
      <c r="J32" s="3">
        <f t="shared" si="3"/>
        <v>37664</v>
      </c>
      <c r="K32" t="s">
        <v>17</v>
      </c>
      <c r="L32" s="122">
        <v>46177</v>
      </c>
      <c r="M32" s="88"/>
      <c r="T32" t="s">
        <v>7060</v>
      </c>
      <c r="U32" s="360">
        <v>0.28611111111111109</v>
      </c>
      <c r="V32" s="360"/>
    </row>
    <row r="33" spans="1:22" x14ac:dyDescent="0.25">
      <c r="A33" s="483">
        <v>12102025</v>
      </c>
      <c r="B33" t="s">
        <v>7085</v>
      </c>
      <c r="C33" s="28" t="s">
        <v>13</v>
      </c>
      <c r="D33" s="233">
        <v>45942</v>
      </c>
      <c r="E33" s="28"/>
      <c r="F33" s="30" t="s">
        <v>285</v>
      </c>
      <c r="G33" s="1067" t="s">
        <v>7103</v>
      </c>
      <c r="H33" t="s">
        <v>7356</v>
      </c>
      <c r="I33" s="313">
        <v>42800</v>
      </c>
      <c r="J33" s="3">
        <f>+I33-ROUND(I33*0.12,0)</f>
        <v>37664</v>
      </c>
      <c r="M33" s="88"/>
      <c r="T33" t="s">
        <v>3765</v>
      </c>
      <c r="U33" s="360">
        <v>0.31944444444444448</v>
      </c>
      <c r="V33" s="360">
        <v>0.67986111111111114</v>
      </c>
    </row>
    <row r="34" spans="1:22" x14ac:dyDescent="0.25">
      <c r="H34" t="s">
        <v>423</v>
      </c>
      <c r="I34" s="27">
        <f>SUBTOTAL(9,I3:I33)</f>
        <v>133100</v>
      </c>
      <c r="J34" s="9"/>
      <c r="L34" s="122"/>
    </row>
    <row r="35" spans="1:22" x14ac:dyDescent="0.25">
      <c r="L35" s="122"/>
    </row>
    <row r="36" spans="1:22" x14ac:dyDescent="0.25">
      <c r="L36" s="122"/>
    </row>
    <row r="37" spans="1:22" ht="15.75" thickBot="1" x14ac:dyDescent="0.3"/>
    <row r="38" spans="1:22" ht="15.75" thickBot="1" x14ac:dyDescent="0.3">
      <c r="A38" s="1487" t="s">
        <v>219</v>
      </c>
      <c r="B38" s="1488"/>
      <c r="C38" s="1488"/>
      <c r="D38" s="1488"/>
      <c r="E38" s="1488"/>
      <c r="F38" s="1488"/>
      <c r="G38" s="1488"/>
      <c r="H38" s="1489"/>
    </row>
    <row r="39" spans="1:22" hidden="1" x14ac:dyDescent="0.25">
      <c r="A39" s="30">
        <v>31122022</v>
      </c>
      <c r="B39" t="s">
        <v>576</v>
      </c>
      <c r="C39" t="s">
        <v>809</v>
      </c>
      <c r="D39" s="122">
        <v>44926</v>
      </c>
      <c r="F39" s="30" t="s">
        <v>285</v>
      </c>
      <c r="G39" t="s">
        <v>1717</v>
      </c>
      <c r="H39" t="s">
        <v>1736</v>
      </c>
      <c r="I39" s="32">
        <v>47200</v>
      </c>
      <c r="J39" s="3">
        <f t="shared" ref="J39:J53" si="4">+I39-ROUND(I39*0.12,0)</f>
        <v>41536</v>
      </c>
      <c r="K39" t="s">
        <v>17</v>
      </c>
      <c r="L39" s="122">
        <v>44988</v>
      </c>
      <c r="S39" t="s">
        <v>1713</v>
      </c>
    </row>
    <row r="40" spans="1:22" hidden="1" x14ac:dyDescent="0.25">
      <c r="A40" s="95" t="s">
        <v>1742</v>
      </c>
      <c r="B40" t="s">
        <v>576</v>
      </c>
      <c r="C40" t="s">
        <v>13</v>
      </c>
      <c r="D40" s="122">
        <v>44933</v>
      </c>
      <c r="F40" s="462" t="s">
        <v>285</v>
      </c>
      <c r="G40" t="s">
        <v>1829</v>
      </c>
      <c r="H40" t="s">
        <v>1903</v>
      </c>
      <c r="I40" s="160">
        <v>47200</v>
      </c>
      <c r="J40" s="3">
        <f t="shared" si="4"/>
        <v>41536</v>
      </c>
      <c r="K40" t="s">
        <v>17</v>
      </c>
      <c r="L40" s="122">
        <v>45008</v>
      </c>
      <c r="S40" t="s">
        <v>1506</v>
      </c>
      <c r="T40" s="14">
        <v>0.61041666666666672</v>
      </c>
      <c r="U40" s="14">
        <v>0.8618055555555556</v>
      </c>
    </row>
    <row r="41" spans="1:22" hidden="1" x14ac:dyDescent="0.25">
      <c r="A41" s="95" t="s">
        <v>1846</v>
      </c>
      <c r="B41" t="s">
        <v>576</v>
      </c>
      <c r="C41" t="s">
        <v>13</v>
      </c>
      <c r="D41" s="122">
        <v>44962</v>
      </c>
      <c r="F41" s="30" t="s">
        <v>285</v>
      </c>
      <c r="G41" t="s">
        <v>1958</v>
      </c>
      <c r="H41" t="s">
        <v>1974</v>
      </c>
      <c r="I41" s="32">
        <v>47200</v>
      </c>
      <c r="J41" s="3">
        <f t="shared" si="4"/>
        <v>41536</v>
      </c>
      <c r="K41" t="s">
        <v>17</v>
      </c>
      <c r="L41" s="122">
        <v>45008</v>
      </c>
      <c r="S41" t="s">
        <v>1644</v>
      </c>
      <c r="T41" s="14">
        <v>0.7104166666666667</v>
      </c>
      <c r="U41" s="14">
        <v>0.9458333333333333</v>
      </c>
    </row>
    <row r="42" spans="1:22" hidden="1" x14ac:dyDescent="0.25">
      <c r="A42" s="256">
        <v>24022023</v>
      </c>
      <c r="B42" t="s">
        <v>576</v>
      </c>
      <c r="C42" t="s">
        <v>410</v>
      </c>
      <c r="D42" s="122">
        <v>44981</v>
      </c>
      <c r="F42" s="30" t="s">
        <v>285</v>
      </c>
      <c r="G42" t="s">
        <v>2071</v>
      </c>
      <c r="H42" t="s">
        <v>2122</v>
      </c>
      <c r="I42" s="32">
        <v>47200</v>
      </c>
      <c r="J42" s="3">
        <f t="shared" si="4"/>
        <v>41536</v>
      </c>
      <c r="K42" s="32" t="s">
        <v>17</v>
      </c>
      <c r="L42" s="122">
        <v>45030</v>
      </c>
      <c r="S42" t="s">
        <v>1656</v>
      </c>
      <c r="T42" s="14">
        <v>0.59305555555555556</v>
      </c>
      <c r="U42" s="14"/>
    </row>
    <row r="43" spans="1:22" hidden="1" x14ac:dyDescent="0.25">
      <c r="A43" s="256">
        <v>24042023</v>
      </c>
      <c r="B43" t="s">
        <v>576</v>
      </c>
      <c r="C43" t="s">
        <v>693</v>
      </c>
      <c r="D43" s="122">
        <v>45040</v>
      </c>
      <c r="F43" s="30" t="s">
        <v>285</v>
      </c>
      <c r="G43" s="30" t="s">
        <v>2409</v>
      </c>
      <c r="H43" s="30" t="s">
        <v>2410</v>
      </c>
      <c r="I43" s="313">
        <v>47200</v>
      </c>
      <c r="J43" s="3">
        <f t="shared" si="4"/>
        <v>41536</v>
      </c>
      <c r="K43" t="s">
        <v>17</v>
      </c>
      <c r="L43" s="122">
        <v>45071</v>
      </c>
      <c r="T43" t="s">
        <v>916</v>
      </c>
      <c r="U43" s="14">
        <v>0.40138888888888885</v>
      </c>
    </row>
    <row r="44" spans="1:22" s="19" customFormat="1" hidden="1" x14ac:dyDescent="0.25">
      <c r="A44" s="363">
        <v>19052023</v>
      </c>
      <c r="B44" s="19" t="s">
        <v>576</v>
      </c>
      <c r="D44" s="364">
        <v>45065</v>
      </c>
      <c r="F44" s="365" t="s">
        <v>285</v>
      </c>
      <c r="G44" s="365" t="s">
        <v>2467</v>
      </c>
      <c r="H44" s="30" t="s">
        <v>2478</v>
      </c>
      <c r="I44" s="366">
        <v>47200</v>
      </c>
      <c r="J44" s="3">
        <f t="shared" si="4"/>
        <v>41536</v>
      </c>
      <c r="K44" s="19" t="s">
        <v>17</v>
      </c>
      <c r="L44" s="122">
        <v>45163</v>
      </c>
      <c r="U44" s="141"/>
      <c r="V44" s="141"/>
    </row>
    <row r="45" spans="1:22" hidden="1" x14ac:dyDescent="0.25">
      <c r="A45" s="256">
        <v>16062023</v>
      </c>
      <c r="B45" t="s">
        <v>576</v>
      </c>
      <c r="C45" t="s">
        <v>410</v>
      </c>
      <c r="D45" s="122">
        <v>45093</v>
      </c>
      <c r="F45" s="30" t="s">
        <v>285</v>
      </c>
      <c r="G45" s="30" t="s">
        <v>2635</v>
      </c>
      <c r="H45" t="s">
        <v>2660</v>
      </c>
      <c r="I45" s="61">
        <v>47200</v>
      </c>
      <c r="J45" s="3">
        <f t="shared" si="4"/>
        <v>41536</v>
      </c>
      <c r="K45" s="19" t="s">
        <v>17</v>
      </c>
      <c r="L45" s="122">
        <v>45167</v>
      </c>
      <c r="T45" t="s">
        <v>2380</v>
      </c>
      <c r="U45" s="14">
        <v>0.41319444444444442</v>
      </c>
      <c r="V45" s="14">
        <v>0.68055555555555547</v>
      </c>
    </row>
    <row r="46" spans="1:22" hidden="1" x14ac:dyDescent="0.25">
      <c r="A46" s="256">
        <v>10072023</v>
      </c>
      <c r="B46" t="s">
        <v>2606</v>
      </c>
      <c r="C46" t="s">
        <v>410</v>
      </c>
      <c r="D46" s="122">
        <v>45117</v>
      </c>
      <c r="F46" s="30" t="s">
        <v>285</v>
      </c>
      <c r="G46" s="30" t="s">
        <v>2634</v>
      </c>
      <c r="H46" t="s">
        <v>2661</v>
      </c>
      <c r="I46" s="61">
        <v>47200</v>
      </c>
      <c r="J46" s="3">
        <f t="shared" si="4"/>
        <v>41536</v>
      </c>
      <c r="K46" s="19" t="s">
        <v>17</v>
      </c>
      <c r="L46" s="122">
        <v>45167</v>
      </c>
      <c r="T46" s="14" t="s">
        <v>916</v>
      </c>
      <c r="U46" s="14">
        <v>0.82916666666666661</v>
      </c>
      <c r="V46" s="14">
        <v>3.5416666666666666E-2</v>
      </c>
    </row>
    <row r="47" spans="1:22" hidden="1" x14ac:dyDescent="0.25">
      <c r="A47" s="256">
        <v>24072023</v>
      </c>
      <c r="B47" t="s">
        <v>576</v>
      </c>
      <c r="C47" t="s">
        <v>13</v>
      </c>
      <c r="D47" s="122">
        <v>45131</v>
      </c>
      <c r="F47" s="30" t="s">
        <v>285</v>
      </c>
      <c r="G47" s="30" t="s">
        <v>2653</v>
      </c>
      <c r="H47" s="30" t="s">
        <v>2144</v>
      </c>
      <c r="I47" s="368">
        <v>47200</v>
      </c>
      <c r="J47" s="3">
        <f t="shared" si="4"/>
        <v>41536</v>
      </c>
      <c r="K47" s="19" t="s">
        <v>17</v>
      </c>
      <c r="L47" s="122">
        <v>45191</v>
      </c>
      <c r="T47" s="14" t="s">
        <v>922</v>
      </c>
      <c r="U47" s="14">
        <v>0.80347222222222225</v>
      </c>
      <c r="V47" s="14">
        <v>4.7916666666666663E-2</v>
      </c>
    </row>
    <row r="48" spans="1:22" hidden="1" x14ac:dyDescent="0.25">
      <c r="A48" s="256" t="s">
        <v>2698</v>
      </c>
      <c r="B48" t="s">
        <v>576</v>
      </c>
      <c r="C48" t="s">
        <v>13</v>
      </c>
      <c r="D48" s="122">
        <v>45140</v>
      </c>
      <c r="F48" s="30" t="s">
        <v>285</v>
      </c>
      <c r="G48" s="30" t="s">
        <v>2753</v>
      </c>
      <c r="H48" t="s">
        <v>2778</v>
      </c>
      <c r="I48" s="61">
        <v>47200</v>
      </c>
      <c r="J48" s="3">
        <f t="shared" si="4"/>
        <v>41536</v>
      </c>
      <c r="K48" s="19" t="s">
        <v>17</v>
      </c>
      <c r="L48" s="122">
        <v>45191</v>
      </c>
      <c r="T48" s="258" t="s">
        <v>2380</v>
      </c>
      <c r="U48" s="14"/>
      <c r="V48" s="14"/>
    </row>
    <row r="49" spans="1:22" hidden="1" x14ac:dyDescent="0.25">
      <c r="A49" s="256">
        <v>17082023</v>
      </c>
      <c r="B49" t="s">
        <v>576</v>
      </c>
      <c r="C49" t="s">
        <v>13</v>
      </c>
      <c r="D49" s="122">
        <v>45155</v>
      </c>
      <c r="F49" s="30" t="s">
        <v>285</v>
      </c>
      <c r="G49" t="s">
        <v>2777</v>
      </c>
      <c r="H49" t="s">
        <v>2779</v>
      </c>
      <c r="I49" s="414">
        <v>47200</v>
      </c>
      <c r="J49" s="3">
        <f t="shared" si="4"/>
        <v>41536</v>
      </c>
      <c r="K49" s="19" t="s">
        <v>17</v>
      </c>
      <c r="L49" s="122">
        <v>45247</v>
      </c>
      <c r="T49" s="14" t="s">
        <v>893</v>
      </c>
      <c r="U49" s="14">
        <v>0.65694444444444444</v>
      </c>
      <c r="V49" s="14"/>
    </row>
    <row r="50" spans="1:22" hidden="1" x14ac:dyDescent="0.25">
      <c r="A50" s="256">
        <v>23082023</v>
      </c>
      <c r="B50" t="s">
        <v>576</v>
      </c>
      <c r="C50" t="s">
        <v>410</v>
      </c>
      <c r="D50" s="122">
        <v>45161</v>
      </c>
      <c r="F50" s="30" t="s">
        <v>285</v>
      </c>
      <c r="G50" s="30" t="s">
        <v>2824</v>
      </c>
      <c r="H50" s="30" t="s">
        <v>2889</v>
      </c>
      <c r="I50" s="236">
        <v>47200</v>
      </c>
      <c r="J50" s="3">
        <f t="shared" si="4"/>
        <v>41536</v>
      </c>
      <c r="K50" s="19" t="s">
        <v>17</v>
      </c>
      <c r="L50" s="122">
        <v>45261</v>
      </c>
      <c r="T50" s="14" t="s">
        <v>2050</v>
      </c>
      <c r="U50" s="14"/>
      <c r="V50" s="14"/>
    </row>
    <row r="51" spans="1:22" hidden="1" x14ac:dyDescent="0.25">
      <c r="A51" s="256">
        <v>20092023</v>
      </c>
      <c r="B51" t="s">
        <v>576</v>
      </c>
      <c r="C51" t="s">
        <v>410</v>
      </c>
      <c r="D51" s="122">
        <v>45189</v>
      </c>
      <c r="F51" s="30" t="s">
        <v>285</v>
      </c>
      <c r="G51" t="s">
        <v>3068</v>
      </c>
      <c r="H51" t="s">
        <v>3069</v>
      </c>
      <c r="I51" s="414">
        <v>47200</v>
      </c>
      <c r="J51" s="3">
        <f t="shared" si="4"/>
        <v>41536</v>
      </c>
      <c r="K51" s="30" t="s">
        <v>17</v>
      </c>
      <c r="L51" s="122">
        <v>45275</v>
      </c>
      <c r="T51" s="14" t="s">
        <v>1042</v>
      </c>
      <c r="U51" s="14">
        <v>0.65555555555555556</v>
      </c>
      <c r="V51" s="14">
        <v>0.89583333333333337</v>
      </c>
    </row>
    <row r="52" spans="1:22" hidden="1" x14ac:dyDescent="0.25">
      <c r="A52" s="256">
        <v>17102023</v>
      </c>
      <c r="B52" t="s">
        <v>3067</v>
      </c>
      <c r="C52" t="s">
        <v>410</v>
      </c>
      <c r="D52" s="122">
        <v>45216</v>
      </c>
      <c r="F52" s="30" t="s">
        <v>285</v>
      </c>
      <c r="G52" s="30" t="s">
        <v>3198</v>
      </c>
      <c r="H52" s="30" t="s">
        <v>3327</v>
      </c>
      <c r="I52" s="236">
        <v>47200</v>
      </c>
      <c r="J52" s="3">
        <f t="shared" si="4"/>
        <v>41536</v>
      </c>
      <c r="K52" s="30" t="s">
        <v>17</v>
      </c>
      <c r="L52" s="122">
        <v>45275</v>
      </c>
      <c r="T52" s="14" t="s">
        <v>916</v>
      </c>
      <c r="U52" s="14">
        <v>0.30763888888888891</v>
      </c>
      <c r="V52" s="14"/>
    </row>
    <row r="53" spans="1:22" s="30" customFormat="1" hidden="1" x14ac:dyDescent="0.25">
      <c r="A53" s="256">
        <v>24102023</v>
      </c>
      <c r="B53" s="30" t="s">
        <v>576</v>
      </c>
      <c r="C53" s="30" t="s">
        <v>410</v>
      </c>
      <c r="D53" s="374">
        <v>45223</v>
      </c>
      <c r="E53" s="30">
        <v>4504533840</v>
      </c>
      <c r="F53" s="30" t="s">
        <v>285</v>
      </c>
      <c r="G53" s="30" t="s">
        <v>3199</v>
      </c>
      <c r="H53" s="30" t="s">
        <v>3326</v>
      </c>
      <c r="I53" s="236">
        <v>47200</v>
      </c>
      <c r="J53" s="3">
        <f t="shared" si="4"/>
        <v>41536</v>
      </c>
      <c r="K53" s="30" t="s">
        <v>17</v>
      </c>
      <c r="L53" s="122">
        <v>45275</v>
      </c>
      <c r="T53" s="30" t="s">
        <v>2380</v>
      </c>
      <c r="U53" s="360">
        <v>0.64861111111111114</v>
      </c>
      <c r="V53" s="360">
        <v>0.875</v>
      </c>
    </row>
    <row r="54" spans="1:22" x14ac:dyDescent="0.25">
      <c r="A54" s="483"/>
      <c r="C54" s="28"/>
      <c r="D54" s="233"/>
      <c r="E54" s="28"/>
      <c r="G54" s="1067"/>
      <c r="I54" s="313"/>
      <c r="J54" s="3"/>
      <c r="L54" s="798"/>
      <c r="M54" s="32"/>
      <c r="U54" s="360"/>
      <c r="V54" s="360"/>
    </row>
    <row r="55" spans="1:22" x14ac:dyDescent="0.25">
      <c r="J55" s="160"/>
      <c r="L55" s="122"/>
    </row>
    <row r="56" spans="1:22" ht="15.75" thickBot="1" x14ac:dyDescent="0.3">
      <c r="A56" s="95"/>
      <c r="D56" s="122"/>
      <c r="F56" s="462"/>
      <c r="I56" s="160"/>
      <c r="J56" s="160"/>
      <c r="L56" s="122"/>
      <c r="T56" s="14"/>
      <c r="U56" s="14"/>
    </row>
    <row r="57" spans="1:22" ht="15.75" thickBot="1" x14ac:dyDescent="0.3">
      <c r="I57" s="206">
        <f>SUBTOTAL(9,I39:I56)</f>
        <v>0</v>
      </c>
      <c r="K57" t="s">
        <v>1716</v>
      </c>
      <c r="L57" s="122"/>
      <c r="M57" s="3"/>
      <c r="N57" s="3"/>
      <c r="O57" s="3"/>
      <c r="P57" s="3"/>
    </row>
    <row r="59" spans="1:22" x14ac:dyDescent="0.25">
      <c r="M59" s="3"/>
      <c r="N59" s="3"/>
      <c r="O59" s="3"/>
      <c r="P59" s="3"/>
    </row>
    <row r="60" spans="1:22" ht="15.75" thickBot="1" x14ac:dyDescent="0.3"/>
    <row r="61" spans="1:22" ht="15.75" thickBot="1" x14ac:dyDescent="0.3">
      <c r="I61" s="206">
        <f>+I34+I57</f>
        <v>133100</v>
      </c>
    </row>
    <row r="62" spans="1:22" hidden="1" x14ac:dyDescent="0.25">
      <c r="S62" s="349"/>
      <c r="T62" s="349"/>
    </row>
    <row r="63" spans="1:22" ht="15.75" hidden="1" thickBot="1" x14ac:dyDescent="0.3">
      <c r="J63" s="1520" t="s">
        <v>701</v>
      </c>
      <c r="K63" s="1521"/>
      <c r="L63" s="1521"/>
      <c r="M63" s="1522"/>
      <c r="N63" s="1487" t="s">
        <v>2479</v>
      </c>
      <c r="O63" s="1488"/>
      <c r="P63" s="1488"/>
      <c r="Q63" s="1488"/>
      <c r="R63" s="1489"/>
      <c r="S63" s="1557"/>
      <c r="T63" s="1557"/>
    </row>
    <row r="64" spans="1:22" s="25" customFormat="1" ht="15.75" hidden="1" thickBot="1" x14ac:dyDescent="0.3">
      <c r="F64" s="115"/>
      <c r="J64" s="1531" t="s">
        <v>702</v>
      </c>
      <c r="K64" s="1532"/>
      <c r="L64" s="1532"/>
      <c r="M64" s="1533"/>
      <c r="N64" s="25" t="s">
        <v>750</v>
      </c>
      <c r="R64" s="25" t="s">
        <v>749</v>
      </c>
      <c r="S64" s="350"/>
      <c r="T64" s="350"/>
    </row>
    <row r="65" spans="8:20" hidden="1" x14ac:dyDescent="0.25">
      <c r="J65" s="1534" t="s">
        <v>436</v>
      </c>
      <c r="K65" s="1534"/>
      <c r="L65" s="142"/>
      <c r="M65" s="111">
        <f>566400+47200*3</f>
        <v>708000</v>
      </c>
      <c r="N65" s="28">
        <f>12+3</f>
        <v>15</v>
      </c>
      <c r="O65" s="28"/>
      <c r="P65" s="28"/>
      <c r="Q65" s="28"/>
      <c r="R65" s="17">
        <v>47200</v>
      </c>
      <c r="S65" s="518"/>
      <c r="T65" s="349"/>
    </row>
    <row r="66" spans="8:20" hidden="1" x14ac:dyDescent="0.25">
      <c r="I66" s="158"/>
      <c r="J66" s="112" t="s">
        <v>696</v>
      </c>
      <c r="K66" s="113" t="s">
        <v>697</v>
      </c>
      <c r="L66" s="144"/>
      <c r="M66" s="114" t="s">
        <v>437</v>
      </c>
      <c r="S66" s="349"/>
      <c r="T66" s="349"/>
    </row>
    <row r="67" spans="8:20" hidden="1" x14ac:dyDescent="0.25">
      <c r="H67" t="s">
        <v>2312</v>
      </c>
      <c r="J67" s="104">
        <f>M65/M65</f>
        <v>1</v>
      </c>
      <c r="K67" s="102" t="s">
        <v>366</v>
      </c>
      <c r="L67" s="102"/>
      <c r="M67" s="110" t="s">
        <v>3092</v>
      </c>
      <c r="S67" s="349"/>
      <c r="T67" s="349"/>
    </row>
    <row r="68" spans="8:20" hidden="1" x14ac:dyDescent="0.25">
      <c r="H68" s="3">
        <v>708000</v>
      </c>
      <c r="I68">
        <v>0</v>
      </c>
      <c r="J68" s="104">
        <f>(H68+I68)/M65</f>
        <v>1</v>
      </c>
      <c r="K68" s="102" t="s">
        <v>365</v>
      </c>
      <c r="L68" s="102"/>
      <c r="M68" s="110" t="str">
        <f>+M67</f>
        <v>al 24/10/23</v>
      </c>
      <c r="N68" s="353">
        <f>+H68/R65</f>
        <v>15</v>
      </c>
      <c r="O68" s="17"/>
      <c r="P68" s="17"/>
      <c r="Q68" s="17"/>
      <c r="S68" s="351"/>
      <c r="T68" s="349"/>
    </row>
    <row r="69" spans="8:20" hidden="1" x14ac:dyDescent="0.25">
      <c r="J69" s="104">
        <f>M65/M65</f>
        <v>1</v>
      </c>
      <c r="K69" s="102" t="s">
        <v>698</v>
      </c>
      <c r="L69" s="145"/>
      <c r="M69" s="132" t="str">
        <f>+M67</f>
        <v>al 24/10/23</v>
      </c>
      <c r="N69" s="28"/>
      <c r="S69" s="349"/>
      <c r="T69" s="349"/>
    </row>
    <row r="70" spans="8:20" ht="15.75" hidden="1" thickBot="1" x14ac:dyDescent="0.3">
      <c r="J70" s="1524" t="s">
        <v>756</v>
      </c>
      <c r="K70" s="1525"/>
      <c r="L70" s="146"/>
      <c r="M70" s="346">
        <f>+M65-H68</f>
        <v>0</v>
      </c>
      <c r="N70" s="348">
        <f>+N65-N68</f>
        <v>0</v>
      </c>
      <c r="S70" s="352"/>
      <c r="T70" s="349"/>
    </row>
    <row r="71" spans="8:20" ht="15.75" hidden="1" thickBot="1" x14ac:dyDescent="0.3">
      <c r="J71" s="1526" t="s">
        <v>699</v>
      </c>
      <c r="K71" s="1527"/>
      <c r="L71" s="1527"/>
      <c r="M71" s="1528"/>
      <c r="S71" s="349"/>
      <c r="T71" s="349"/>
    </row>
    <row r="72" spans="8:20" hidden="1" x14ac:dyDescent="0.25">
      <c r="J72" s="108">
        <f>+J67/J68</f>
        <v>1</v>
      </c>
      <c r="K72" s="103" t="s">
        <v>700</v>
      </c>
      <c r="L72" s="103"/>
      <c r="M72" s="109" t="str">
        <f>+M67</f>
        <v>al 24/10/23</v>
      </c>
      <c r="S72" s="349"/>
      <c r="T72" s="349"/>
    </row>
    <row r="73" spans="8:20" hidden="1" x14ac:dyDescent="0.25">
      <c r="J73" s="104">
        <f>+J69/J68</f>
        <v>1</v>
      </c>
      <c r="K73" s="102" t="s">
        <v>703</v>
      </c>
      <c r="L73" s="102"/>
      <c r="M73" s="110" t="str">
        <f>+M67</f>
        <v>al 24/10/23</v>
      </c>
    </row>
    <row r="74" spans="8:20" hidden="1" x14ac:dyDescent="0.25">
      <c r="J74"/>
      <c r="L74"/>
      <c r="M74" s="6"/>
    </row>
    <row r="75" spans="8:20" hidden="1" x14ac:dyDescent="0.25"/>
  </sheetData>
  <autoFilter ref="A2:U61" xr:uid="{00000000-0009-0000-0000-000013000000}">
    <filterColumn colId="10">
      <filters blank="1">
        <filter val="SOL. CONCILIACIÓN FALLIDA- PROYECTA VISITA"/>
      </filters>
    </filterColumn>
    <filterColumn colId="16" showButton="0"/>
    <filterColumn colId="17" showButton="0"/>
    <filterColumn colId="18" showButton="0"/>
  </autoFilter>
  <mergeCells count="9">
    <mergeCell ref="J65:K65"/>
    <mergeCell ref="J70:K70"/>
    <mergeCell ref="J71:M71"/>
    <mergeCell ref="Q2:T2"/>
    <mergeCell ref="A38:H38"/>
    <mergeCell ref="J63:M63"/>
    <mergeCell ref="N63:R63"/>
    <mergeCell ref="S63:T63"/>
    <mergeCell ref="J64:M6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6315" r:id="rId4" name="Button 1">
              <controlPr defaultSize="0" print="0" autoFill="0" autoPict="0" macro="[0]!RETORNAR">
                <anchor moveWithCells="1" sizeWithCells="1">
                  <from>
                    <xdr:col>0</xdr:col>
                    <xdr:colOff>28575</xdr:colOff>
                    <xdr:row>0</xdr:row>
                    <xdr:rowOff>0</xdr:rowOff>
                  </from>
                  <to>
                    <xdr:col>2</xdr:col>
                    <xdr:colOff>228600</xdr:colOff>
                    <xdr:row>0</xdr:row>
                    <xdr:rowOff>257175</xdr:rowOff>
                  </to>
                </anchor>
              </controlPr>
            </control>
          </mc:Choice>
        </mc:AlternateContent>
        <mc:AlternateContent xmlns:mc="http://schemas.openxmlformats.org/markup-compatibility/2006">
          <mc:Choice Requires="x14">
            <control shapeId="226323" r:id="rId5" name="Botón 19">
              <controlPr defaultSize="0" print="0" autoFill="0" autoPict="0" macro="[0]!IR_VENTAS_B200_2026">
                <anchor moveWithCells="1" sizeWithCells="1">
                  <from>
                    <xdr:col>1</xdr:col>
                    <xdr:colOff>342900</xdr:colOff>
                    <xdr:row>75</xdr:row>
                    <xdr:rowOff>9525</xdr:rowOff>
                  </from>
                  <to>
                    <xdr:col>3</xdr:col>
                    <xdr:colOff>9525</xdr:colOff>
                    <xdr:row>78</xdr:row>
                    <xdr:rowOff>38100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2" filterMode="1">
    <pageSetUpPr fitToPage="1"/>
  </sheetPr>
  <dimension ref="A1:P27"/>
  <sheetViews>
    <sheetView zoomScaleNormal="100" workbookViewId="0">
      <selection activeCell="B1" sqref="B1:B1048576"/>
    </sheetView>
  </sheetViews>
  <sheetFormatPr baseColWidth="10" defaultColWidth="10.85546875" defaultRowHeight="15" x14ac:dyDescent="0.25"/>
  <cols>
    <col min="1" max="1" width="9.85546875" style="53" customWidth="1"/>
    <col min="2" max="2" width="8.7109375" style="28" customWidth="1"/>
    <col min="3" max="3" width="11" style="28" customWidth="1"/>
    <col min="4" max="4" width="10.5703125" style="28" customWidth="1"/>
    <col min="5" max="5" width="9.42578125" style="28" customWidth="1"/>
    <col min="6" max="6" width="9.5703125" style="28" customWidth="1"/>
    <col min="7" max="7" width="9" style="28" customWidth="1"/>
    <col min="8" max="8" width="8.85546875" style="28" customWidth="1"/>
    <col min="9" max="9" width="32.7109375" style="28" customWidth="1"/>
    <col min="10" max="10" width="12.5703125" style="61" bestFit="1" customWidth="1"/>
    <col min="11" max="12" width="11.42578125" style="28"/>
    <col min="13" max="13" width="11.42578125" style="61"/>
    <col min="14" max="15" width="11.42578125" style="28"/>
    <col min="16" max="16" width="39.42578125" style="28" customWidth="1"/>
  </cols>
  <sheetData>
    <row r="1" spans="1:16" ht="24.95" customHeight="1" x14ac:dyDescent="0.25"/>
    <row r="2" spans="1:16" x14ac:dyDescent="0.25">
      <c r="C2" s="1558" t="s">
        <v>538</v>
      </c>
      <c r="D2" s="1558"/>
      <c r="E2" s="1558"/>
      <c r="F2" s="1558"/>
      <c r="G2" s="1558"/>
      <c r="H2" s="1558"/>
      <c r="I2" s="1558"/>
      <c r="J2" s="1558"/>
      <c r="K2" s="25"/>
      <c r="L2" s="25"/>
      <c r="N2" s="34"/>
    </row>
    <row r="3" spans="1:16" x14ac:dyDescent="0.25">
      <c r="A3" s="54" t="s">
        <v>428</v>
      </c>
      <c r="B3" s="35" t="s">
        <v>429</v>
      </c>
      <c r="C3" s="35" t="s">
        <v>430</v>
      </c>
      <c r="D3" s="36" t="s">
        <v>431</v>
      </c>
      <c r="E3" s="37" t="s">
        <v>432</v>
      </c>
      <c r="F3" s="38" t="s">
        <v>433</v>
      </c>
      <c r="G3" s="38" t="s">
        <v>434</v>
      </c>
      <c r="H3" s="38" t="s">
        <v>3</v>
      </c>
      <c r="I3" s="35" t="s">
        <v>435</v>
      </c>
      <c r="J3" s="57" t="s">
        <v>436</v>
      </c>
      <c r="K3" s="39" t="s">
        <v>8</v>
      </c>
      <c r="L3" s="1" t="s">
        <v>3998</v>
      </c>
      <c r="M3" s="57" t="s">
        <v>438</v>
      </c>
      <c r="N3" s="40" t="s">
        <v>439</v>
      </c>
      <c r="O3" s="38" t="s">
        <v>440</v>
      </c>
      <c r="P3" s="38" t="s">
        <v>11</v>
      </c>
    </row>
    <row r="4" spans="1:16" s="5" customFormat="1" ht="15" hidden="1" customHeight="1" x14ac:dyDescent="0.25">
      <c r="A4" s="77">
        <v>44191</v>
      </c>
      <c r="B4" s="78" t="s">
        <v>441</v>
      </c>
      <c r="C4" s="78" t="s">
        <v>805</v>
      </c>
      <c r="D4" s="78" t="s">
        <v>442</v>
      </c>
      <c r="E4" s="78" t="s">
        <v>443</v>
      </c>
      <c r="F4" s="78" t="s">
        <v>444</v>
      </c>
      <c r="G4" s="78"/>
      <c r="H4" s="78" t="s">
        <v>445</v>
      </c>
      <c r="I4" s="78" t="s">
        <v>446</v>
      </c>
      <c r="J4" s="79">
        <v>25000</v>
      </c>
      <c r="K4" s="80" t="s">
        <v>71</v>
      </c>
      <c r="L4" s="80"/>
      <c r="M4" s="147">
        <v>25000</v>
      </c>
      <c r="N4" s="81" t="s">
        <v>822</v>
      </c>
      <c r="O4" s="78" t="s">
        <v>464</v>
      </c>
      <c r="P4" s="78"/>
    </row>
    <row r="5" spans="1:16" s="5" customFormat="1" hidden="1" x14ac:dyDescent="0.25">
      <c r="A5" s="77">
        <v>44074</v>
      </c>
      <c r="B5" s="78" t="s">
        <v>447</v>
      </c>
      <c r="C5" s="78" t="s">
        <v>806</v>
      </c>
      <c r="D5" s="78" t="s">
        <v>448</v>
      </c>
      <c r="E5" s="78" t="s">
        <v>443</v>
      </c>
      <c r="F5" s="78" t="s">
        <v>449</v>
      </c>
      <c r="G5" s="78"/>
      <c r="H5" s="78" t="s">
        <v>445</v>
      </c>
      <c r="I5" s="78" t="s">
        <v>450</v>
      </c>
      <c r="J5" s="79">
        <v>25000</v>
      </c>
      <c r="K5" s="80" t="s">
        <v>17</v>
      </c>
      <c r="L5" s="272">
        <v>44764</v>
      </c>
      <c r="M5" s="147">
        <v>25000</v>
      </c>
      <c r="N5" s="81"/>
      <c r="O5" s="78"/>
      <c r="P5" s="78"/>
    </row>
    <row r="6" spans="1:16" s="20" customFormat="1" hidden="1" x14ac:dyDescent="0.25">
      <c r="A6" s="82">
        <v>44366</v>
      </c>
      <c r="B6" s="83" t="s">
        <v>451</v>
      </c>
      <c r="C6" s="83" t="s">
        <v>452</v>
      </c>
      <c r="D6" s="83" t="s">
        <v>453</v>
      </c>
      <c r="E6" s="83" t="s">
        <v>443</v>
      </c>
      <c r="F6" s="83"/>
      <c r="G6" s="83"/>
      <c r="H6" s="83" t="s">
        <v>445</v>
      </c>
      <c r="I6" s="83" t="s">
        <v>454</v>
      </c>
      <c r="J6" s="84">
        <v>21500</v>
      </c>
      <c r="K6" s="80" t="s">
        <v>17</v>
      </c>
      <c r="L6" s="273">
        <v>44518</v>
      </c>
      <c r="M6" s="84">
        <v>21500</v>
      </c>
      <c r="N6" s="85"/>
      <c r="O6" s="83"/>
      <c r="P6" s="83"/>
    </row>
    <row r="7" spans="1:16" s="21" customFormat="1" hidden="1" x14ac:dyDescent="0.25">
      <c r="A7" s="55">
        <v>44378</v>
      </c>
      <c r="B7" s="42" t="s">
        <v>455</v>
      </c>
      <c r="C7" s="42" t="s">
        <v>456</v>
      </c>
      <c r="D7" s="42" t="s">
        <v>457</v>
      </c>
      <c r="E7" s="42" t="s">
        <v>443</v>
      </c>
      <c r="F7" s="42" t="s">
        <v>458</v>
      </c>
      <c r="G7" s="42"/>
      <c r="H7" s="42" t="s">
        <v>445</v>
      </c>
      <c r="I7" s="42" t="s">
        <v>459</v>
      </c>
      <c r="J7" s="58">
        <v>21000</v>
      </c>
      <c r="K7" s="62" t="s">
        <v>17</v>
      </c>
      <c r="L7" s="273">
        <v>44518</v>
      </c>
      <c r="M7" s="58">
        <v>21000</v>
      </c>
      <c r="N7" s="44"/>
      <c r="O7" s="42"/>
      <c r="P7" s="42"/>
    </row>
    <row r="8" spans="1:16" s="13" customFormat="1" ht="15" hidden="1" customHeight="1" x14ac:dyDescent="0.25">
      <c r="A8" s="64">
        <v>44432</v>
      </c>
      <c r="B8" s="65" t="s">
        <v>460</v>
      </c>
      <c r="C8" s="65"/>
      <c r="D8" s="65" t="s">
        <v>461</v>
      </c>
      <c r="E8" s="65" t="s">
        <v>443</v>
      </c>
      <c r="F8" s="65" t="s">
        <v>462</v>
      </c>
      <c r="G8" s="65"/>
      <c r="H8" s="65" t="s">
        <v>445</v>
      </c>
      <c r="I8" s="65" t="s">
        <v>463</v>
      </c>
      <c r="J8" s="66">
        <v>20500</v>
      </c>
      <c r="K8" s="67" t="s">
        <v>17</v>
      </c>
      <c r="L8" s="68"/>
      <c r="M8" s="66">
        <v>20500</v>
      </c>
      <c r="N8" s="69">
        <v>44559</v>
      </c>
      <c r="O8" s="70" t="s">
        <v>464</v>
      </c>
      <c r="P8" s="70"/>
    </row>
    <row r="9" spans="1:16" s="21" customFormat="1" ht="18.75" hidden="1" customHeight="1" x14ac:dyDescent="0.25">
      <c r="A9" s="45">
        <v>44436</v>
      </c>
      <c r="B9" s="46" t="s">
        <v>465</v>
      </c>
      <c r="C9" s="46" t="s">
        <v>466</v>
      </c>
      <c r="D9" s="46" t="s">
        <v>467</v>
      </c>
      <c r="E9" s="46" t="s">
        <v>443</v>
      </c>
      <c r="F9" s="46" t="s">
        <v>468</v>
      </c>
      <c r="G9" s="46" t="s">
        <v>279</v>
      </c>
      <c r="H9" s="46" t="s">
        <v>445</v>
      </c>
      <c r="I9" s="46" t="s">
        <v>469</v>
      </c>
      <c r="J9" s="58">
        <v>35100</v>
      </c>
      <c r="K9" s="62" t="s">
        <v>71</v>
      </c>
      <c r="L9" s="43"/>
      <c r="M9" s="58">
        <v>35100</v>
      </c>
      <c r="N9" s="44" t="s">
        <v>822</v>
      </c>
      <c r="O9" s="42" t="s">
        <v>464</v>
      </c>
      <c r="P9" s="47"/>
    </row>
    <row r="10" spans="1:16" s="13" customFormat="1" hidden="1" x14ac:dyDescent="0.25">
      <c r="A10" s="64">
        <v>44478</v>
      </c>
      <c r="B10" s="65" t="s">
        <v>470</v>
      </c>
      <c r="C10" s="65" t="s">
        <v>1823</v>
      </c>
      <c r="D10" s="65" t="s">
        <v>471</v>
      </c>
      <c r="E10" s="65" t="s">
        <v>443</v>
      </c>
      <c r="F10" s="65" t="s">
        <v>472</v>
      </c>
      <c r="G10" s="65" t="s">
        <v>279</v>
      </c>
      <c r="H10" s="65" t="s">
        <v>473</v>
      </c>
      <c r="I10" s="65" t="s">
        <v>474</v>
      </c>
      <c r="J10" s="66">
        <v>35100</v>
      </c>
      <c r="K10" s="67" t="s">
        <v>17</v>
      </c>
      <c r="L10" s="253">
        <v>44958</v>
      </c>
      <c r="M10" s="66">
        <v>35100</v>
      </c>
      <c r="N10" s="69"/>
      <c r="O10" s="70"/>
      <c r="P10" s="71"/>
    </row>
    <row r="11" spans="1:16" s="13" customFormat="1" ht="15" hidden="1" customHeight="1" x14ac:dyDescent="0.25">
      <c r="A11" s="64" t="s">
        <v>475</v>
      </c>
      <c r="B11" s="65" t="s">
        <v>476</v>
      </c>
      <c r="C11" s="65"/>
      <c r="D11" s="65" t="s">
        <v>477</v>
      </c>
      <c r="E11" s="65" t="s">
        <v>443</v>
      </c>
      <c r="F11" s="65" t="s">
        <v>478</v>
      </c>
      <c r="G11" s="65"/>
      <c r="H11" s="65" t="s">
        <v>445</v>
      </c>
      <c r="I11" s="65" t="s">
        <v>479</v>
      </c>
      <c r="J11" s="66">
        <v>20500</v>
      </c>
      <c r="K11" s="67" t="s">
        <v>71</v>
      </c>
      <c r="L11" s="68"/>
      <c r="M11" s="66">
        <v>20500</v>
      </c>
      <c r="N11" s="69" t="s">
        <v>822</v>
      </c>
      <c r="O11" s="70" t="s">
        <v>464</v>
      </c>
      <c r="P11" s="71"/>
    </row>
    <row r="12" spans="1:16" s="21" customFormat="1" ht="15" hidden="1" customHeight="1" x14ac:dyDescent="0.25">
      <c r="A12" s="45" t="s">
        <v>480</v>
      </c>
      <c r="B12" s="46" t="s">
        <v>481</v>
      </c>
      <c r="C12" s="46"/>
      <c r="D12" s="46" t="s">
        <v>482</v>
      </c>
      <c r="E12" s="46" t="s">
        <v>443</v>
      </c>
      <c r="F12" s="46" t="s">
        <v>483</v>
      </c>
      <c r="G12" s="46"/>
      <c r="H12" s="46" t="s">
        <v>445</v>
      </c>
      <c r="I12" s="46" t="s">
        <v>484</v>
      </c>
      <c r="J12" s="58">
        <v>20500</v>
      </c>
      <c r="K12" s="62" t="s">
        <v>71</v>
      </c>
      <c r="L12" s="43"/>
      <c r="M12" s="58">
        <v>20500</v>
      </c>
      <c r="N12" s="44" t="s">
        <v>822</v>
      </c>
      <c r="O12" s="42" t="s">
        <v>464</v>
      </c>
      <c r="P12" s="47"/>
    </row>
    <row r="13" spans="1:16" s="21" customFormat="1" ht="15" hidden="1" customHeight="1" x14ac:dyDescent="0.25">
      <c r="A13" s="45" t="s">
        <v>480</v>
      </c>
      <c r="B13" s="46" t="s">
        <v>485</v>
      </c>
      <c r="C13" s="46"/>
      <c r="D13" s="46" t="s">
        <v>486</v>
      </c>
      <c r="E13" s="46" t="s">
        <v>443</v>
      </c>
      <c r="F13" s="46" t="s">
        <v>487</v>
      </c>
      <c r="G13" s="46"/>
      <c r="H13" s="46" t="s">
        <v>445</v>
      </c>
      <c r="I13" s="46" t="s">
        <v>488</v>
      </c>
      <c r="J13" s="58">
        <v>20500</v>
      </c>
      <c r="K13" s="62" t="s">
        <v>71</v>
      </c>
      <c r="L13" s="43"/>
      <c r="M13" s="58">
        <v>20500</v>
      </c>
      <c r="N13" s="44" t="s">
        <v>822</v>
      </c>
      <c r="O13" s="42" t="s">
        <v>464</v>
      </c>
      <c r="P13" s="47"/>
    </row>
    <row r="14" spans="1:16" s="21" customFormat="1" ht="15" hidden="1" customHeight="1" x14ac:dyDescent="0.25">
      <c r="A14" s="45" t="s">
        <v>489</v>
      </c>
      <c r="B14" s="46" t="s">
        <v>490</v>
      </c>
      <c r="C14" s="46"/>
      <c r="D14" s="46" t="s">
        <v>491</v>
      </c>
      <c r="E14" s="46" t="s">
        <v>443</v>
      </c>
      <c r="F14" s="46" t="s">
        <v>492</v>
      </c>
      <c r="G14" s="46"/>
      <c r="H14" s="46" t="s">
        <v>445</v>
      </c>
      <c r="I14" s="46" t="s">
        <v>493</v>
      </c>
      <c r="J14" s="58">
        <v>20500</v>
      </c>
      <c r="K14" s="62" t="s">
        <v>71</v>
      </c>
      <c r="L14" s="43"/>
      <c r="M14" s="58">
        <v>20500</v>
      </c>
      <c r="N14" s="44" t="s">
        <v>822</v>
      </c>
      <c r="O14" s="42" t="s">
        <v>464</v>
      </c>
      <c r="P14" s="47"/>
    </row>
    <row r="15" spans="1:16" s="13" customFormat="1" hidden="1" x14ac:dyDescent="0.25">
      <c r="A15" s="64" t="s">
        <v>494</v>
      </c>
      <c r="B15" s="65" t="s">
        <v>495</v>
      </c>
      <c r="C15" s="65" t="s">
        <v>1820</v>
      </c>
      <c r="D15" s="65" t="s">
        <v>496</v>
      </c>
      <c r="E15" s="65" t="s">
        <v>443</v>
      </c>
      <c r="F15" s="65" t="s">
        <v>497</v>
      </c>
      <c r="G15" s="65"/>
      <c r="H15" s="65" t="s">
        <v>445</v>
      </c>
      <c r="I15" s="65" t="s">
        <v>498</v>
      </c>
      <c r="J15" s="66">
        <v>20500</v>
      </c>
      <c r="K15" s="67" t="s">
        <v>17</v>
      </c>
      <c r="L15" s="253">
        <v>44958</v>
      </c>
      <c r="M15" s="66">
        <v>20500</v>
      </c>
      <c r="N15" s="69"/>
      <c r="O15" s="70"/>
      <c r="P15" s="71"/>
    </row>
    <row r="16" spans="1:16" s="13" customFormat="1" hidden="1" x14ac:dyDescent="0.25">
      <c r="A16" s="64" t="s">
        <v>499</v>
      </c>
      <c r="B16" s="65" t="s">
        <v>500</v>
      </c>
      <c r="C16" s="65" t="s">
        <v>1822</v>
      </c>
      <c r="D16" s="65" t="s">
        <v>501</v>
      </c>
      <c r="E16" s="65" t="s">
        <v>443</v>
      </c>
      <c r="F16" s="65" t="s">
        <v>502</v>
      </c>
      <c r="G16" s="65"/>
      <c r="H16" s="65" t="s">
        <v>445</v>
      </c>
      <c r="I16" s="65" t="s">
        <v>503</v>
      </c>
      <c r="J16" s="66">
        <v>20500</v>
      </c>
      <c r="K16" s="67" t="s">
        <v>17</v>
      </c>
      <c r="L16" s="253">
        <v>44958</v>
      </c>
      <c r="M16" s="66">
        <v>20500</v>
      </c>
      <c r="N16" s="69"/>
      <c r="O16" s="70"/>
      <c r="P16" s="71"/>
    </row>
    <row r="17" spans="1:16" s="13" customFormat="1" hidden="1" x14ac:dyDescent="0.25">
      <c r="A17" s="64" t="s">
        <v>504</v>
      </c>
      <c r="B17" s="65" t="s">
        <v>505</v>
      </c>
      <c r="C17" s="65" t="s">
        <v>1821</v>
      </c>
      <c r="D17" s="65" t="s">
        <v>506</v>
      </c>
      <c r="E17" s="65" t="s">
        <v>443</v>
      </c>
      <c r="F17" s="65"/>
      <c r="G17" s="65"/>
      <c r="H17" s="65" t="s">
        <v>445</v>
      </c>
      <c r="I17" s="65" t="s">
        <v>507</v>
      </c>
      <c r="J17" s="66">
        <v>20500</v>
      </c>
      <c r="K17" s="67" t="s">
        <v>17</v>
      </c>
      <c r="L17" s="253">
        <v>44958</v>
      </c>
      <c r="M17" s="66">
        <v>20500</v>
      </c>
      <c r="N17" s="69"/>
      <c r="O17" s="70"/>
      <c r="P17" s="71"/>
    </row>
    <row r="18" spans="1:16" ht="15" hidden="1" customHeight="1" x14ac:dyDescent="0.25">
      <c r="A18" s="48">
        <v>44471</v>
      </c>
      <c r="B18" s="49" t="s">
        <v>508</v>
      </c>
      <c r="C18" s="49"/>
      <c r="D18" s="49" t="s">
        <v>509</v>
      </c>
      <c r="E18" s="49" t="s">
        <v>443</v>
      </c>
      <c r="F18" s="49" t="s">
        <v>510</v>
      </c>
      <c r="G18" s="49"/>
      <c r="H18" s="49" t="s">
        <v>511</v>
      </c>
      <c r="I18" s="49" t="s">
        <v>512</v>
      </c>
      <c r="J18" s="59">
        <v>20500</v>
      </c>
      <c r="K18" s="62" t="s">
        <v>71</v>
      </c>
      <c r="L18" s="50"/>
      <c r="M18" s="50">
        <v>20500</v>
      </c>
      <c r="N18" s="51" t="s">
        <v>822</v>
      </c>
      <c r="O18" s="41" t="s">
        <v>464</v>
      </c>
      <c r="P18" s="52"/>
    </row>
    <row r="19" spans="1:16" s="13" customFormat="1" ht="15" hidden="1" customHeight="1" x14ac:dyDescent="0.25">
      <c r="A19" s="64">
        <v>44473</v>
      </c>
      <c r="B19" s="65" t="s">
        <v>513</v>
      </c>
      <c r="C19" s="65"/>
      <c r="D19" s="65" t="s">
        <v>514</v>
      </c>
      <c r="E19" s="65" t="s">
        <v>443</v>
      </c>
      <c r="F19" s="65" t="s">
        <v>515</v>
      </c>
      <c r="G19" s="65"/>
      <c r="H19" s="65" t="s">
        <v>445</v>
      </c>
      <c r="I19" s="65" t="s">
        <v>516</v>
      </c>
      <c r="J19" s="66">
        <v>20500</v>
      </c>
      <c r="K19" s="67" t="s">
        <v>71</v>
      </c>
      <c r="L19" s="68"/>
      <c r="M19" s="50">
        <v>20500</v>
      </c>
      <c r="N19" s="51" t="s">
        <v>822</v>
      </c>
      <c r="O19" s="41" t="s">
        <v>464</v>
      </c>
      <c r="P19" s="71"/>
    </row>
    <row r="20" spans="1:16" s="13" customFormat="1" ht="15" hidden="1" customHeight="1" x14ac:dyDescent="0.25">
      <c r="A20" s="64" t="s">
        <v>517</v>
      </c>
      <c r="B20" s="65" t="s">
        <v>518</v>
      </c>
      <c r="C20" s="65" t="s">
        <v>519</v>
      </c>
      <c r="D20" s="65" t="s">
        <v>520</v>
      </c>
      <c r="E20" s="65" t="s">
        <v>443</v>
      </c>
      <c r="F20" s="65" t="s">
        <v>521</v>
      </c>
      <c r="G20" s="65"/>
      <c r="H20" s="65" t="s">
        <v>522</v>
      </c>
      <c r="I20" s="65" t="s">
        <v>523</v>
      </c>
      <c r="J20" s="148">
        <v>20500</v>
      </c>
      <c r="K20" s="67" t="s">
        <v>71</v>
      </c>
      <c r="L20" s="68"/>
      <c r="M20" s="50">
        <v>20500</v>
      </c>
      <c r="N20" s="51" t="s">
        <v>822</v>
      </c>
      <c r="O20" s="41" t="s">
        <v>464</v>
      </c>
      <c r="P20" s="71"/>
    </row>
    <row r="21" spans="1:16" s="13" customFormat="1" ht="15" hidden="1" customHeight="1" x14ac:dyDescent="0.25">
      <c r="A21" s="64" t="s">
        <v>524</v>
      </c>
      <c r="B21" s="65" t="s">
        <v>525</v>
      </c>
      <c r="C21" s="65"/>
      <c r="D21" s="65" t="s">
        <v>526</v>
      </c>
      <c r="E21" s="65" t="s">
        <v>443</v>
      </c>
      <c r="F21" s="65" t="s">
        <v>527</v>
      </c>
      <c r="G21" s="65"/>
      <c r="H21" s="65" t="s">
        <v>445</v>
      </c>
      <c r="I21" s="65" t="s">
        <v>528</v>
      </c>
      <c r="J21" s="66">
        <v>20500</v>
      </c>
      <c r="K21" s="67" t="s">
        <v>71</v>
      </c>
      <c r="L21" s="68"/>
      <c r="M21" s="50">
        <v>20500</v>
      </c>
      <c r="N21" s="51" t="s">
        <v>822</v>
      </c>
      <c r="O21" s="41" t="s">
        <v>464</v>
      </c>
      <c r="P21" s="71"/>
    </row>
    <row r="22" spans="1:16" ht="15" hidden="1" customHeight="1" x14ac:dyDescent="0.25">
      <c r="A22" s="48">
        <v>44497</v>
      </c>
      <c r="B22" s="49" t="s">
        <v>529</v>
      </c>
      <c r="C22" s="49"/>
      <c r="D22" s="49" t="s">
        <v>530</v>
      </c>
      <c r="E22" s="49" t="s">
        <v>531</v>
      </c>
      <c r="F22" s="49" t="s">
        <v>532</v>
      </c>
      <c r="G22" s="49"/>
      <c r="H22" s="49" t="s">
        <v>445</v>
      </c>
      <c r="I22" s="49" t="s">
        <v>533</v>
      </c>
      <c r="J22" s="59">
        <v>35100</v>
      </c>
      <c r="K22" s="62" t="s">
        <v>71</v>
      </c>
      <c r="L22" s="50"/>
      <c r="M22" s="50">
        <v>35100</v>
      </c>
      <c r="N22" s="51" t="s">
        <v>822</v>
      </c>
      <c r="O22" s="41" t="s">
        <v>464</v>
      </c>
      <c r="P22" s="52"/>
    </row>
    <row r="23" spans="1:16" s="13" customFormat="1" hidden="1" x14ac:dyDescent="0.25">
      <c r="A23" s="64">
        <v>44498</v>
      </c>
      <c r="B23" s="65" t="s">
        <v>534</v>
      </c>
      <c r="C23" s="65"/>
      <c r="D23" s="65" t="s">
        <v>535</v>
      </c>
      <c r="E23" s="65" t="s">
        <v>531</v>
      </c>
      <c r="F23" s="65" t="s">
        <v>536</v>
      </c>
      <c r="G23" s="65"/>
      <c r="H23" s="65" t="s">
        <v>445</v>
      </c>
      <c r="I23" s="65" t="s">
        <v>537</v>
      </c>
      <c r="J23" s="66">
        <v>20500</v>
      </c>
      <c r="K23" s="67" t="s">
        <v>17</v>
      </c>
      <c r="L23" s="211">
        <v>44840</v>
      </c>
      <c r="M23" s="66">
        <v>20500</v>
      </c>
      <c r="N23" s="69"/>
      <c r="O23" s="70"/>
      <c r="P23" s="41"/>
    </row>
    <row r="24" spans="1:16" x14ac:dyDescent="0.25">
      <c r="A24" s="1559" t="s">
        <v>571</v>
      </c>
      <c r="B24" s="1560"/>
      <c r="C24" s="1560"/>
      <c r="D24" s="1560"/>
      <c r="E24" s="1560"/>
      <c r="F24" s="1560"/>
      <c r="G24" s="1560"/>
      <c r="H24" s="1560"/>
      <c r="I24" s="1560"/>
      <c r="J24" s="1560"/>
      <c r="K24" s="1561"/>
      <c r="L24" s="50"/>
      <c r="M24" s="59"/>
      <c r="N24" s="44"/>
      <c r="O24" s="42"/>
      <c r="P24" s="52"/>
    </row>
    <row r="25" spans="1:16" s="1" customFormat="1" x14ac:dyDescent="0.25">
      <c r="A25" s="56"/>
      <c r="B25" s="25"/>
      <c r="C25" s="25"/>
      <c r="D25" s="25"/>
      <c r="E25" s="25"/>
      <c r="F25" s="25"/>
      <c r="G25" s="25"/>
      <c r="H25" s="25"/>
      <c r="I25" s="25"/>
      <c r="J25" s="60">
        <f>SUBTOTAL(9,J4:J23)</f>
        <v>0</v>
      </c>
      <c r="K25" s="60">
        <f>SUBTOTAL(9,K4:K23)</f>
        <v>0</v>
      </c>
      <c r="L25" s="60">
        <f>SUBTOTAL(9,L4:L23)</f>
        <v>0</v>
      </c>
      <c r="M25" s="60">
        <f>SUBTOTAL(9,M4:M23)</f>
        <v>0</v>
      </c>
      <c r="N25" s="25"/>
      <c r="O25" s="25"/>
      <c r="P25" s="25"/>
    </row>
    <row r="26" spans="1:16" ht="15.75" thickBot="1" x14ac:dyDescent="0.3"/>
    <row r="27" spans="1:16" ht="15.75" thickBot="1" x14ac:dyDescent="0.3">
      <c r="I27" s="28" t="s">
        <v>423</v>
      </c>
      <c r="J27" s="63">
        <f>+J25-M25</f>
        <v>0</v>
      </c>
    </row>
  </sheetData>
  <autoFilter ref="A3:P24" xr:uid="{00000000-0009-0000-0000-000014000000}">
    <filterColumn colId="12">
      <filters blank="1"/>
    </filterColumn>
  </autoFilter>
  <mergeCells count="2">
    <mergeCell ref="C2:J2"/>
    <mergeCell ref="A24:K24"/>
  </mergeCells>
  <pageMargins left="0.7" right="0.7" top="0.75" bottom="0.75" header="0.3" footer="0.3"/>
  <pageSetup paperSize="9" scale="73"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6332" r:id="rId4" name="Button 1">
              <controlPr defaultSize="0" print="0" autoFill="0" autoPict="0" macro="[0]!RETORNAR">
                <anchor moveWithCells="1" sizeWithCells="1">
                  <from>
                    <xdr:col>0</xdr:col>
                    <xdr:colOff>28575</xdr:colOff>
                    <xdr:row>0</xdr:row>
                    <xdr:rowOff>0</xdr:rowOff>
                  </from>
                  <to>
                    <xdr:col>2</xdr:col>
                    <xdr:colOff>542925</xdr:colOff>
                    <xdr:row>0</xdr:row>
                    <xdr:rowOff>257175</xdr:rowOff>
                  </to>
                </anchor>
              </controlPr>
            </control>
          </mc:Choice>
        </mc:AlternateContent>
        <mc:AlternateContent xmlns:mc="http://schemas.openxmlformats.org/markup-compatibility/2006">
          <mc:Choice Requires="x14">
            <control shapeId="56335" r:id="rId5" name="Botón 128">
              <controlPr defaultSize="0" print="0" autoFill="0" autoPict="0" macro="[0]!IR_VENTAS_B200_2025">
                <anchor moveWithCells="1" sizeWithCells="1">
                  <from>
                    <xdr:col>0</xdr:col>
                    <xdr:colOff>123825</xdr:colOff>
                    <xdr:row>31</xdr:row>
                    <xdr:rowOff>28575</xdr:rowOff>
                  </from>
                  <to>
                    <xdr:col>2</xdr:col>
                    <xdr:colOff>619125</xdr:colOff>
                    <xdr:row>33</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26" filterMode="1">
    <pageSetUpPr fitToPage="1"/>
  </sheetPr>
  <dimension ref="A1:Z334"/>
  <sheetViews>
    <sheetView topLeftCell="D59" zoomScale="77" zoomScaleNormal="77" workbookViewId="0">
      <selection activeCell="G306" sqref="G306"/>
    </sheetView>
  </sheetViews>
  <sheetFormatPr baseColWidth="10" defaultColWidth="10.85546875" defaultRowHeight="15" x14ac:dyDescent="0.25"/>
  <cols>
    <col min="2" max="2" width="24" customWidth="1"/>
    <col min="4" max="4" width="12.140625" style="53" customWidth="1"/>
    <col min="5" max="5" width="1.5703125" customWidth="1"/>
    <col min="6" max="6" width="10.85546875" style="28" customWidth="1"/>
    <col min="7" max="7" width="54.85546875" customWidth="1"/>
    <col min="8" max="8" width="27.42578125" style="28" customWidth="1"/>
    <col min="9" max="9" width="15.5703125" style="32" customWidth="1"/>
    <col min="10" max="10" width="12.5703125" style="32" customWidth="1"/>
    <col min="11" max="11" width="46.5703125" customWidth="1"/>
    <col min="12" max="12" width="13" style="30" bestFit="1" customWidth="1"/>
    <col min="14" max="14" width="11.42578125" bestFit="1" customWidth="1"/>
    <col min="15" max="15" width="9.42578125" customWidth="1"/>
    <col min="16" max="16" width="14.42578125" customWidth="1"/>
    <col min="18" max="18" width="4" customWidth="1"/>
    <col min="20" max="20" width="12.140625" customWidth="1"/>
    <col min="21" max="21" width="13.140625" customWidth="1"/>
    <col min="23" max="23" width="13.140625" customWidth="1"/>
  </cols>
  <sheetData>
    <row r="1" spans="1:22" ht="33.950000000000003" customHeight="1" thickBot="1" x14ac:dyDescent="0.3"/>
    <row r="2" spans="1:22" ht="15.75" thickBot="1" x14ac:dyDescent="0.3">
      <c r="C2" s="1566" t="s">
        <v>1797</v>
      </c>
      <c r="D2" s="1488"/>
      <c r="E2" s="1488"/>
      <c r="F2" s="1488"/>
      <c r="G2" s="1488"/>
      <c r="H2" s="1489"/>
    </row>
    <row r="3" spans="1:22" s="28" customFormat="1" x14ac:dyDescent="0.25">
      <c r="B3" s="25"/>
      <c r="C3" s="1"/>
      <c r="D3" s="56"/>
      <c r="E3" s="25"/>
      <c r="F3" s="25"/>
      <c r="G3" s="25"/>
      <c r="H3" s="25"/>
      <c r="I3" s="60"/>
      <c r="J3" s="87"/>
      <c r="K3" s="25"/>
      <c r="L3" s="115"/>
      <c r="M3" s="1"/>
      <c r="N3" s="25"/>
      <c r="O3" s="25"/>
      <c r="P3" s="25"/>
      <c r="Q3" s="25"/>
      <c r="R3" s="25"/>
      <c r="S3" s="1480"/>
      <c r="T3" s="1480"/>
      <c r="U3" s="1480"/>
      <c r="V3" s="1480"/>
    </row>
    <row r="4" spans="1:22" ht="15" hidden="1" customHeight="1" x14ac:dyDescent="0.25">
      <c r="A4" s="169">
        <v>16062022</v>
      </c>
      <c r="B4" s="169" t="s">
        <v>930</v>
      </c>
      <c r="C4" t="s">
        <v>410</v>
      </c>
      <c r="D4" s="122">
        <v>44728</v>
      </c>
      <c r="E4" s="32"/>
      <c r="F4" s="163" t="s">
        <v>294</v>
      </c>
      <c r="G4" s="185" t="s">
        <v>1118</v>
      </c>
      <c r="H4" s="1569" t="s">
        <v>1200</v>
      </c>
      <c r="I4" s="32">
        <v>28082</v>
      </c>
      <c r="J4" s="32">
        <f t="shared" ref="J4:J44" si="0">+I4*0.88</f>
        <v>24712.16</v>
      </c>
      <c r="K4" s="1567" t="s">
        <v>1199</v>
      </c>
      <c r="L4" s="368" t="s">
        <v>17</v>
      </c>
      <c r="M4" s="122">
        <v>44831</v>
      </c>
      <c r="O4" s="129">
        <f t="shared" ref="O4:O25" si="1">IF(L4="PAGADA",M4-D4,0)</f>
        <v>103</v>
      </c>
      <c r="P4" s="129" t="s">
        <v>1600</v>
      </c>
      <c r="Q4" s="129" t="str">
        <f t="shared" ref="Q4:Q25" si="2">CONCATENATE(O4,P4)</f>
        <v>103 dias</v>
      </c>
      <c r="T4" s="163" t="s">
        <v>922</v>
      </c>
      <c r="U4" s="14">
        <v>0.65763888888888888</v>
      </c>
    </row>
    <row r="5" spans="1:22" ht="15" hidden="1" customHeight="1" x14ac:dyDescent="0.25">
      <c r="A5" s="169">
        <v>21062022</v>
      </c>
      <c r="B5" s="169" t="s">
        <v>930</v>
      </c>
      <c r="C5" s="21" t="s">
        <v>809</v>
      </c>
      <c r="D5" s="122">
        <v>44733</v>
      </c>
      <c r="E5" s="32"/>
      <c r="F5" s="163" t="s">
        <v>294</v>
      </c>
      <c r="G5" s="185" t="s">
        <v>1119</v>
      </c>
      <c r="H5" s="1569"/>
      <c r="I5" s="159">
        <v>28082</v>
      </c>
      <c r="J5" s="32">
        <f t="shared" si="0"/>
        <v>24712.16</v>
      </c>
      <c r="K5" s="1567"/>
      <c r="L5" s="368" t="s">
        <v>17</v>
      </c>
      <c r="M5" s="122">
        <v>44831</v>
      </c>
      <c r="O5" s="129">
        <f t="shared" si="1"/>
        <v>98</v>
      </c>
      <c r="P5" s="129" t="s">
        <v>1600</v>
      </c>
      <c r="Q5" s="129" t="str">
        <f t="shared" si="2"/>
        <v>98 dias</v>
      </c>
      <c r="T5" s="163" t="s">
        <v>978</v>
      </c>
      <c r="U5" s="14">
        <v>0.5131944444444444</v>
      </c>
    </row>
    <row r="6" spans="1:22" ht="15" hidden="1" customHeight="1" x14ac:dyDescent="0.25">
      <c r="A6" s="184" t="s">
        <v>1134</v>
      </c>
      <c r="B6" s="169" t="s">
        <v>930</v>
      </c>
      <c r="C6">
        <v>2221</v>
      </c>
      <c r="D6" s="122">
        <v>44746</v>
      </c>
      <c r="E6" s="32"/>
      <c r="F6" s="163" t="s">
        <v>294</v>
      </c>
      <c r="G6" s="185" t="s">
        <v>1120</v>
      </c>
      <c r="H6" s="1569" t="s">
        <v>1201</v>
      </c>
      <c r="I6" s="159">
        <v>28082</v>
      </c>
      <c r="J6" s="32">
        <f t="shared" si="0"/>
        <v>24712.16</v>
      </c>
      <c r="K6" s="1567"/>
      <c r="L6" s="368" t="s">
        <v>17</v>
      </c>
      <c r="M6" s="122">
        <v>44831</v>
      </c>
      <c r="O6" s="129">
        <f t="shared" si="1"/>
        <v>85</v>
      </c>
      <c r="P6" s="129" t="s">
        <v>1600</v>
      </c>
      <c r="Q6" s="129" t="str">
        <f t="shared" si="2"/>
        <v>85 dias</v>
      </c>
      <c r="U6" s="14">
        <v>0.5493055555555556</v>
      </c>
      <c r="V6" s="14">
        <v>0.70833333333333337</v>
      </c>
    </row>
    <row r="7" spans="1:22" ht="15" hidden="1" customHeight="1" x14ac:dyDescent="0.25">
      <c r="A7" s="169">
        <v>19072022</v>
      </c>
      <c r="B7" s="169" t="s">
        <v>930</v>
      </c>
      <c r="C7" s="21" t="s">
        <v>410</v>
      </c>
      <c r="D7" s="122">
        <v>44761</v>
      </c>
      <c r="E7" s="32"/>
      <c r="F7" s="163" t="s">
        <v>294</v>
      </c>
      <c r="G7" s="185" t="s">
        <v>1156</v>
      </c>
      <c r="H7" s="1569"/>
      <c r="I7" s="159">
        <v>28082</v>
      </c>
      <c r="J7" s="32">
        <f t="shared" si="0"/>
        <v>24712.16</v>
      </c>
      <c r="K7" s="1567"/>
      <c r="L7" s="368" t="s">
        <v>17</v>
      </c>
      <c r="M7" s="122">
        <v>44831</v>
      </c>
      <c r="O7" s="129">
        <f t="shared" si="1"/>
        <v>70</v>
      </c>
      <c r="P7" s="129" t="s">
        <v>1600</v>
      </c>
      <c r="Q7" s="129" t="str">
        <f t="shared" si="2"/>
        <v>70 dias</v>
      </c>
      <c r="T7" s="163" t="s">
        <v>929</v>
      </c>
      <c r="U7" s="14">
        <v>0.33055555555555555</v>
      </c>
      <c r="V7" s="14">
        <v>0.53402777777777777</v>
      </c>
    </row>
    <row r="8" spans="1:22" ht="15" hidden="1" customHeight="1" x14ac:dyDescent="0.25">
      <c r="A8" s="169">
        <v>22072022</v>
      </c>
      <c r="B8" s="169" t="s">
        <v>930</v>
      </c>
      <c r="C8">
        <v>2221</v>
      </c>
      <c r="D8" s="122">
        <v>44764</v>
      </c>
      <c r="E8" s="32"/>
      <c r="F8" s="163" t="s">
        <v>294</v>
      </c>
      <c r="G8" s="185" t="s">
        <v>1121</v>
      </c>
      <c r="H8" s="1569"/>
      <c r="I8" s="159">
        <v>28082</v>
      </c>
      <c r="J8" s="32">
        <f t="shared" si="0"/>
        <v>24712.16</v>
      </c>
      <c r="K8" s="1567"/>
      <c r="L8" s="368" t="s">
        <v>17</v>
      </c>
      <c r="M8" s="122">
        <v>44831</v>
      </c>
      <c r="O8" s="129">
        <f t="shared" si="1"/>
        <v>67</v>
      </c>
      <c r="P8" s="129" t="s">
        <v>1600</v>
      </c>
      <c r="Q8" s="129" t="str">
        <f t="shared" si="2"/>
        <v>67 dias</v>
      </c>
      <c r="T8" s="163" t="s">
        <v>1041</v>
      </c>
      <c r="U8" s="14">
        <v>0.53819444444444442</v>
      </c>
    </row>
    <row r="9" spans="1:22" s="10" customFormat="1" ht="30" hidden="1" customHeight="1" x14ac:dyDescent="0.25">
      <c r="A9" s="187">
        <v>31072022</v>
      </c>
      <c r="B9" s="187" t="s">
        <v>930</v>
      </c>
      <c r="C9" s="188" t="s">
        <v>410</v>
      </c>
      <c r="D9" s="189">
        <v>44773</v>
      </c>
      <c r="E9" s="97"/>
      <c r="F9" s="10" t="s">
        <v>294</v>
      </c>
      <c r="G9" s="186" t="s">
        <v>1153</v>
      </c>
      <c r="H9" s="1569"/>
      <c r="I9" s="190">
        <v>28082</v>
      </c>
      <c r="J9" s="32">
        <f t="shared" si="0"/>
        <v>24712.16</v>
      </c>
      <c r="K9" s="1567"/>
      <c r="L9" s="368" t="s">
        <v>17</v>
      </c>
      <c r="M9" s="122">
        <v>44831</v>
      </c>
      <c r="O9" s="129">
        <f t="shared" si="1"/>
        <v>58</v>
      </c>
      <c r="P9" s="129" t="s">
        <v>1600</v>
      </c>
      <c r="Q9" s="129" t="str">
        <f t="shared" si="2"/>
        <v>58 dias</v>
      </c>
      <c r="R9"/>
      <c r="T9" s="191" t="s">
        <v>769</v>
      </c>
      <c r="U9" s="192">
        <v>0.70624999999999993</v>
      </c>
      <c r="V9" s="192">
        <v>0.85625000000000007</v>
      </c>
    </row>
    <row r="10" spans="1:22" ht="15" hidden="1" customHeight="1" x14ac:dyDescent="0.25">
      <c r="A10" s="184" t="s">
        <v>1052</v>
      </c>
      <c r="B10" s="169" t="s">
        <v>930</v>
      </c>
      <c r="C10" s="21" t="s">
        <v>410</v>
      </c>
      <c r="D10" s="122">
        <v>44774</v>
      </c>
      <c r="E10" s="32"/>
      <c r="F10" s="163" t="s">
        <v>294</v>
      </c>
      <c r="G10" s="185" t="s">
        <v>1122</v>
      </c>
      <c r="H10" s="1568" t="s">
        <v>1202</v>
      </c>
      <c r="I10" s="159">
        <v>28082</v>
      </c>
      <c r="J10" s="32">
        <f t="shared" si="0"/>
        <v>24712.16</v>
      </c>
      <c r="K10" s="1567"/>
      <c r="L10" s="368" t="s">
        <v>17</v>
      </c>
      <c r="M10" s="122">
        <v>44831</v>
      </c>
      <c r="O10" s="129">
        <f t="shared" si="1"/>
        <v>57</v>
      </c>
      <c r="P10" s="129" t="s">
        <v>1600</v>
      </c>
      <c r="Q10" s="129" t="str">
        <f t="shared" si="2"/>
        <v>57 dias</v>
      </c>
      <c r="T10" s="163" t="s">
        <v>769</v>
      </c>
      <c r="U10" s="14">
        <v>0.66736111111111107</v>
      </c>
      <c r="V10" s="14"/>
    </row>
    <row r="11" spans="1:22" s="220" customFormat="1" ht="15" hidden="1" customHeight="1" x14ac:dyDescent="0.25">
      <c r="A11" s="213" t="s">
        <v>1089</v>
      </c>
      <c r="B11" s="214" t="s">
        <v>930</v>
      </c>
      <c r="C11" s="215" t="s">
        <v>410</v>
      </c>
      <c r="D11" s="216">
        <v>44779</v>
      </c>
      <c r="E11" s="217"/>
      <c r="F11" s="215" t="s">
        <v>295</v>
      </c>
      <c r="G11" s="218" t="s">
        <v>1226</v>
      </c>
      <c r="H11" s="1568"/>
      <c r="I11" s="219">
        <v>26523</v>
      </c>
      <c r="J11" s="217">
        <f t="shared" si="0"/>
        <v>23340.240000000002</v>
      </c>
      <c r="K11" s="1567"/>
      <c r="L11" s="1166" t="s">
        <v>17</v>
      </c>
      <c r="M11" s="122">
        <v>44831</v>
      </c>
      <c r="O11" s="129">
        <f t="shared" si="1"/>
        <v>52</v>
      </c>
      <c r="P11" s="129" t="s">
        <v>1600</v>
      </c>
      <c r="Q11" s="129" t="str">
        <f t="shared" si="2"/>
        <v>52 dias</v>
      </c>
      <c r="R11"/>
      <c r="T11" s="215" t="s">
        <v>652</v>
      </c>
      <c r="U11" s="221">
        <v>0.35069444444444442</v>
      </c>
      <c r="V11" s="221">
        <v>0.56527777777777777</v>
      </c>
    </row>
    <row r="12" spans="1:22" ht="15" hidden="1" customHeight="1" x14ac:dyDescent="0.25">
      <c r="A12" s="184" t="s">
        <v>1091</v>
      </c>
      <c r="B12" s="169" t="s">
        <v>930</v>
      </c>
      <c r="C12" s="21" t="s">
        <v>693</v>
      </c>
      <c r="D12" s="122">
        <v>44782</v>
      </c>
      <c r="E12" s="32"/>
      <c r="F12" s="163" t="s">
        <v>294</v>
      </c>
      <c r="G12" s="185" t="s">
        <v>1154</v>
      </c>
      <c r="H12" s="1568"/>
      <c r="I12" s="159">
        <v>28082</v>
      </c>
      <c r="J12" s="32">
        <f t="shared" si="0"/>
        <v>24712.16</v>
      </c>
      <c r="K12" s="1567"/>
      <c r="L12" s="368" t="s">
        <v>17</v>
      </c>
      <c r="M12" s="122">
        <v>44831</v>
      </c>
      <c r="O12" s="129">
        <f t="shared" si="1"/>
        <v>49</v>
      </c>
      <c r="P12" s="129" t="s">
        <v>1600</v>
      </c>
      <c r="Q12" s="129" t="str">
        <f t="shared" si="2"/>
        <v>49 dias</v>
      </c>
      <c r="T12" s="163" t="s">
        <v>653</v>
      </c>
      <c r="U12" s="14">
        <v>0.78819444444444453</v>
      </c>
      <c r="V12" s="14">
        <v>0.94305555555555554</v>
      </c>
    </row>
    <row r="13" spans="1:22" ht="15" hidden="1" customHeight="1" x14ac:dyDescent="0.25">
      <c r="A13" s="184">
        <v>14082022</v>
      </c>
      <c r="B13" s="169" t="s">
        <v>930</v>
      </c>
      <c r="C13" s="21" t="s">
        <v>410</v>
      </c>
      <c r="D13" s="122">
        <v>44787</v>
      </c>
      <c r="E13" s="32"/>
      <c r="F13" s="163" t="s">
        <v>294</v>
      </c>
      <c r="G13" s="185" t="s">
        <v>1123</v>
      </c>
      <c r="H13" s="1568" t="s">
        <v>1203</v>
      </c>
      <c r="I13" s="159">
        <v>28082</v>
      </c>
      <c r="J13" s="32">
        <f t="shared" si="0"/>
        <v>24712.16</v>
      </c>
      <c r="K13" s="1567"/>
      <c r="L13" s="368" t="s">
        <v>17</v>
      </c>
      <c r="M13" s="122">
        <v>44831</v>
      </c>
      <c r="O13" s="129">
        <f t="shared" si="1"/>
        <v>44</v>
      </c>
      <c r="P13" s="129" t="s">
        <v>1600</v>
      </c>
      <c r="Q13" s="129" t="str">
        <f t="shared" si="2"/>
        <v>44 dias</v>
      </c>
      <c r="T13" s="163" t="s">
        <v>651</v>
      </c>
      <c r="U13" s="14">
        <v>0.64097222222222217</v>
      </c>
      <c r="V13" s="14">
        <v>0.87916666666666676</v>
      </c>
    </row>
    <row r="14" spans="1:22" s="229" customFormat="1" ht="15" hidden="1" customHeight="1" x14ac:dyDescent="0.25">
      <c r="A14" s="222">
        <v>18082022</v>
      </c>
      <c r="B14" s="223" t="s">
        <v>1133</v>
      </c>
      <c r="C14" s="224">
        <v>2221</v>
      </c>
      <c r="D14" s="225">
        <v>44791</v>
      </c>
      <c r="E14" s="226"/>
      <c r="F14" s="224" t="s">
        <v>293</v>
      </c>
      <c r="G14" s="227" t="s">
        <v>1147</v>
      </c>
      <c r="H14" s="1568"/>
      <c r="I14" s="228">
        <v>23402.400000000001</v>
      </c>
      <c r="J14" s="226">
        <f t="shared" si="0"/>
        <v>20594.112000000001</v>
      </c>
      <c r="K14" s="1567"/>
      <c r="L14" s="1167" t="s">
        <v>17</v>
      </c>
      <c r="M14" s="122">
        <v>44831</v>
      </c>
      <c r="O14" s="129">
        <f t="shared" si="1"/>
        <v>40</v>
      </c>
      <c r="P14" s="129" t="s">
        <v>1600</v>
      </c>
      <c r="Q14" s="129" t="str">
        <f t="shared" si="2"/>
        <v>40 dias</v>
      </c>
      <c r="R14"/>
      <c r="T14" s="224"/>
      <c r="U14" s="230">
        <v>0.5708333333333333</v>
      </c>
      <c r="V14" s="230"/>
    </row>
    <row r="15" spans="1:22" ht="15" hidden="1" customHeight="1" x14ac:dyDescent="0.25">
      <c r="A15" s="184">
        <v>22082022</v>
      </c>
      <c r="B15" s="169" t="s">
        <v>1133</v>
      </c>
      <c r="C15" s="21">
        <v>2221</v>
      </c>
      <c r="D15" s="122">
        <v>44795</v>
      </c>
      <c r="E15" s="32"/>
      <c r="F15" s="163" t="s">
        <v>294</v>
      </c>
      <c r="G15" s="185" t="s">
        <v>1146</v>
      </c>
      <c r="H15" s="1568"/>
      <c r="I15" s="159">
        <v>28082</v>
      </c>
      <c r="J15" s="32">
        <f t="shared" si="0"/>
        <v>24712.16</v>
      </c>
      <c r="K15" s="1567"/>
      <c r="L15" s="368" t="s">
        <v>17</v>
      </c>
      <c r="M15" s="122">
        <v>44831</v>
      </c>
      <c r="O15" s="129">
        <f t="shared" si="1"/>
        <v>36</v>
      </c>
      <c r="P15" s="129" t="s">
        <v>1600</v>
      </c>
      <c r="Q15" s="129" t="str">
        <f t="shared" si="2"/>
        <v>36 dias</v>
      </c>
      <c r="T15" s="163"/>
      <c r="U15" s="14"/>
      <c r="V15" s="14"/>
    </row>
    <row r="16" spans="1:22" hidden="1" x14ac:dyDescent="0.25">
      <c r="A16" s="184">
        <v>26082022</v>
      </c>
      <c r="B16" s="169" t="s">
        <v>1133</v>
      </c>
      <c r="C16" s="21" t="s">
        <v>809</v>
      </c>
      <c r="D16" s="122">
        <v>44799</v>
      </c>
      <c r="E16" s="32"/>
      <c r="F16" s="163" t="s">
        <v>294</v>
      </c>
      <c r="G16" s="185" t="s">
        <v>1165</v>
      </c>
      <c r="H16" s="1568" t="s">
        <v>1508</v>
      </c>
      <c r="I16" s="159">
        <v>28082</v>
      </c>
      <c r="J16" s="180">
        <f t="shared" si="0"/>
        <v>24712.16</v>
      </c>
      <c r="K16" s="32" t="s">
        <v>1376</v>
      </c>
      <c r="L16" s="368" t="s">
        <v>17</v>
      </c>
      <c r="M16" s="122">
        <v>44965</v>
      </c>
      <c r="O16" s="129">
        <f t="shared" si="1"/>
        <v>166</v>
      </c>
      <c r="P16" s="129" t="s">
        <v>1600</v>
      </c>
      <c r="Q16" s="129" t="str">
        <f t="shared" si="2"/>
        <v>166 dias</v>
      </c>
      <c r="T16" s="163" t="s">
        <v>923</v>
      </c>
      <c r="U16" s="14">
        <v>0.55902777777777779</v>
      </c>
      <c r="V16" s="14"/>
    </row>
    <row r="17" spans="1:22" hidden="1" x14ac:dyDescent="0.25">
      <c r="A17" s="184">
        <v>31082022</v>
      </c>
      <c r="B17" s="169" t="s">
        <v>1133</v>
      </c>
      <c r="C17" s="21" t="s">
        <v>693</v>
      </c>
      <c r="D17" s="122">
        <v>44804</v>
      </c>
      <c r="E17" s="32"/>
      <c r="F17" s="163" t="s">
        <v>294</v>
      </c>
      <c r="G17" s="185" t="s">
        <v>1207</v>
      </c>
      <c r="H17" s="1568"/>
      <c r="I17" s="159">
        <v>28082</v>
      </c>
      <c r="J17" s="180">
        <f t="shared" si="0"/>
        <v>24712.16</v>
      </c>
      <c r="K17" s="32" t="s">
        <v>1377</v>
      </c>
      <c r="L17" s="368" t="s">
        <v>17</v>
      </c>
      <c r="M17" s="122">
        <v>44965</v>
      </c>
      <c r="O17" s="129">
        <f t="shared" si="1"/>
        <v>161</v>
      </c>
      <c r="P17" s="129" t="s">
        <v>1600</v>
      </c>
      <c r="Q17" s="129" t="str">
        <f t="shared" si="2"/>
        <v>161 dias</v>
      </c>
      <c r="T17" s="163" t="s">
        <v>893</v>
      </c>
      <c r="U17" s="14">
        <v>0.75555555555555554</v>
      </c>
      <c r="V17" s="14">
        <v>0.90972222222222221</v>
      </c>
    </row>
    <row r="18" spans="1:22" ht="15" hidden="1" customHeight="1" x14ac:dyDescent="0.25">
      <c r="A18" s="184" t="s">
        <v>1182</v>
      </c>
      <c r="B18" s="169" t="s">
        <v>1133</v>
      </c>
      <c r="C18" s="21" t="s">
        <v>809</v>
      </c>
      <c r="D18" s="122">
        <v>44810</v>
      </c>
      <c r="E18" s="32"/>
      <c r="F18" s="163" t="s">
        <v>294</v>
      </c>
      <c r="G18" s="185" t="s">
        <v>1208</v>
      </c>
      <c r="H18" s="1491" t="s">
        <v>1509</v>
      </c>
      <c r="I18" s="159">
        <v>28082</v>
      </c>
      <c r="J18" s="180">
        <f t="shared" si="0"/>
        <v>24712.16</v>
      </c>
      <c r="K18" s="32" t="s">
        <v>1378</v>
      </c>
      <c r="L18" s="368" t="s">
        <v>17</v>
      </c>
      <c r="M18" s="122">
        <v>44917</v>
      </c>
      <c r="O18" s="129">
        <f t="shared" si="1"/>
        <v>107</v>
      </c>
      <c r="P18" s="129" t="s">
        <v>1600</v>
      </c>
      <c r="Q18" s="129" t="str">
        <f t="shared" si="2"/>
        <v>107 dias</v>
      </c>
      <c r="T18" s="163" t="s">
        <v>1178</v>
      </c>
      <c r="U18" s="14">
        <v>0.31875000000000003</v>
      </c>
      <c r="V18" s="14">
        <v>0.45069444444444445</v>
      </c>
    </row>
    <row r="19" spans="1:22" ht="15" hidden="1" customHeight="1" x14ac:dyDescent="0.25">
      <c r="A19" s="184" t="s">
        <v>1206</v>
      </c>
      <c r="B19" s="169" t="s">
        <v>1133</v>
      </c>
      <c r="C19" s="21" t="s">
        <v>809</v>
      </c>
      <c r="D19" s="122">
        <v>44811</v>
      </c>
      <c r="E19" s="32"/>
      <c r="F19" t="s">
        <v>294</v>
      </c>
      <c r="G19" t="s">
        <v>1209</v>
      </c>
      <c r="H19" s="1491"/>
      <c r="I19" s="159">
        <v>28082</v>
      </c>
      <c r="J19" s="180">
        <f t="shared" si="0"/>
        <v>24712.16</v>
      </c>
      <c r="K19" s="32" t="s">
        <v>1379</v>
      </c>
      <c r="L19" s="368" t="s">
        <v>17</v>
      </c>
      <c r="M19" s="122">
        <v>44917</v>
      </c>
      <c r="O19" s="129">
        <f t="shared" si="1"/>
        <v>106</v>
      </c>
      <c r="P19" s="129" t="s">
        <v>1600</v>
      </c>
      <c r="Q19" s="129" t="str">
        <f t="shared" si="2"/>
        <v>106 dias</v>
      </c>
      <c r="T19" s="163" t="s">
        <v>1178</v>
      </c>
      <c r="U19" s="157">
        <v>0.4993055555555555</v>
      </c>
      <c r="V19" s="21"/>
    </row>
    <row r="20" spans="1:22" ht="15" hidden="1" customHeight="1" x14ac:dyDescent="0.25">
      <c r="A20" s="30">
        <v>18092022</v>
      </c>
      <c r="B20" s="169" t="s">
        <v>1133</v>
      </c>
      <c r="C20" t="s">
        <v>410</v>
      </c>
      <c r="D20" s="122">
        <v>44822</v>
      </c>
      <c r="E20" s="160"/>
      <c r="F20" t="s">
        <v>294</v>
      </c>
      <c r="G20" t="s">
        <v>1285</v>
      </c>
      <c r="H20" s="1491"/>
      <c r="I20" s="159">
        <v>28082</v>
      </c>
      <c r="J20" s="180">
        <f t="shared" si="0"/>
        <v>24712.16</v>
      </c>
      <c r="K20" s="88" t="s">
        <v>1380</v>
      </c>
      <c r="L20" s="368" t="s">
        <v>17</v>
      </c>
      <c r="M20" s="122">
        <v>44917</v>
      </c>
      <c r="O20" s="129">
        <f t="shared" si="1"/>
        <v>95</v>
      </c>
      <c r="P20" s="129" t="s">
        <v>1600</v>
      </c>
      <c r="Q20" s="129" t="str">
        <f t="shared" si="2"/>
        <v>95 dias</v>
      </c>
      <c r="T20" s="21" t="s">
        <v>1225</v>
      </c>
      <c r="U20" s="157">
        <v>0.66805555555555562</v>
      </c>
      <c r="V20" s="157">
        <v>0.8979166666666667</v>
      </c>
    </row>
    <row r="21" spans="1:22" ht="15" hidden="1" customHeight="1" x14ac:dyDescent="0.25">
      <c r="A21" s="116">
        <v>21102022</v>
      </c>
      <c r="B21" s="169" t="s">
        <v>930</v>
      </c>
      <c r="C21" s="21" t="s">
        <v>693</v>
      </c>
      <c r="D21" s="122">
        <v>44855</v>
      </c>
      <c r="E21" s="88"/>
      <c r="F21" t="s">
        <v>294</v>
      </c>
      <c r="G21" s="21" t="s">
        <v>1418</v>
      </c>
      <c r="H21" s="1491" t="s">
        <v>1510</v>
      </c>
      <c r="I21" s="159">
        <v>28082</v>
      </c>
      <c r="J21" s="180">
        <f t="shared" si="0"/>
        <v>24712.16</v>
      </c>
      <c r="K21" s="160"/>
      <c r="L21" s="368" t="s">
        <v>17</v>
      </c>
      <c r="M21" s="122">
        <v>44917</v>
      </c>
      <c r="O21" s="129">
        <f t="shared" si="1"/>
        <v>62</v>
      </c>
      <c r="P21" s="129" t="s">
        <v>1600</v>
      </c>
      <c r="Q21" s="129" t="str">
        <f t="shared" si="2"/>
        <v>62 dias</v>
      </c>
      <c r="S21" s="21" t="s">
        <v>916</v>
      </c>
      <c r="T21" s="157">
        <v>0.66597222222222219</v>
      </c>
      <c r="U21" s="157"/>
    </row>
    <row r="22" spans="1:22" ht="15" hidden="1" customHeight="1" x14ac:dyDescent="0.25">
      <c r="A22" s="116">
        <v>29102022</v>
      </c>
      <c r="B22" s="169" t="s">
        <v>930</v>
      </c>
      <c r="C22" t="s">
        <v>410</v>
      </c>
      <c r="D22" s="122">
        <v>44863</v>
      </c>
      <c r="E22" s="88"/>
      <c r="F22" t="s">
        <v>295</v>
      </c>
      <c r="G22" s="21" t="s">
        <v>1438</v>
      </c>
      <c r="H22" s="1491"/>
      <c r="I22" s="160">
        <v>26523</v>
      </c>
      <c r="J22" s="180">
        <f t="shared" si="0"/>
        <v>23340.240000000002</v>
      </c>
      <c r="K22" s="160"/>
      <c r="L22" s="368" t="s">
        <v>17</v>
      </c>
      <c r="M22" s="122">
        <v>44917</v>
      </c>
      <c r="O22" s="129">
        <f t="shared" si="1"/>
        <v>54</v>
      </c>
      <c r="P22" s="129" t="s">
        <v>1600</v>
      </c>
      <c r="Q22" s="129" t="str">
        <f t="shared" si="2"/>
        <v>54 dias</v>
      </c>
      <c r="S22" s="21" t="s">
        <v>1042</v>
      </c>
      <c r="T22" s="157">
        <v>0.31458333333333333</v>
      </c>
      <c r="U22" s="157">
        <v>0.61875000000000002</v>
      </c>
    </row>
    <row r="23" spans="1:22" hidden="1" x14ac:dyDescent="0.25">
      <c r="A23" s="116" t="s">
        <v>1432</v>
      </c>
      <c r="B23" s="169" t="s">
        <v>296</v>
      </c>
      <c r="C23" t="s">
        <v>410</v>
      </c>
      <c r="D23" s="122">
        <v>44868</v>
      </c>
      <c r="E23" s="88"/>
      <c r="F23" t="s">
        <v>294</v>
      </c>
      <c r="G23" s="21" t="s">
        <v>1437</v>
      </c>
      <c r="H23" s="1565" t="s">
        <v>1758</v>
      </c>
      <c r="I23" s="160">
        <v>28082</v>
      </c>
      <c r="J23" s="180">
        <f t="shared" si="0"/>
        <v>24712.16</v>
      </c>
      <c r="K23" s="160"/>
      <c r="L23" s="368" t="s">
        <v>17</v>
      </c>
      <c r="M23" s="122">
        <v>44979</v>
      </c>
      <c r="O23" s="129">
        <f t="shared" si="1"/>
        <v>111</v>
      </c>
      <c r="P23" s="129" t="s">
        <v>1600</v>
      </c>
      <c r="Q23" s="129" t="str">
        <f t="shared" si="2"/>
        <v>111 dias</v>
      </c>
      <c r="S23" s="21" t="s">
        <v>929</v>
      </c>
      <c r="T23" s="157">
        <v>0.52569444444444446</v>
      </c>
      <c r="U23" s="157">
        <v>0.68680555555555556</v>
      </c>
    </row>
    <row r="24" spans="1:22" ht="15" hidden="1" customHeight="1" x14ac:dyDescent="0.25">
      <c r="A24" s="116">
        <v>19112022</v>
      </c>
      <c r="B24" s="169" t="s">
        <v>296</v>
      </c>
      <c r="C24" t="s">
        <v>27</v>
      </c>
      <c r="D24" s="122">
        <v>44884</v>
      </c>
      <c r="E24" s="88"/>
      <c r="F24" t="s">
        <v>295</v>
      </c>
      <c r="G24" s="21" t="s">
        <v>1518</v>
      </c>
      <c r="H24" s="1565"/>
      <c r="I24" s="32">
        <v>26523</v>
      </c>
      <c r="J24" s="180">
        <f t="shared" si="0"/>
        <v>23340.240000000002</v>
      </c>
      <c r="K24" s="160"/>
      <c r="L24" s="368" t="s">
        <v>17</v>
      </c>
      <c r="M24" s="122">
        <v>44979</v>
      </c>
      <c r="O24" s="129">
        <f t="shared" si="1"/>
        <v>95</v>
      </c>
      <c r="P24" s="129" t="s">
        <v>1600</v>
      </c>
      <c r="Q24" s="129" t="str">
        <f t="shared" si="2"/>
        <v>95 dias</v>
      </c>
      <c r="S24" s="21" t="s">
        <v>929</v>
      </c>
      <c r="T24" s="157">
        <v>0.51597222222222217</v>
      </c>
      <c r="U24" s="157">
        <v>0.56111111111111112</v>
      </c>
    </row>
    <row r="25" spans="1:22" ht="15" hidden="1" customHeight="1" x14ac:dyDescent="0.25">
      <c r="A25" s="116" t="s">
        <v>1553</v>
      </c>
      <c r="B25" t="s">
        <v>930</v>
      </c>
      <c r="C25" t="s">
        <v>27</v>
      </c>
      <c r="D25" s="122">
        <v>44902</v>
      </c>
      <c r="E25" s="88"/>
      <c r="F25" t="s">
        <v>295</v>
      </c>
      <c r="G25" s="249" t="s">
        <v>1754</v>
      </c>
      <c r="H25" s="1565" t="s">
        <v>1759</v>
      </c>
      <c r="I25" s="32">
        <v>26523</v>
      </c>
      <c r="J25" s="180">
        <f t="shared" si="0"/>
        <v>23340.240000000002</v>
      </c>
      <c r="K25" s="160"/>
      <c r="L25" s="368" t="s">
        <v>17</v>
      </c>
      <c r="M25" s="122">
        <v>44985</v>
      </c>
      <c r="O25" s="129">
        <f t="shared" si="1"/>
        <v>83</v>
      </c>
      <c r="P25" s="129" t="s">
        <v>1600</v>
      </c>
      <c r="Q25" s="129" t="str">
        <f t="shared" si="2"/>
        <v>83 dias</v>
      </c>
      <c r="S25" s="157">
        <v>0.29930555555555555</v>
      </c>
      <c r="T25" s="157">
        <v>0.53888888888888886</v>
      </c>
    </row>
    <row r="26" spans="1:22" hidden="1" x14ac:dyDescent="0.25">
      <c r="A26" s="115">
        <v>15122022</v>
      </c>
      <c r="B26" t="s">
        <v>930</v>
      </c>
      <c r="C26" t="s">
        <v>27</v>
      </c>
      <c r="D26" s="122">
        <v>44910</v>
      </c>
      <c r="E26" s="88"/>
      <c r="F26" t="s">
        <v>295</v>
      </c>
      <c r="G26" s="21" t="s">
        <v>1620</v>
      </c>
      <c r="H26" s="1565"/>
      <c r="I26" s="160">
        <v>26523</v>
      </c>
      <c r="J26" s="180">
        <f t="shared" si="0"/>
        <v>23340.240000000002</v>
      </c>
      <c r="K26" s="160"/>
      <c r="L26" s="368" t="s">
        <v>17</v>
      </c>
      <c r="M26" s="122">
        <v>44985</v>
      </c>
      <c r="O26" t="s">
        <v>694</v>
      </c>
      <c r="P26" s="157">
        <v>0.33749999999999997</v>
      </c>
      <c r="Q26" s="157">
        <v>0.62222222222222223</v>
      </c>
    </row>
    <row r="27" spans="1:22" hidden="1" x14ac:dyDescent="0.25">
      <c r="A27" s="115">
        <v>22122022</v>
      </c>
      <c r="B27" t="s">
        <v>930</v>
      </c>
      <c r="C27" t="s">
        <v>1604</v>
      </c>
      <c r="D27" s="122">
        <v>44917</v>
      </c>
      <c r="E27" s="88"/>
      <c r="F27" t="s">
        <v>295</v>
      </c>
      <c r="G27" s="21" t="s">
        <v>1749</v>
      </c>
      <c r="H27" s="1565"/>
      <c r="I27" s="160">
        <v>26523</v>
      </c>
      <c r="J27" s="180">
        <f t="shared" si="0"/>
        <v>23340.240000000002</v>
      </c>
      <c r="K27" s="160"/>
      <c r="L27" s="368" t="s">
        <v>17</v>
      </c>
      <c r="M27" s="122">
        <v>44985</v>
      </c>
      <c r="N27" s="2"/>
      <c r="S27" s="2" t="s">
        <v>923</v>
      </c>
      <c r="T27" s="157">
        <v>0.51388888888888895</v>
      </c>
      <c r="U27" s="21"/>
    </row>
    <row r="28" spans="1:22" hidden="1" x14ac:dyDescent="0.25">
      <c r="A28" s="115">
        <v>24122022</v>
      </c>
      <c r="B28" t="s">
        <v>930</v>
      </c>
      <c r="C28" t="s">
        <v>809</v>
      </c>
      <c r="D28" s="122">
        <v>44919</v>
      </c>
      <c r="E28" s="88"/>
      <c r="F28" t="s">
        <v>294</v>
      </c>
      <c r="G28" s="21" t="s">
        <v>1643</v>
      </c>
      <c r="H28" s="1565"/>
      <c r="I28" s="160">
        <v>28082</v>
      </c>
      <c r="J28" s="180">
        <f t="shared" si="0"/>
        <v>24712.16</v>
      </c>
      <c r="K28" s="160"/>
      <c r="L28" s="368" t="s">
        <v>17</v>
      </c>
      <c r="M28" s="122">
        <v>44985</v>
      </c>
      <c r="S28" s="2" t="s">
        <v>978</v>
      </c>
      <c r="T28" s="157">
        <v>0.54305555555555551</v>
      </c>
      <c r="U28" s="157">
        <v>0.72222222222222221</v>
      </c>
    </row>
    <row r="29" spans="1:22" hidden="1" x14ac:dyDescent="0.25">
      <c r="A29" s="115">
        <v>30122022</v>
      </c>
      <c r="B29" t="s">
        <v>1709</v>
      </c>
      <c r="C29" t="s">
        <v>809</v>
      </c>
      <c r="D29" s="122">
        <v>44925</v>
      </c>
      <c r="E29" s="88"/>
      <c r="F29" t="s">
        <v>294</v>
      </c>
      <c r="G29" s="21" t="s">
        <v>1750</v>
      </c>
      <c r="H29" s="1565"/>
      <c r="I29" s="160">
        <v>28082</v>
      </c>
      <c r="J29" s="180">
        <f t="shared" si="0"/>
        <v>24712.16</v>
      </c>
      <c r="K29" s="160"/>
      <c r="L29" s="368" t="s">
        <v>17</v>
      </c>
      <c r="M29" s="122">
        <v>44985</v>
      </c>
      <c r="S29" s="2" t="s">
        <v>1178</v>
      </c>
      <c r="T29" s="157">
        <v>0.47013888888888888</v>
      </c>
      <c r="U29" s="21"/>
    </row>
    <row r="30" spans="1:22" hidden="1" x14ac:dyDescent="0.25">
      <c r="A30" s="245" t="s">
        <v>1746</v>
      </c>
      <c r="B30" t="s">
        <v>296</v>
      </c>
      <c r="C30" t="s">
        <v>809</v>
      </c>
      <c r="D30" s="122">
        <v>44935</v>
      </c>
      <c r="F30" t="s">
        <v>294</v>
      </c>
      <c r="G30" t="s">
        <v>1753</v>
      </c>
      <c r="H30" s="250" t="s">
        <v>1760</v>
      </c>
      <c r="I30" s="32">
        <v>28082</v>
      </c>
      <c r="J30" s="180">
        <f t="shared" si="0"/>
        <v>24712.16</v>
      </c>
      <c r="L30" s="368" t="s">
        <v>17</v>
      </c>
      <c r="M30" s="122">
        <v>44985</v>
      </c>
      <c r="S30" t="s">
        <v>894</v>
      </c>
      <c r="T30" s="14">
        <v>0.52500000000000002</v>
      </c>
      <c r="U30" s="14">
        <v>0.67291666666666661</v>
      </c>
    </row>
    <row r="31" spans="1:22" hidden="1" x14ac:dyDescent="0.25">
      <c r="A31" s="246">
        <v>14012023</v>
      </c>
      <c r="B31" t="s">
        <v>930</v>
      </c>
      <c r="C31" t="s">
        <v>809</v>
      </c>
      <c r="D31" s="122">
        <v>44940</v>
      </c>
      <c r="F31" t="s">
        <v>294</v>
      </c>
      <c r="G31" t="s">
        <v>1773</v>
      </c>
      <c r="H31" s="1491" t="s">
        <v>2002</v>
      </c>
      <c r="I31" s="32">
        <v>28082</v>
      </c>
      <c r="J31" s="180">
        <f t="shared" si="0"/>
        <v>24712.16</v>
      </c>
      <c r="K31" t="s">
        <v>2182</v>
      </c>
      <c r="L31" s="368" t="s">
        <v>17</v>
      </c>
      <c r="M31" s="122">
        <v>45041</v>
      </c>
      <c r="S31" t="s">
        <v>894</v>
      </c>
      <c r="T31" s="14">
        <v>0.59444444444444444</v>
      </c>
      <c r="U31" s="14">
        <v>0.74236111111111114</v>
      </c>
    </row>
    <row r="32" spans="1:22" hidden="1" x14ac:dyDescent="0.25">
      <c r="A32" s="246">
        <v>16012023</v>
      </c>
      <c r="B32" t="s">
        <v>930</v>
      </c>
      <c r="C32" t="s">
        <v>13</v>
      </c>
      <c r="D32" s="122">
        <v>44942</v>
      </c>
      <c r="F32" t="s">
        <v>294</v>
      </c>
      <c r="G32" t="s">
        <v>1772</v>
      </c>
      <c r="H32" s="1491"/>
      <c r="I32" s="32">
        <v>28082</v>
      </c>
      <c r="J32" s="180">
        <f t="shared" si="0"/>
        <v>24712.16</v>
      </c>
      <c r="K32" t="s">
        <v>2182</v>
      </c>
      <c r="L32" s="368" t="s">
        <v>17</v>
      </c>
      <c r="M32" s="122">
        <v>45041</v>
      </c>
      <c r="S32" t="s">
        <v>1029</v>
      </c>
    </row>
    <row r="33" spans="1:22" hidden="1" x14ac:dyDescent="0.25">
      <c r="A33" s="246">
        <v>18012023</v>
      </c>
      <c r="B33" t="s">
        <v>1776</v>
      </c>
      <c r="C33" t="s">
        <v>809</v>
      </c>
      <c r="D33" s="122">
        <v>44944</v>
      </c>
      <c r="F33" t="s">
        <v>295</v>
      </c>
      <c r="G33" t="s">
        <v>1778</v>
      </c>
      <c r="H33" s="1491"/>
      <c r="I33" s="32">
        <v>26523</v>
      </c>
      <c r="J33" s="180">
        <f t="shared" si="0"/>
        <v>23340.240000000002</v>
      </c>
      <c r="K33" t="s">
        <v>2182</v>
      </c>
      <c r="L33" s="368" t="s">
        <v>17</v>
      </c>
      <c r="M33" s="122">
        <v>45041</v>
      </c>
      <c r="S33" t="s">
        <v>1777</v>
      </c>
    </row>
    <row r="34" spans="1:22" hidden="1" x14ac:dyDescent="0.25">
      <c r="A34" s="246">
        <v>24012023</v>
      </c>
      <c r="B34" t="s">
        <v>930</v>
      </c>
      <c r="C34" t="s">
        <v>809</v>
      </c>
      <c r="D34" s="122">
        <v>44950</v>
      </c>
      <c r="F34" t="s">
        <v>294</v>
      </c>
      <c r="G34" t="s">
        <v>1806</v>
      </c>
      <c r="H34" s="1491"/>
      <c r="I34" s="32">
        <v>28082</v>
      </c>
      <c r="J34" s="180">
        <f t="shared" si="0"/>
        <v>24712.16</v>
      </c>
      <c r="K34" t="s">
        <v>2182</v>
      </c>
      <c r="L34" s="368" t="s">
        <v>17</v>
      </c>
      <c r="M34" s="122">
        <v>45041</v>
      </c>
      <c r="T34" s="14"/>
    </row>
    <row r="35" spans="1:22" s="21" customFormat="1" ht="15.95" hidden="1" customHeight="1" x14ac:dyDescent="0.25">
      <c r="A35" s="252">
        <v>25012024</v>
      </c>
      <c r="B35" s="21" t="s">
        <v>930</v>
      </c>
      <c r="D35" s="123">
        <v>44951</v>
      </c>
      <c r="F35" s="21" t="s">
        <v>295</v>
      </c>
      <c r="G35" s="21" t="s">
        <v>1886</v>
      </c>
      <c r="H35" s="1490" t="s">
        <v>2003</v>
      </c>
      <c r="I35" s="181">
        <v>26523</v>
      </c>
      <c r="J35" s="180">
        <f t="shared" si="0"/>
        <v>23340.240000000002</v>
      </c>
      <c r="K35" t="s">
        <v>2182</v>
      </c>
      <c r="L35" s="368" t="s">
        <v>17</v>
      </c>
      <c r="M35" s="122">
        <v>45041</v>
      </c>
      <c r="T35" s="157"/>
    </row>
    <row r="36" spans="1:22" hidden="1" x14ac:dyDescent="0.25">
      <c r="A36" s="246">
        <v>27012023</v>
      </c>
      <c r="B36" t="s">
        <v>930</v>
      </c>
      <c r="C36" t="s">
        <v>809</v>
      </c>
      <c r="D36" s="122">
        <v>44953</v>
      </c>
      <c r="F36" t="s">
        <v>294</v>
      </c>
      <c r="G36" t="s">
        <v>1819</v>
      </c>
      <c r="H36" s="1490"/>
      <c r="I36" s="32">
        <v>28082</v>
      </c>
      <c r="J36" s="180">
        <f t="shared" si="0"/>
        <v>24712.16</v>
      </c>
      <c r="K36" t="s">
        <v>2182</v>
      </c>
      <c r="L36" s="368" t="s">
        <v>17</v>
      </c>
      <c r="M36" s="122">
        <v>45041</v>
      </c>
      <c r="S36" t="s">
        <v>1178</v>
      </c>
      <c r="T36" s="14">
        <v>0.37291666666666662</v>
      </c>
    </row>
    <row r="37" spans="1:22" hidden="1" x14ac:dyDescent="0.25">
      <c r="A37" s="246">
        <v>28012023</v>
      </c>
      <c r="B37" t="s">
        <v>930</v>
      </c>
      <c r="C37" t="s">
        <v>13</v>
      </c>
      <c r="D37" s="122">
        <v>44954</v>
      </c>
      <c r="F37" t="s">
        <v>294</v>
      </c>
      <c r="G37" t="s">
        <v>1887</v>
      </c>
      <c r="H37" s="1490"/>
      <c r="I37" s="32">
        <v>28082</v>
      </c>
      <c r="J37" s="180">
        <f t="shared" si="0"/>
        <v>24712.16</v>
      </c>
      <c r="K37" t="s">
        <v>2182</v>
      </c>
      <c r="L37" s="368" t="s">
        <v>17</v>
      </c>
      <c r="M37" s="122">
        <v>45041</v>
      </c>
      <c r="S37" t="s">
        <v>1644</v>
      </c>
      <c r="T37" s="14">
        <v>0.6</v>
      </c>
      <c r="U37" s="14">
        <v>0.77847222222222223</v>
      </c>
    </row>
    <row r="38" spans="1:22" hidden="1" x14ac:dyDescent="0.25">
      <c r="A38" s="95" t="s">
        <v>1814</v>
      </c>
      <c r="B38" t="s">
        <v>930</v>
      </c>
      <c r="C38" t="s">
        <v>809</v>
      </c>
      <c r="D38" s="122">
        <v>44958</v>
      </c>
      <c r="F38" t="s">
        <v>294</v>
      </c>
      <c r="G38" t="s">
        <v>1888</v>
      </c>
      <c r="H38" s="1491" t="s">
        <v>2004</v>
      </c>
      <c r="I38" s="32">
        <v>28082</v>
      </c>
      <c r="J38" s="180">
        <f t="shared" si="0"/>
        <v>24712.16</v>
      </c>
      <c r="K38" t="s">
        <v>2182</v>
      </c>
      <c r="L38" s="368" t="s">
        <v>17</v>
      </c>
      <c r="M38" s="122">
        <v>45041</v>
      </c>
      <c r="S38" t="s">
        <v>1178</v>
      </c>
      <c r="T38" s="14">
        <v>0.58819444444444446</v>
      </c>
      <c r="U38" s="14">
        <v>0.77708333333333324</v>
      </c>
    </row>
    <row r="39" spans="1:22" hidden="1" x14ac:dyDescent="0.25">
      <c r="A39" s="95" t="s">
        <v>1864</v>
      </c>
      <c r="B39" t="s">
        <v>930</v>
      </c>
      <c r="C39" t="s">
        <v>410</v>
      </c>
      <c r="D39" s="122">
        <v>44965</v>
      </c>
      <c r="F39" t="s">
        <v>295</v>
      </c>
      <c r="G39" t="s">
        <v>1889</v>
      </c>
      <c r="H39" s="1491"/>
      <c r="I39" s="32">
        <v>26523</v>
      </c>
      <c r="J39" s="180">
        <f t="shared" si="0"/>
        <v>23340.240000000002</v>
      </c>
      <c r="K39" t="s">
        <v>2182</v>
      </c>
      <c r="L39" s="368" t="s">
        <v>17</v>
      </c>
      <c r="M39" s="122">
        <v>45041</v>
      </c>
      <c r="S39" t="s">
        <v>929</v>
      </c>
      <c r="T39" s="14">
        <v>0.9458333333333333</v>
      </c>
      <c r="U39" s="14"/>
    </row>
    <row r="40" spans="1:22" hidden="1" x14ac:dyDescent="0.25">
      <c r="A40" s="256">
        <v>17022023</v>
      </c>
      <c r="B40" t="s">
        <v>1609</v>
      </c>
      <c r="C40" t="s">
        <v>410</v>
      </c>
      <c r="D40" s="255">
        <v>44974</v>
      </c>
      <c r="F40" t="s">
        <v>295</v>
      </c>
      <c r="G40" t="s">
        <v>1905</v>
      </c>
      <c r="H40" s="1491"/>
      <c r="I40" s="32">
        <v>26523</v>
      </c>
      <c r="J40" s="180">
        <f t="shared" si="0"/>
        <v>23340.240000000002</v>
      </c>
      <c r="K40" t="s">
        <v>2182</v>
      </c>
      <c r="L40" s="368" t="s">
        <v>17</v>
      </c>
      <c r="M40" s="122">
        <v>45041</v>
      </c>
      <c r="S40" t="s">
        <v>1816</v>
      </c>
      <c r="T40" s="14">
        <v>0.65416666666666667</v>
      </c>
      <c r="U40" s="14"/>
    </row>
    <row r="41" spans="1:22" hidden="1" x14ac:dyDescent="0.25">
      <c r="A41" s="256">
        <v>21022023</v>
      </c>
      <c r="B41" t="s">
        <v>930</v>
      </c>
      <c r="C41" t="s">
        <v>410</v>
      </c>
      <c r="D41" s="122">
        <v>44978</v>
      </c>
      <c r="F41" t="s">
        <v>294</v>
      </c>
      <c r="G41" t="s">
        <v>1921</v>
      </c>
      <c r="H41" s="1491"/>
      <c r="I41" s="32">
        <v>28082</v>
      </c>
      <c r="J41" s="180">
        <f t="shared" si="0"/>
        <v>24712.16</v>
      </c>
      <c r="K41" t="s">
        <v>2182</v>
      </c>
      <c r="L41" s="368" t="s">
        <v>17</v>
      </c>
      <c r="M41" s="122">
        <v>45041</v>
      </c>
      <c r="S41" t="s">
        <v>1042</v>
      </c>
      <c r="T41" s="14">
        <v>0.47430555555555554</v>
      </c>
      <c r="U41" s="14">
        <v>0.63958333333333328</v>
      </c>
    </row>
    <row r="42" spans="1:22" hidden="1" x14ac:dyDescent="0.25">
      <c r="A42" s="256">
        <v>25022023</v>
      </c>
      <c r="B42" t="s">
        <v>930</v>
      </c>
      <c r="C42" t="s">
        <v>410</v>
      </c>
      <c r="D42" s="122">
        <v>44982</v>
      </c>
      <c r="F42" t="s">
        <v>294</v>
      </c>
      <c r="G42" t="s">
        <v>1971</v>
      </c>
      <c r="H42" s="1491"/>
      <c r="I42" s="32">
        <v>28082</v>
      </c>
      <c r="J42" s="180">
        <f t="shared" si="0"/>
        <v>24712.16</v>
      </c>
      <c r="K42" t="s">
        <v>2182</v>
      </c>
      <c r="L42" s="368" t="s">
        <v>17</v>
      </c>
      <c r="M42" s="122">
        <v>45041</v>
      </c>
      <c r="S42" t="s">
        <v>1932</v>
      </c>
      <c r="T42" s="14">
        <v>0.62847222222222221</v>
      </c>
      <c r="U42" s="14">
        <v>0.78125</v>
      </c>
    </row>
    <row r="43" spans="1:22" hidden="1" x14ac:dyDescent="0.25">
      <c r="A43" s="95" t="s">
        <v>1955</v>
      </c>
      <c r="B43" t="s">
        <v>930</v>
      </c>
      <c r="C43" t="s">
        <v>13</v>
      </c>
      <c r="D43" s="122">
        <v>44987</v>
      </c>
      <c r="F43" t="s">
        <v>294</v>
      </c>
      <c r="G43" t="s">
        <v>1970</v>
      </c>
      <c r="H43" s="28" t="s">
        <v>2005</v>
      </c>
      <c r="I43" s="32">
        <v>28082</v>
      </c>
      <c r="J43" s="180">
        <f t="shared" si="0"/>
        <v>24712.16</v>
      </c>
      <c r="K43" t="s">
        <v>2182</v>
      </c>
      <c r="L43" s="368" t="s">
        <v>17</v>
      </c>
      <c r="M43" s="122">
        <v>45041</v>
      </c>
      <c r="S43" t="s">
        <v>795</v>
      </c>
      <c r="T43" s="14">
        <v>0.29583333333333334</v>
      </c>
    </row>
    <row r="44" spans="1:22" hidden="1" x14ac:dyDescent="0.25">
      <c r="A44" s="256">
        <v>21032023</v>
      </c>
      <c r="B44" t="s">
        <v>296</v>
      </c>
      <c r="C44" t="s">
        <v>410</v>
      </c>
      <c r="D44" s="122">
        <v>45006</v>
      </c>
      <c r="F44" t="s">
        <v>294</v>
      </c>
      <c r="G44" t="s">
        <v>2049</v>
      </c>
      <c r="H44" s="28" t="s">
        <v>2066</v>
      </c>
      <c r="I44" s="32">
        <v>28082</v>
      </c>
      <c r="J44" s="180">
        <f t="shared" si="0"/>
        <v>24712.16</v>
      </c>
      <c r="K44" t="s">
        <v>2182</v>
      </c>
      <c r="L44" s="368" t="s">
        <v>17</v>
      </c>
      <c r="M44" s="122">
        <v>45041</v>
      </c>
      <c r="S44" t="s">
        <v>893</v>
      </c>
      <c r="T44" s="14">
        <v>0.73749999999999993</v>
      </c>
      <c r="U44" s="14">
        <v>0.89513888888888893</v>
      </c>
    </row>
    <row r="45" spans="1:22" s="10" customFormat="1" ht="30" hidden="1" x14ac:dyDescent="0.25">
      <c r="A45" s="338">
        <v>25032023</v>
      </c>
      <c r="B45" s="10" t="s">
        <v>930</v>
      </c>
      <c r="C45" s="10" t="s">
        <v>410</v>
      </c>
      <c r="D45" s="189">
        <v>45010</v>
      </c>
      <c r="F45" s="31" t="s">
        <v>295</v>
      </c>
      <c r="G45" s="339" t="s">
        <v>2131</v>
      </c>
      <c r="H45" s="31" t="s">
        <v>2112</v>
      </c>
      <c r="I45" s="97">
        <v>26523</v>
      </c>
      <c r="J45" s="476">
        <f>+I45*0.88</f>
        <v>23340.240000000002</v>
      </c>
      <c r="K45" s="301"/>
      <c r="L45" s="1168" t="s">
        <v>17</v>
      </c>
      <c r="M45" s="189">
        <v>45223</v>
      </c>
      <c r="T45" s="10" t="s">
        <v>922</v>
      </c>
      <c r="U45" s="192">
        <v>0.64097222222222217</v>
      </c>
      <c r="V45" s="192">
        <v>0.89166666666666661</v>
      </c>
    </row>
    <row r="46" spans="1:22" hidden="1" x14ac:dyDescent="0.25">
      <c r="A46" s="256">
        <v>29032023</v>
      </c>
      <c r="B46" t="s">
        <v>930</v>
      </c>
      <c r="C46" t="s">
        <v>1954</v>
      </c>
      <c r="D46" s="122">
        <v>45014</v>
      </c>
      <c r="F46" t="s">
        <v>295</v>
      </c>
      <c r="G46" t="s">
        <v>2133</v>
      </c>
      <c r="H46" s="28" t="s">
        <v>2134</v>
      </c>
      <c r="I46" s="88">
        <v>26523</v>
      </c>
      <c r="J46" s="476">
        <f t="shared" ref="J46:J56" si="3">+I46*0.88</f>
        <v>23340.240000000002</v>
      </c>
      <c r="K46" s="88"/>
      <c r="L46" s="236" t="s">
        <v>17</v>
      </c>
      <c r="M46" s="122">
        <v>45065</v>
      </c>
      <c r="T46" t="s">
        <v>2130</v>
      </c>
      <c r="U46" s="14">
        <v>0.63541666666666663</v>
      </c>
    </row>
    <row r="47" spans="1:22" hidden="1" x14ac:dyDescent="0.25">
      <c r="A47" s="256">
        <v>29032023</v>
      </c>
      <c r="B47" t="s">
        <v>930</v>
      </c>
      <c r="C47" t="s">
        <v>693</v>
      </c>
      <c r="D47" s="122">
        <v>45014</v>
      </c>
      <c r="F47" t="s">
        <v>294</v>
      </c>
      <c r="G47" t="s">
        <v>2132</v>
      </c>
      <c r="H47" s="28" t="s">
        <v>2135</v>
      </c>
      <c r="I47" s="88">
        <v>28082</v>
      </c>
      <c r="J47" s="476">
        <f t="shared" si="3"/>
        <v>24712.16</v>
      </c>
      <c r="K47" s="88"/>
      <c r="L47" s="236" t="s">
        <v>17</v>
      </c>
      <c r="M47" s="122">
        <v>45065</v>
      </c>
      <c r="T47" t="s">
        <v>2050</v>
      </c>
      <c r="U47" s="14">
        <v>0.72152777777777777</v>
      </c>
    </row>
    <row r="48" spans="1:22" hidden="1" x14ac:dyDescent="0.25">
      <c r="A48" s="256">
        <v>30032023</v>
      </c>
      <c r="B48" t="s">
        <v>930</v>
      </c>
      <c r="C48" t="s">
        <v>693</v>
      </c>
      <c r="D48" s="122">
        <v>45015</v>
      </c>
      <c r="F48" t="s">
        <v>294</v>
      </c>
      <c r="G48" t="s">
        <v>2136</v>
      </c>
      <c r="H48" s="28" t="s">
        <v>2138</v>
      </c>
      <c r="I48" s="88">
        <v>28082</v>
      </c>
      <c r="J48" s="476">
        <f t="shared" si="3"/>
        <v>24712.16</v>
      </c>
      <c r="K48" s="88"/>
      <c r="L48" s="236" t="s">
        <v>17</v>
      </c>
      <c r="M48" s="122">
        <v>45065</v>
      </c>
      <c r="T48" t="s">
        <v>916</v>
      </c>
      <c r="U48" s="14"/>
    </row>
    <row r="49" spans="1:22" hidden="1" x14ac:dyDescent="0.25">
      <c r="A49" s="95" t="s">
        <v>2158</v>
      </c>
      <c r="B49" t="s">
        <v>930</v>
      </c>
      <c r="C49" t="s">
        <v>410</v>
      </c>
      <c r="D49" s="122">
        <v>45019</v>
      </c>
      <c r="F49" t="s">
        <v>295</v>
      </c>
      <c r="G49" t="s">
        <v>2167</v>
      </c>
      <c r="H49" s="28" t="s">
        <v>2165</v>
      </c>
      <c r="I49" s="88">
        <v>26523</v>
      </c>
      <c r="J49" s="476">
        <f t="shared" si="3"/>
        <v>23340.240000000002</v>
      </c>
      <c r="K49" s="88"/>
      <c r="L49" s="236" t="s">
        <v>17</v>
      </c>
      <c r="M49" s="122">
        <v>45065</v>
      </c>
      <c r="T49" t="s">
        <v>1816</v>
      </c>
      <c r="U49" s="14">
        <v>0.61319444444444449</v>
      </c>
      <c r="V49" s="14">
        <v>0.77222222222222225</v>
      </c>
    </row>
    <row r="50" spans="1:22" hidden="1" x14ac:dyDescent="0.25">
      <c r="A50" s="95" t="s">
        <v>2158</v>
      </c>
      <c r="B50" t="s">
        <v>930</v>
      </c>
      <c r="C50" t="s">
        <v>410</v>
      </c>
      <c r="D50" s="122">
        <v>45019</v>
      </c>
      <c r="F50" t="s">
        <v>294</v>
      </c>
      <c r="G50" t="s">
        <v>2168</v>
      </c>
      <c r="H50" s="28" t="s">
        <v>2166</v>
      </c>
      <c r="I50" s="88">
        <v>28082</v>
      </c>
      <c r="J50" s="476">
        <f t="shared" si="3"/>
        <v>24712.16</v>
      </c>
      <c r="K50" s="88"/>
      <c r="L50" s="236" t="s">
        <v>17</v>
      </c>
      <c r="M50" s="122">
        <v>45065</v>
      </c>
      <c r="T50" t="s">
        <v>1816</v>
      </c>
      <c r="U50" s="14">
        <v>0.78055555555555556</v>
      </c>
      <c r="V50" s="14">
        <v>0.84583333333333333</v>
      </c>
    </row>
    <row r="51" spans="1:22" hidden="1" x14ac:dyDescent="0.25">
      <c r="A51" s="256">
        <v>11042023</v>
      </c>
      <c r="B51" t="s">
        <v>296</v>
      </c>
      <c r="C51" t="s">
        <v>2026</v>
      </c>
      <c r="D51" s="122">
        <v>45027</v>
      </c>
      <c r="F51" t="s">
        <v>294</v>
      </c>
      <c r="G51" t="s">
        <v>2216</v>
      </c>
      <c r="H51" s="28" t="s">
        <v>2229</v>
      </c>
      <c r="I51" s="88">
        <v>28082</v>
      </c>
      <c r="J51" s="476">
        <f t="shared" si="3"/>
        <v>24712.16</v>
      </c>
      <c r="K51" s="88"/>
      <c r="L51" s="236" t="s">
        <v>17</v>
      </c>
      <c r="M51" s="122">
        <v>45065</v>
      </c>
      <c r="T51" t="s">
        <v>1894</v>
      </c>
      <c r="U51" s="14">
        <v>0.68263888888888891</v>
      </c>
      <c r="V51" s="14">
        <v>0.4055555555555555</v>
      </c>
    </row>
    <row r="52" spans="1:22" hidden="1" x14ac:dyDescent="0.25">
      <c r="A52" s="256">
        <v>20042023</v>
      </c>
      <c r="B52" t="s">
        <v>930</v>
      </c>
      <c r="C52" t="s">
        <v>410</v>
      </c>
      <c r="D52" s="122">
        <v>45036</v>
      </c>
      <c r="F52" t="s">
        <v>294</v>
      </c>
      <c r="G52" t="s">
        <v>2256</v>
      </c>
      <c r="H52" s="28" t="s">
        <v>2246</v>
      </c>
      <c r="I52" s="88">
        <v>28082</v>
      </c>
      <c r="J52" s="476">
        <f t="shared" si="3"/>
        <v>24712.16</v>
      </c>
      <c r="L52" s="236" t="s">
        <v>17</v>
      </c>
      <c r="M52" s="122">
        <v>45065</v>
      </c>
      <c r="T52" t="s">
        <v>1225</v>
      </c>
      <c r="U52" s="14">
        <v>0.73888888888888893</v>
      </c>
      <c r="V52" s="14">
        <v>0.90694444444444444</v>
      </c>
    </row>
    <row r="53" spans="1:22" hidden="1" x14ac:dyDescent="0.25">
      <c r="A53" s="256">
        <v>21042023</v>
      </c>
      <c r="B53" t="s">
        <v>930</v>
      </c>
      <c r="C53" t="s">
        <v>2026</v>
      </c>
      <c r="D53" s="122">
        <v>45037</v>
      </c>
      <c r="F53" t="s">
        <v>295</v>
      </c>
      <c r="G53" t="s">
        <v>2257</v>
      </c>
      <c r="H53" s="28" t="s">
        <v>2258</v>
      </c>
      <c r="I53" s="88">
        <v>26523</v>
      </c>
      <c r="J53" s="476">
        <f t="shared" si="3"/>
        <v>23340.240000000002</v>
      </c>
      <c r="L53" s="236" t="s">
        <v>17</v>
      </c>
      <c r="M53" s="122">
        <v>45077</v>
      </c>
      <c r="T53" t="s">
        <v>1894</v>
      </c>
    </row>
    <row r="54" spans="1:22" hidden="1" x14ac:dyDescent="0.25">
      <c r="A54" s="256">
        <v>24042023</v>
      </c>
      <c r="B54" t="s">
        <v>930</v>
      </c>
      <c r="C54" t="s">
        <v>410</v>
      </c>
      <c r="D54" s="122">
        <v>45040</v>
      </c>
      <c r="F54" t="s">
        <v>294</v>
      </c>
      <c r="G54" t="s">
        <v>2259</v>
      </c>
      <c r="H54" s="28" t="s">
        <v>2260</v>
      </c>
      <c r="I54" s="313">
        <v>28082</v>
      </c>
      <c r="J54" s="476">
        <f t="shared" si="3"/>
        <v>24712.16</v>
      </c>
      <c r="L54" s="236" t="s">
        <v>17</v>
      </c>
      <c r="M54" s="122">
        <v>45065</v>
      </c>
      <c r="T54" t="s">
        <v>1644</v>
      </c>
      <c r="U54" s="14">
        <v>0.33819444444444446</v>
      </c>
      <c r="V54" s="14">
        <v>0.50416666666666665</v>
      </c>
    </row>
    <row r="55" spans="1:22" hidden="1" x14ac:dyDescent="0.25">
      <c r="A55" s="256">
        <v>27042023</v>
      </c>
      <c r="B55" t="s">
        <v>930</v>
      </c>
      <c r="C55" t="s">
        <v>693</v>
      </c>
      <c r="D55" s="122">
        <v>45043</v>
      </c>
      <c r="F55" s="30" t="s">
        <v>294</v>
      </c>
      <c r="G55" s="30" t="s">
        <v>2294</v>
      </c>
      <c r="H55" s="28" t="s">
        <v>2309</v>
      </c>
      <c r="I55" s="313">
        <v>28082</v>
      </c>
      <c r="J55" s="476">
        <f t="shared" si="3"/>
        <v>24712.16</v>
      </c>
      <c r="L55" s="236" t="s">
        <v>17</v>
      </c>
      <c r="M55" s="122">
        <v>45077</v>
      </c>
      <c r="T55" t="s">
        <v>1506</v>
      </c>
      <c r="U55" s="14">
        <v>0.56458333333333333</v>
      </c>
    </row>
    <row r="56" spans="1:22" hidden="1" x14ac:dyDescent="0.25">
      <c r="A56" s="256" t="s">
        <v>2302</v>
      </c>
      <c r="B56" t="s">
        <v>930</v>
      </c>
      <c r="C56" t="s">
        <v>410</v>
      </c>
      <c r="D56" s="122">
        <v>45048</v>
      </c>
      <c r="F56" s="30" t="s">
        <v>295</v>
      </c>
      <c r="G56" t="s">
        <v>2338</v>
      </c>
      <c r="H56" s="28" t="s">
        <v>2339</v>
      </c>
      <c r="I56" s="88">
        <v>26523</v>
      </c>
      <c r="J56" s="476">
        <f t="shared" si="3"/>
        <v>23340.240000000002</v>
      </c>
      <c r="L56" s="236" t="s">
        <v>17</v>
      </c>
      <c r="M56" s="122">
        <v>45077</v>
      </c>
      <c r="T56" t="s">
        <v>795</v>
      </c>
      <c r="U56" s="14">
        <v>0.62222222222222223</v>
      </c>
      <c r="V56" s="14"/>
    </row>
    <row r="57" spans="1:22" x14ac:dyDescent="0.25">
      <c r="J57" s="180">
        <f>+I57*0.88</f>
        <v>0</v>
      </c>
      <c r="K57" s="149">
        <f>1463085-I59</f>
        <v>1463085</v>
      </c>
      <c r="M57" s="122"/>
    </row>
    <row r="58" spans="1:22" s="28" customFormat="1" x14ac:dyDescent="0.25">
      <c r="A58" s="295"/>
      <c r="C58"/>
      <c r="D58" s="233"/>
      <c r="I58" s="296" t="s">
        <v>2048</v>
      </c>
      <c r="J58" s="296"/>
      <c r="K58" s="127" t="s">
        <v>219</v>
      </c>
      <c r="L58" s="1015" t="s">
        <v>2047</v>
      </c>
      <c r="M58" s="344" t="s">
        <v>2254</v>
      </c>
      <c r="T58" s="276"/>
      <c r="U58" s="276"/>
    </row>
    <row r="59" spans="1:22" ht="15" customHeight="1" x14ac:dyDescent="0.25">
      <c r="G59" s="163"/>
      <c r="H59" s="28" t="s">
        <v>920</v>
      </c>
      <c r="I59" s="89">
        <f>SUBTOTAL(9,I4:I56)</f>
        <v>0</v>
      </c>
      <c r="J59" s="89">
        <f>+I59/K59</f>
        <v>0</v>
      </c>
      <c r="K59" s="5">
        <v>1463085</v>
      </c>
      <c r="L59" s="1169">
        <f>(1103010.4+I44+I45+I46+I47+I48+I49+I50+I51+I52+I53+I54+I55+I56)-K59</f>
        <v>-2803.6000000000931</v>
      </c>
      <c r="M59" s="345">
        <v>0</v>
      </c>
    </row>
    <row r="60" spans="1:22" ht="15" customHeight="1" thickBot="1" x14ac:dyDescent="0.3">
      <c r="I60" s="88"/>
      <c r="J60" s="88"/>
      <c r="L60" s="462"/>
      <c r="M60" s="122"/>
    </row>
    <row r="61" spans="1:22" ht="15.75" customHeight="1" thickBot="1" x14ac:dyDescent="0.3">
      <c r="C61" s="1566" t="s">
        <v>919</v>
      </c>
      <c r="D61" s="1488"/>
      <c r="E61" s="1488"/>
      <c r="F61" s="1488"/>
      <c r="G61" s="1488"/>
      <c r="H61" s="1489"/>
      <c r="M61" s="122"/>
    </row>
    <row r="62" spans="1:22" s="28" customFormat="1" ht="15" customHeight="1" x14ac:dyDescent="0.25">
      <c r="B62" s="25"/>
      <c r="C62" s="1"/>
      <c r="D62" s="56"/>
      <c r="E62" s="25"/>
      <c r="F62" s="25"/>
      <c r="G62" s="25"/>
      <c r="H62" s="25"/>
      <c r="I62" s="60"/>
      <c r="J62" s="60"/>
      <c r="K62" s="25"/>
      <c r="L62" s="115"/>
      <c r="M62" s="122"/>
      <c r="N62" s="25"/>
      <c r="O62" s="25"/>
      <c r="P62" s="25"/>
      <c r="Q62" s="25"/>
      <c r="R62" s="25"/>
      <c r="S62" s="1480"/>
      <c r="T62" s="1480"/>
      <c r="U62" s="1480"/>
      <c r="V62" s="1480"/>
    </row>
    <row r="63" spans="1:22" ht="15" hidden="1" customHeight="1" x14ac:dyDescent="0.25">
      <c r="A63" s="169">
        <v>14062022</v>
      </c>
      <c r="B63" s="169" t="s">
        <v>930</v>
      </c>
      <c r="C63" s="21" t="s">
        <v>693</v>
      </c>
      <c r="D63" s="122">
        <v>44726</v>
      </c>
      <c r="E63" s="32"/>
      <c r="F63" s="163" t="s">
        <v>294</v>
      </c>
      <c r="G63" s="185" t="s">
        <v>1124</v>
      </c>
      <c r="H63" s="1568" t="s">
        <v>1204</v>
      </c>
      <c r="I63" s="159">
        <v>35159.699999999997</v>
      </c>
      <c r="J63" s="180"/>
      <c r="K63" s="1567" t="s">
        <v>1198</v>
      </c>
      <c r="L63" s="368" t="s">
        <v>17</v>
      </c>
      <c r="M63" s="122">
        <v>44831</v>
      </c>
      <c r="O63" s="129">
        <f t="shared" ref="O63:O77" si="4">IF(L63="PAGADA",M63-D63,0)</f>
        <v>105</v>
      </c>
      <c r="P63" s="129" t="s">
        <v>1600</v>
      </c>
      <c r="Q63" s="129" t="str">
        <f>CONCATENATE(O63,P63)</f>
        <v>105 dias</v>
      </c>
      <c r="T63" s="163" t="s">
        <v>653</v>
      </c>
      <c r="U63" s="157"/>
      <c r="V63" s="14"/>
    </row>
    <row r="64" spans="1:22" ht="15" hidden="1" customHeight="1" x14ac:dyDescent="0.25">
      <c r="A64" s="169">
        <v>19062022</v>
      </c>
      <c r="B64" s="169" t="s">
        <v>930</v>
      </c>
      <c r="C64" s="21" t="s">
        <v>693</v>
      </c>
      <c r="D64" s="122">
        <v>44731</v>
      </c>
      <c r="E64" s="32"/>
      <c r="F64" s="163" t="s">
        <v>294</v>
      </c>
      <c r="G64" s="185" t="s">
        <v>1125</v>
      </c>
      <c r="H64" s="1568"/>
      <c r="I64" s="159">
        <v>35159.699999999997</v>
      </c>
      <c r="J64" s="180"/>
      <c r="K64" s="1567"/>
      <c r="L64" s="368" t="s">
        <v>17</v>
      </c>
      <c r="M64" s="122">
        <v>44831</v>
      </c>
      <c r="O64" s="129">
        <f t="shared" si="4"/>
        <v>100</v>
      </c>
      <c r="P64" s="129" t="s">
        <v>1600</v>
      </c>
      <c r="Q64" s="129" t="str">
        <f t="shared" ref="Q64:Q77" si="5">CONCATENATE(O64,P64)</f>
        <v>100 dias</v>
      </c>
      <c r="T64" s="163" t="s">
        <v>922</v>
      </c>
      <c r="U64" s="14">
        <v>0.40069444444444446</v>
      </c>
      <c r="V64" s="14">
        <v>0.61111111111111105</v>
      </c>
    </row>
    <row r="65" spans="1:22" ht="15" hidden="1" customHeight="1" x14ac:dyDescent="0.25">
      <c r="A65" s="169">
        <v>2072022</v>
      </c>
      <c r="B65" s="169" t="s">
        <v>930</v>
      </c>
      <c r="C65" s="21" t="s">
        <v>410</v>
      </c>
      <c r="D65" s="122">
        <v>44744</v>
      </c>
      <c r="E65" s="32"/>
      <c r="F65" s="163" t="s">
        <v>293</v>
      </c>
      <c r="G65" s="185" t="s">
        <v>1126</v>
      </c>
      <c r="H65" s="1568" t="s">
        <v>1205</v>
      </c>
      <c r="I65" s="159">
        <v>30603</v>
      </c>
      <c r="J65" s="180"/>
      <c r="K65" s="1567"/>
      <c r="L65" s="368" t="s">
        <v>17</v>
      </c>
      <c r="M65" s="122">
        <v>44831</v>
      </c>
      <c r="O65" s="129">
        <f t="shared" si="4"/>
        <v>87</v>
      </c>
      <c r="P65" s="129" t="s">
        <v>1600</v>
      </c>
      <c r="Q65" s="129" t="str">
        <f t="shared" si="5"/>
        <v>87 dias</v>
      </c>
      <c r="T65" s="163" t="s">
        <v>893</v>
      </c>
      <c r="U65" s="14">
        <v>0.11805555555555557</v>
      </c>
      <c r="V65" s="14">
        <v>0.52500000000000002</v>
      </c>
    </row>
    <row r="66" spans="1:22" ht="15" hidden="1" customHeight="1" x14ac:dyDescent="0.25">
      <c r="A66" s="169">
        <v>30072022</v>
      </c>
      <c r="B66" s="169" t="s">
        <v>930</v>
      </c>
      <c r="C66" s="21" t="s">
        <v>410</v>
      </c>
      <c r="D66" s="122">
        <v>44772</v>
      </c>
      <c r="E66" s="32"/>
      <c r="F66" s="163" t="s">
        <v>293</v>
      </c>
      <c r="G66" s="185" t="s">
        <v>1127</v>
      </c>
      <c r="H66" s="1568"/>
      <c r="I66" s="159">
        <v>30603</v>
      </c>
      <c r="J66" s="180"/>
      <c r="K66" s="1567"/>
      <c r="L66" s="368" t="s">
        <v>17</v>
      </c>
      <c r="M66" s="122">
        <v>44831</v>
      </c>
      <c r="O66" s="129">
        <f t="shared" si="4"/>
        <v>59</v>
      </c>
      <c r="P66" s="129" t="s">
        <v>1600</v>
      </c>
      <c r="Q66" s="129" t="str">
        <f t="shared" si="5"/>
        <v>59 dias</v>
      </c>
      <c r="T66" s="163" t="s">
        <v>817</v>
      </c>
      <c r="U66" s="14">
        <v>0.29583333333333334</v>
      </c>
      <c r="V66" s="14">
        <v>0.64027777777777783</v>
      </c>
    </row>
    <row r="67" spans="1:22" ht="15" hidden="1" customHeight="1" x14ac:dyDescent="0.25">
      <c r="A67" s="30">
        <v>22092022</v>
      </c>
      <c r="B67" s="169" t="s">
        <v>930</v>
      </c>
      <c r="C67" s="21" t="s">
        <v>693</v>
      </c>
      <c r="D67" s="122">
        <v>44826</v>
      </c>
      <c r="E67" s="88"/>
      <c r="F67" t="s">
        <v>294</v>
      </c>
      <c r="G67" s="21" t="s">
        <v>1286</v>
      </c>
      <c r="H67" s="1491" t="s">
        <v>1511</v>
      </c>
      <c r="I67" s="160">
        <v>35159.699999999997</v>
      </c>
      <c r="J67" s="180">
        <f t="shared" ref="J67:J82" si="6">+I67*0.88</f>
        <v>30940.535999999996</v>
      </c>
      <c r="K67" s="88" t="s">
        <v>1381</v>
      </c>
      <c r="L67" s="368" t="s">
        <v>17</v>
      </c>
      <c r="M67" s="122">
        <v>44917</v>
      </c>
      <c r="O67" s="129">
        <f t="shared" si="4"/>
        <v>91</v>
      </c>
      <c r="P67" s="129" t="s">
        <v>1600</v>
      </c>
      <c r="Q67" s="129" t="str">
        <f t="shared" si="5"/>
        <v>91 dias</v>
      </c>
      <c r="S67" s="21"/>
      <c r="T67" s="157">
        <v>0.33194444444444443</v>
      </c>
      <c r="U67" s="157">
        <v>0.55694444444444446</v>
      </c>
    </row>
    <row r="68" spans="1:22" ht="15" hidden="1" customHeight="1" x14ac:dyDescent="0.25">
      <c r="A68" s="115">
        <v>30092022</v>
      </c>
      <c r="B68" s="169" t="s">
        <v>930</v>
      </c>
      <c r="C68" s="21" t="s">
        <v>693</v>
      </c>
      <c r="D68" s="122">
        <v>44834</v>
      </c>
      <c r="E68" s="88"/>
      <c r="F68" t="s">
        <v>293</v>
      </c>
      <c r="G68" s="21" t="s">
        <v>1346</v>
      </c>
      <c r="H68" s="1491"/>
      <c r="I68" s="160">
        <v>30603</v>
      </c>
      <c r="J68" s="180">
        <f t="shared" si="6"/>
        <v>26930.639999999999</v>
      </c>
      <c r="K68" s="88" t="s">
        <v>1382</v>
      </c>
      <c r="L68" s="368" t="s">
        <v>17</v>
      </c>
      <c r="M68" s="122">
        <v>44917</v>
      </c>
      <c r="O68" s="129">
        <f t="shared" si="4"/>
        <v>83</v>
      </c>
      <c r="P68" s="129" t="s">
        <v>1600</v>
      </c>
      <c r="Q68" s="129" t="str">
        <f t="shared" si="5"/>
        <v>83 dias</v>
      </c>
      <c r="S68" s="21" t="s">
        <v>922</v>
      </c>
      <c r="T68" s="157">
        <v>0.68611111111111101</v>
      </c>
      <c r="U68" s="157">
        <v>1.1805555555555555E-2</v>
      </c>
    </row>
    <row r="69" spans="1:22" s="13" customFormat="1" hidden="1" x14ac:dyDescent="0.25">
      <c r="A69" s="203">
        <v>10102022</v>
      </c>
      <c r="B69" s="199" t="s">
        <v>930</v>
      </c>
      <c r="C69" s="13" t="s">
        <v>693</v>
      </c>
      <c r="D69" s="124">
        <v>44844</v>
      </c>
      <c r="E69" s="180"/>
      <c r="F69" s="199" t="s">
        <v>294</v>
      </c>
      <c r="G69" s="13" t="s">
        <v>1386</v>
      </c>
      <c r="H69" s="31" t="s">
        <v>1646</v>
      </c>
      <c r="I69" s="181">
        <v>35159.699999999997</v>
      </c>
      <c r="J69" s="180">
        <f>+I69*0.88</f>
        <v>30940.535999999996</v>
      </c>
      <c r="K69" s="180" t="s">
        <v>1383</v>
      </c>
      <c r="L69" s="1168" t="s">
        <v>17</v>
      </c>
      <c r="M69" s="122">
        <v>45223</v>
      </c>
      <c r="O69" s="153">
        <f>IF(L69="PAGADA",M69-D69,0)</f>
        <v>379</v>
      </c>
      <c r="P69" s="153" t="s">
        <v>1600</v>
      </c>
      <c r="Q69" s="153" t="str">
        <f>CONCATENATE(O69,P69)</f>
        <v>379 dias</v>
      </c>
      <c r="S69" s="13" t="s">
        <v>922</v>
      </c>
      <c r="T69" s="204">
        <v>0.71805555555555556</v>
      </c>
      <c r="U69" s="204">
        <v>3.9583333333333331E-2</v>
      </c>
    </row>
    <row r="70" spans="1:22" hidden="1" x14ac:dyDescent="0.25">
      <c r="A70" s="116" t="s">
        <v>1339</v>
      </c>
      <c r="B70" s="169" t="s">
        <v>930</v>
      </c>
      <c r="C70">
        <v>2221</v>
      </c>
      <c r="D70" s="122">
        <v>44840</v>
      </c>
      <c r="E70" s="88"/>
      <c r="F70" t="s">
        <v>294</v>
      </c>
      <c r="G70" s="21" t="s">
        <v>1388</v>
      </c>
      <c r="H70" s="1491" t="s">
        <v>1645</v>
      </c>
      <c r="I70" s="160">
        <v>35159.699999999997</v>
      </c>
      <c r="J70" s="254">
        <f t="shared" si="6"/>
        <v>30940.535999999996</v>
      </c>
      <c r="K70" s="88" t="s">
        <v>1387</v>
      </c>
      <c r="L70" s="368" t="s">
        <v>17</v>
      </c>
      <c r="M70" s="122">
        <v>44965</v>
      </c>
      <c r="O70" s="129">
        <f t="shared" si="4"/>
        <v>125</v>
      </c>
      <c r="P70" s="129" t="s">
        <v>1600</v>
      </c>
      <c r="Q70" s="129" t="str">
        <f t="shared" si="5"/>
        <v>125 dias</v>
      </c>
      <c r="S70" s="21" t="s">
        <v>894</v>
      </c>
      <c r="T70" s="157">
        <v>0.27916666666666667</v>
      </c>
      <c r="U70" s="157">
        <v>0.49583333333333335</v>
      </c>
    </row>
    <row r="71" spans="1:22" hidden="1" x14ac:dyDescent="0.25">
      <c r="A71" s="116">
        <v>12102022</v>
      </c>
      <c r="B71" s="169" t="s">
        <v>930</v>
      </c>
      <c r="C71" s="21" t="s">
        <v>693</v>
      </c>
      <c r="D71" s="124">
        <v>44846</v>
      </c>
      <c r="E71" s="180"/>
      <c r="F71" s="13" t="s">
        <v>294</v>
      </c>
      <c r="G71" s="16" t="s">
        <v>1385</v>
      </c>
      <c r="H71" s="1491"/>
      <c r="I71" s="180">
        <v>35159.699999999997</v>
      </c>
      <c r="J71" s="254">
        <f t="shared" si="6"/>
        <v>30940.535999999996</v>
      </c>
      <c r="K71" s="88" t="s">
        <v>1384</v>
      </c>
      <c r="L71" s="368" t="s">
        <v>17</v>
      </c>
      <c r="M71" s="122">
        <v>44965</v>
      </c>
      <c r="O71" s="129">
        <f t="shared" si="4"/>
        <v>119</v>
      </c>
      <c r="P71" s="129" t="s">
        <v>1600</v>
      </c>
      <c r="Q71" s="129" t="str">
        <f t="shared" si="5"/>
        <v>119 dias</v>
      </c>
      <c r="S71" s="21" t="s">
        <v>893</v>
      </c>
      <c r="T71" s="157">
        <v>0.26805555555555555</v>
      </c>
      <c r="U71" s="157">
        <v>0.52986111111111112</v>
      </c>
    </row>
    <row r="72" spans="1:22" ht="15" hidden="1" customHeight="1" x14ac:dyDescent="0.25">
      <c r="A72" s="116">
        <v>22102022</v>
      </c>
      <c r="B72" s="169" t="s">
        <v>930</v>
      </c>
      <c r="C72" s="21" t="s">
        <v>693</v>
      </c>
      <c r="D72" s="122">
        <v>44856</v>
      </c>
      <c r="E72" s="88"/>
      <c r="F72" t="s">
        <v>295</v>
      </c>
      <c r="G72" s="21" t="s">
        <v>1419</v>
      </c>
      <c r="H72" s="1491"/>
      <c r="I72" s="160">
        <v>33640.6</v>
      </c>
      <c r="J72" s="254">
        <f t="shared" si="6"/>
        <v>29603.727999999999</v>
      </c>
      <c r="K72" s="160"/>
      <c r="L72" s="368" t="s">
        <v>17</v>
      </c>
      <c r="M72" s="122">
        <v>44965</v>
      </c>
      <c r="O72" s="129">
        <f t="shared" si="4"/>
        <v>109</v>
      </c>
      <c r="P72" s="129" t="s">
        <v>1600</v>
      </c>
      <c r="Q72" s="129" t="str">
        <f t="shared" si="5"/>
        <v>109 dias</v>
      </c>
      <c r="S72" s="21" t="s">
        <v>893</v>
      </c>
      <c r="T72" s="157">
        <v>0.30277777777777776</v>
      </c>
      <c r="U72" s="21" t="s">
        <v>1398</v>
      </c>
    </row>
    <row r="73" spans="1:22" hidden="1" x14ac:dyDescent="0.25">
      <c r="A73" s="116" t="s">
        <v>1450</v>
      </c>
      <c r="B73" s="169" t="s">
        <v>930</v>
      </c>
      <c r="C73" s="21" t="s">
        <v>693</v>
      </c>
      <c r="D73" s="122">
        <v>44872</v>
      </c>
      <c r="E73" s="88"/>
      <c r="F73" t="s">
        <v>294</v>
      </c>
      <c r="G73" s="21" t="s">
        <v>1461</v>
      </c>
      <c r="H73" s="1565" t="s">
        <v>1755</v>
      </c>
      <c r="I73" s="160">
        <v>35159.699999999997</v>
      </c>
      <c r="J73" s="254">
        <f t="shared" si="6"/>
        <v>30940.535999999996</v>
      </c>
      <c r="K73" s="160"/>
      <c r="L73" s="368" t="s">
        <v>17</v>
      </c>
      <c r="M73" s="122">
        <v>44965</v>
      </c>
      <c r="O73" s="129">
        <f t="shared" si="4"/>
        <v>93</v>
      </c>
      <c r="P73" s="129" t="s">
        <v>1600</v>
      </c>
      <c r="Q73" s="129" t="str">
        <f t="shared" si="5"/>
        <v>93 dias</v>
      </c>
      <c r="S73" s="21" t="s">
        <v>922</v>
      </c>
      <c r="T73" s="157">
        <v>0.56597222222222221</v>
      </c>
      <c r="U73" s="157">
        <v>0.77847222222222223</v>
      </c>
    </row>
    <row r="74" spans="1:22" hidden="1" x14ac:dyDescent="0.25">
      <c r="A74" s="116">
        <v>18112022</v>
      </c>
      <c r="B74" s="169" t="s">
        <v>930</v>
      </c>
      <c r="C74" s="21" t="s">
        <v>693</v>
      </c>
      <c r="D74" s="122">
        <v>44883</v>
      </c>
      <c r="E74" s="88"/>
      <c r="F74" t="s">
        <v>295</v>
      </c>
      <c r="G74" s="21" t="s">
        <v>1516</v>
      </c>
      <c r="H74" s="1565"/>
      <c r="I74" s="160">
        <v>33640.6</v>
      </c>
      <c r="J74" s="254">
        <f t="shared" si="6"/>
        <v>29603.727999999999</v>
      </c>
      <c r="K74" s="160"/>
      <c r="L74" s="368" t="s">
        <v>17</v>
      </c>
      <c r="M74" s="122">
        <v>44965</v>
      </c>
      <c r="O74" s="129">
        <f t="shared" si="4"/>
        <v>82</v>
      </c>
      <c r="P74" s="129" t="s">
        <v>1600</v>
      </c>
      <c r="Q74" s="129" t="str">
        <f t="shared" si="5"/>
        <v>82 dias</v>
      </c>
      <c r="S74" s="21" t="s">
        <v>989</v>
      </c>
      <c r="T74" s="157">
        <v>0.33680555555555558</v>
      </c>
      <c r="U74" s="157"/>
    </row>
    <row r="75" spans="1:22" hidden="1" x14ac:dyDescent="0.25">
      <c r="A75" s="116">
        <v>28112022</v>
      </c>
      <c r="B75" s="169" t="s">
        <v>930</v>
      </c>
      <c r="C75" t="s">
        <v>27</v>
      </c>
      <c r="D75" s="122">
        <v>44893</v>
      </c>
      <c r="E75" s="88"/>
      <c r="F75" t="s">
        <v>294</v>
      </c>
      <c r="G75" s="21" t="s">
        <v>1515</v>
      </c>
      <c r="H75" s="1565"/>
      <c r="I75" s="160">
        <v>35159.699999999997</v>
      </c>
      <c r="J75" s="254">
        <f t="shared" si="6"/>
        <v>30940.535999999996</v>
      </c>
      <c r="K75" s="160"/>
      <c r="L75" s="368" t="s">
        <v>17</v>
      </c>
      <c r="M75" s="122">
        <v>44965</v>
      </c>
      <c r="O75" s="129">
        <f t="shared" si="4"/>
        <v>72</v>
      </c>
      <c r="P75" s="129" t="s">
        <v>1600</v>
      </c>
      <c r="Q75" s="129" t="str">
        <f t="shared" si="5"/>
        <v>72 dias</v>
      </c>
      <c r="S75" s="21" t="s">
        <v>929</v>
      </c>
      <c r="T75" s="157">
        <v>0.33749999999999997</v>
      </c>
      <c r="U75" s="157">
        <v>4.8611111111111112E-3</v>
      </c>
    </row>
    <row r="76" spans="1:22" hidden="1" x14ac:dyDescent="0.25">
      <c r="A76" s="116" t="s">
        <v>1531</v>
      </c>
      <c r="B76" t="s">
        <v>930</v>
      </c>
      <c r="C76" s="21" t="s">
        <v>693</v>
      </c>
      <c r="D76" s="122">
        <v>44897</v>
      </c>
      <c r="E76" s="88"/>
      <c r="F76" t="s">
        <v>294</v>
      </c>
      <c r="G76" s="21" t="s">
        <v>1583</v>
      </c>
      <c r="H76" s="1565" t="s">
        <v>1756</v>
      </c>
      <c r="I76" s="160">
        <v>35159.699999999997</v>
      </c>
      <c r="J76" s="254">
        <f t="shared" si="6"/>
        <v>30940.535999999996</v>
      </c>
      <c r="K76" s="160"/>
      <c r="L76" s="368" t="s">
        <v>17</v>
      </c>
      <c r="M76" s="122">
        <v>44965</v>
      </c>
      <c r="O76" s="129">
        <f t="shared" si="4"/>
        <v>68</v>
      </c>
      <c r="P76" s="129" t="s">
        <v>1600</v>
      </c>
      <c r="Q76" s="129" t="str">
        <f t="shared" si="5"/>
        <v>68 dias</v>
      </c>
      <c r="R76" s="21"/>
      <c r="S76" s="157">
        <v>0.65069444444444446</v>
      </c>
      <c r="T76" s="157">
        <v>0.83958333333333324</v>
      </c>
    </row>
    <row r="77" spans="1:22" hidden="1" x14ac:dyDescent="0.25">
      <c r="A77" s="115">
        <v>10122022</v>
      </c>
      <c r="B77" t="s">
        <v>930</v>
      </c>
      <c r="C77" s="21" t="s">
        <v>693</v>
      </c>
      <c r="D77" s="122">
        <v>44905</v>
      </c>
      <c r="E77" s="88"/>
      <c r="F77" t="s">
        <v>294</v>
      </c>
      <c r="G77" s="21" t="s">
        <v>1582</v>
      </c>
      <c r="H77" s="1565"/>
      <c r="I77" s="160">
        <v>35159.699999999997</v>
      </c>
      <c r="J77" s="254">
        <f t="shared" si="6"/>
        <v>30940.535999999996</v>
      </c>
      <c r="K77" s="160"/>
      <c r="L77" s="368" t="s">
        <v>17</v>
      </c>
      <c r="M77" s="122">
        <v>44965</v>
      </c>
      <c r="O77" s="129">
        <f t="shared" si="4"/>
        <v>60</v>
      </c>
      <c r="P77" s="129" t="s">
        <v>1600</v>
      </c>
      <c r="Q77" s="129" t="str">
        <f t="shared" si="5"/>
        <v>60 dias</v>
      </c>
      <c r="S77" s="157">
        <v>0.5756944444444444</v>
      </c>
      <c r="T77" s="157">
        <v>0.74583333333333324</v>
      </c>
    </row>
    <row r="78" spans="1:22" hidden="1" x14ac:dyDescent="0.25">
      <c r="A78" s="115">
        <v>17122020</v>
      </c>
      <c r="B78" t="s">
        <v>930</v>
      </c>
      <c r="C78" s="21" t="s">
        <v>693</v>
      </c>
      <c r="D78" s="122">
        <v>44912</v>
      </c>
      <c r="E78" s="88"/>
      <c r="F78" t="s">
        <v>293</v>
      </c>
      <c r="G78" s="21" t="s">
        <v>1613</v>
      </c>
      <c r="H78" s="1565"/>
      <c r="I78" s="160">
        <v>30603</v>
      </c>
      <c r="J78" s="254">
        <f t="shared" si="6"/>
        <v>26930.639999999999</v>
      </c>
      <c r="K78" s="160"/>
      <c r="L78" s="368" t="s">
        <v>17</v>
      </c>
      <c r="M78" s="122">
        <v>44965</v>
      </c>
      <c r="S78" t="s">
        <v>989</v>
      </c>
      <c r="T78" s="157">
        <v>0.7104166666666667</v>
      </c>
      <c r="U78" s="157">
        <v>4.0972222222222222E-2</v>
      </c>
    </row>
    <row r="79" spans="1:22" hidden="1" x14ac:dyDescent="0.25">
      <c r="A79" s="115">
        <v>18122020</v>
      </c>
      <c r="B79" t="s">
        <v>930</v>
      </c>
      <c r="C79" t="s">
        <v>27</v>
      </c>
      <c r="D79" s="122">
        <v>44914</v>
      </c>
      <c r="E79" s="88"/>
      <c r="F79" t="s">
        <v>294</v>
      </c>
      <c r="G79" s="21" t="s">
        <v>1581</v>
      </c>
      <c r="H79" s="1565"/>
      <c r="I79" s="160">
        <v>35159.699999999997</v>
      </c>
      <c r="J79" s="254">
        <f t="shared" si="6"/>
        <v>30940.535999999996</v>
      </c>
      <c r="K79" s="160"/>
      <c r="L79" s="368" t="s">
        <v>17</v>
      </c>
      <c r="M79" s="122">
        <v>44965</v>
      </c>
      <c r="S79" t="s">
        <v>922</v>
      </c>
      <c r="T79" s="157">
        <v>0.66249999999999998</v>
      </c>
      <c r="U79" s="21"/>
    </row>
    <row r="80" spans="1:22" hidden="1" x14ac:dyDescent="0.25">
      <c r="A80" s="115">
        <v>21122022</v>
      </c>
      <c r="B80" t="s">
        <v>930</v>
      </c>
      <c r="C80" s="21" t="s">
        <v>693</v>
      </c>
      <c r="D80" s="122">
        <v>44916</v>
      </c>
      <c r="E80" s="88"/>
      <c r="F80" t="s">
        <v>295</v>
      </c>
      <c r="G80" s="21" t="s">
        <v>1618</v>
      </c>
      <c r="H80" s="1565"/>
      <c r="I80" s="160">
        <v>33640.6</v>
      </c>
      <c r="J80" s="254">
        <f t="shared" si="6"/>
        <v>29603.727999999999</v>
      </c>
      <c r="K80" s="160"/>
      <c r="L80" s="368" t="s">
        <v>17</v>
      </c>
      <c r="M80" s="122">
        <v>44965</v>
      </c>
      <c r="S80" t="s">
        <v>989</v>
      </c>
      <c r="T80" s="157">
        <v>0.32083333333333336</v>
      </c>
      <c r="U80" s="21"/>
    </row>
    <row r="81" spans="1:22" hidden="1" x14ac:dyDescent="0.25">
      <c r="A81" s="115">
        <v>25122022</v>
      </c>
      <c r="B81" t="s">
        <v>930</v>
      </c>
      <c r="C81" s="21" t="s">
        <v>693</v>
      </c>
      <c r="D81" s="122">
        <v>44920</v>
      </c>
      <c r="E81" s="88"/>
      <c r="F81" t="s">
        <v>295</v>
      </c>
      <c r="G81" s="21" t="s">
        <v>1642</v>
      </c>
      <c r="H81" s="1565"/>
      <c r="I81" s="160">
        <v>33640.6</v>
      </c>
      <c r="J81" s="254">
        <f t="shared" si="6"/>
        <v>29603.727999999999</v>
      </c>
      <c r="K81" s="160"/>
      <c r="L81" s="368" t="s">
        <v>17</v>
      </c>
      <c r="M81" s="122">
        <v>44965</v>
      </c>
      <c r="S81" s="2" t="s">
        <v>916</v>
      </c>
      <c r="T81" s="157">
        <v>0.32083333333333336</v>
      </c>
      <c r="U81" s="157">
        <v>0.60902777777777783</v>
      </c>
    </row>
    <row r="82" spans="1:22" hidden="1" x14ac:dyDescent="0.25">
      <c r="A82" s="115">
        <v>11122022</v>
      </c>
      <c r="B82" t="s">
        <v>930</v>
      </c>
      <c r="C82" s="21" t="s">
        <v>693</v>
      </c>
      <c r="D82" s="122">
        <v>44906</v>
      </c>
      <c r="E82" s="88"/>
      <c r="F82" t="s">
        <v>295</v>
      </c>
      <c r="G82" s="21" t="s">
        <v>1581</v>
      </c>
      <c r="H82" s="250" t="s">
        <v>1757</v>
      </c>
      <c r="I82" s="160">
        <v>33640.6</v>
      </c>
      <c r="J82" s="180">
        <f t="shared" si="6"/>
        <v>29603.727999999999</v>
      </c>
      <c r="K82" s="160"/>
      <c r="L82" s="368" t="s">
        <v>17</v>
      </c>
      <c r="M82" s="122">
        <v>44979</v>
      </c>
      <c r="O82" s="129">
        <f>IF(L82="PAGADA",M82-D82,0)</f>
        <v>73</v>
      </c>
      <c r="P82" s="129" t="s">
        <v>1600</v>
      </c>
      <c r="Q82" s="129" t="str">
        <f>CONCATENATE(O82,P82)</f>
        <v>73 dias</v>
      </c>
      <c r="S82" s="157">
        <v>0.34166666666666662</v>
      </c>
      <c r="T82" s="21"/>
    </row>
    <row r="83" spans="1:22" x14ac:dyDescent="0.25">
      <c r="A83" s="115"/>
      <c r="D83" s="233"/>
      <c r="E83" s="88"/>
      <c r="G83" s="21"/>
      <c r="I83" s="160"/>
      <c r="J83" s="160"/>
      <c r="K83" s="160"/>
      <c r="L83" s="368"/>
      <c r="M83" s="2"/>
      <c r="S83" s="2"/>
      <c r="T83" s="157"/>
      <c r="U83" s="21"/>
    </row>
    <row r="84" spans="1:22" x14ac:dyDescent="0.25">
      <c r="H84" s="28" t="s">
        <v>921</v>
      </c>
      <c r="I84" s="89">
        <f>SUBTOTAL(9,I63:I83)</f>
        <v>0</v>
      </c>
      <c r="J84" s="89"/>
      <c r="K84" s="149"/>
      <c r="L84" s="462"/>
    </row>
    <row r="87" spans="1:22" ht="16.5" customHeight="1" thickBot="1" x14ac:dyDescent="0.3"/>
    <row r="88" spans="1:22" ht="15.75" thickBot="1" x14ac:dyDescent="0.3">
      <c r="A88" s="1"/>
      <c r="B88" s="1"/>
      <c r="D88" s="1487" t="s">
        <v>5648</v>
      </c>
      <c r="E88" s="1488"/>
      <c r="F88" s="1488"/>
      <c r="G88" s="1488"/>
      <c r="H88" s="1488"/>
      <c r="I88" s="1489"/>
      <c r="J88" s="160"/>
      <c r="K88" s="160"/>
      <c r="S88" s="2"/>
      <c r="T88" s="157"/>
      <c r="U88" s="21"/>
    </row>
    <row r="89" spans="1:22" hidden="1" x14ac:dyDescent="0.25">
      <c r="A89" s="115">
        <v>30122022</v>
      </c>
      <c r="B89" t="s">
        <v>1714</v>
      </c>
      <c r="C89" t="s">
        <v>809</v>
      </c>
      <c r="D89" s="122">
        <v>44925</v>
      </c>
      <c r="E89" s="88"/>
      <c r="F89" s="28" t="s">
        <v>294</v>
      </c>
      <c r="G89" s="21" t="s">
        <v>1715</v>
      </c>
      <c r="H89" s="5" t="s">
        <v>2811</v>
      </c>
      <c r="I89" s="160">
        <v>35159.699999999997</v>
      </c>
      <c r="J89" s="160">
        <f>+I89*0.88</f>
        <v>30940.535999999996</v>
      </c>
      <c r="L89" s="30" t="s">
        <v>17</v>
      </c>
      <c r="M89" s="122">
        <v>45225</v>
      </c>
      <c r="N89" t="s">
        <v>388</v>
      </c>
      <c r="S89" s="2" t="s">
        <v>1178</v>
      </c>
      <c r="T89" s="157">
        <v>0.68472222222222223</v>
      </c>
      <c r="U89" s="157">
        <v>0.9472222222222223</v>
      </c>
    </row>
    <row r="90" spans="1:22" hidden="1" x14ac:dyDescent="0.25">
      <c r="A90" s="245" t="s">
        <v>1746</v>
      </c>
      <c r="B90" t="s">
        <v>1714</v>
      </c>
      <c r="C90" t="s">
        <v>410</v>
      </c>
      <c r="D90" s="122">
        <v>44935</v>
      </c>
      <c r="F90" s="28" t="s">
        <v>294</v>
      </c>
      <c r="G90" t="s">
        <v>1798</v>
      </c>
      <c r="H90" s="5" t="s">
        <v>2784</v>
      </c>
      <c r="I90" s="160">
        <v>35159.699999999997</v>
      </c>
      <c r="J90" s="160">
        <f t="shared" ref="J90:J105" si="7">+I90*0.88</f>
        <v>30940.535999999996</v>
      </c>
      <c r="K90" s="88"/>
      <c r="L90" s="236" t="s">
        <v>17</v>
      </c>
      <c r="M90" s="122">
        <v>45191</v>
      </c>
      <c r="N90" t="s">
        <v>388</v>
      </c>
      <c r="S90" t="s">
        <v>1029</v>
      </c>
      <c r="T90" s="14">
        <v>0.74861111111111101</v>
      </c>
      <c r="U90" s="14">
        <v>0.44027777777777777</v>
      </c>
    </row>
    <row r="91" spans="1:22" hidden="1" x14ac:dyDescent="0.25">
      <c r="A91" s="246">
        <v>23012023</v>
      </c>
      <c r="B91" t="s">
        <v>1799</v>
      </c>
      <c r="C91" t="s">
        <v>410</v>
      </c>
      <c r="D91" s="122">
        <v>44949</v>
      </c>
      <c r="F91" s="28" t="s">
        <v>1301</v>
      </c>
      <c r="G91" t="s">
        <v>1805</v>
      </c>
      <c r="H91" s="5" t="s">
        <v>2782</v>
      </c>
      <c r="I91" s="89">
        <v>30603</v>
      </c>
      <c r="J91" s="160">
        <f t="shared" si="7"/>
        <v>26930.639999999999</v>
      </c>
      <c r="L91" s="30" t="s">
        <v>17</v>
      </c>
      <c r="M91" s="122">
        <v>45208</v>
      </c>
      <c r="S91" t="s">
        <v>1656</v>
      </c>
      <c r="T91" s="14">
        <v>0.82152777777777775</v>
      </c>
    </row>
    <row r="92" spans="1:22" s="21" customFormat="1" hidden="1" x14ac:dyDescent="0.25">
      <c r="A92" s="200" t="s">
        <v>1864</v>
      </c>
      <c r="B92" s="21" t="s">
        <v>930</v>
      </c>
      <c r="C92" s="21" t="s">
        <v>13</v>
      </c>
      <c r="D92" s="123">
        <v>44965</v>
      </c>
      <c r="F92" s="177" t="s">
        <v>294</v>
      </c>
      <c r="G92" s="21" t="s">
        <v>1890</v>
      </c>
      <c r="H92" s="5" t="s">
        <v>2786</v>
      </c>
      <c r="I92" s="155">
        <v>35159.699999999997</v>
      </c>
      <c r="J92" s="160">
        <f t="shared" si="7"/>
        <v>30940.535999999996</v>
      </c>
      <c r="K92" s="88"/>
      <c r="L92" s="236" t="s">
        <v>17</v>
      </c>
      <c r="M92" s="122">
        <v>45191</v>
      </c>
      <c r="N92" t="s">
        <v>388</v>
      </c>
      <c r="S92" s="21" t="s">
        <v>922</v>
      </c>
      <c r="T92" s="157">
        <v>0.89513888888888893</v>
      </c>
      <c r="U92" s="157">
        <v>7.0833333333333331E-2</v>
      </c>
    </row>
    <row r="93" spans="1:22" hidden="1" x14ac:dyDescent="0.25">
      <c r="A93" s="256">
        <v>20022023</v>
      </c>
      <c r="B93" t="s">
        <v>1909</v>
      </c>
      <c r="D93" s="122">
        <v>44977</v>
      </c>
      <c r="F93" s="28" t="s">
        <v>294</v>
      </c>
      <c r="G93" t="s">
        <v>1922</v>
      </c>
      <c r="H93" s="5" t="s">
        <v>2785</v>
      </c>
      <c r="I93" s="32">
        <v>38550</v>
      </c>
      <c r="J93" s="160">
        <f t="shared" si="7"/>
        <v>33924</v>
      </c>
      <c r="K93" s="88"/>
      <c r="L93" s="236" t="s">
        <v>17</v>
      </c>
      <c r="M93" s="122">
        <v>45191</v>
      </c>
      <c r="N93" t="s">
        <v>388</v>
      </c>
      <c r="S93" t="s">
        <v>1656</v>
      </c>
      <c r="T93" s="14"/>
      <c r="U93" s="14"/>
    </row>
    <row r="94" spans="1:22" hidden="1" x14ac:dyDescent="0.25">
      <c r="A94" s="256" t="s">
        <v>2340</v>
      </c>
      <c r="B94" t="s">
        <v>930</v>
      </c>
      <c r="C94" t="s">
        <v>809</v>
      </c>
      <c r="D94" s="122">
        <v>45052</v>
      </c>
      <c r="F94" s="28" t="s">
        <v>294</v>
      </c>
      <c r="G94" s="30" t="s">
        <v>2379</v>
      </c>
      <c r="H94" s="5" t="s">
        <v>2783</v>
      </c>
      <c r="I94" s="313">
        <v>29075.200000000001</v>
      </c>
      <c r="J94" s="160">
        <f t="shared" si="7"/>
        <v>25586.175999999999</v>
      </c>
      <c r="K94" s="88"/>
      <c r="L94" s="236" t="s">
        <v>17</v>
      </c>
      <c r="M94" s="122">
        <v>45191</v>
      </c>
      <c r="N94" t="s">
        <v>388</v>
      </c>
      <c r="T94" t="s">
        <v>1178</v>
      </c>
      <c r="U94" s="14">
        <v>0.67361111111111116</v>
      </c>
      <c r="V94" s="14">
        <v>0.86736111111111114</v>
      </c>
    </row>
    <row r="95" spans="1:22" hidden="1" x14ac:dyDescent="0.25">
      <c r="A95" s="256">
        <v>11052023</v>
      </c>
      <c r="B95" t="s">
        <v>2358</v>
      </c>
      <c r="C95" t="s">
        <v>410</v>
      </c>
      <c r="D95" s="122">
        <v>45057</v>
      </c>
      <c r="F95" s="28" t="s">
        <v>294</v>
      </c>
      <c r="G95" s="30" t="s">
        <v>2378</v>
      </c>
      <c r="H95" s="373" t="s">
        <v>2781</v>
      </c>
      <c r="I95" s="236">
        <v>36580</v>
      </c>
      <c r="J95" s="160">
        <f t="shared" si="7"/>
        <v>32190.400000000001</v>
      </c>
      <c r="K95" s="88"/>
      <c r="L95" s="236" t="s">
        <v>17</v>
      </c>
      <c r="M95" s="122">
        <v>45191</v>
      </c>
      <c r="N95" t="s">
        <v>388</v>
      </c>
      <c r="T95" t="s">
        <v>1225</v>
      </c>
      <c r="U95" s="14">
        <v>0.6479166666666667</v>
      </c>
      <c r="V95" s="14">
        <v>0.87083333333333324</v>
      </c>
    </row>
    <row r="96" spans="1:22" hidden="1" x14ac:dyDescent="0.25">
      <c r="A96" s="256">
        <v>20052023</v>
      </c>
      <c r="B96" t="s">
        <v>930</v>
      </c>
      <c r="C96" t="s">
        <v>410</v>
      </c>
      <c r="D96" s="122">
        <v>45066</v>
      </c>
      <c r="F96" s="28" t="s">
        <v>295</v>
      </c>
      <c r="G96" s="30" t="s">
        <v>2461</v>
      </c>
      <c r="H96" s="5" t="s">
        <v>2667</v>
      </c>
      <c r="I96" s="313">
        <v>34161.199999999997</v>
      </c>
      <c r="J96" s="160">
        <f t="shared" si="7"/>
        <v>30061.855999999996</v>
      </c>
      <c r="L96" s="1168" t="s">
        <v>17</v>
      </c>
      <c r="M96" s="122">
        <v>45223</v>
      </c>
      <c r="T96" t="s">
        <v>922</v>
      </c>
      <c r="U96" s="14">
        <v>0.51458333333333328</v>
      </c>
      <c r="V96" s="14">
        <v>0.77916666666666667</v>
      </c>
    </row>
    <row r="97" spans="1:22" hidden="1" x14ac:dyDescent="0.25">
      <c r="A97" s="256">
        <v>25052023</v>
      </c>
      <c r="B97" t="s">
        <v>930</v>
      </c>
      <c r="C97" t="s">
        <v>410</v>
      </c>
      <c r="D97" s="122">
        <v>45071</v>
      </c>
      <c r="F97" s="28" t="s">
        <v>294</v>
      </c>
      <c r="G97" s="30" t="s">
        <v>2460</v>
      </c>
      <c r="H97" s="373" t="s">
        <v>2812</v>
      </c>
      <c r="I97" s="236">
        <v>36344</v>
      </c>
      <c r="J97" s="160">
        <f t="shared" si="7"/>
        <v>31982.720000000001</v>
      </c>
      <c r="K97" s="88"/>
      <c r="L97" s="236" t="s">
        <v>17</v>
      </c>
      <c r="M97" s="122">
        <v>45191</v>
      </c>
      <c r="N97" t="s">
        <v>388</v>
      </c>
      <c r="T97" t="s">
        <v>893</v>
      </c>
      <c r="U97" s="204">
        <v>0.30069444444444443</v>
      </c>
      <c r="V97" s="14">
        <v>0.55555555555555558</v>
      </c>
    </row>
    <row r="98" spans="1:22" x14ac:dyDescent="0.25">
      <c r="A98" s="256">
        <v>10062023</v>
      </c>
      <c r="B98" t="s">
        <v>930</v>
      </c>
      <c r="C98" t="s">
        <v>809</v>
      </c>
      <c r="D98" s="803">
        <v>45087</v>
      </c>
      <c r="E98" s="102"/>
      <c r="F98" s="726" t="s">
        <v>294</v>
      </c>
      <c r="G98" s="362" t="s">
        <v>2650</v>
      </c>
      <c r="H98" s="1457" t="s">
        <v>4270</v>
      </c>
      <c r="I98" s="804">
        <v>29075.200000000001</v>
      </c>
      <c r="J98" s="3">
        <f>+I98-ROUND(I98*0.12,0)</f>
        <v>25586.2</v>
      </c>
      <c r="L98" s="236"/>
      <c r="M98" s="122"/>
      <c r="T98" t="s">
        <v>1894</v>
      </c>
      <c r="U98" s="14">
        <v>0.58402777777777781</v>
      </c>
      <c r="V98" s="14">
        <v>0.7284722222222223</v>
      </c>
    </row>
    <row r="99" spans="1:22" hidden="1" x14ac:dyDescent="0.25">
      <c r="A99" s="256">
        <v>13062023</v>
      </c>
      <c r="B99" t="s">
        <v>930</v>
      </c>
      <c r="C99" t="s">
        <v>809</v>
      </c>
      <c r="D99" s="122">
        <v>45090</v>
      </c>
      <c r="F99" s="28" t="s">
        <v>294</v>
      </c>
      <c r="G99" s="30" t="s">
        <v>2647</v>
      </c>
      <c r="H99" s="30" t="s">
        <v>3130</v>
      </c>
      <c r="I99" s="236">
        <v>29075.200000000001</v>
      </c>
      <c r="J99" s="160">
        <f>+I99*0.88</f>
        <v>25586.175999999999</v>
      </c>
      <c r="L99" s="236" t="s">
        <v>17</v>
      </c>
      <c r="M99" s="122">
        <v>45238</v>
      </c>
      <c r="T99" t="s">
        <v>894</v>
      </c>
      <c r="U99" s="14">
        <v>0.51736111111111105</v>
      </c>
    </row>
    <row r="100" spans="1:22" x14ac:dyDescent="0.25">
      <c r="A100" s="256">
        <v>15062023</v>
      </c>
      <c r="B100" t="s">
        <v>930</v>
      </c>
      <c r="C100" t="s">
        <v>410</v>
      </c>
      <c r="D100" s="803">
        <v>45092</v>
      </c>
      <c r="E100" s="102"/>
      <c r="F100" s="726" t="s">
        <v>295</v>
      </c>
      <c r="G100" s="362" t="s">
        <v>2648</v>
      </c>
      <c r="H100" s="1457" t="s">
        <v>4271</v>
      </c>
      <c r="I100" s="804">
        <v>38161.199999999997</v>
      </c>
      <c r="J100" s="3">
        <f>+I100-ROUND(I100*0.12,0)</f>
        <v>33582.199999999997</v>
      </c>
      <c r="L100" s="236"/>
      <c r="M100" s="122"/>
      <c r="T100" t="s">
        <v>1042</v>
      </c>
      <c r="U100" s="14">
        <v>0.69305555555555554</v>
      </c>
      <c r="V100" s="14">
        <v>0.94374999999999998</v>
      </c>
    </row>
    <row r="101" spans="1:22" x14ac:dyDescent="0.25">
      <c r="A101" s="256">
        <v>19062023</v>
      </c>
      <c r="B101" t="s">
        <v>930</v>
      </c>
      <c r="C101" t="s">
        <v>693</v>
      </c>
      <c r="D101" s="803">
        <v>45096</v>
      </c>
      <c r="E101" s="102"/>
      <c r="F101" s="726" t="s">
        <v>294</v>
      </c>
      <c r="G101" s="362" t="s">
        <v>4223</v>
      </c>
      <c r="H101" s="1457" t="s">
        <v>4272</v>
      </c>
      <c r="I101" s="804">
        <v>36344</v>
      </c>
      <c r="J101" s="3">
        <f>+I101-ROUND(I101*0.12,0)</f>
        <v>31983</v>
      </c>
      <c r="L101" s="236"/>
      <c r="M101" s="122"/>
      <c r="T101" s="14" t="s">
        <v>1506</v>
      </c>
      <c r="U101" s="14"/>
    </row>
    <row r="102" spans="1:22" hidden="1" x14ac:dyDescent="0.25">
      <c r="A102" s="256">
        <v>21072023</v>
      </c>
      <c r="B102" t="s">
        <v>930</v>
      </c>
      <c r="C102" t="s">
        <v>410</v>
      </c>
      <c r="D102" s="122">
        <v>45128</v>
      </c>
      <c r="F102" s="28" t="s">
        <v>294</v>
      </c>
      <c r="G102" s="30" t="s">
        <v>2646</v>
      </c>
      <c r="H102" s="373" t="s">
        <v>2780</v>
      </c>
      <c r="I102" s="368">
        <v>29075.200000000001</v>
      </c>
      <c r="J102" s="160">
        <f t="shared" si="7"/>
        <v>25586.175999999999</v>
      </c>
      <c r="K102" s="88"/>
      <c r="L102" s="236" t="s">
        <v>17</v>
      </c>
      <c r="M102" s="122">
        <v>45191</v>
      </c>
      <c r="N102" t="s">
        <v>388</v>
      </c>
      <c r="T102" s="14" t="s">
        <v>916</v>
      </c>
      <c r="U102" s="14">
        <v>0.63055555555555554</v>
      </c>
      <c r="V102" s="14"/>
    </row>
    <row r="103" spans="1:22" hidden="1" x14ac:dyDescent="0.25">
      <c r="A103" s="256">
        <v>31072023</v>
      </c>
      <c r="B103" t="s">
        <v>930</v>
      </c>
      <c r="C103" t="s">
        <v>410</v>
      </c>
      <c r="D103" s="122">
        <v>45138</v>
      </c>
      <c r="F103" s="28" t="s">
        <v>294</v>
      </c>
      <c r="G103" s="30" t="s">
        <v>2687</v>
      </c>
      <c r="H103" s="373" t="s">
        <v>2945</v>
      </c>
      <c r="I103" s="368">
        <v>29075.200000000001</v>
      </c>
      <c r="J103" s="160">
        <f t="shared" si="7"/>
        <v>25586.175999999999</v>
      </c>
      <c r="K103" s="88"/>
      <c r="L103" s="236" t="s">
        <v>17</v>
      </c>
      <c r="M103" s="122">
        <v>45191</v>
      </c>
      <c r="N103" t="s">
        <v>388</v>
      </c>
      <c r="T103" s="14" t="s">
        <v>2380</v>
      </c>
      <c r="U103" s="14">
        <v>0.35902777777777778</v>
      </c>
      <c r="V103" s="14">
        <v>0.51250000000000007</v>
      </c>
    </row>
    <row r="104" spans="1:22" s="30" customFormat="1" hidden="1" x14ac:dyDescent="0.25">
      <c r="A104" s="256">
        <v>15092023</v>
      </c>
      <c r="B104" s="30" t="s">
        <v>930</v>
      </c>
      <c r="C104" t="s">
        <v>410</v>
      </c>
      <c r="D104" s="374">
        <v>45184</v>
      </c>
      <c r="F104" s="28" t="s">
        <v>295</v>
      </c>
      <c r="G104" s="30" t="s">
        <v>2947</v>
      </c>
      <c r="H104" s="30" t="s">
        <v>3131</v>
      </c>
      <c r="I104" s="236">
        <v>37252.6</v>
      </c>
      <c r="J104" s="160">
        <f t="shared" si="7"/>
        <v>32782.288</v>
      </c>
      <c r="L104" s="236" t="s">
        <v>17</v>
      </c>
      <c r="M104" s="122">
        <v>45238</v>
      </c>
      <c r="T104" s="360" t="s">
        <v>929</v>
      </c>
      <c r="U104" s="360">
        <v>0.77986111111111101</v>
      </c>
      <c r="V104" s="360">
        <v>0.52569444444444446</v>
      </c>
    </row>
    <row r="105" spans="1:22" hidden="1" x14ac:dyDescent="0.25">
      <c r="A105" s="256">
        <v>16102023</v>
      </c>
      <c r="B105" t="s">
        <v>3059</v>
      </c>
      <c r="C105" t="s">
        <v>13</v>
      </c>
      <c r="D105" s="122">
        <v>45215</v>
      </c>
      <c r="F105" s="28" t="s">
        <v>294</v>
      </c>
      <c r="G105" t="s">
        <v>3076</v>
      </c>
      <c r="H105" s="30" t="s">
        <v>3160</v>
      </c>
      <c r="I105" s="414">
        <v>24886</v>
      </c>
      <c r="J105" s="160">
        <f t="shared" si="7"/>
        <v>21899.68</v>
      </c>
      <c r="L105" s="236" t="s">
        <v>17</v>
      </c>
      <c r="M105" s="122">
        <v>45251</v>
      </c>
      <c r="T105" s="14" t="s">
        <v>1816</v>
      </c>
      <c r="U105" s="14">
        <v>0.69374999999999998</v>
      </c>
      <c r="V105" s="14">
        <v>0.85416666666666663</v>
      </c>
    </row>
    <row r="106" spans="1:22" ht="15" customHeight="1" x14ac:dyDescent="0.25">
      <c r="A106" s="256">
        <v>26102023</v>
      </c>
      <c r="B106" t="s">
        <v>930</v>
      </c>
      <c r="C106" t="s">
        <v>410</v>
      </c>
      <c r="D106" s="803">
        <v>45225</v>
      </c>
      <c r="E106" s="102"/>
      <c r="F106" s="726" t="s">
        <v>294</v>
      </c>
      <c r="G106" s="362" t="s">
        <v>3129</v>
      </c>
      <c r="H106" s="1457" t="s">
        <v>4269</v>
      </c>
      <c r="I106" s="805">
        <v>33182</v>
      </c>
      <c r="J106" s="3">
        <f>+I106-ROUND(I106*0.12,0)</f>
        <v>29200</v>
      </c>
      <c r="L106" s="236"/>
      <c r="T106" s="14" t="s">
        <v>922</v>
      </c>
      <c r="U106" s="14">
        <v>0.61249999999999993</v>
      </c>
      <c r="V106" s="14">
        <v>0.81666666666666676</v>
      </c>
    </row>
    <row r="107" spans="1:22" x14ac:dyDescent="0.25">
      <c r="A107" s="256">
        <v>31102023</v>
      </c>
      <c r="B107" t="s">
        <v>930</v>
      </c>
      <c r="C107" t="s">
        <v>410</v>
      </c>
      <c r="D107" s="803">
        <v>45230</v>
      </c>
      <c r="E107" s="102"/>
      <c r="F107" s="726" t="s">
        <v>294</v>
      </c>
      <c r="G107" s="362" t="s">
        <v>3180</v>
      </c>
      <c r="H107" s="1457" t="s">
        <v>4268</v>
      </c>
      <c r="I107" s="804">
        <v>24886</v>
      </c>
      <c r="J107" s="3">
        <f>+I107-ROUND(I107*0.12,0)</f>
        <v>21900</v>
      </c>
      <c r="L107" s="236"/>
      <c r="T107" s="14" t="s">
        <v>2380</v>
      </c>
      <c r="U107" s="14"/>
      <c r="V107" s="14"/>
    </row>
    <row r="108" spans="1:22" hidden="1" x14ac:dyDescent="0.25">
      <c r="A108" s="483" t="s">
        <v>5602</v>
      </c>
      <c r="B108" t="s">
        <v>930</v>
      </c>
      <c r="C108" t="s">
        <v>13</v>
      </c>
      <c r="D108" s="803">
        <v>45689</v>
      </c>
      <c r="E108" s="102"/>
      <c r="F108" s="726" t="s">
        <v>294</v>
      </c>
      <c r="G108" s="362" t="s">
        <v>5624</v>
      </c>
      <c r="H108" s="726" t="s">
        <v>5704</v>
      </c>
      <c r="I108" s="959">
        <v>33182</v>
      </c>
      <c r="J108" s="3">
        <f>+I108-ROUND(I108*0.12,0)</f>
        <v>29200</v>
      </c>
      <c r="L108" s="1102" t="s">
        <v>17</v>
      </c>
      <c r="M108" s="811">
        <v>45772</v>
      </c>
      <c r="T108" t="s">
        <v>4911</v>
      </c>
      <c r="U108" s="360">
        <v>0.29791666666666666</v>
      </c>
      <c r="V108" s="360">
        <v>0.48888888888888887</v>
      </c>
    </row>
    <row r="109" spans="1:22" s="13" customFormat="1" hidden="1" x14ac:dyDescent="0.25">
      <c r="A109" s="586" t="s">
        <v>5607</v>
      </c>
      <c r="B109" s="13" t="s">
        <v>930</v>
      </c>
      <c r="C109" s="13" t="s">
        <v>13</v>
      </c>
      <c r="D109" s="1089">
        <v>45692</v>
      </c>
      <c r="E109" s="772"/>
      <c r="F109" s="773" t="s">
        <v>294</v>
      </c>
      <c r="G109" s="1090" t="s">
        <v>5693</v>
      </c>
      <c r="H109" s="773" t="s">
        <v>5705</v>
      </c>
      <c r="I109" s="1091">
        <v>33182</v>
      </c>
      <c r="J109" s="12">
        <f>+I109-ROUND(I109*0.12,0)</f>
        <v>29200</v>
      </c>
      <c r="L109" s="1102" t="s">
        <v>17</v>
      </c>
      <c r="M109" s="1092">
        <v>45842</v>
      </c>
      <c r="T109" s="13" t="s">
        <v>4853</v>
      </c>
      <c r="U109" s="482">
        <v>0.51111111111111118</v>
      </c>
      <c r="V109" s="482"/>
    </row>
    <row r="110" spans="1:22" hidden="1" x14ac:dyDescent="0.25">
      <c r="A110" s="483" t="s">
        <v>5639</v>
      </c>
      <c r="B110" t="s">
        <v>1609</v>
      </c>
      <c r="C110" t="s">
        <v>4218</v>
      </c>
      <c r="D110" s="803">
        <v>45697</v>
      </c>
      <c r="E110" s="726"/>
      <c r="F110" s="726" t="s">
        <v>294</v>
      </c>
      <c r="G110" s="362" t="s">
        <v>5643</v>
      </c>
      <c r="H110" s="726" t="s">
        <v>5706</v>
      </c>
      <c r="I110" s="1228">
        <v>33182</v>
      </c>
      <c r="J110" s="3">
        <f>+I110-ROUND(I110*0.12,0)</f>
        <v>29200</v>
      </c>
      <c r="K110" s="798"/>
      <c r="L110" s="236" t="s">
        <v>17</v>
      </c>
      <c r="M110" s="803">
        <v>46030</v>
      </c>
      <c r="T110" t="s">
        <v>4417</v>
      </c>
      <c r="U110" s="360">
        <v>0.61041666666666672</v>
      </c>
      <c r="V110" s="360">
        <v>0.83958333333333324</v>
      </c>
    </row>
    <row r="111" spans="1:22" x14ac:dyDescent="0.25">
      <c r="A111" s="483">
        <v>16112025</v>
      </c>
      <c r="B111" t="s">
        <v>930</v>
      </c>
      <c r="C111" t="s">
        <v>3932</v>
      </c>
      <c r="D111" s="233">
        <v>45977</v>
      </c>
      <c r="E111" s="28"/>
      <c r="F111" s="28" t="s">
        <v>4476</v>
      </c>
      <c r="G111" s="1067" t="s">
        <v>7437</v>
      </c>
      <c r="H111" s="142" t="s">
        <v>7430</v>
      </c>
      <c r="I111" s="915">
        <v>42307</v>
      </c>
      <c r="J111" s="3">
        <f t="shared" ref="J111:J118" si="8">+I111-ROUND(I111*0.12,0)</f>
        <v>37230</v>
      </c>
      <c r="L111" s="236"/>
      <c r="M111" s="88"/>
      <c r="T111" s="926" t="s">
        <v>7264</v>
      </c>
      <c r="U111" s="360">
        <v>0.31736111111111115</v>
      </c>
      <c r="V111" s="360">
        <v>0.71527777777777779</v>
      </c>
    </row>
    <row r="112" spans="1:22" x14ac:dyDescent="0.25">
      <c r="A112" s="483"/>
      <c r="D112" s="233">
        <v>45977</v>
      </c>
      <c r="E112" s="28"/>
      <c r="G112" s="1067" t="s">
        <v>7436</v>
      </c>
      <c r="H112" s="142" t="s">
        <v>7431</v>
      </c>
      <c r="I112" s="915">
        <v>8669</v>
      </c>
      <c r="J112" s="3">
        <f t="shared" si="8"/>
        <v>7629</v>
      </c>
      <c r="L112" s="236"/>
      <c r="M112" s="88"/>
      <c r="T112" s="926"/>
      <c r="U112" s="360"/>
      <c r="V112" s="360"/>
    </row>
    <row r="113" spans="1:22" x14ac:dyDescent="0.25">
      <c r="A113" s="483">
        <v>22112025</v>
      </c>
      <c r="B113" t="s">
        <v>930</v>
      </c>
      <c r="C113" t="s">
        <v>4218</v>
      </c>
      <c r="D113" s="233">
        <v>45983</v>
      </c>
      <c r="E113" s="28"/>
      <c r="F113" s="28" t="s">
        <v>295</v>
      </c>
      <c r="G113" s="1067" t="s">
        <v>7434</v>
      </c>
      <c r="H113" s="142" t="s">
        <v>7428</v>
      </c>
      <c r="I113" s="88">
        <v>34011</v>
      </c>
      <c r="J113" s="3">
        <f t="shared" si="8"/>
        <v>29930</v>
      </c>
      <c r="L113" s="88"/>
      <c r="M113" s="233"/>
      <c r="R113" t="s">
        <v>5131</v>
      </c>
      <c r="S113" s="360">
        <v>0.29097222222222224</v>
      </c>
      <c r="T113" s="360">
        <v>0.57777777777777783</v>
      </c>
    </row>
    <row r="114" spans="1:22" x14ac:dyDescent="0.25">
      <c r="A114" s="483"/>
      <c r="D114" s="233">
        <v>45983</v>
      </c>
      <c r="E114" s="28"/>
      <c r="G114" s="1067" t="s">
        <v>7435</v>
      </c>
      <c r="H114" s="142" t="s">
        <v>7429</v>
      </c>
      <c r="I114" s="88">
        <v>9439</v>
      </c>
      <c r="J114" s="3">
        <f t="shared" si="8"/>
        <v>8306</v>
      </c>
      <c r="L114" s="88"/>
      <c r="M114" s="233"/>
      <c r="S114" s="360"/>
      <c r="T114" s="360"/>
    </row>
    <row r="115" spans="1:22" hidden="1" x14ac:dyDescent="0.25">
      <c r="A115" s="483">
        <v>25112025</v>
      </c>
      <c r="B115" t="s">
        <v>930</v>
      </c>
      <c r="C115" t="s">
        <v>4218</v>
      </c>
      <c r="D115" s="548">
        <v>45986</v>
      </c>
      <c r="E115" s="306"/>
      <c r="F115" s="306" t="s">
        <v>295</v>
      </c>
      <c r="G115" s="1109" t="s">
        <v>7433</v>
      </c>
      <c r="H115" s="1473" t="s">
        <v>7426</v>
      </c>
      <c r="I115" s="279">
        <v>34011</v>
      </c>
      <c r="J115" s="844">
        <f t="shared" si="8"/>
        <v>29930</v>
      </c>
      <c r="K115" s="33" t="s">
        <v>17</v>
      </c>
      <c r="L115" s="233">
        <v>46265</v>
      </c>
      <c r="M115" s="233"/>
      <c r="R115" s="5" t="s">
        <v>5021</v>
      </c>
      <c r="S115" s="360">
        <v>0.30486111111111108</v>
      </c>
      <c r="T115" s="360"/>
    </row>
    <row r="116" spans="1:22" x14ac:dyDescent="0.25">
      <c r="A116" s="483"/>
      <c r="D116" s="233">
        <v>45986</v>
      </c>
      <c r="E116" s="28"/>
      <c r="G116" s="1067" t="s">
        <v>7432</v>
      </c>
      <c r="H116" s="142" t="s">
        <v>7427</v>
      </c>
      <c r="I116" s="88">
        <v>9439</v>
      </c>
      <c r="J116" s="3">
        <f t="shared" si="8"/>
        <v>8306</v>
      </c>
      <c r="L116" s="88"/>
      <c r="M116" s="233"/>
      <c r="R116" s="5"/>
      <c r="S116" s="360"/>
      <c r="T116" s="360"/>
    </row>
    <row r="117" spans="1:22" x14ac:dyDescent="0.25">
      <c r="A117" s="483" t="s">
        <v>7377</v>
      </c>
      <c r="B117" t="s">
        <v>930</v>
      </c>
      <c r="C117" s="28" t="s">
        <v>410</v>
      </c>
      <c r="D117" s="233">
        <v>46002</v>
      </c>
      <c r="E117" s="28"/>
      <c r="F117" s="28" t="s">
        <v>294</v>
      </c>
      <c r="G117" s="1067" t="s">
        <v>7397</v>
      </c>
      <c r="H117" s="142" t="s">
        <v>7408</v>
      </c>
      <c r="I117" s="240">
        <v>33182</v>
      </c>
      <c r="J117" s="3">
        <f t="shared" si="8"/>
        <v>29200</v>
      </c>
      <c r="L117" s="88"/>
      <c r="M117" s="233"/>
      <c r="T117" t="s">
        <v>6349</v>
      </c>
      <c r="U117" s="360"/>
      <c r="V117" s="360"/>
    </row>
    <row r="118" spans="1:22" x14ac:dyDescent="0.25">
      <c r="A118" s="483" t="s">
        <v>7377</v>
      </c>
      <c r="B118" t="s">
        <v>930</v>
      </c>
      <c r="C118" s="28" t="s">
        <v>410</v>
      </c>
      <c r="D118" s="233">
        <v>46005</v>
      </c>
      <c r="E118" s="28"/>
      <c r="F118" s="28" t="s">
        <v>294</v>
      </c>
      <c r="G118" s="1067" t="s">
        <v>7394</v>
      </c>
      <c r="H118" s="28" t="s">
        <v>7407</v>
      </c>
      <c r="I118" s="240">
        <v>33182</v>
      </c>
      <c r="J118" s="3">
        <f t="shared" si="8"/>
        <v>29200</v>
      </c>
      <c r="T118" t="s">
        <v>6349</v>
      </c>
      <c r="U118" s="360"/>
      <c r="V118" s="360"/>
    </row>
    <row r="119" spans="1:22" ht="15.75" thickBot="1" x14ac:dyDescent="0.3">
      <c r="A119" s="483"/>
      <c r="D119" s="233"/>
      <c r="E119" s="28"/>
      <c r="G119" s="1067"/>
      <c r="H119"/>
      <c r="I119" s="798"/>
      <c r="J119" s="3"/>
      <c r="M119" s="233"/>
      <c r="U119" s="360"/>
      <c r="V119" s="360"/>
    </row>
    <row r="120" spans="1:22" ht="15.75" thickBot="1" x14ac:dyDescent="0.3">
      <c r="A120" s="256"/>
      <c r="D120" s="233"/>
      <c r="G120" s="30"/>
      <c r="I120" s="783">
        <f>SUBTOTAL(9,I89:I119)</f>
        <v>331877.40000000002</v>
      </c>
      <c r="J120" s="3"/>
      <c r="L120" s="236"/>
      <c r="T120" s="14"/>
      <c r="U120" s="14"/>
      <c r="V120" s="14"/>
    </row>
    <row r="121" spans="1:22" x14ac:dyDescent="0.25">
      <c r="A121" s="256"/>
      <c r="D121" s="233"/>
      <c r="G121" s="30"/>
      <c r="I121" s="236"/>
      <c r="J121" s="3"/>
      <c r="L121" s="236"/>
      <c r="T121" s="14"/>
      <c r="U121" s="14"/>
      <c r="V121" s="14"/>
    </row>
    <row r="122" spans="1:22" ht="15.75" thickBot="1" x14ac:dyDescent="0.3">
      <c r="A122" s="256"/>
      <c r="D122" s="233"/>
      <c r="G122" s="30"/>
      <c r="I122" s="236"/>
      <c r="J122" s="3"/>
      <c r="L122" s="236"/>
      <c r="T122" s="14"/>
      <c r="U122" s="14"/>
      <c r="V122" s="14"/>
    </row>
    <row r="123" spans="1:22" ht="15.75" thickBot="1" x14ac:dyDescent="0.3">
      <c r="A123" s="256"/>
      <c r="D123" s="1562" t="s">
        <v>5646</v>
      </c>
      <c r="E123" s="1563"/>
      <c r="F123" s="1563"/>
      <c r="G123" s="1563"/>
      <c r="H123" s="1563"/>
      <c r="I123" s="1564"/>
      <c r="J123" s="3"/>
      <c r="L123" s="236"/>
      <c r="T123" s="14"/>
      <c r="U123" s="14"/>
      <c r="V123" s="14"/>
    </row>
    <row r="124" spans="1:22" s="25" customFormat="1" ht="15.75" thickBot="1" x14ac:dyDescent="0.3">
      <c r="A124" s="801"/>
      <c r="C124" s="1"/>
      <c r="D124" s="806" t="s">
        <v>437</v>
      </c>
      <c r="E124" s="724"/>
      <c r="F124" s="724" t="s">
        <v>3</v>
      </c>
      <c r="G124" s="724" t="s">
        <v>5645</v>
      </c>
      <c r="H124" s="724" t="s">
        <v>2044</v>
      </c>
      <c r="I124" s="807" t="s">
        <v>5542</v>
      </c>
      <c r="J124" s="445"/>
      <c r="K124"/>
      <c r="L124" s="236"/>
      <c r="M124" s="781"/>
      <c r="U124" s="808"/>
      <c r="V124" s="809"/>
    </row>
    <row r="125" spans="1:22" ht="15.75" hidden="1" thickBot="1" x14ac:dyDescent="0.3">
      <c r="A125" s="483" t="s">
        <v>5091</v>
      </c>
      <c r="B125" t="s">
        <v>930</v>
      </c>
      <c r="C125" s="122" t="s">
        <v>4218</v>
      </c>
      <c r="D125" s="811">
        <v>45607</v>
      </c>
      <c r="E125" s="812"/>
      <c r="F125" s="812" t="s">
        <v>294</v>
      </c>
      <c r="G125" s="813" t="s">
        <v>5099</v>
      </c>
      <c r="H125" s="812" t="s">
        <v>5100</v>
      </c>
      <c r="I125" s="814">
        <v>24886</v>
      </c>
      <c r="J125" s="3">
        <f>+I125-ROUND(I125*0.12,0)</f>
        <v>21900</v>
      </c>
      <c r="L125" s="236" t="s">
        <v>17</v>
      </c>
      <c r="M125" s="811">
        <v>45737</v>
      </c>
      <c r="T125" t="s">
        <v>4550</v>
      </c>
      <c r="U125" s="360">
        <v>0.77569444444444446</v>
      </c>
      <c r="V125" s="360">
        <v>0.93611111111111101</v>
      </c>
    </row>
    <row r="126" spans="1:22" ht="15.75" hidden="1" thickBot="1" x14ac:dyDescent="0.3">
      <c r="A126" s="483">
        <v>24112024</v>
      </c>
      <c r="B126" t="s">
        <v>930</v>
      </c>
      <c r="C126" s="122" t="s">
        <v>13</v>
      </c>
      <c r="D126" s="803">
        <v>45620</v>
      </c>
      <c r="E126" s="726"/>
      <c r="F126" s="726" t="s">
        <v>295</v>
      </c>
      <c r="G126" s="102" t="s">
        <v>5281</v>
      </c>
      <c r="H126" s="726" t="s">
        <v>5283</v>
      </c>
      <c r="I126" s="810">
        <v>29000</v>
      </c>
      <c r="J126" s="3">
        <f>+I126-ROUND(I126*0.12,0)</f>
        <v>25520</v>
      </c>
      <c r="L126" s="236" t="s">
        <v>17</v>
      </c>
      <c r="M126" s="811">
        <v>45737</v>
      </c>
      <c r="T126" t="s">
        <v>5078</v>
      </c>
      <c r="U126" s="360">
        <v>0.64097222222222217</v>
      </c>
      <c r="V126" s="360">
        <v>0.85555555555555562</v>
      </c>
    </row>
    <row r="127" spans="1:22" ht="15.75" hidden="1" thickBot="1" x14ac:dyDescent="0.3">
      <c r="A127" s="483">
        <v>25122024</v>
      </c>
      <c r="B127" t="s">
        <v>930</v>
      </c>
      <c r="C127" s="122" t="s">
        <v>410</v>
      </c>
      <c r="D127" s="803">
        <v>45651</v>
      </c>
      <c r="E127" s="726"/>
      <c r="F127" s="726" t="s">
        <v>294</v>
      </c>
      <c r="G127" s="102" t="s">
        <v>5415</v>
      </c>
      <c r="H127" s="726" t="s">
        <v>5417</v>
      </c>
      <c r="I127" s="810">
        <v>24886</v>
      </c>
      <c r="J127" s="897">
        <f t="shared" ref="J127:J132" si="9">+I127-ROUND(I127*0.12,0)</f>
        <v>21900</v>
      </c>
      <c r="L127" s="964" t="s">
        <v>17</v>
      </c>
      <c r="M127" s="811">
        <v>45740</v>
      </c>
      <c r="T127" t="s">
        <v>4853</v>
      </c>
      <c r="U127" s="360">
        <v>0.6875</v>
      </c>
      <c r="V127" s="360">
        <v>0.84722222222222221</v>
      </c>
    </row>
    <row r="128" spans="1:22" ht="15.75" hidden="1" thickBot="1" x14ac:dyDescent="0.3">
      <c r="A128" s="483">
        <v>25122024</v>
      </c>
      <c r="B128" t="s">
        <v>930</v>
      </c>
      <c r="C128" s="122" t="s">
        <v>4218</v>
      </c>
      <c r="D128" s="803">
        <v>45651</v>
      </c>
      <c r="E128" s="726"/>
      <c r="F128" s="726" t="s">
        <v>294</v>
      </c>
      <c r="G128" s="102" t="s">
        <v>5416</v>
      </c>
      <c r="H128" s="726" t="s">
        <v>5418</v>
      </c>
      <c r="I128" s="810">
        <v>24886</v>
      </c>
      <c r="J128" s="897">
        <f t="shared" si="9"/>
        <v>21900</v>
      </c>
      <c r="L128" s="913" t="s">
        <v>17</v>
      </c>
      <c r="M128" s="811">
        <v>45740</v>
      </c>
      <c r="N128" s="811"/>
      <c r="O128" s="811"/>
      <c r="P128" s="811"/>
      <c r="T128" t="s">
        <v>2050</v>
      </c>
      <c r="U128" s="360">
        <v>0.6791666666666667</v>
      </c>
      <c r="V128" s="360">
        <v>0.83194444444444438</v>
      </c>
    </row>
    <row r="129" spans="1:22" ht="15.75" hidden="1" thickBot="1" x14ac:dyDescent="0.3">
      <c r="A129" s="483">
        <v>4012025</v>
      </c>
      <c r="B129" t="s">
        <v>930</v>
      </c>
      <c r="C129" s="122" t="s">
        <v>4218</v>
      </c>
      <c r="D129" s="803">
        <v>45661</v>
      </c>
      <c r="E129" s="726"/>
      <c r="F129" s="726" t="s">
        <v>294</v>
      </c>
      <c r="G129" s="102" t="s">
        <v>5513</v>
      </c>
      <c r="H129" s="726" t="s">
        <v>5516</v>
      </c>
      <c r="I129" s="810">
        <v>24886</v>
      </c>
      <c r="J129" s="897">
        <f t="shared" si="9"/>
        <v>21900</v>
      </c>
      <c r="L129" s="913" t="s">
        <v>17</v>
      </c>
      <c r="M129" s="811">
        <v>45740</v>
      </c>
      <c r="N129" s="811"/>
      <c r="O129" s="811"/>
      <c r="P129" s="811"/>
      <c r="T129" t="s">
        <v>1644</v>
      </c>
      <c r="U129" s="360">
        <v>0.63541666666666663</v>
      </c>
      <c r="V129" s="360">
        <v>0.79305555555555562</v>
      </c>
    </row>
    <row r="130" spans="1:22" ht="15" hidden="1" customHeight="1" x14ac:dyDescent="0.25">
      <c r="A130" s="483">
        <v>11012025</v>
      </c>
      <c r="B130" t="s">
        <v>930</v>
      </c>
      <c r="C130" s="122" t="s">
        <v>4218</v>
      </c>
      <c r="D130" s="803">
        <v>45668</v>
      </c>
      <c r="E130" s="726"/>
      <c r="F130" s="726" t="s">
        <v>295</v>
      </c>
      <c r="G130" s="102" t="s">
        <v>5514</v>
      </c>
      <c r="H130" s="726" t="s">
        <v>5517</v>
      </c>
      <c r="I130" s="810">
        <v>29000</v>
      </c>
      <c r="J130" s="897">
        <f t="shared" si="9"/>
        <v>25520</v>
      </c>
      <c r="L130" s="913" t="s">
        <v>17</v>
      </c>
      <c r="M130" s="811">
        <v>45740</v>
      </c>
      <c r="N130" s="811"/>
      <c r="O130" s="811"/>
      <c r="P130" s="811"/>
      <c r="T130" t="s">
        <v>5506</v>
      </c>
      <c r="U130" s="360">
        <v>0.30902777777777779</v>
      </c>
      <c r="V130" s="360">
        <v>0.56458333333333333</v>
      </c>
    </row>
    <row r="131" spans="1:22" ht="15.75" hidden="1" thickBot="1" x14ac:dyDescent="0.3">
      <c r="A131" s="483">
        <v>11012025</v>
      </c>
      <c r="B131" t="s">
        <v>930</v>
      </c>
      <c r="C131" s="122" t="s">
        <v>410</v>
      </c>
      <c r="D131" s="803">
        <v>45668</v>
      </c>
      <c r="E131" s="726"/>
      <c r="F131" s="726" t="s">
        <v>295</v>
      </c>
      <c r="G131" s="102" t="s">
        <v>5515</v>
      </c>
      <c r="H131" s="726" t="s">
        <v>5518</v>
      </c>
      <c r="I131" s="810">
        <v>29000</v>
      </c>
      <c r="J131" s="897">
        <f t="shared" si="9"/>
        <v>25520</v>
      </c>
      <c r="L131" s="913" t="s">
        <v>17</v>
      </c>
      <c r="M131" s="811">
        <v>45740</v>
      </c>
      <c r="N131" s="811"/>
      <c r="O131" s="811"/>
      <c r="P131" s="811"/>
      <c r="T131" t="s">
        <v>5021</v>
      </c>
      <c r="U131" s="360">
        <v>0.6875</v>
      </c>
      <c r="V131" s="360">
        <v>0.94444444444444453</v>
      </c>
    </row>
    <row r="132" spans="1:22" ht="14.1" hidden="1" customHeight="1" x14ac:dyDescent="0.25">
      <c r="A132" s="483">
        <v>13012025</v>
      </c>
      <c r="B132" t="s">
        <v>930</v>
      </c>
      <c r="C132" s="122" t="s">
        <v>4218</v>
      </c>
      <c r="D132" s="803">
        <v>45670</v>
      </c>
      <c r="E132" s="726"/>
      <c r="F132" s="726" t="s">
        <v>294</v>
      </c>
      <c r="G132" s="102" t="s">
        <v>5522</v>
      </c>
      <c r="H132" s="726" t="s">
        <v>5523</v>
      </c>
      <c r="I132" s="810">
        <v>24886</v>
      </c>
      <c r="J132" s="897">
        <f t="shared" si="9"/>
        <v>21900</v>
      </c>
      <c r="L132" s="913" t="s">
        <v>17</v>
      </c>
      <c r="M132" s="811">
        <v>45740</v>
      </c>
      <c r="N132" s="811"/>
      <c r="O132" s="811"/>
      <c r="P132" s="811"/>
      <c r="T132" t="s">
        <v>4509</v>
      </c>
      <c r="U132" s="360">
        <v>0.63124999999999998</v>
      </c>
      <c r="V132" s="360"/>
    </row>
    <row r="133" spans="1:22" ht="15.75" hidden="1" thickBot="1" x14ac:dyDescent="0.3">
      <c r="A133" s="483">
        <v>22012025</v>
      </c>
      <c r="B133" t="s">
        <v>930</v>
      </c>
      <c r="C133" t="s">
        <v>410</v>
      </c>
      <c r="D133" s="803">
        <v>45679</v>
      </c>
      <c r="E133" s="102"/>
      <c r="F133" s="726" t="s">
        <v>294</v>
      </c>
      <c r="G133" s="102" t="s">
        <v>5601</v>
      </c>
      <c r="H133" s="726" t="s">
        <v>5625</v>
      </c>
      <c r="I133" s="815">
        <v>24886</v>
      </c>
      <c r="J133" s="897">
        <f>+I133-ROUND(I133*0.12,0)</f>
        <v>21900</v>
      </c>
      <c r="L133" s="913" t="s">
        <v>17</v>
      </c>
      <c r="M133" s="811">
        <v>45740</v>
      </c>
      <c r="N133" s="811"/>
      <c r="O133" s="811"/>
      <c r="P133" s="811"/>
      <c r="T133" t="s">
        <v>4911</v>
      </c>
      <c r="U133" s="360">
        <v>0.77638888888888891</v>
      </c>
      <c r="V133" s="360">
        <v>0.84861111111111109</v>
      </c>
    </row>
    <row r="134" spans="1:22" ht="14.45" hidden="1" customHeight="1" x14ac:dyDescent="0.25">
      <c r="A134" s="483">
        <v>15022024</v>
      </c>
      <c r="B134" t="s">
        <v>930</v>
      </c>
      <c r="C134" t="s">
        <v>13</v>
      </c>
      <c r="D134" s="803">
        <v>45703</v>
      </c>
      <c r="E134" s="102"/>
      <c r="F134" s="726" t="s">
        <v>295</v>
      </c>
      <c r="G134" s="102" t="s">
        <v>5689</v>
      </c>
      <c r="H134" s="726" t="s">
        <v>5690</v>
      </c>
      <c r="I134" s="958">
        <v>29000</v>
      </c>
      <c r="J134" s="3">
        <f>+I134-ROUND(I134*0.12,0)</f>
        <v>25520</v>
      </c>
      <c r="L134" s="1102" t="s">
        <v>17</v>
      </c>
      <c r="M134" s="811">
        <v>45772</v>
      </c>
      <c r="N134" s="811"/>
      <c r="O134" s="811"/>
      <c r="P134" s="811"/>
      <c r="T134" t="s">
        <v>5078</v>
      </c>
      <c r="U134" s="360">
        <v>0.66736111111111107</v>
      </c>
      <c r="V134" s="360">
        <v>0.93333333333333324</v>
      </c>
    </row>
    <row r="135" spans="1:22" ht="14.45" hidden="1" customHeight="1" thickBot="1" x14ac:dyDescent="0.3">
      <c r="A135" s="483">
        <v>25022025</v>
      </c>
      <c r="B135" t="s">
        <v>930</v>
      </c>
      <c r="C135" t="s">
        <v>410</v>
      </c>
      <c r="D135" s="233">
        <v>45713</v>
      </c>
      <c r="E135" s="28"/>
      <c r="F135" s="28" t="s">
        <v>294</v>
      </c>
      <c r="G135" s="30" t="s">
        <v>5727</v>
      </c>
      <c r="H135" s="142" t="s">
        <v>5728</v>
      </c>
      <c r="I135" s="957">
        <v>24886</v>
      </c>
      <c r="J135" s="3">
        <f>+I135-ROUND(I135*0.12,0)</f>
        <v>21900</v>
      </c>
      <c r="L135" s="1102" t="s">
        <v>17</v>
      </c>
      <c r="M135" s="811">
        <v>45772</v>
      </c>
      <c r="N135" s="811"/>
      <c r="O135" s="811"/>
      <c r="P135" s="811" t="s">
        <v>1042</v>
      </c>
      <c r="Q135" s="360">
        <v>0.4236111111111111</v>
      </c>
      <c r="R135" s="360">
        <v>0.57222222222222219</v>
      </c>
    </row>
    <row r="136" spans="1:22" ht="15" customHeight="1" thickBot="1" x14ac:dyDescent="0.3">
      <c r="A136" s="483"/>
      <c r="C136" s="122"/>
      <c r="D136" s="233"/>
      <c r="E136" s="28"/>
      <c r="I136" s="816">
        <f>SUBTOTAL(9,I125:I135)</f>
        <v>0</v>
      </c>
      <c r="J136" s="3"/>
      <c r="L136" s="236"/>
      <c r="M136" s="811"/>
      <c r="N136" s="811"/>
      <c r="O136" s="811"/>
      <c r="P136" s="811"/>
      <c r="U136" s="360"/>
      <c r="V136" s="360"/>
    </row>
    <row r="137" spans="1:22" ht="14.45" customHeight="1" x14ac:dyDescent="0.25">
      <c r="A137" s="483"/>
      <c r="C137" s="122"/>
      <c r="D137" s="233"/>
      <c r="E137" s="28"/>
      <c r="I137" s="88"/>
      <c r="J137" s="3"/>
      <c r="L137" s="236"/>
      <c r="M137" s="811"/>
      <c r="N137" s="811"/>
      <c r="O137" s="811"/>
      <c r="P137" s="811"/>
      <c r="U137" s="360"/>
      <c r="V137" s="360"/>
    </row>
    <row r="138" spans="1:22" ht="14.45" customHeight="1" thickBot="1" x14ac:dyDescent="0.3">
      <c r="A138" s="483"/>
      <c r="C138" s="122"/>
      <c r="D138" s="233"/>
      <c r="E138" s="28"/>
      <c r="I138" s="88"/>
      <c r="J138" s="3"/>
      <c r="L138" s="236"/>
      <c r="M138" s="811"/>
      <c r="N138" s="811"/>
      <c r="O138" s="811"/>
      <c r="P138" s="811"/>
      <c r="U138" s="360"/>
      <c r="V138" s="360"/>
    </row>
    <row r="139" spans="1:22" ht="15" customHeight="1" thickBot="1" x14ac:dyDescent="0.3">
      <c r="A139" s="483"/>
      <c r="C139" s="122"/>
      <c r="D139" s="1487" t="s">
        <v>5647</v>
      </c>
      <c r="E139" s="1488"/>
      <c r="F139" s="1488"/>
      <c r="G139" s="1488"/>
      <c r="H139" s="1488"/>
      <c r="I139" s="1489"/>
      <c r="J139" s="3"/>
      <c r="L139" s="1102"/>
      <c r="M139" s="811"/>
      <c r="N139" s="811"/>
      <c r="O139" s="811"/>
      <c r="P139" s="811"/>
      <c r="U139" s="360"/>
      <c r="V139" s="360"/>
    </row>
    <row r="140" spans="1:22" s="25" customFormat="1" ht="14.45" customHeight="1" thickBot="1" x14ac:dyDescent="0.3">
      <c r="A140" s="801"/>
      <c r="C140" s="1"/>
      <c r="D140" s="806" t="s">
        <v>437</v>
      </c>
      <c r="E140" s="724"/>
      <c r="F140" s="724" t="s">
        <v>3</v>
      </c>
      <c r="G140" s="724" t="s">
        <v>5645</v>
      </c>
      <c r="H140" s="724" t="s">
        <v>2044</v>
      </c>
      <c r="I140" s="807" t="s">
        <v>5542</v>
      </c>
      <c r="J140" s="445"/>
      <c r="K140" s="445"/>
      <c r="L140" s="1102"/>
      <c r="M140" s="811"/>
      <c r="N140" s="811"/>
      <c r="O140" s="811"/>
      <c r="P140" s="811"/>
      <c r="U140" s="808"/>
      <c r="V140" s="809"/>
    </row>
    <row r="141" spans="1:22" ht="15.75" hidden="1" thickBot="1" x14ac:dyDescent="0.3">
      <c r="A141" s="483">
        <v>23112024</v>
      </c>
      <c r="B141" t="s">
        <v>930</v>
      </c>
      <c r="C141" s="122" t="s">
        <v>4218</v>
      </c>
      <c r="D141" s="811">
        <v>45619</v>
      </c>
      <c r="E141" s="812"/>
      <c r="F141" s="812" t="s">
        <v>294</v>
      </c>
      <c r="G141" s="813" t="s">
        <v>5279</v>
      </c>
      <c r="H141" s="812" t="s">
        <v>5282</v>
      </c>
      <c r="I141" s="814">
        <v>33182</v>
      </c>
      <c r="J141" s="897">
        <f t="shared" ref="J141:J149" si="10">+I141-ROUND(I141*0.12,0)</f>
        <v>29200</v>
      </c>
      <c r="L141" s="913" t="s">
        <v>17</v>
      </c>
      <c r="M141" s="811">
        <v>45740</v>
      </c>
      <c r="N141" s="811"/>
      <c r="O141" s="811"/>
      <c r="P141" s="811"/>
      <c r="T141" t="s">
        <v>5021</v>
      </c>
      <c r="U141" s="360">
        <v>0.4694444444444445</v>
      </c>
      <c r="V141" s="360">
        <v>0.6777777777777777</v>
      </c>
    </row>
    <row r="142" spans="1:22" ht="15.75" hidden="1" thickBot="1" x14ac:dyDescent="0.3">
      <c r="A142" s="483">
        <v>28112024</v>
      </c>
      <c r="B142" t="s">
        <v>1133</v>
      </c>
      <c r="C142" s="122" t="s">
        <v>4218</v>
      </c>
      <c r="D142" s="803">
        <v>45624</v>
      </c>
      <c r="E142" s="726"/>
      <c r="F142" s="726" t="s">
        <v>294</v>
      </c>
      <c r="G142" s="102" t="s">
        <v>5280</v>
      </c>
      <c r="H142" s="726" t="s">
        <v>5304</v>
      </c>
      <c r="I142" s="810">
        <v>33182</v>
      </c>
      <c r="J142" s="897">
        <f t="shared" si="10"/>
        <v>29200</v>
      </c>
      <c r="L142" s="913" t="s">
        <v>17</v>
      </c>
      <c r="M142" s="811">
        <v>45740</v>
      </c>
      <c r="N142" s="811"/>
      <c r="O142" s="811"/>
      <c r="P142" s="811"/>
      <c r="T142" t="s">
        <v>4509</v>
      </c>
      <c r="U142" s="360"/>
      <c r="V142" s="360"/>
    </row>
    <row r="143" spans="1:22" ht="15.75" hidden="1" thickBot="1" x14ac:dyDescent="0.3">
      <c r="A143" s="483">
        <v>29112024</v>
      </c>
      <c r="B143" t="s">
        <v>1133</v>
      </c>
      <c r="C143" s="122" t="s">
        <v>4218</v>
      </c>
      <c r="D143" s="803">
        <v>45625</v>
      </c>
      <c r="E143" s="726"/>
      <c r="F143" s="726" t="s">
        <v>294</v>
      </c>
      <c r="G143" s="102" t="s">
        <v>3316</v>
      </c>
      <c r="H143" s="726" t="s">
        <v>5305</v>
      </c>
      <c r="I143" s="810">
        <v>33182</v>
      </c>
      <c r="J143" s="897">
        <f t="shared" si="10"/>
        <v>29200</v>
      </c>
      <c r="K143" s="149"/>
      <c r="L143" s="913" t="s">
        <v>17</v>
      </c>
      <c r="M143" s="811">
        <v>45740</v>
      </c>
      <c r="N143" s="811"/>
      <c r="O143" s="811"/>
      <c r="P143" s="811"/>
      <c r="T143" t="s">
        <v>2050</v>
      </c>
      <c r="U143" s="360">
        <v>0.31180555555555556</v>
      </c>
      <c r="V143" s="360">
        <v>0.51527777777777783</v>
      </c>
    </row>
    <row r="144" spans="1:22" ht="15.75" hidden="1" thickBot="1" x14ac:dyDescent="0.3">
      <c r="A144" s="483">
        <v>4122024</v>
      </c>
      <c r="B144" t="s">
        <v>930</v>
      </c>
      <c r="C144" s="122" t="s">
        <v>410</v>
      </c>
      <c r="D144" s="803">
        <v>45630</v>
      </c>
      <c r="E144" s="726"/>
      <c r="F144" s="726" t="s">
        <v>295</v>
      </c>
      <c r="G144" s="102" t="s">
        <v>5284</v>
      </c>
      <c r="H144" s="726" t="s">
        <v>5351</v>
      </c>
      <c r="I144" s="810">
        <v>43950</v>
      </c>
      <c r="J144" s="897">
        <f t="shared" si="10"/>
        <v>38676</v>
      </c>
      <c r="L144" s="913" t="s">
        <v>17</v>
      </c>
      <c r="M144" s="811">
        <v>45740</v>
      </c>
      <c r="N144" s="811"/>
      <c r="O144" s="811"/>
      <c r="P144" s="811"/>
      <c r="T144" t="s">
        <v>4867</v>
      </c>
      <c r="U144" s="360">
        <v>0.67638888888888893</v>
      </c>
      <c r="V144" s="360"/>
    </row>
    <row r="145" spans="1:22" ht="15.75" hidden="1" thickBot="1" x14ac:dyDescent="0.3">
      <c r="A145" s="483">
        <v>9122024</v>
      </c>
      <c r="B145" t="s">
        <v>930</v>
      </c>
      <c r="C145" s="122" t="s">
        <v>410</v>
      </c>
      <c r="D145" s="803">
        <v>45635</v>
      </c>
      <c r="E145" s="726"/>
      <c r="F145" s="726" t="s">
        <v>294</v>
      </c>
      <c r="G145" s="102" t="s">
        <v>5352</v>
      </c>
      <c r="H145" s="726" t="s">
        <v>5353</v>
      </c>
      <c r="I145" s="810">
        <v>33182</v>
      </c>
      <c r="J145" s="897">
        <f t="shared" si="10"/>
        <v>29200</v>
      </c>
      <c r="K145" s="88"/>
      <c r="L145" s="913" t="s">
        <v>17</v>
      </c>
      <c r="M145" s="811">
        <v>45740</v>
      </c>
      <c r="N145" s="811"/>
      <c r="O145" s="811"/>
      <c r="P145" s="811"/>
      <c r="T145" t="s">
        <v>5078</v>
      </c>
      <c r="U145" s="360">
        <v>0.48541666666666666</v>
      </c>
      <c r="V145" s="360">
        <v>0.7055555555555556</v>
      </c>
    </row>
    <row r="146" spans="1:22" ht="15.75" hidden="1" thickBot="1" x14ac:dyDescent="0.3">
      <c r="A146" s="483">
        <v>16122024</v>
      </c>
      <c r="B146" t="s">
        <v>930</v>
      </c>
      <c r="C146" s="122" t="s">
        <v>410</v>
      </c>
      <c r="D146" s="803">
        <v>45642</v>
      </c>
      <c r="E146" s="726"/>
      <c r="F146" s="726" t="s">
        <v>294</v>
      </c>
      <c r="G146" s="102" t="s">
        <v>5354</v>
      </c>
      <c r="H146" s="726" t="s">
        <v>5355</v>
      </c>
      <c r="I146" s="810">
        <v>33182</v>
      </c>
      <c r="J146" s="897">
        <f t="shared" si="10"/>
        <v>29200</v>
      </c>
      <c r="L146" s="913" t="s">
        <v>17</v>
      </c>
      <c r="M146" s="811">
        <v>45740</v>
      </c>
      <c r="N146" s="811"/>
      <c r="O146" s="811"/>
      <c r="P146" s="811"/>
      <c r="T146" t="s">
        <v>4139</v>
      </c>
      <c r="U146" s="360"/>
      <c r="V146" s="360"/>
    </row>
    <row r="147" spans="1:22" ht="15.75" hidden="1" thickBot="1" x14ac:dyDescent="0.3">
      <c r="A147" s="483">
        <v>2012025</v>
      </c>
      <c r="B147" t="s">
        <v>930</v>
      </c>
      <c r="C147" s="122" t="s">
        <v>410</v>
      </c>
      <c r="D147" s="803">
        <v>45659</v>
      </c>
      <c r="E147" s="726"/>
      <c r="F147" s="726" t="s">
        <v>294</v>
      </c>
      <c r="G147" s="102" t="s">
        <v>5511</v>
      </c>
      <c r="H147" s="726" t="s">
        <v>5519</v>
      </c>
      <c r="I147" s="810">
        <v>33182</v>
      </c>
      <c r="J147" s="897">
        <f t="shared" si="10"/>
        <v>29200</v>
      </c>
      <c r="L147" s="913" t="s">
        <v>17</v>
      </c>
      <c r="M147" s="811">
        <v>45740</v>
      </c>
      <c r="N147" s="811"/>
      <c r="O147" s="811"/>
      <c r="P147" s="811"/>
      <c r="T147" t="s">
        <v>4297</v>
      </c>
      <c r="U147" s="360">
        <v>0.58680555555555558</v>
      </c>
      <c r="V147" s="360"/>
    </row>
    <row r="148" spans="1:22" s="504" customFormat="1" ht="14.45" hidden="1" customHeight="1" x14ac:dyDescent="0.25">
      <c r="A148" s="497">
        <v>8012025</v>
      </c>
      <c r="B148" s="504" t="s">
        <v>930</v>
      </c>
      <c r="C148" s="1192" t="s">
        <v>13</v>
      </c>
      <c r="D148" s="820">
        <v>45665</v>
      </c>
      <c r="E148" s="821"/>
      <c r="F148" s="821" t="s">
        <v>294</v>
      </c>
      <c r="G148" s="822" t="s">
        <v>5512</v>
      </c>
      <c r="H148" s="907" t="s">
        <v>5520</v>
      </c>
      <c r="I148" s="908">
        <v>33182</v>
      </c>
      <c r="J148" s="823">
        <f t="shared" si="10"/>
        <v>29200</v>
      </c>
      <c r="K148" s="506"/>
      <c r="L148" s="1102" t="s">
        <v>17</v>
      </c>
      <c r="M148" s="811">
        <v>45723</v>
      </c>
      <c r="N148" s="811"/>
      <c r="O148" s="811"/>
      <c r="P148" s="811"/>
      <c r="T148" s="504" t="s">
        <v>4345</v>
      </c>
      <c r="U148" s="502"/>
      <c r="V148" s="502"/>
    </row>
    <row r="149" spans="1:22" s="504" customFormat="1" ht="14.45" hidden="1" customHeight="1" thickBot="1" x14ac:dyDescent="0.3">
      <c r="A149" s="497">
        <v>11012025</v>
      </c>
      <c r="B149" s="504" t="s">
        <v>930</v>
      </c>
      <c r="C149" s="1192" t="s">
        <v>4218</v>
      </c>
      <c r="D149" s="820">
        <v>45668</v>
      </c>
      <c r="E149" s="821"/>
      <c r="F149" s="821" t="s">
        <v>294</v>
      </c>
      <c r="G149" s="822" t="s">
        <v>5510</v>
      </c>
      <c r="H149" s="907" t="s">
        <v>5521</v>
      </c>
      <c r="I149" s="909">
        <v>33182</v>
      </c>
      <c r="J149" s="823">
        <f t="shared" si="10"/>
        <v>29200</v>
      </c>
      <c r="L149" s="1102" t="s">
        <v>17</v>
      </c>
      <c r="M149" s="811">
        <v>45723</v>
      </c>
      <c r="N149" s="811"/>
      <c r="O149" s="811"/>
      <c r="P149" s="811"/>
      <c r="T149" s="504" t="s">
        <v>5506</v>
      </c>
      <c r="U149" s="502">
        <v>0.58333333333333337</v>
      </c>
      <c r="V149" s="502">
        <v>0.64861111111111114</v>
      </c>
    </row>
    <row r="150" spans="1:22" ht="15" customHeight="1" thickBot="1" x14ac:dyDescent="0.3">
      <c r="H150" s="241"/>
      <c r="I150" s="816">
        <f>SUBTOTAL(9,I141:I149)</f>
        <v>0</v>
      </c>
      <c r="J150" s="88"/>
      <c r="L150" s="1102"/>
      <c r="M150" s="811"/>
      <c r="N150" s="811"/>
      <c r="O150" s="811"/>
      <c r="P150" s="811"/>
    </row>
    <row r="151" spans="1:22" ht="14.45" customHeight="1" x14ac:dyDescent="0.25">
      <c r="J151" s="88"/>
      <c r="K151" s="32"/>
      <c r="L151" s="1102"/>
      <c r="M151" s="811"/>
      <c r="N151" s="811"/>
      <c r="O151" s="811"/>
      <c r="P151" s="811"/>
    </row>
    <row r="152" spans="1:22" ht="14.45" customHeight="1" x14ac:dyDescent="0.25">
      <c r="J152" s="88"/>
      <c r="L152" s="1102"/>
      <c r="M152" s="811"/>
      <c r="N152" s="811"/>
      <c r="O152" s="811"/>
      <c r="P152" s="811"/>
    </row>
    <row r="153" spans="1:22" ht="14.45" customHeight="1" x14ac:dyDescent="0.25">
      <c r="I153" s="447"/>
      <c r="J153" s="88"/>
      <c r="L153" s="1102"/>
      <c r="M153" s="811"/>
      <c r="N153" s="811"/>
      <c r="O153" s="811"/>
      <c r="P153" s="811"/>
    </row>
    <row r="154" spans="1:22" ht="14.45" customHeight="1" x14ac:dyDescent="0.25">
      <c r="I154" s="447"/>
      <c r="J154" s="88"/>
      <c r="L154" s="1102"/>
      <c r="M154" s="811"/>
      <c r="N154" s="811"/>
      <c r="O154" s="811"/>
      <c r="P154" s="811"/>
    </row>
    <row r="155" spans="1:22" ht="14.45" customHeight="1" thickBot="1" x14ac:dyDescent="0.3">
      <c r="I155" s="447"/>
      <c r="J155" s="88"/>
      <c r="L155" s="1102"/>
      <c r="M155" s="811"/>
      <c r="N155" s="811"/>
      <c r="O155" s="811"/>
      <c r="P155" s="811"/>
    </row>
    <row r="156" spans="1:22" ht="15" customHeight="1" thickBot="1" x14ac:dyDescent="0.3">
      <c r="D156" s="1487" t="s">
        <v>5447</v>
      </c>
      <c r="E156" s="1488"/>
      <c r="F156" s="1488"/>
      <c r="G156" s="1488"/>
      <c r="H156" s="1488"/>
      <c r="I156" s="1489"/>
      <c r="J156" s="88"/>
      <c r="L156" s="1102"/>
      <c r="M156" s="811"/>
      <c r="N156" s="811"/>
      <c r="O156" s="811"/>
      <c r="P156" s="811"/>
    </row>
    <row r="157" spans="1:22" ht="14.45" hidden="1" customHeight="1" x14ac:dyDescent="0.25">
      <c r="A157" s="256" t="s">
        <v>3169</v>
      </c>
      <c r="B157" t="s">
        <v>3167</v>
      </c>
      <c r="C157" t="s">
        <v>809</v>
      </c>
      <c r="D157" s="122">
        <v>45237</v>
      </c>
      <c r="F157" s="28" t="s">
        <v>294</v>
      </c>
      <c r="G157" s="30" t="s">
        <v>3214</v>
      </c>
      <c r="H157" t="s">
        <v>3332</v>
      </c>
      <c r="I157" s="313">
        <v>24886</v>
      </c>
      <c r="J157" s="180">
        <f t="shared" ref="J157:J162" si="11">+I157*0.88</f>
        <v>21899.68</v>
      </c>
      <c r="K157">
        <f>+I157/1.18</f>
        <v>21089.830508474577</v>
      </c>
      <c r="L157" s="1102" t="s">
        <v>17</v>
      </c>
      <c r="M157" s="811">
        <v>45295</v>
      </c>
      <c r="N157" s="811"/>
      <c r="O157" s="811"/>
      <c r="P157" s="811"/>
      <c r="T157" s="14" t="s">
        <v>1894</v>
      </c>
      <c r="U157" s="14">
        <v>0.4826388888888889</v>
      </c>
      <c r="V157" s="14">
        <v>0.77777777777777779</v>
      </c>
    </row>
    <row r="158" spans="1:22" ht="14.45" hidden="1" customHeight="1" x14ac:dyDescent="0.25">
      <c r="A158" s="256">
        <v>21112023</v>
      </c>
      <c r="B158" t="s">
        <v>3167</v>
      </c>
      <c r="C158" t="s">
        <v>410</v>
      </c>
      <c r="D158" s="122">
        <v>45251</v>
      </c>
      <c r="F158" s="28" t="s">
        <v>293</v>
      </c>
      <c r="G158" s="30" t="s">
        <v>3212</v>
      </c>
      <c r="H158" t="s">
        <v>3333</v>
      </c>
      <c r="I158" s="236">
        <v>25000</v>
      </c>
      <c r="J158" s="180">
        <f t="shared" si="11"/>
        <v>22000</v>
      </c>
      <c r="K158">
        <f>+I158/1.18</f>
        <v>21186.440677966104</v>
      </c>
      <c r="L158" s="1102" t="s">
        <v>17</v>
      </c>
      <c r="M158" s="811">
        <v>45295</v>
      </c>
      <c r="N158" s="811"/>
      <c r="O158" s="811"/>
      <c r="P158" s="811"/>
      <c r="T158" s="14" t="s">
        <v>2050</v>
      </c>
      <c r="U158" s="14">
        <v>0.44027777777777777</v>
      </c>
      <c r="V158" s="14">
        <v>0.73888888888888893</v>
      </c>
    </row>
    <row r="159" spans="1:22" ht="14.45" hidden="1" customHeight="1" x14ac:dyDescent="0.25">
      <c r="A159" s="256">
        <v>21112023</v>
      </c>
      <c r="B159" t="s">
        <v>3167</v>
      </c>
      <c r="C159" t="s">
        <v>410</v>
      </c>
      <c r="D159" s="122">
        <v>45251</v>
      </c>
      <c r="F159" s="28" t="s">
        <v>294</v>
      </c>
      <c r="G159" s="30" t="s">
        <v>3213</v>
      </c>
      <c r="H159" t="s">
        <v>3334</v>
      </c>
      <c r="I159" s="236">
        <v>24886</v>
      </c>
      <c r="J159" s="180">
        <f t="shared" si="11"/>
        <v>21899.68</v>
      </c>
      <c r="K159">
        <f>+I159/1.18</f>
        <v>21089.830508474577</v>
      </c>
      <c r="L159" s="1102" t="s">
        <v>17</v>
      </c>
      <c r="M159" s="811">
        <v>45295</v>
      </c>
      <c r="N159" s="811"/>
      <c r="O159" s="811"/>
      <c r="P159" s="811"/>
      <c r="T159" s="14" t="s">
        <v>2050</v>
      </c>
      <c r="U159" s="14">
        <v>0.73263888888888884</v>
      </c>
      <c r="V159" s="14">
        <v>0.78333333333333333</v>
      </c>
    </row>
    <row r="160" spans="1:22" ht="14.45" hidden="1" customHeight="1" x14ac:dyDescent="0.25">
      <c r="A160" s="256">
        <v>29112023</v>
      </c>
      <c r="B160" t="s">
        <v>3240</v>
      </c>
      <c r="C160" t="s">
        <v>410</v>
      </c>
      <c r="D160" s="122">
        <v>45259</v>
      </c>
      <c r="F160" s="28" t="s">
        <v>294</v>
      </c>
      <c r="G160" s="30" t="s">
        <v>3241</v>
      </c>
      <c r="H160" t="s">
        <v>3335</v>
      </c>
      <c r="I160" s="236">
        <v>24886</v>
      </c>
      <c r="J160" s="180">
        <f t="shared" si="11"/>
        <v>21899.68</v>
      </c>
      <c r="K160">
        <f>+I160/1.18</f>
        <v>21089.830508474577</v>
      </c>
      <c r="L160" s="1102" t="s">
        <v>17</v>
      </c>
      <c r="M160" s="811">
        <v>45295</v>
      </c>
      <c r="N160" s="811"/>
      <c r="O160" s="811"/>
      <c r="P160" s="811"/>
      <c r="T160" s="14" t="s">
        <v>989</v>
      </c>
      <c r="U160" s="14">
        <v>0.52361111111111114</v>
      </c>
      <c r="V160" s="14">
        <v>0.67986111111111114</v>
      </c>
    </row>
    <row r="161" spans="1:26" ht="14.45" hidden="1" customHeight="1" x14ac:dyDescent="0.25">
      <c r="A161" s="430" t="s">
        <v>3263</v>
      </c>
      <c r="B161" t="s">
        <v>930</v>
      </c>
      <c r="C161" t="s">
        <v>410</v>
      </c>
      <c r="D161" s="122">
        <v>45262</v>
      </c>
      <c r="F161" s="28" t="s">
        <v>294</v>
      </c>
      <c r="G161" s="30" t="s">
        <v>3315</v>
      </c>
      <c r="H161" t="s">
        <v>3336</v>
      </c>
      <c r="I161" s="236">
        <v>24886</v>
      </c>
      <c r="J161" s="180">
        <f t="shared" si="11"/>
        <v>21899.68</v>
      </c>
      <c r="K161">
        <f>+I161/1.18</f>
        <v>21089.830508474577</v>
      </c>
      <c r="L161" s="1102" t="s">
        <v>17</v>
      </c>
      <c r="M161" s="811">
        <v>45295</v>
      </c>
      <c r="N161" s="811"/>
      <c r="O161" s="811"/>
      <c r="P161" s="811"/>
      <c r="T161" s="14" t="s">
        <v>922</v>
      </c>
      <c r="U161" s="14">
        <v>0.32708333333333334</v>
      </c>
      <c r="V161" s="14">
        <v>0.49861111111111112</v>
      </c>
    </row>
    <row r="162" spans="1:26" ht="14.45" hidden="1" customHeight="1" x14ac:dyDescent="0.25">
      <c r="A162" s="430" t="s">
        <v>3368</v>
      </c>
      <c r="B162" t="s">
        <v>930</v>
      </c>
      <c r="C162" t="s">
        <v>3367</v>
      </c>
      <c r="D162" s="122">
        <v>45282</v>
      </c>
      <c r="F162" s="28" t="s">
        <v>294</v>
      </c>
      <c r="G162" s="373" t="s">
        <v>3370</v>
      </c>
      <c r="H162" t="s">
        <v>3711</v>
      </c>
      <c r="I162" s="236">
        <v>24886</v>
      </c>
      <c r="J162" s="180">
        <f t="shared" si="11"/>
        <v>21899.68</v>
      </c>
      <c r="L162" s="1102" t="s">
        <v>17</v>
      </c>
      <c r="M162" s="811">
        <v>45443</v>
      </c>
      <c r="N162" s="811"/>
      <c r="O162" s="811"/>
      <c r="P162" s="811"/>
      <c r="T162" s="14" t="s">
        <v>3369</v>
      </c>
      <c r="U162" s="14">
        <v>0.80347222222222225</v>
      </c>
      <c r="V162" s="14">
        <v>0.98958333333333337</v>
      </c>
      <c r="X162" s="88">
        <f>116.18*1.18</f>
        <v>137.0924</v>
      </c>
      <c r="Y162">
        <v>3.7040000000000002</v>
      </c>
      <c r="Z162">
        <f>+X162*Y162</f>
        <v>507.79024960000004</v>
      </c>
    </row>
    <row r="163" spans="1:26" ht="14.45" hidden="1" customHeight="1" x14ac:dyDescent="0.25">
      <c r="A163" s="430" t="s">
        <v>3377</v>
      </c>
      <c r="B163" t="s">
        <v>296</v>
      </c>
      <c r="C163" t="s">
        <v>13</v>
      </c>
      <c r="D163" s="122">
        <v>45283</v>
      </c>
      <c r="F163" s="28" t="s">
        <v>294</v>
      </c>
      <c r="G163" s="30" t="s">
        <v>3566</v>
      </c>
      <c r="H163" t="s">
        <v>3712</v>
      </c>
      <c r="I163" s="313">
        <v>24886</v>
      </c>
      <c r="J163" s="180">
        <f>+I163*0.88</f>
        <v>21899.68</v>
      </c>
      <c r="L163" s="1102" t="s">
        <v>17</v>
      </c>
      <c r="M163" s="811">
        <v>45394</v>
      </c>
      <c r="N163" s="811"/>
      <c r="O163" s="811"/>
      <c r="P163" s="811"/>
      <c r="T163" s="14" t="s">
        <v>2037</v>
      </c>
      <c r="U163" s="14">
        <v>0.60416666666666663</v>
      </c>
      <c r="V163" s="14">
        <v>0.76388888888888884</v>
      </c>
    </row>
    <row r="164" spans="1:26" ht="14.45" hidden="1" customHeight="1" x14ac:dyDescent="0.25">
      <c r="A164" s="430" t="s">
        <v>3390</v>
      </c>
      <c r="B164" t="s">
        <v>296</v>
      </c>
      <c r="C164" t="s">
        <v>3439</v>
      </c>
      <c r="D164" s="122">
        <v>45287</v>
      </c>
      <c r="F164" s="28" t="s">
        <v>294</v>
      </c>
      <c r="G164" s="30" t="s">
        <v>3567</v>
      </c>
      <c r="H164" t="s">
        <v>3713</v>
      </c>
      <c r="I164" s="236">
        <v>24886</v>
      </c>
      <c r="J164" s="180">
        <f>+I164*0.88</f>
        <v>21899.68</v>
      </c>
      <c r="L164" s="1102" t="s">
        <v>17</v>
      </c>
      <c r="M164" s="811">
        <v>45394</v>
      </c>
      <c r="N164" s="811"/>
      <c r="O164" s="811"/>
      <c r="P164" s="811"/>
      <c r="T164" s="14" t="s">
        <v>3395</v>
      </c>
      <c r="U164" s="14">
        <v>0.4826388888888889</v>
      </c>
      <c r="V164" s="14">
        <v>0.65138888888888891</v>
      </c>
    </row>
    <row r="165" spans="1:26" ht="14.45" hidden="1" customHeight="1" x14ac:dyDescent="0.25">
      <c r="A165" s="430" t="s">
        <v>3390</v>
      </c>
      <c r="B165" t="s">
        <v>296</v>
      </c>
      <c r="C165" s="95" t="s">
        <v>3396</v>
      </c>
      <c r="D165" s="122">
        <v>45287</v>
      </c>
      <c r="F165" s="28" t="s">
        <v>294</v>
      </c>
      <c r="G165" s="30" t="s">
        <v>3582</v>
      </c>
      <c r="H165" t="s">
        <v>3714</v>
      </c>
      <c r="I165" s="236">
        <v>24886</v>
      </c>
      <c r="J165" s="180">
        <f>+I165*0.88</f>
        <v>21899.68</v>
      </c>
      <c r="L165" s="1102" t="s">
        <v>17</v>
      </c>
      <c r="M165" s="811">
        <v>45394</v>
      </c>
      <c r="N165" s="811"/>
      <c r="O165" s="811"/>
      <c r="P165" s="811"/>
      <c r="T165" s="567" t="s">
        <v>3398</v>
      </c>
      <c r="U165" s="567" t="s">
        <v>3399</v>
      </c>
      <c r="V165" s="14">
        <v>0.78749999999999998</v>
      </c>
    </row>
    <row r="166" spans="1:26" ht="14.45" customHeight="1" x14ac:dyDescent="0.25">
      <c r="A166" s="483" t="s">
        <v>3456</v>
      </c>
      <c r="B166" s="30" t="s">
        <v>930</v>
      </c>
      <c r="C166" t="s">
        <v>3367</v>
      </c>
      <c r="D166" s="803">
        <v>45296</v>
      </c>
      <c r="E166" s="102"/>
      <c r="F166" s="726" t="s">
        <v>294</v>
      </c>
      <c r="G166" s="362" t="s">
        <v>3569</v>
      </c>
      <c r="H166" s="1457" t="s">
        <v>3715</v>
      </c>
      <c r="I166" s="805">
        <v>24886</v>
      </c>
      <c r="J166" s="3">
        <f>+I166-ROUND(I166*0.12,0)</f>
        <v>21900</v>
      </c>
      <c r="K166" s="88"/>
      <c r="L166" s="1102"/>
      <c r="M166" s="811"/>
      <c r="N166" s="811"/>
      <c r="O166" s="811"/>
      <c r="P166" s="811"/>
      <c r="T166" s="14" t="s">
        <v>3459</v>
      </c>
      <c r="U166" s="360">
        <v>0.55902777777777779</v>
      </c>
      <c r="V166" s="360">
        <v>0.7270833333333333</v>
      </c>
    </row>
    <row r="167" spans="1:26" ht="14.45" hidden="1" customHeight="1" x14ac:dyDescent="0.25">
      <c r="A167" s="483" t="s">
        <v>3461</v>
      </c>
      <c r="B167" s="30" t="s">
        <v>296</v>
      </c>
      <c r="C167" t="s">
        <v>410</v>
      </c>
      <c r="D167" s="374">
        <v>45298</v>
      </c>
      <c r="F167" s="28" t="s">
        <v>294</v>
      </c>
      <c r="G167" s="30" t="s">
        <v>3570</v>
      </c>
      <c r="H167" s="28" t="s">
        <v>3716</v>
      </c>
      <c r="I167" s="251">
        <v>24886</v>
      </c>
      <c r="J167" s="3">
        <f>+I167-ROUND(I167*0.12,0)</f>
        <v>21900</v>
      </c>
      <c r="K167" s="88">
        <v>19272</v>
      </c>
      <c r="L167" s="1102" t="s">
        <v>17</v>
      </c>
      <c r="M167" s="811">
        <v>45449</v>
      </c>
      <c r="N167" s="811"/>
      <c r="O167" s="811"/>
      <c r="P167" s="811"/>
      <c r="T167" s="14" t="s">
        <v>989</v>
      </c>
      <c r="U167" s="360">
        <v>0.28194444444444444</v>
      </c>
      <c r="V167" s="360">
        <v>0.47222222222222227</v>
      </c>
    </row>
    <row r="168" spans="1:26" ht="14.45" hidden="1" customHeight="1" x14ac:dyDescent="0.25">
      <c r="A168" s="483" t="s">
        <v>3462</v>
      </c>
      <c r="B168" s="30" t="s">
        <v>930</v>
      </c>
      <c r="C168" t="s">
        <v>3514</v>
      </c>
      <c r="D168" s="374">
        <v>45299</v>
      </c>
      <c r="F168" s="28" t="s">
        <v>295</v>
      </c>
      <c r="G168" s="30" t="s">
        <v>3571</v>
      </c>
      <c r="H168" s="28" t="s">
        <v>3717</v>
      </c>
      <c r="I168" s="313">
        <v>29000</v>
      </c>
      <c r="J168" s="3">
        <f>+I168-ROUND(I168*0.12,0)</f>
        <v>25520</v>
      </c>
      <c r="K168" s="88">
        <f>+K167*3</f>
        <v>57816</v>
      </c>
      <c r="L168" s="1102" t="s">
        <v>17</v>
      </c>
      <c r="M168" s="811">
        <v>45583</v>
      </c>
      <c r="N168" s="811" t="s">
        <v>388</v>
      </c>
      <c r="O168" s="811"/>
      <c r="P168" s="811"/>
      <c r="T168" s="14"/>
      <c r="U168" s="360"/>
      <c r="V168" s="360"/>
    </row>
    <row r="169" spans="1:26" ht="14.45" hidden="1" customHeight="1" x14ac:dyDescent="0.25">
      <c r="A169" s="483">
        <v>12012024</v>
      </c>
      <c r="B169" s="30" t="s">
        <v>930</v>
      </c>
      <c r="C169" t="s">
        <v>1604</v>
      </c>
      <c r="D169" s="374">
        <v>45303</v>
      </c>
      <c r="F169" s="28" t="s">
        <v>294</v>
      </c>
      <c r="G169" s="30" t="s">
        <v>3515</v>
      </c>
      <c r="H169" s="28" t="s">
        <v>3718</v>
      </c>
      <c r="I169" s="313">
        <v>24886</v>
      </c>
      <c r="J169" s="3">
        <f>+I169-ROUND(I169*0.12,0)</f>
        <v>21900</v>
      </c>
      <c r="K169" s="88">
        <v>22458</v>
      </c>
      <c r="L169" s="1102" t="s">
        <v>17</v>
      </c>
      <c r="M169" s="811">
        <v>45583</v>
      </c>
      <c r="N169" s="811" t="s">
        <v>388</v>
      </c>
      <c r="O169" s="811"/>
      <c r="P169" s="811"/>
      <c r="T169" s="14" t="s">
        <v>3458</v>
      </c>
      <c r="U169" s="360">
        <v>0.45208333333333334</v>
      </c>
      <c r="V169" s="360">
        <v>0.65069444444444446</v>
      </c>
    </row>
    <row r="170" spans="1:26" ht="14.45" hidden="1" customHeight="1" x14ac:dyDescent="0.25">
      <c r="A170" s="483">
        <v>27012024</v>
      </c>
      <c r="B170" s="30" t="s">
        <v>930</v>
      </c>
      <c r="C170" t="s">
        <v>3414</v>
      </c>
      <c r="D170" s="374">
        <v>45318</v>
      </c>
      <c r="F170" s="28" t="s">
        <v>294</v>
      </c>
      <c r="G170" s="30" t="s">
        <v>3758</v>
      </c>
      <c r="H170" s="28" t="s">
        <v>4305</v>
      </c>
      <c r="I170" s="236">
        <v>24886</v>
      </c>
      <c r="J170" s="3">
        <f>+I170-ROUND(I170*0.12,0)</f>
        <v>21900</v>
      </c>
      <c r="K170" s="88"/>
      <c r="L170" s="1102" t="s">
        <v>17</v>
      </c>
      <c r="M170" s="811">
        <v>45583</v>
      </c>
      <c r="N170" s="811" t="s">
        <v>388</v>
      </c>
      <c r="O170" s="811"/>
      <c r="P170" s="811"/>
      <c r="T170" s="14" t="s">
        <v>2050</v>
      </c>
      <c r="U170" s="360">
        <v>0.44513888888888892</v>
      </c>
      <c r="V170" s="360">
        <v>0.61458333333333337</v>
      </c>
    </row>
    <row r="171" spans="1:26" s="21" customFormat="1" ht="14.45" hidden="1" customHeight="1" x14ac:dyDescent="0.25">
      <c r="A171" s="509">
        <v>31012024</v>
      </c>
      <c r="B171" s="30" t="s">
        <v>930</v>
      </c>
      <c r="C171" t="s">
        <v>410</v>
      </c>
      <c r="D171" s="374">
        <v>45322</v>
      </c>
      <c r="E171"/>
      <c r="F171" s="28" t="s">
        <v>294</v>
      </c>
      <c r="G171" s="531" t="s">
        <v>3719</v>
      </c>
      <c r="H171" s="30" t="s">
        <v>4306</v>
      </c>
      <c r="I171" s="313">
        <v>24886</v>
      </c>
      <c r="J171" s="707">
        <f t="shared" ref="J171:J179" si="12">+I171*0.88</f>
        <v>21899.68</v>
      </c>
      <c r="K171" s="688">
        <f t="shared" ref="K171:K179" si="13">ROUNDDOWN((I171*0.88),0)</f>
        <v>21899</v>
      </c>
      <c r="L171" s="1102" t="s">
        <v>17</v>
      </c>
      <c r="M171" s="916">
        <v>45583</v>
      </c>
      <c r="N171" s="811" t="s">
        <v>388</v>
      </c>
      <c r="O171" s="811"/>
      <c r="P171" s="811"/>
      <c r="T171" s="157" t="s">
        <v>922</v>
      </c>
      <c r="U171" s="488">
        <v>0.25138888888888888</v>
      </c>
      <c r="V171" s="488">
        <v>0.40347222222222223</v>
      </c>
    </row>
    <row r="172" spans="1:26" ht="14.45" hidden="1" customHeight="1" x14ac:dyDescent="0.25">
      <c r="A172" s="509">
        <v>26022024</v>
      </c>
      <c r="B172" s="30" t="s">
        <v>930</v>
      </c>
      <c r="C172" t="s">
        <v>3932</v>
      </c>
      <c r="D172" s="374">
        <v>45378</v>
      </c>
      <c r="F172" s="28" t="s">
        <v>294</v>
      </c>
      <c r="G172" s="531" t="s">
        <v>4013</v>
      </c>
      <c r="H172" s="30" t="s">
        <v>4307</v>
      </c>
      <c r="I172" s="236">
        <v>24886</v>
      </c>
      <c r="J172" s="707">
        <f t="shared" si="12"/>
        <v>21899.68</v>
      </c>
      <c r="K172" s="688">
        <f t="shared" si="13"/>
        <v>21899</v>
      </c>
      <c r="L172" s="1102" t="s">
        <v>17</v>
      </c>
      <c r="M172" s="916">
        <v>45583</v>
      </c>
      <c r="N172" s="811" t="s">
        <v>388</v>
      </c>
      <c r="O172" s="811"/>
      <c r="P172" s="811"/>
      <c r="T172" s="14"/>
      <c r="U172" s="360"/>
      <c r="V172" s="360"/>
    </row>
    <row r="173" spans="1:26" ht="14.45" hidden="1" customHeight="1" x14ac:dyDescent="0.25">
      <c r="A173" s="509" t="s">
        <v>3984</v>
      </c>
      <c r="B173" s="30" t="s">
        <v>930</v>
      </c>
      <c r="C173" t="s">
        <v>410</v>
      </c>
      <c r="D173" s="374">
        <v>45390</v>
      </c>
      <c r="F173" s="28" t="s">
        <v>294</v>
      </c>
      <c r="G173" s="531" t="s">
        <v>4008</v>
      </c>
      <c r="H173" s="30" t="s">
        <v>4308</v>
      </c>
      <c r="I173" s="236">
        <v>24886</v>
      </c>
      <c r="J173" s="707">
        <f t="shared" si="12"/>
        <v>21899.68</v>
      </c>
      <c r="K173" s="688">
        <f t="shared" si="13"/>
        <v>21899</v>
      </c>
      <c r="L173" s="1102" t="s">
        <v>17</v>
      </c>
      <c r="M173" s="916">
        <v>45583</v>
      </c>
      <c r="N173" s="811" t="s">
        <v>388</v>
      </c>
      <c r="O173" s="811"/>
      <c r="P173" s="811"/>
      <c r="T173" s="14" t="s">
        <v>1506</v>
      </c>
      <c r="U173" s="360">
        <v>0.66736111111111107</v>
      </c>
      <c r="V173" s="360">
        <v>0.82013888888888886</v>
      </c>
    </row>
    <row r="174" spans="1:26" ht="14.45" hidden="1" customHeight="1" x14ac:dyDescent="0.25">
      <c r="A174" s="483">
        <v>25042024</v>
      </c>
      <c r="B174" t="s">
        <v>930</v>
      </c>
      <c r="C174" t="s">
        <v>13</v>
      </c>
      <c r="D174" s="233">
        <v>45407</v>
      </c>
      <c r="F174" s="28" t="s">
        <v>294</v>
      </c>
      <c r="G174" s="531" t="s">
        <v>4156</v>
      </c>
      <c r="H174" s="30" t="s">
        <v>4309</v>
      </c>
      <c r="I174" s="236">
        <v>24886</v>
      </c>
      <c r="J174" s="707">
        <f t="shared" si="12"/>
        <v>21899.68</v>
      </c>
      <c r="K174" s="688">
        <f t="shared" si="13"/>
        <v>21899</v>
      </c>
      <c r="L174" s="1102" t="s">
        <v>17</v>
      </c>
      <c r="M174" s="916">
        <v>45583</v>
      </c>
      <c r="N174" s="811" t="s">
        <v>388</v>
      </c>
      <c r="O174" s="811"/>
      <c r="P174" s="811"/>
      <c r="T174" s="14"/>
      <c r="U174" s="360"/>
      <c r="V174" s="360"/>
    </row>
    <row r="175" spans="1:26" ht="14.45" hidden="1" customHeight="1" x14ac:dyDescent="0.25">
      <c r="A175" s="509">
        <v>2052024</v>
      </c>
      <c r="B175" t="s">
        <v>930</v>
      </c>
      <c r="C175" t="s">
        <v>809</v>
      </c>
      <c r="D175" s="233">
        <v>45414</v>
      </c>
      <c r="F175" s="28" t="s">
        <v>295</v>
      </c>
      <c r="G175" s="531" t="s">
        <v>4158</v>
      </c>
      <c r="H175" s="30" t="s">
        <v>4310</v>
      </c>
      <c r="I175" s="236">
        <v>29000</v>
      </c>
      <c r="J175" s="707">
        <f t="shared" si="12"/>
        <v>25520</v>
      </c>
      <c r="K175" s="688">
        <f t="shared" si="13"/>
        <v>25520</v>
      </c>
      <c r="L175" s="1102" t="s">
        <v>17</v>
      </c>
      <c r="M175" s="916">
        <v>45583</v>
      </c>
      <c r="N175" s="811" t="s">
        <v>388</v>
      </c>
      <c r="O175" s="811"/>
      <c r="P175" s="811"/>
      <c r="T175" s="14" t="s">
        <v>4098</v>
      </c>
      <c r="U175" s="360">
        <v>0.46458333333333335</v>
      </c>
      <c r="V175" s="360">
        <v>0.80763888888888891</v>
      </c>
    </row>
    <row r="176" spans="1:26" ht="14.45" hidden="1" customHeight="1" x14ac:dyDescent="0.25">
      <c r="A176" s="509">
        <v>8052024</v>
      </c>
      <c r="B176" t="s">
        <v>930</v>
      </c>
      <c r="C176" t="s">
        <v>410</v>
      </c>
      <c r="D176" s="233">
        <v>45420</v>
      </c>
      <c r="F176" s="28" t="s">
        <v>294</v>
      </c>
      <c r="G176" s="531" t="s">
        <v>4157</v>
      </c>
      <c r="H176" s="30" t="s">
        <v>4311</v>
      </c>
      <c r="I176" s="236">
        <v>24886</v>
      </c>
      <c r="J176" s="707">
        <f t="shared" si="12"/>
        <v>21899.68</v>
      </c>
      <c r="K176" s="688">
        <f t="shared" si="13"/>
        <v>21899</v>
      </c>
      <c r="L176" s="1102" t="s">
        <v>17</v>
      </c>
      <c r="M176" s="916">
        <v>45583</v>
      </c>
      <c r="N176" s="811" t="s">
        <v>388</v>
      </c>
      <c r="O176" s="811"/>
      <c r="P176" s="811"/>
      <c r="T176" s="14" t="s">
        <v>1506</v>
      </c>
      <c r="U176" s="360">
        <v>0.47638888888888892</v>
      </c>
      <c r="V176" s="360"/>
    </row>
    <row r="177" spans="1:22" ht="14.45" hidden="1" customHeight="1" x14ac:dyDescent="0.25">
      <c r="A177" s="483">
        <v>14052024</v>
      </c>
      <c r="B177" t="s">
        <v>930</v>
      </c>
      <c r="C177" t="s">
        <v>13</v>
      </c>
      <c r="D177" s="233">
        <v>45426</v>
      </c>
      <c r="F177" s="28" t="s">
        <v>294</v>
      </c>
      <c r="G177" s="531" t="s">
        <v>4155</v>
      </c>
      <c r="H177" s="30" t="s">
        <v>4312</v>
      </c>
      <c r="I177" s="236">
        <v>24886</v>
      </c>
      <c r="J177" s="707">
        <f t="shared" si="12"/>
        <v>21899.68</v>
      </c>
      <c r="K177" s="688">
        <f t="shared" si="13"/>
        <v>21899</v>
      </c>
      <c r="L177" s="1102" t="s">
        <v>17</v>
      </c>
      <c r="M177" s="916">
        <v>45583</v>
      </c>
      <c r="N177" s="811" t="s">
        <v>388</v>
      </c>
      <c r="O177" s="811"/>
      <c r="P177" s="811"/>
      <c r="T177" s="14" t="s">
        <v>1644</v>
      </c>
      <c r="U177" s="360">
        <v>0.66736111111111107</v>
      </c>
      <c r="V177" s="360"/>
    </row>
    <row r="178" spans="1:22" ht="14.45" hidden="1" customHeight="1" x14ac:dyDescent="0.25">
      <c r="A178" s="483">
        <v>17052024</v>
      </c>
      <c r="B178" t="s">
        <v>930</v>
      </c>
      <c r="C178" t="s">
        <v>809</v>
      </c>
      <c r="D178" s="233">
        <v>45429</v>
      </c>
      <c r="F178" s="28" t="s">
        <v>294</v>
      </c>
      <c r="G178" s="531" t="s">
        <v>4224</v>
      </c>
      <c r="H178" s="30" t="s">
        <v>4313</v>
      </c>
      <c r="I178" s="236">
        <v>24886</v>
      </c>
      <c r="J178" s="707">
        <f t="shared" si="12"/>
        <v>21899.68</v>
      </c>
      <c r="K178" s="688">
        <f t="shared" si="13"/>
        <v>21899</v>
      </c>
      <c r="L178" s="1102" t="s">
        <v>17</v>
      </c>
      <c r="M178" s="916">
        <v>45583</v>
      </c>
      <c r="N178" s="811" t="s">
        <v>388</v>
      </c>
      <c r="O178" s="811"/>
      <c r="P178" s="811"/>
      <c r="T178" s="14" t="s">
        <v>1178</v>
      </c>
      <c r="U178" s="360">
        <v>0.58124999999999993</v>
      </c>
      <c r="V178" s="360"/>
    </row>
    <row r="179" spans="1:22" ht="14.45" hidden="1" customHeight="1" x14ac:dyDescent="0.25">
      <c r="A179" s="483">
        <v>26052024</v>
      </c>
      <c r="B179" t="s">
        <v>930</v>
      </c>
      <c r="C179" t="s">
        <v>13</v>
      </c>
      <c r="D179" s="233">
        <v>45438</v>
      </c>
      <c r="F179" s="28" t="s">
        <v>3342</v>
      </c>
      <c r="G179" s="531" t="s">
        <v>4231</v>
      </c>
      <c r="H179" s="30" t="s">
        <v>4314</v>
      </c>
      <c r="I179" s="236">
        <v>24886</v>
      </c>
      <c r="J179" s="707">
        <f t="shared" si="12"/>
        <v>21899.68</v>
      </c>
      <c r="K179" s="688">
        <f t="shared" si="13"/>
        <v>21899</v>
      </c>
      <c r="L179" s="1102" t="s">
        <v>17</v>
      </c>
      <c r="M179" s="916">
        <v>45583</v>
      </c>
      <c r="N179" s="811" t="s">
        <v>388</v>
      </c>
      <c r="O179" s="811"/>
      <c r="P179" s="811"/>
      <c r="T179" s="14" t="s">
        <v>922</v>
      </c>
      <c r="U179" s="360">
        <v>0.64722222222222225</v>
      </c>
      <c r="V179" s="360">
        <v>0.79513888888888884</v>
      </c>
    </row>
    <row r="180" spans="1:22" ht="14.45" hidden="1" customHeight="1" x14ac:dyDescent="0.25">
      <c r="A180" s="509">
        <v>20062024</v>
      </c>
      <c r="B180" t="s">
        <v>1076</v>
      </c>
      <c r="C180" t="s">
        <v>410</v>
      </c>
      <c r="D180" s="803">
        <v>45463</v>
      </c>
      <c r="E180" s="102"/>
      <c r="F180" s="726" t="s">
        <v>294</v>
      </c>
      <c r="G180" s="362" t="s">
        <v>4388</v>
      </c>
      <c r="H180" s="726" t="s">
        <v>4430</v>
      </c>
      <c r="I180" s="805">
        <v>24886</v>
      </c>
      <c r="J180" s="3">
        <f>+I180-ROUND(I180*0.12,0)</f>
        <v>21900</v>
      </c>
      <c r="L180" s="1102" t="s">
        <v>17</v>
      </c>
      <c r="M180" s="811">
        <v>45737</v>
      </c>
      <c r="N180" s="811"/>
      <c r="O180" s="811"/>
      <c r="P180" s="811"/>
      <c r="T180" s="14" t="s">
        <v>2050</v>
      </c>
      <c r="U180" s="360"/>
      <c r="V180" s="360"/>
    </row>
    <row r="181" spans="1:22" ht="15" hidden="1" customHeight="1" x14ac:dyDescent="0.25">
      <c r="A181" s="509">
        <v>21062024</v>
      </c>
      <c r="B181" t="s">
        <v>930</v>
      </c>
      <c r="C181" t="s">
        <v>3932</v>
      </c>
      <c r="D181" s="803">
        <v>45464</v>
      </c>
      <c r="E181" s="102"/>
      <c r="F181" s="726" t="s">
        <v>295</v>
      </c>
      <c r="G181" s="362" t="s">
        <v>4461</v>
      </c>
      <c r="H181" s="819" t="s">
        <v>4465</v>
      </c>
      <c r="I181" s="804">
        <v>29000</v>
      </c>
      <c r="J181" s="3">
        <f t="shared" ref="J181:J196" si="14">+I181-ROUND(I181*0.12,0)</f>
        <v>25520</v>
      </c>
      <c r="L181" s="1102" t="s">
        <v>17</v>
      </c>
      <c r="M181" s="811">
        <v>45707</v>
      </c>
      <c r="N181" s="811"/>
      <c r="O181" s="811"/>
      <c r="P181" s="811"/>
      <c r="T181" s="14"/>
      <c r="U181" s="360"/>
      <c r="V181" s="360"/>
    </row>
    <row r="182" spans="1:22" ht="14.45" hidden="1" customHeight="1" x14ac:dyDescent="0.25">
      <c r="A182" s="509">
        <v>27062024</v>
      </c>
      <c r="B182" t="s">
        <v>930</v>
      </c>
      <c r="C182" t="s">
        <v>3932</v>
      </c>
      <c r="D182" s="803">
        <v>45470</v>
      </c>
      <c r="E182" s="102"/>
      <c r="F182" s="726" t="s">
        <v>293</v>
      </c>
      <c r="G182" s="362" t="s">
        <v>4462</v>
      </c>
      <c r="H182" s="726" t="s">
        <v>4466</v>
      </c>
      <c r="I182" s="805">
        <v>25000</v>
      </c>
      <c r="J182" s="3">
        <f t="shared" si="14"/>
        <v>22000</v>
      </c>
      <c r="L182" s="1102" t="s">
        <v>17</v>
      </c>
      <c r="M182" s="811">
        <v>45737</v>
      </c>
      <c r="N182" s="811"/>
      <c r="O182" s="811"/>
      <c r="P182" s="811"/>
      <c r="T182" s="14"/>
      <c r="U182" s="360"/>
      <c r="V182" s="360"/>
    </row>
    <row r="183" spans="1:22" ht="14.45" hidden="1" customHeight="1" x14ac:dyDescent="0.25">
      <c r="A183" s="509">
        <v>28062024</v>
      </c>
      <c r="B183" t="s">
        <v>930</v>
      </c>
      <c r="C183" t="s">
        <v>809</v>
      </c>
      <c r="D183" s="803">
        <v>45471</v>
      </c>
      <c r="E183" s="102"/>
      <c r="F183" s="726" t="s">
        <v>294</v>
      </c>
      <c r="G183" s="362" t="s">
        <v>4431</v>
      </c>
      <c r="H183" s="726" t="s">
        <v>4433</v>
      </c>
      <c r="I183" s="804">
        <v>24886</v>
      </c>
      <c r="J183" s="3">
        <f t="shared" si="14"/>
        <v>21900</v>
      </c>
      <c r="L183" s="1102" t="s">
        <v>17</v>
      </c>
      <c r="M183" s="811">
        <v>45737</v>
      </c>
      <c r="N183" s="811"/>
      <c r="O183" s="811"/>
      <c r="P183" s="811"/>
      <c r="T183" s="14" t="s">
        <v>4424</v>
      </c>
      <c r="U183" s="360"/>
      <c r="V183" s="360"/>
    </row>
    <row r="184" spans="1:22" ht="14.45" hidden="1" customHeight="1" x14ac:dyDescent="0.25">
      <c r="A184" s="509">
        <v>30062024</v>
      </c>
      <c r="B184" t="s">
        <v>930</v>
      </c>
      <c r="C184" t="s">
        <v>4218</v>
      </c>
      <c r="D184" s="803">
        <v>45473</v>
      </c>
      <c r="E184" s="102"/>
      <c r="F184" s="726" t="s">
        <v>294</v>
      </c>
      <c r="G184" s="362" t="s">
        <v>4432</v>
      </c>
      <c r="H184" s="726" t="s">
        <v>4434</v>
      </c>
      <c r="I184" s="804">
        <v>24886</v>
      </c>
      <c r="J184" s="3">
        <f t="shared" si="14"/>
        <v>21900</v>
      </c>
      <c r="L184" s="1102" t="s">
        <v>17</v>
      </c>
      <c r="M184" s="811">
        <v>45737</v>
      </c>
      <c r="N184" s="811"/>
      <c r="O184" s="811"/>
      <c r="P184" s="811"/>
      <c r="T184" s="14" t="s">
        <v>4097</v>
      </c>
      <c r="U184" s="360">
        <v>0.60902777777777783</v>
      </c>
      <c r="V184" s="360">
        <v>0.79375000000000007</v>
      </c>
    </row>
    <row r="185" spans="1:22" ht="14.45" hidden="1" customHeight="1" x14ac:dyDescent="0.25">
      <c r="A185" s="483" t="s">
        <v>4491</v>
      </c>
      <c r="B185" t="s">
        <v>930</v>
      </c>
      <c r="C185" t="s">
        <v>4218</v>
      </c>
      <c r="D185" s="803">
        <v>45484</v>
      </c>
      <c r="E185" s="102"/>
      <c r="F185" s="726" t="s">
        <v>295</v>
      </c>
      <c r="G185" s="362" t="s">
        <v>4518</v>
      </c>
      <c r="H185" s="726" t="s">
        <v>4532</v>
      </c>
      <c r="I185" s="804">
        <v>29000</v>
      </c>
      <c r="J185" s="3">
        <f t="shared" si="14"/>
        <v>25520</v>
      </c>
      <c r="L185" s="1102" t="s">
        <v>17</v>
      </c>
      <c r="M185" s="811">
        <v>45737</v>
      </c>
      <c r="N185" s="811"/>
      <c r="O185" s="811"/>
      <c r="P185" s="811"/>
      <c r="T185" s="14" t="s">
        <v>4097</v>
      </c>
      <c r="U185" s="360">
        <v>0.63958333333333328</v>
      </c>
      <c r="V185" s="30"/>
    </row>
    <row r="186" spans="1:22" ht="14.1" hidden="1" customHeight="1" x14ac:dyDescent="0.25">
      <c r="A186" s="483">
        <v>18072024</v>
      </c>
      <c r="B186" t="s">
        <v>930</v>
      </c>
      <c r="C186" t="s">
        <v>809</v>
      </c>
      <c r="D186" s="803">
        <v>45491</v>
      </c>
      <c r="E186" s="102"/>
      <c r="F186" s="726" t="s">
        <v>294</v>
      </c>
      <c r="G186" s="362" t="s">
        <v>4599</v>
      </c>
      <c r="H186" s="726" t="s">
        <v>4602</v>
      </c>
      <c r="I186" s="804">
        <v>24886</v>
      </c>
      <c r="J186" s="3">
        <f t="shared" si="14"/>
        <v>21900</v>
      </c>
      <c r="L186" s="1102" t="s">
        <v>17</v>
      </c>
      <c r="M186" s="811">
        <v>45737</v>
      </c>
      <c r="N186" s="811"/>
      <c r="O186" s="811"/>
      <c r="P186" s="811"/>
      <c r="T186" s="14" t="s">
        <v>3668</v>
      </c>
      <c r="U186" s="360">
        <v>0.50763888888888886</v>
      </c>
      <c r="V186" s="360">
        <v>0.67291666666666661</v>
      </c>
    </row>
    <row r="187" spans="1:22" ht="14.45" customHeight="1" thickBot="1" x14ac:dyDescent="0.3">
      <c r="A187" s="483">
        <v>23072024</v>
      </c>
      <c r="B187" t="s">
        <v>930</v>
      </c>
      <c r="C187" t="s">
        <v>4218</v>
      </c>
      <c r="D187" s="803">
        <v>45496</v>
      </c>
      <c r="E187" s="102"/>
      <c r="F187" s="726" t="s">
        <v>293</v>
      </c>
      <c r="G187" s="362" t="s">
        <v>4600</v>
      </c>
      <c r="H187" s="1457" t="s">
        <v>4603</v>
      </c>
      <c r="I187" s="804">
        <v>25000</v>
      </c>
      <c r="J187" s="3">
        <f>+I187-ROUND(I187*0.12,0)</f>
        <v>22000</v>
      </c>
      <c r="L187" s="1102"/>
      <c r="M187" s="811"/>
      <c r="N187" s="811"/>
      <c r="O187" s="811"/>
      <c r="P187" s="811"/>
      <c r="T187" s="14" t="s">
        <v>4022</v>
      </c>
      <c r="U187" s="360">
        <v>0.56180555555555556</v>
      </c>
      <c r="V187" s="360">
        <v>0.77083333333333337</v>
      </c>
    </row>
    <row r="188" spans="1:22" ht="14.45" hidden="1" customHeight="1" x14ac:dyDescent="0.25">
      <c r="A188" s="95" t="s">
        <v>4616</v>
      </c>
      <c r="B188" t="s">
        <v>930</v>
      </c>
      <c r="C188" t="s">
        <v>410</v>
      </c>
      <c r="D188" s="233">
        <v>45513</v>
      </c>
      <c r="F188" t="s">
        <v>294</v>
      </c>
      <c r="G188" s="30" t="s">
        <v>4627</v>
      </c>
      <c r="H188" s="30" t="s">
        <v>4931</v>
      </c>
      <c r="I188" s="236">
        <v>24886</v>
      </c>
      <c r="J188" s="3">
        <f t="shared" si="14"/>
        <v>21900</v>
      </c>
      <c r="K188" s="688"/>
      <c r="L188" s="1102" t="s">
        <v>17</v>
      </c>
      <c r="M188" s="811">
        <v>45685</v>
      </c>
      <c r="N188" s="811"/>
      <c r="O188" s="811"/>
      <c r="P188" s="811"/>
      <c r="T188" t="s">
        <v>4617</v>
      </c>
      <c r="U188" s="360">
        <v>0.55694444444444446</v>
      </c>
      <c r="V188" s="360"/>
    </row>
    <row r="189" spans="1:22" ht="14.45" hidden="1" customHeight="1" x14ac:dyDescent="0.25">
      <c r="A189" s="95">
        <v>10082024</v>
      </c>
      <c r="B189" t="s">
        <v>930</v>
      </c>
      <c r="C189" t="s">
        <v>410</v>
      </c>
      <c r="D189" s="233">
        <v>45514</v>
      </c>
      <c r="F189" t="s">
        <v>293</v>
      </c>
      <c r="G189" s="30" t="s">
        <v>4628</v>
      </c>
      <c r="H189" s="30" t="s">
        <v>4932</v>
      </c>
      <c r="I189" s="236">
        <v>25000</v>
      </c>
      <c r="J189" s="3">
        <f t="shared" si="14"/>
        <v>22000</v>
      </c>
      <c r="K189" s="688"/>
      <c r="L189" s="1102" t="s">
        <v>17</v>
      </c>
      <c r="M189" s="811">
        <v>45685</v>
      </c>
      <c r="N189" s="811"/>
      <c r="O189" s="811"/>
      <c r="P189" s="811"/>
      <c r="T189" t="s">
        <v>4550</v>
      </c>
      <c r="U189" s="360">
        <v>0.46249999999999997</v>
      </c>
      <c r="V189" s="360">
        <v>0.72291666666666676</v>
      </c>
    </row>
    <row r="190" spans="1:22" ht="14.45" hidden="1" customHeight="1" x14ac:dyDescent="0.25">
      <c r="A190" s="95">
        <v>25082024</v>
      </c>
      <c r="B190" t="s">
        <v>930</v>
      </c>
      <c r="C190" t="s">
        <v>410</v>
      </c>
      <c r="D190" s="233">
        <v>45529</v>
      </c>
      <c r="F190" t="s">
        <v>294</v>
      </c>
      <c r="G190" s="30" t="s">
        <v>4690</v>
      </c>
      <c r="H190" s="30" t="s">
        <v>4933</v>
      </c>
      <c r="I190" s="236">
        <v>24886</v>
      </c>
      <c r="J190" s="3">
        <f t="shared" si="14"/>
        <v>21900</v>
      </c>
      <c r="K190" s="688"/>
      <c r="L190" s="1102" t="s">
        <v>17</v>
      </c>
      <c r="M190" s="811">
        <v>45685</v>
      </c>
      <c r="N190" s="811"/>
      <c r="O190" s="811"/>
      <c r="P190" s="811"/>
      <c r="T190" t="s">
        <v>4070</v>
      </c>
      <c r="U190" s="360">
        <v>0.43263888888888885</v>
      </c>
      <c r="V190" s="360">
        <v>14.1</v>
      </c>
    </row>
    <row r="191" spans="1:22" ht="14.45" hidden="1" customHeight="1" x14ac:dyDescent="0.25">
      <c r="A191" s="95">
        <v>28082024</v>
      </c>
      <c r="B191" t="s">
        <v>930</v>
      </c>
      <c r="C191" t="s">
        <v>4218</v>
      </c>
      <c r="D191" s="233">
        <v>45532</v>
      </c>
      <c r="F191" t="s">
        <v>294</v>
      </c>
      <c r="G191" s="30" t="s">
        <v>4723</v>
      </c>
      <c r="H191" s="30" t="s">
        <v>4934</v>
      </c>
      <c r="I191" s="236">
        <v>24886</v>
      </c>
      <c r="J191" s="3">
        <f t="shared" si="14"/>
        <v>21900</v>
      </c>
      <c r="K191" s="688"/>
      <c r="L191" s="1102" t="s">
        <v>17</v>
      </c>
      <c r="M191" s="811">
        <v>45685</v>
      </c>
      <c r="N191" s="811"/>
      <c r="O191" s="811"/>
      <c r="P191" s="811"/>
      <c r="T191" t="s">
        <v>4277</v>
      </c>
      <c r="U191" s="360">
        <v>0.76041666666666663</v>
      </c>
      <c r="V191" s="360">
        <v>0.92569444444444449</v>
      </c>
    </row>
    <row r="192" spans="1:22" ht="14.45" hidden="1" customHeight="1" x14ac:dyDescent="0.25">
      <c r="A192" s="95">
        <v>5092024</v>
      </c>
      <c r="B192" t="s">
        <v>930</v>
      </c>
      <c r="C192" t="s">
        <v>4437</v>
      </c>
      <c r="D192" s="233">
        <v>45540</v>
      </c>
      <c r="F192" t="s">
        <v>294</v>
      </c>
      <c r="G192" s="30" t="s">
        <v>4754</v>
      </c>
      <c r="H192" s="30" t="s">
        <v>4935</v>
      </c>
      <c r="I192" s="313">
        <v>24886</v>
      </c>
      <c r="J192" s="3">
        <f t="shared" si="14"/>
        <v>21900</v>
      </c>
      <c r="K192" s="688"/>
      <c r="L192" s="1102" t="s">
        <v>17</v>
      </c>
      <c r="M192" s="811">
        <v>45685</v>
      </c>
      <c r="N192" s="811"/>
      <c r="O192" s="811"/>
      <c r="P192" s="811"/>
      <c r="T192" t="s">
        <v>4396</v>
      </c>
      <c r="U192" s="360">
        <v>0.74513888888888891</v>
      </c>
      <c r="V192" s="360">
        <v>0.9291666666666667</v>
      </c>
    </row>
    <row r="193" spans="1:22" ht="14.45" hidden="1" customHeight="1" x14ac:dyDescent="0.25">
      <c r="A193" s="95">
        <v>12092024</v>
      </c>
      <c r="B193" t="s">
        <v>930</v>
      </c>
      <c r="C193" t="s">
        <v>410</v>
      </c>
      <c r="D193" s="233">
        <v>45547</v>
      </c>
      <c r="F193" t="s">
        <v>294</v>
      </c>
      <c r="G193" s="30" t="s">
        <v>4753</v>
      </c>
      <c r="H193" s="30" t="s">
        <v>4936</v>
      </c>
      <c r="I193" s="236">
        <v>24886</v>
      </c>
      <c r="J193" s="3">
        <f t="shared" si="14"/>
        <v>21900</v>
      </c>
      <c r="K193" s="688"/>
      <c r="L193" s="1102" t="s">
        <v>17</v>
      </c>
      <c r="M193" s="811">
        <v>45685</v>
      </c>
      <c r="N193" s="811"/>
      <c r="O193" s="811"/>
      <c r="P193" s="811"/>
      <c r="T193" t="s">
        <v>1644</v>
      </c>
      <c r="U193" s="360">
        <v>0.44791666666666669</v>
      </c>
      <c r="V193" s="30"/>
    </row>
    <row r="194" spans="1:22" ht="14.45" hidden="1" customHeight="1" x14ac:dyDescent="0.25">
      <c r="A194" s="95">
        <v>25092024</v>
      </c>
      <c r="B194" t="s">
        <v>930</v>
      </c>
      <c r="C194" t="s">
        <v>4218</v>
      </c>
      <c r="D194" s="233">
        <v>45560</v>
      </c>
      <c r="F194" t="s">
        <v>294</v>
      </c>
      <c r="G194" s="30" t="s">
        <v>4851</v>
      </c>
      <c r="H194" s="30" t="s">
        <v>4937</v>
      </c>
      <c r="I194" s="313">
        <v>24886</v>
      </c>
      <c r="J194" s="3">
        <f t="shared" si="14"/>
        <v>21900</v>
      </c>
      <c r="K194" s="688"/>
      <c r="L194" s="1102" t="s">
        <v>17</v>
      </c>
      <c r="M194" s="811">
        <v>45685</v>
      </c>
      <c r="N194" s="811"/>
      <c r="O194" s="811"/>
      <c r="P194" s="811"/>
      <c r="T194" t="s">
        <v>4139</v>
      </c>
      <c r="U194" s="360">
        <v>0.53888888888888886</v>
      </c>
      <c r="V194" s="360"/>
    </row>
    <row r="195" spans="1:22" ht="14.45" hidden="1" customHeight="1" x14ac:dyDescent="0.25">
      <c r="A195" s="95">
        <v>28092024</v>
      </c>
      <c r="B195" t="s">
        <v>930</v>
      </c>
      <c r="C195" t="s">
        <v>3932</v>
      </c>
      <c r="D195" s="233">
        <v>45563</v>
      </c>
      <c r="F195" t="s">
        <v>295</v>
      </c>
      <c r="G195" s="30" t="s">
        <v>4898</v>
      </c>
      <c r="H195" s="30" t="s">
        <v>4938</v>
      </c>
      <c r="I195" s="236">
        <v>29000</v>
      </c>
      <c r="J195" s="3">
        <f t="shared" si="14"/>
        <v>25520</v>
      </c>
      <c r="K195" s="688"/>
      <c r="L195" s="1102" t="s">
        <v>17</v>
      </c>
      <c r="M195" s="811">
        <v>45685</v>
      </c>
      <c r="N195" s="811"/>
      <c r="O195" s="811"/>
      <c r="P195" s="811"/>
      <c r="T195" s="5" t="s">
        <v>3932</v>
      </c>
      <c r="U195" s="360"/>
      <c r="V195" s="360"/>
    </row>
    <row r="196" spans="1:22" ht="14.45" hidden="1" customHeight="1" thickBot="1" x14ac:dyDescent="0.3">
      <c r="A196" s="483" t="s">
        <v>4907</v>
      </c>
      <c r="B196" t="s">
        <v>930</v>
      </c>
      <c r="C196" t="s">
        <v>4218</v>
      </c>
      <c r="D196" s="233">
        <v>45575</v>
      </c>
      <c r="F196" t="s">
        <v>294</v>
      </c>
      <c r="G196" s="30" t="s">
        <v>4924</v>
      </c>
      <c r="H196" s="30" t="s">
        <v>4939</v>
      </c>
      <c r="I196" s="313">
        <v>24886</v>
      </c>
      <c r="J196" s="3">
        <f t="shared" si="14"/>
        <v>21900</v>
      </c>
      <c r="K196" s="688"/>
      <c r="L196" s="1102" t="s">
        <v>17</v>
      </c>
      <c r="M196" s="811">
        <v>45685</v>
      </c>
      <c r="N196" s="811"/>
      <c r="O196" s="811"/>
      <c r="P196" s="811"/>
      <c r="T196" t="s">
        <v>4867</v>
      </c>
      <c r="U196" s="360">
        <v>0.73958333333333337</v>
      </c>
      <c r="V196" s="360">
        <v>0.89166666666666672</v>
      </c>
    </row>
    <row r="197" spans="1:22" ht="15" customHeight="1" thickBot="1" x14ac:dyDescent="0.3">
      <c r="I197" s="816">
        <f>SUBTOTAL(9,I157:I196)</f>
        <v>49886</v>
      </c>
      <c r="J197" s="88"/>
      <c r="L197" s="1102"/>
      <c r="M197" s="811"/>
      <c r="N197" s="811"/>
      <c r="O197" s="811"/>
      <c r="P197" s="811"/>
    </row>
    <row r="198" spans="1:22" ht="14.45" customHeight="1" x14ac:dyDescent="0.25">
      <c r="G198" s="30"/>
      <c r="I198" s="447"/>
      <c r="J198" s="88"/>
      <c r="L198" s="1102"/>
      <c r="M198" s="811"/>
      <c r="N198" s="811"/>
      <c r="O198" s="811"/>
      <c r="P198" s="811"/>
    </row>
    <row r="199" spans="1:22" ht="14.45" customHeight="1" x14ac:dyDescent="0.25">
      <c r="D199" s="233"/>
      <c r="I199" s="447"/>
      <c r="J199" s="88"/>
      <c r="L199" s="1102"/>
      <c r="M199" s="811"/>
      <c r="N199" s="811"/>
      <c r="O199" s="811"/>
      <c r="P199" s="811"/>
    </row>
    <row r="200" spans="1:22" ht="14.45" customHeight="1" thickBot="1" x14ac:dyDescent="0.3">
      <c r="D200" s="233"/>
      <c r="I200" s="447"/>
      <c r="J200" s="88"/>
      <c r="L200" s="1102"/>
      <c r="M200" s="811"/>
      <c r="N200" s="811"/>
      <c r="O200" s="811"/>
      <c r="P200" s="811"/>
    </row>
    <row r="201" spans="1:22" ht="15" customHeight="1" thickBot="1" x14ac:dyDescent="0.3">
      <c r="D201" s="1487" t="s">
        <v>5448</v>
      </c>
      <c r="E201" s="1488"/>
      <c r="F201" s="1488"/>
      <c r="G201" s="1488"/>
      <c r="H201" s="1488"/>
      <c r="I201" s="1489"/>
      <c r="J201" s="88"/>
      <c r="L201" s="1102"/>
      <c r="M201" s="811"/>
      <c r="N201" s="811"/>
      <c r="O201" s="811"/>
      <c r="P201" s="811"/>
    </row>
    <row r="202" spans="1:22" ht="14.45" hidden="1" customHeight="1" x14ac:dyDescent="0.25">
      <c r="A202" s="95">
        <v>16112023</v>
      </c>
      <c r="B202" t="s">
        <v>3201</v>
      </c>
      <c r="C202" t="s">
        <v>13</v>
      </c>
      <c r="D202" s="122">
        <v>45246</v>
      </c>
      <c r="F202" s="28" t="s">
        <v>294</v>
      </c>
      <c r="G202" t="s">
        <v>3211</v>
      </c>
      <c r="H202" t="s">
        <v>3337</v>
      </c>
      <c r="I202" s="322">
        <v>33182</v>
      </c>
      <c r="J202" s="88">
        <f>+I202*0.88</f>
        <v>29200.16</v>
      </c>
      <c r="K202" s="32">
        <f>+I202/1.18</f>
        <v>28120.338983050849</v>
      </c>
      <c r="L202" s="1102" t="s">
        <v>17</v>
      </c>
      <c r="M202" s="811">
        <v>45295</v>
      </c>
      <c r="N202" s="811"/>
      <c r="O202" s="811"/>
      <c r="P202" s="811"/>
      <c r="T202" s="14" t="s">
        <v>2037</v>
      </c>
      <c r="U202" s="14">
        <v>0.53333333333333333</v>
      </c>
      <c r="V202" s="14">
        <v>0.73888888888888893</v>
      </c>
    </row>
    <row r="203" spans="1:22" ht="14.45" hidden="1" customHeight="1" x14ac:dyDescent="0.25">
      <c r="A203" s="95">
        <v>30112023</v>
      </c>
      <c r="B203" t="s">
        <v>3240</v>
      </c>
      <c r="C203" t="s">
        <v>13</v>
      </c>
      <c r="D203" s="374">
        <v>45260</v>
      </c>
      <c r="F203" s="28" t="s">
        <v>294</v>
      </c>
      <c r="G203" s="673" t="s">
        <v>3316</v>
      </c>
      <c r="H203" s="30" t="s">
        <v>3706</v>
      </c>
      <c r="I203" s="481">
        <v>33182</v>
      </c>
      <c r="J203" s="88">
        <f t="shared" ref="J203:J209" si="15">+I203*0.88</f>
        <v>29200.16</v>
      </c>
      <c r="K203" s="688">
        <f>ROUNDDOWN((I203*0.88),0)</f>
        <v>29200</v>
      </c>
      <c r="L203" s="1102" t="s">
        <v>17</v>
      </c>
      <c r="M203" s="917">
        <v>45583</v>
      </c>
      <c r="N203" s="811" t="s">
        <v>388</v>
      </c>
      <c r="O203" s="811"/>
      <c r="P203" s="811"/>
      <c r="T203" s="14"/>
      <c r="U203" s="14">
        <v>0.30833333333333335</v>
      </c>
      <c r="V203" s="14">
        <v>0.5180555555555556</v>
      </c>
    </row>
    <row r="204" spans="1:22" ht="14.45" hidden="1" customHeight="1" x14ac:dyDescent="0.25">
      <c r="A204" s="514" t="s">
        <v>3330</v>
      </c>
      <c r="B204" t="s">
        <v>930</v>
      </c>
      <c r="C204" t="s">
        <v>410</v>
      </c>
      <c r="D204" s="374">
        <v>45278</v>
      </c>
      <c r="F204" s="28" t="s">
        <v>3342</v>
      </c>
      <c r="G204" s="673" t="s">
        <v>3357</v>
      </c>
      <c r="H204" s="30" t="s">
        <v>3707</v>
      </c>
      <c r="I204" s="481">
        <v>33182</v>
      </c>
      <c r="J204" s="88">
        <f t="shared" si="15"/>
        <v>29200.16</v>
      </c>
      <c r="K204" s="688">
        <f t="shared" ref="K204:K209" si="16">ROUNDDOWN((I204*0.88),0)</f>
        <v>29200</v>
      </c>
      <c r="L204" s="1102" t="s">
        <v>17</v>
      </c>
      <c r="M204" s="917">
        <v>45583</v>
      </c>
      <c r="N204" s="811" t="s">
        <v>388</v>
      </c>
      <c r="O204" s="811"/>
      <c r="P204" s="811"/>
      <c r="T204" s="14"/>
      <c r="U204" s="14">
        <v>0.80625000000000002</v>
      </c>
      <c r="V204" s="512">
        <v>0.875</v>
      </c>
    </row>
    <row r="205" spans="1:22" ht="14.45" hidden="1" customHeight="1" x14ac:dyDescent="0.25">
      <c r="A205" s="95">
        <v>15012024</v>
      </c>
      <c r="B205" s="30" t="s">
        <v>930</v>
      </c>
      <c r="C205" t="s">
        <v>3414</v>
      </c>
      <c r="D205" s="374">
        <v>45306</v>
      </c>
      <c r="F205" s="28" t="s">
        <v>294</v>
      </c>
      <c r="G205" s="673" t="s">
        <v>4876</v>
      </c>
      <c r="H205" s="30" t="s">
        <v>3708</v>
      </c>
      <c r="I205" s="481">
        <v>33182</v>
      </c>
      <c r="J205" s="88">
        <f t="shared" si="15"/>
        <v>29200.16</v>
      </c>
      <c r="K205" s="688">
        <f t="shared" si="16"/>
        <v>29200</v>
      </c>
      <c r="L205" s="1102" t="s">
        <v>17</v>
      </c>
      <c r="M205" s="917">
        <v>45583</v>
      </c>
      <c r="N205" s="811" t="s">
        <v>388</v>
      </c>
      <c r="O205" s="811"/>
      <c r="P205" s="811"/>
      <c r="T205" s="14"/>
      <c r="U205" s="360">
        <v>0.6791666666666667</v>
      </c>
      <c r="V205" s="580">
        <v>0.93611111111111101</v>
      </c>
    </row>
    <row r="206" spans="1:22" ht="14.45" hidden="1" customHeight="1" x14ac:dyDescent="0.25">
      <c r="A206" s="95">
        <v>20012024</v>
      </c>
      <c r="B206" s="30" t="s">
        <v>930</v>
      </c>
      <c r="C206" t="s">
        <v>3414</v>
      </c>
      <c r="D206" s="374">
        <v>45311</v>
      </c>
      <c r="F206" s="28" t="s">
        <v>294</v>
      </c>
      <c r="G206" s="673" t="s">
        <v>3583</v>
      </c>
      <c r="H206" s="30" t="s">
        <v>3709</v>
      </c>
      <c r="I206" s="481">
        <v>33182</v>
      </c>
      <c r="J206" s="88">
        <f t="shared" si="15"/>
        <v>29200.16</v>
      </c>
      <c r="K206" s="688">
        <f t="shared" si="16"/>
        <v>29200</v>
      </c>
      <c r="L206" s="1102" t="s">
        <v>17</v>
      </c>
      <c r="M206" s="917">
        <v>45583</v>
      </c>
      <c r="N206" s="811" t="s">
        <v>388</v>
      </c>
      <c r="O206" s="811"/>
      <c r="P206" s="811"/>
      <c r="T206" s="14"/>
      <c r="U206" s="360">
        <v>0.68472222222222223</v>
      </c>
      <c r="V206" s="580">
        <v>0.87430555555555556</v>
      </c>
    </row>
    <row r="207" spans="1:22" ht="14.45" hidden="1" customHeight="1" x14ac:dyDescent="0.25">
      <c r="A207" s="95">
        <v>23012024</v>
      </c>
      <c r="B207" s="30" t="s">
        <v>930</v>
      </c>
      <c r="C207" t="s">
        <v>3414</v>
      </c>
      <c r="D207" s="374">
        <v>45314</v>
      </c>
      <c r="F207" s="28" t="s">
        <v>294</v>
      </c>
      <c r="G207" s="673" t="s">
        <v>3618</v>
      </c>
      <c r="H207" s="30" t="s">
        <v>3710</v>
      </c>
      <c r="I207" s="322">
        <v>33182</v>
      </c>
      <c r="J207" s="88">
        <f t="shared" si="15"/>
        <v>29200.16</v>
      </c>
      <c r="K207" s="688">
        <f t="shared" si="16"/>
        <v>29200</v>
      </c>
      <c r="L207" s="1102" t="s">
        <v>17</v>
      </c>
      <c r="M207" s="917">
        <v>45583</v>
      </c>
      <c r="N207" s="811" t="s">
        <v>388</v>
      </c>
      <c r="O207" s="811"/>
      <c r="P207" s="811"/>
      <c r="T207" s="14"/>
      <c r="U207" s="360"/>
      <c r="V207" s="580"/>
    </row>
    <row r="208" spans="1:22" ht="14.45" hidden="1" customHeight="1" x14ac:dyDescent="0.25">
      <c r="A208" s="509">
        <v>20022024</v>
      </c>
      <c r="B208" s="30" t="s">
        <v>930</v>
      </c>
      <c r="C208" t="s">
        <v>410</v>
      </c>
      <c r="D208" s="374">
        <v>45342</v>
      </c>
      <c r="F208" s="28" t="s">
        <v>294</v>
      </c>
      <c r="G208" s="673" t="s">
        <v>3874</v>
      </c>
      <c r="H208" s="30" t="s">
        <v>4325</v>
      </c>
      <c r="I208" s="481">
        <v>33182</v>
      </c>
      <c r="J208" s="88">
        <f t="shared" si="15"/>
        <v>29200.16</v>
      </c>
      <c r="K208" s="688">
        <f t="shared" si="16"/>
        <v>29200</v>
      </c>
      <c r="L208" s="1102" t="s">
        <v>17</v>
      </c>
      <c r="M208" s="917">
        <v>45583</v>
      </c>
      <c r="N208" s="811" t="s">
        <v>388</v>
      </c>
      <c r="O208" s="811"/>
      <c r="P208" s="811"/>
      <c r="T208" s="14"/>
      <c r="U208" s="360">
        <v>0.59166666666666667</v>
      </c>
      <c r="V208" s="360">
        <v>0.78055555555555556</v>
      </c>
    </row>
    <row r="209" spans="1:22" ht="14.45" hidden="1" customHeight="1" x14ac:dyDescent="0.25">
      <c r="A209" s="509">
        <v>17032024</v>
      </c>
      <c r="B209" s="30" t="s">
        <v>930</v>
      </c>
      <c r="C209" t="s">
        <v>410</v>
      </c>
      <c r="D209" s="374">
        <v>45368</v>
      </c>
      <c r="F209" s="28" t="s">
        <v>294</v>
      </c>
      <c r="G209" s="673" t="s">
        <v>4011</v>
      </c>
      <c r="H209" s="30" t="s">
        <v>4315</v>
      </c>
      <c r="I209" s="481">
        <v>33182</v>
      </c>
      <c r="J209" s="88">
        <f t="shared" si="15"/>
        <v>29200.16</v>
      </c>
      <c r="K209" s="688">
        <f t="shared" si="16"/>
        <v>29200</v>
      </c>
      <c r="L209" s="1102" t="s">
        <v>17</v>
      </c>
      <c r="M209" s="917">
        <v>45583</v>
      </c>
      <c r="N209" s="811" t="s">
        <v>388</v>
      </c>
      <c r="O209" s="811"/>
      <c r="P209" s="811"/>
      <c r="T209" s="14"/>
      <c r="U209" s="360">
        <v>0.29444444444444445</v>
      </c>
      <c r="V209" s="360">
        <v>0.46736111111111112</v>
      </c>
    </row>
    <row r="210" spans="1:22" ht="14.45" customHeight="1" thickBot="1" x14ac:dyDescent="0.3">
      <c r="A210" s="509">
        <v>18032024</v>
      </c>
      <c r="B210" s="30" t="s">
        <v>930</v>
      </c>
      <c r="C210" t="s">
        <v>13</v>
      </c>
      <c r="D210" s="1099">
        <v>45369</v>
      </c>
      <c r="E210" s="1030"/>
      <c r="F210" s="1029" t="s">
        <v>294</v>
      </c>
      <c r="G210" s="725" t="s">
        <v>4010</v>
      </c>
      <c r="H210" s="1456" t="s">
        <v>4316</v>
      </c>
      <c r="I210" s="1023">
        <v>33182</v>
      </c>
      <c r="J210" s="22">
        <f>+I210-ROUND(I210*0.12,0)</f>
        <v>29200</v>
      </c>
      <c r="K210" s="21"/>
      <c r="L210" s="169"/>
      <c r="M210" s="1083"/>
      <c r="N210" s="811"/>
      <c r="O210" s="811"/>
      <c r="P210" s="811"/>
      <c r="T210" s="14"/>
      <c r="U210" s="360">
        <v>0.67708333333333337</v>
      </c>
      <c r="V210" s="360">
        <v>0.85902777777777783</v>
      </c>
    </row>
    <row r="211" spans="1:22" ht="14.45" hidden="1" customHeight="1" x14ac:dyDescent="0.25">
      <c r="A211" s="509">
        <v>21032024</v>
      </c>
      <c r="B211" s="30" t="s">
        <v>930</v>
      </c>
      <c r="C211" t="s">
        <v>410</v>
      </c>
      <c r="D211" s="374">
        <v>45372</v>
      </c>
      <c r="F211" s="28" t="s">
        <v>294</v>
      </c>
      <c r="G211" s="673" t="s">
        <v>4009</v>
      </c>
      <c r="H211" s="30" t="s">
        <v>4317</v>
      </c>
      <c r="I211" s="481">
        <v>33182</v>
      </c>
      <c r="J211" s="88">
        <f t="shared" ref="J211:J220" si="17">+I211*0.88</f>
        <v>29200.16</v>
      </c>
      <c r="K211" s="688">
        <f t="shared" ref="K211:K220" si="18">ROUNDDOWN((I211*0.88),0)</f>
        <v>29200</v>
      </c>
      <c r="L211" s="1102" t="s">
        <v>17</v>
      </c>
      <c r="M211" s="917">
        <v>45583</v>
      </c>
      <c r="N211" s="811" t="s">
        <v>388</v>
      </c>
      <c r="O211" s="811"/>
      <c r="P211" s="811"/>
      <c r="T211" s="14"/>
      <c r="U211" s="360">
        <v>0.3972222222222222</v>
      </c>
      <c r="V211" s="360"/>
    </row>
    <row r="212" spans="1:22" ht="14.45" hidden="1" customHeight="1" x14ac:dyDescent="0.25">
      <c r="A212" s="483">
        <v>18042024</v>
      </c>
      <c r="B212" t="s">
        <v>930</v>
      </c>
      <c r="C212" t="s">
        <v>13</v>
      </c>
      <c r="D212" s="233">
        <v>45400</v>
      </c>
      <c r="F212" s="28" t="s">
        <v>294</v>
      </c>
      <c r="G212" s="673" t="s">
        <v>4153</v>
      </c>
      <c r="H212" s="30" t="s">
        <v>4318</v>
      </c>
      <c r="I212" s="481">
        <v>33182</v>
      </c>
      <c r="J212" s="88">
        <f t="shared" si="17"/>
        <v>29200.16</v>
      </c>
      <c r="K212" s="688">
        <f t="shared" si="18"/>
        <v>29200</v>
      </c>
      <c r="L212" s="1102" t="s">
        <v>17</v>
      </c>
      <c r="M212" s="917">
        <v>45583</v>
      </c>
      <c r="N212" s="811" t="s">
        <v>388</v>
      </c>
      <c r="O212" s="811"/>
      <c r="P212" s="811"/>
      <c r="T212" s="14"/>
      <c r="U212" s="360"/>
      <c r="V212" s="360"/>
    </row>
    <row r="213" spans="1:22" ht="14.45" hidden="1" customHeight="1" x14ac:dyDescent="0.25">
      <c r="A213" s="509">
        <v>2052024</v>
      </c>
      <c r="B213" t="s">
        <v>930</v>
      </c>
      <c r="C213" t="s">
        <v>13</v>
      </c>
      <c r="D213" s="233">
        <v>45414</v>
      </c>
      <c r="F213" s="28" t="s">
        <v>294</v>
      </c>
      <c r="G213" s="673" t="s">
        <v>4151</v>
      </c>
      <c r="H213" s="30" t="s">
        <v>4319</v>
      </c>
      <c r="I213" s="481">
        <v>33182</v>
      </c>
      <c r="J213" s="88">
        <f t="shared" si="17"/>
        <v>29200.16</v>
      </c>
      <c r="K213" s="688">
        <f t="shared" si="18"/>
        <v>29200</v>
      </c>
      <c r="L213" s="1102" t="s">
        <v>17</v>
      </c>
      <c r="M213" s="917">
        <v>45583</v>
      </c>
      <c r="N213" s="811" t="s">
        <v>388</v>
      </c>
      <c r="O213" s="811"/>
      <c r="P213" s="811"/>
      <c r="T213" s="14"/>
      <c r="U213" s="360">
        <v>0.72499999999999998</v>
      </c>
      <c r="V213" s="360">
        <v>0.92569444444444449</v>
      </c>
    </row>
    <row r="214" spans="1:22" ht="14.45" hidden="1" customHeight="1" x14ac:dyDescent="0.25">
      <c r="A214" s="509">
        <v>8052024</v>
      </c>
      <c r="B214" t="s">
        <v>930</v>
      </c>
      <c r="C214" t="s">
        <v>13</v>
      </c>
      <c r="D214" s="233">
        <v>45420</v>
      </c>
      <c r="F214" s="28" t="s">
        <v>294</v>
      </c>
      <c r="G214" s="673" t="s">
        <v>4152</v>
      </c>
      <c r="H214" s="30" t="s">
        <v>4320</v>
      </c>
      <c r="I214" s="481">
        <v>33182</v>
      </c>
      <c r="J214" s="88">
        <f t="shared" si="17"/>
        <v>29200.16</v>
      </c>
      <c r="K214" s="688">
        <f t="shared" si="18"/>
        <v>29200</v>
      </c>
      <c r="L214" s="1102" t="s">
        <v>17</v>
      </c>
      <c r="M214" s="917">
        <v>45583</v>
      </c>
      <c r="N214" s="811" t="s">
        <v>388</v>
      </c>
      <c r="O214" s="811"/>
      <c r="P214" s="811"/>
      <c r="T214" s="14"/>
      <c r="U214" s="360">
        <v>0.29444444444444445</v>
      </c>
      <c r="V214" s="360">
        <v>0.47916666666666669</v>
      </c>
    </row>
    <row r="215" spans="1:22" ht="14.45" hidden="1" customHeight="1" x14ac:dyDescent="0.25">
      <c r="A215" s="483">
        <v>15052024</v>
      </c>
      <c r="B215" t="s">
        <v>930</v>
      </c>
      <c r="D215" s="233">
        <v>45427</v>
      </c>
      <c r="F215" s="28" t="s">
        <v>294</v>
      </c>
      <c r="G215" s="673" t="s">
        <v>4154</v>
      </c>
      <c r="H215" s="30" t="s">
        <v>4321</v>
      </c>
      <c r="I215" s="481">
        <v>33182</v>
      </c>
      <c r="J215" s="88">
        <f t="shared" si="17"/>
        <v>29200.16</v>
      </c>
      <c r="K215" s="688">
        <f t="shared" si="18"/>
        <v>29200</v>
      </c>
      <c r="L215" s="1102" t="s">
        <v>17</v>
      </c>
      <c r="M215" s="917">
        <v>45583</v>
      </c>
      <c r="N215" s="811" t="s">
        <v>388</v>
      </c>
      <c r="O215" s="811"/>
      <c r="P215" s="811"/>
      <c r="T215" s="14"/>
      <c r="U215" s="360"/>
      <c r="V215" s="360"/>
    </row>
    <row r="216" spans="1:22" ht="14.45" hidden="1" customHeight="1" x14ac:dyDescent="0.25">
      <c r="A216" s="483">
        <v>28052024</v>
      </c>
      <c r="B216" t="s">
        <v>930</v>
      </c>
      <c r="C216" t="s">
        <v>410</v>
      </c>
      <c r="D216" s="233">
        <v>45440</v>
      </c>
      <c r="F216" s="28" t="s">
        <v>294</v>
      </c>
      <c r="G216" s="673" t="s">
        <v>4304</v>
      </c>
      <c r="H216" s="30" t="s">
        <v>4322</v>
      </c>
      <c r="I216" s="481">
        <v>33182</v>
      </c>
      <c r="J216" s="88">
        <f t="shared" si="17"/>
        <v>29200.16</v>
      </c>
      <c r="K216" s="688">
        <f t="shared" si="18"/>
        <v>29200</v>
      </c>
      <c r="L216" s="1102" t="s">
        <v>17</v>
      </c>
      <c r="M216" s="917">
        <v>45583</v>
      </c>
      <c r="N216" s="811" t="s">
        <v>388</v>
      </c>
      <c r="O216" s="811"/>
      <c r="P216" s="811"/>
      <c r="T216" s="14" t="s">
        <v>2380</v>
      </c>
      <c r="U216" s="360">
        <v>0.76041666666666663</v>
      </c>
      <c r="V216" s="360">
        <v>0.97152777777777777</v>
      </c>
    </row>
    <row r="217" spans="1:22" ht="14.45" hidden="1" customHeight="1" x14ac:dyDescent="0.25">
      <c r="A217" s="483">
        <v>29052024</v>
      </c>
      <c r="B217" t="s">
        <v>930</v>
      </c>
      <c r="C217" t="s">
        <v>13</v>
      </c>
      <c r="D217" s="233">
        <v>45441</v>
      </c>
      <c r="F217" s="28" t="s">
        <v>294</v>
      </c>
      <c r="G217" s="673" t="s">
        <v>4301</v>
      </c>
      <c r="H217" s="685" t="s">
        <v>4323</v>
      </c>
      <c r="I217" s="481">
        <v>33182</v>
      </c>
      <c r="J217" s="88">
        <f t="shared" si="17"/>
        <v>29200.16</v>
      </c>
      <c r="K217" s="688">
        <f t="shared" si="18"/>
        <v>29200</v>
      </c>
      <c r="L217" s="1102" t="s">
        <v>17</v>
      </c>
      <c r="M217" s="917">
        <v>45583</v>
      </c>
      <c r="N217" s="811" t="s">
        <v>388</v>
      </c>
      <c r="O217" s="811"/>
      <c r="P217" s="811"/>
      <c r="T217" s="14" t="s">
        <v>4095</v>
      </c>
      <c r="U217" s="360">
        <v>0.61388888888888882</v>
      </c>
      <c r="V217" s="360">
        <v>0.81041666666666667</v>
      </c>
    </row>
    <row r="218" spans="1:22" ht="14.45" hidden="1" customHeight="1" x14ac:dyDescent="0.25">
      <c r="A218" s="509" t="s">
        <v>4260</v>
      </c>
      <c r="B218" t="s">
        <v>930</v>
      </c>
      <c r="C218" t="s">
        <v>13</v>
      </c>
      <c r="D218" s="233">
        <v>45450</v>
      </c>
      <c r="F218" s="28" t="s">
        <v>294</v>
      </c>
      <c r="G218" s="673" t="s">
        <v>4302</v>
      </c>
      <c r="H218" s="685" t="s">
        <v>4324</v>
      </c>
      <c r="I218" s="481">
        <v>33182</v>
      </c>
      <c r="J218" s="88">
        <f t="shared" si="17"/>
        <v>29200.16</v>
      </c>
      <c r="K218" s="688">
        <f t="shared" si="18"/>
        <v>29200</v>
      </c>
      <c r="L218" s="1102" t="s">
        <v>17</v>
      </c>
      <c r="M218" s="917">
        <v>45583</v>
      </c>
      <c r="N218" s="811" t="s">
        <v>388</v>
      </c>
      <c r="O218" s="811"/>
      <c r="P218" s="811"/>
      <c r="T218" s="14" t="s">
        <v>4138</v>
      </c>
      <c r="U218" s="360">
        <v>0.2951388888888889</v>
      </c>
      <c r="V218" s="360">
        <v>0.4777777777777778</v>
      </c>
    </row>
    <row r="219" spans="1:22" ht="14.45" hidden="1" customHeight="1" x14ac:dyDescent="0.25">
      <c r="A219" s="509">
        <v>10062024</v>
      </c>
      <c r="B219" t="s">
        <v>930</v>
      </c>
      <c r="C219" t="s">
        <v>13</v>
      </c>
      <c r="D219" s="233">
        <v>45453</v>
      </c>
      <c r="F219" s="28" t="s">
        <v>294</v>
      </c>
      <c r="G219" s="673" t="s">
        <v>4303</v>
      </c>
      <c r="H219" s="30" t="s">
        <v>4326</v>
      </c>
      <c r="I219" s="481">
        <v>33182</v>
      </c>
      <c r="J219" s="88">
        <f t="shared" si="17"/>
        <v>29200.16</v>
      </c>
      <c r="K219" s="688">
        <f t="shared" si="18"/>
        <v>29200</v>
      </c>
      <c r="L219" s="1102" t="s">
        <v>17</v>
      </c>
      <c r="M219" s="917">
        <v>45583</v>
      </c>
      <c r="N219" s="811" t="s">
        <v>388</v>
      </c>
      <c r="O219" s="811"/>
      <c r="P219" s="811"/>
      <c r="T219" s="14" t="s">
        <v>2050</v>
      </c>
      <c r="U219" s="360">
        <v>0.32013888888888892</v>
      </c>
      <c r="V219" s="360"/>
    </row>
    <row r="220" spans="1:22" ht="14.45" hidden="1" customHeight="1" x14ac:dyDescent="0.25">
      <c r="A220" s="509">
        <v>13062024</v>
      </c>
      <c r="B220" t="s">
        <v>930</v>
      </c>
      <c r="C220" t="s">
        <v>4218</v>
      </c>
      <c r="D220" s="233">
        <v>45456</v>
      </c>
      <c r="F220" s="28" t="s">
        <v>294</v>
      </c>
      <c r="G220" s="673" t="s">
        <v>4338</v>
      </c>
      <c r="H220" s="30" t="s">
        <v>4339</v>
      </c>
      <c r="I220" s="322">
        <v>33182</v>
      </c>
      <c r="J220" s="88">
        <f t="shared" si="17"/>
        <v>29200.16</v>
      </c>
      <c r="K220" s="688">
        <f t="shared" si="18"/>
        <v>29200</v>
      </c>
      <c r="L220" s="1102" t="s">
        <v>17</v>
      </c>
      <c r="M220" s="917">
        <v>45583</v>
      </c>
      <c r="N220" s="811" t="s">
        <v>388</v>
      </c>
      <c r="O220" s="811"/>
      <c r="P220" s="811"/>
      <c r="T220" s="14" t="s">
        <v>3151</v>
      </c>
      <c r="U220" s="360">
        <v>14.28</v>
      </c>
      <c r="V220" s="360"/>
    </row>
    <row r="221" spans="1:22" ht="14.45" hidden="1" customHeight="1" x14ac:dyDescent="0.25">
      <c r="A221" s="483" t="s">
        <v>4473</v>
      </c>
      <c r="B221" t="s">
        <v>930</v>
      </c>
      <c r="C221" t="s">
        <v>13</v>
      </c>
      <c r="D221" s="803">
        <v>45481</v>
      </c>
      <c r="E221" s="102"/>
      <c r="F221" s="726" t="s">
        <v>294</v>
      </c>
      <c r="G221" s="362" t="s">
        <v>4504</v>
      </c>
      <c r="H221" s="819" t="s">
        <v>4505</v>
      </c>
      <c r="I221" s="804">
        <v>33182</v>
      </c>
      <c r="J221" s="3">
        <f t="shared" ref="J221:J228" si="19">+I221-ROUND(I221*0.12,0)</f>
        <v>29200</v>
      </c>
      <c r="L221" s="1102" t="s">
        <v>17</v>
      </c>
      <c r="M221" s="811">
        <v>45707</v>
      </c>
      <c r="N221" s="811"/>
      <c r="O221" s="811"/>
      <c r="P221" s="811"/>
      <c r="T221" s="14" t="s">
        <v>4365</v>
      </c>
      <c r="U221" s="360">
        <v>0.62083333333333335</v>
      </c>
      <c r="V221" s="30">
        <v>19.41</v>
      </c>
    </row>
    <row r="222" spans="1:22" ht="14.45" hidden="1" customHeight="1" x14ac:dyDescent="0.25">
      <c r="A222" s="483" t="s">
        <v>4516</v>
      </c>
      <c r="B222" t="s">
        <v>930</v>
      </c>
      <c r="C222" t="s">
        <v>410</v>
      </c>
      <c r="D222" s="803">
        <v>45489</v>
      </c>
      <c r="E222" s="102"/>
      <c r="F222" s="726" t="s">
        <v>294</v>
      </c>
      <c r="G222" s="362" t="s">
        <v>4519</v>
      </c>
      <c r="H222" s="819" t="s">
        <v>4531</v>
      </c>
      <c r="I222" s="804">
        <v>33182</v>
      </c>
      <c r="J222" s="3">
        <f t="shared" si="19"/>
        <v>29200</v>
      </c>
      <c r="K222" s="688"/>
      <c r="L222" s="1102" t="s">
        <v>17</v>
      </c>
      <c r="M222" s="811">
        <v>45707</v>
      </c>
      <c r="N222" s="811"/>
      <c r="O222" s="811"/>
      <c r="P222" s="811"/>
      <c r="T222" s="14" t="s">
        <v>4295</v>
      </c>
      <c r="U222" s="360">
        <v>0.51180555555555551</v>
      </c>
      <c r="V222" s="30"/>
    </row>
    <row r="223" spans="1:22" ht="14.45" hidden="1" customHeight="1" x14ac:dyDescent="0.25">
      <c r="A223" s="95" t="s">
        <v>4616</v>
      </c>
      <c r="B223" t="s">
        <v>930</v>
      </c>
      <c r="C223" t="s">
        <v>410</v>
      </c>
      <c r="D223" s="233">
        <v>45513</v>
      </c>
      <c r="F223" t="s">
        <v>294</v>
      </c>
      <c r="G223" s="30" t="s">
        <v>4626</v>
      </c>
      <c r="H223" s="30" t="s">
        <v>4927</v>
      </c>
      <c r="I223" s="236">
        <v>33182</v>
      </c>
      <c r="J223" s="3">
        <f t="shared" si="19"/>
        <v>29200</v>
      </c>
      <c r="K223" s="688"/>
      <c r="L223" s="1102" t="s">
        <v>17</v>
      </c>
      <c r="M223" s="811">
        <v>45681</v>
      </c>
      <c r="N223" s="811"/>
      <c r="O223" s="811"/>
      <c r="P223" s="811"/>
      <c r="U223" s="360"/>
      <c r="V223" s="360"/>
    </row>
    <row r="224" spans="1:22" ht="14.45" hidden="1" customHeight="1" x14ac:dyDescent="0.25">
      <c r="A224" s="95">
        <v>6092024</v>
      </c>
      <c r="B224" t="s">
        <v>930</v>
      </c>
      <c r="C224" t="s">
        <v>13</v>
      </c>
      <c r="D224" s="233">
        <v>45541</v>
      </c>
      <c r="F224" t="s">
        <v>294</v>
      </c>
      <c r="G224" s="30" t="s">
        <v>4752</v>
      </c>
      <c r="H224" s="30" t="s">
        <v>4926</v>
      </c>
      <c r="I224" s="313">
        <v>33182</v>
      </c>
      <c r="J224" s="3">
        <f t="shared" si="19"/>
        <v>29200</v>
      </c>
      <c r="K224" s="688"/>
      <c r="L224" s="1102" t="s">
        <v>17</v>
      </c>
      <c r="M224" s="811">
        <v>45681</v>
      </c>
      <c r="N224" s="811"/>
      <c r="O224" s="811"/>
      <c r="P224" s="811"/>
      <c r="T224" t="s">
        <v>4417</v>
      </c>
      <c r="U224" s="360">
        <v>0.58263888888888882</v>
      </c>
      <c r="V224" s="360"/>
    </row>
    <row r="225" spans="1:22" ht="14.45" hidden="1" customHeight="1" x14ac:dyDescent="0.25">
      <c r="A225" s="95">
        <v>27092024</v>
      </c>
      <c r="B225" t="s">
        <v>930</v>
      </c>
      <c r="C225" t="s">
        <v>410</v>
      </c>
      <c r="D225" s="233">
        <v>45562</v>
      </c>
      <c r="F225" t="s">
        <v>294</v>
      </c>
      <c r="G225" s="30" t="s">
        <v>4852</v>
      </c>
      <c r="H225" s="30" t="s">
        <v>4928</v>
      </c>
      <c r="I225" s="88">
        <v>33182</v>
      </c>
      <c r="J225" s="3">
        <f t="shared" si="19"/>
        <v>29200</v>
      </c>
      <c r="K225" s="688"/>
      <c r="L225" s="1102" t="s">
        <v>17</v>
      </c>
      <c r="M225" s="811">
        <v>45681</v>
      </c>
      <c r="N225" s="811"/>
      <c r="O225" s="811"/>
      <c r="P225" s="811"/>
      <c r="T225" t="s">
        <v>2050</v>
      </c>
      <c r="U225" s="360">
        <v>0.43263888888888885</v>
      </c>
      <c r="V225" s="30"/>
    </row>
    <row r="226" spans="1:22" ht="14.45" hidden="1" customHeight="1" x14ac:dyDescent="0.25">
      <c r="A226" s="483" t="s">
        <v>4884</v>
      </c>
      <c r="B226" t="s">
        <v>930</v>
      </c>
      <c r="C226" t="s">
        <v>4218</v>
      </c>
      <c r="D226" s="233">
        <v>45572</v>
      </c>
      <c r="F226" t="s">
        <v>294</v>
      </c>
      <c r="G226" s="30" t="s">
        <v>4899</v>
      </c>
      <c r="H226" s="30" t="s">
        <v>4929</v>
      </c>
      <c r="I226" s="236">
        <v>33182</v>
      </c>
      <c r="J226" s="3">
        <f t="shared" si="19"/>
        <v>29200</v>
      </c>
      <c r="K226" s="688"/>
      <c r="L226" s="1102" t="s">
        <v>17</v>
      </c>
      <c r="M226" s="811">
        <v>45681</v>
      </c>
      <c r="N226" s="811"/>
      <c r="O226" s="811"/>
      <c r="P226" s="811"/>
      <c r="T226" t="s">
        <v>4139</v>
      </c>
      <c r="U226" s="360">
        <v>0.33194444444444443</v>
      </c>
      <c r="V226" s="30"/>
    </row>
    <row r="227" spans="1:22" ht="14.45" hidden="1" customHeight="1" x14ac:dyDescent="0.25">
      <c r="A227" s="483" t="s">
        <v>4908</v>
      </c>
      <c r="B227" t="s">
        <v>930</v>
      </c>
      <c r="C227" t="s">
        <v>13</v>
      </c>
      <c r="D227" s="233">
        <v>45576</v>
      </c>
      <c r="F227" t="s">
        <v>294</v>
      </c>
      <c r="G227" s="30" t="s">
        <v>4925</v>
      </c>
      <c r="H227" s="30" t="s">
        <v>4930</v>
      </c>
      <c r="I227" s="313">
        <v>33182</v>
      </c>
      <c r="J227" s="3">
        <f t="shared" si="19"/>
        <v>29200</v>
      </c>
      <c r="K227" s="688"/>
      <c r="L227" s="1102" t="s">
        <v>17</v>
      </c>
      <c r="M227" s="811">
        <v>45685</v>
      </c>
      <c r="N227" s="811"/>
      <c r="O227" s="811"/>
      <c r="P227" s="811"/>
      <c r="T227" t="s">
        <v>4867</v>
      </c>
      <c r="U227" s="360">
        <v>0.29236111111111113</v>
      </c>
      <c r="V227" s="360">
        <v>0.97291666666666676</v>
      </c>
    </row>
    <row r="228" spans="1:22" ht="14.45" hidden="1" customHeight="1" thickBot="1" x14ac:dyDescent="0.3">
      <c r="A228" s="483" t="s">
        <v>5029</v>
      </c>
      <c r="B228" t="s">
        <v>930</v>
      </c>
      <c r="C228" s="122" t="s">
        <v>4218</v>
      </c>
      <c r="D228" s="803">
        <v>45599</v>
      </c>
      <c r="E228" s="726"/>
      <c r="F228" s="726" t="s">
        <v>294</v>
      </c>
      <c r="G228" s="362" t="s">
        <v>5042</v>
      </c>
      <c r="H228" s="819" t="s">
        <v>5094</v>
      </c>
      <c r="I228" s="817">
        <v>33182</v>
      </c>
      <c r="J228" s="3">
        <f t="shared" si="19"/>
        <v>29200</v>
      </c>
      <c r="L228" s="1102" t="s">
        <v>17</v>
      </c>
      <c r="M228" s="811">
        <v>45707</v>
      </c>
      <c r="N228" s="811"/>
      <c r="O228" s="811"/>
      <c r="P228" s="811"/>
      <c r="T228" t="s">
        <v>5004</v>
      </c>
      <c r="U228" s="360">
        <v>0.68541666666666667</v>
      </c>
      <c r="V228" s="360">
        <v>0.86041666666666661</v>
      </c>
    </row>
    <row r="229" spans="1:22" ht="15" customHeight="1" thickBot="1" x14ac:dyDescent="0.3">
      <c r="A229" s="256"/>
      <c r="D229" s="233"/>
      <c r="I229" s="818">
        <f>SUBTOTAL(9,I202:I228)</f>
        <v>33182</v>
      </c>
      <c r="J229" s="88"/>
      <c r="K229" s="1571"/>
      <c r="L229" s="1170"/>
      <c r="M229" s="811"/>
      <c r="N229" s="811"/>
      <c r="O229" s="811"/>
      <c r="P229" s="811"/>
      <c r="T229" s="14"/>
      <c r="U229" s="14"/>
    </row>
    <row r="230" spans="1:22" ht="14.45" customHeight="1" x14ac:dyDescent="0.25">
      <c r="A230" s="256"/>
      <c r="D230" s="233"/>
      <c r="I230" s="17"/>
      <c r="J230" s="88"/>
      <c r="K230" s="1571"/>
      <c r="L230" s="1102"/>
      <c r="M230" s="811"/>
      <c r="N230" s="811"/>
      <c r="O230" s="811"/>
      <c r="P230" s="811"/>
      <c r="T230" s="14"/>
      <c r="U230" s="14"/>
    </row>
    <row r="231" spans="1:22" ht="14.45" customHeight="1" x14ac:dyDescent="0.25">
      <c r="A231" s="256"/>
      <c r="D231" s="233"/>
      <c r="I231" s="17"/>
      <c r="J231" s="88"/>
      <c r="K231" s="313"/>
      <c r="L231" s="1102"/>
      <c r="M231" s="811"/>
      <c r="N231" s="811"/>
      <c r="O231" s="811"/>
      <c r="P231" s="811"/>
      <c r="T231" s="14"/>
      <c r="U231" s="14"/>
    </row>
    <row r="232" spans="1:22" ht="14.45" customHeight="1" thickBot="1" x14ac:dyDescent="0.3">
      <c r="A232" s="256"/>
      <c r="D232" s="233"/>
      <c r="I232" s="17"/>
      <c r="J232" s="88"/>
      <c r="K232" s="313"/>
      <c r="L232" s="1102"/>
      <c r="M232" s="811"/>
      <c r="N232" s="811"/>
      <c r="O232" s="811"/>
      <c r="P232" s="811"/>
      <c r="T232" s="14"/>
      <c r="U232" s="14"/>
    </row>
    <row r="233" spans="1:22" ht="15" customHeight="1" thickBot="1" x14ac:dyDescent="0.3">
      <c r="D233" s="1487" t="s">
        <v>5649</v>
      </c>
      <c r="E233" s="1488"/>
      <c r="F233" s="1488"/>
      <c r="G233" s="1488"/>
      <c r="H233" s="1488"/>
      <c r="I233" s="1489"/>
      <c r="J233" s="88"/>
      <c r="L233" s="1102"/>
      <c r="M233" s="811"/>
      <c r="N233" s="811"/>
      <c r="O233" s="811"/>
      <c r="P233" s="811"/>
    </row>
    <row r="234" spans="1:22" ht="14.45" customHeight="1" x14ac:dyDescent="0.25">
      <c r="A234" s="483" t="s">
        <v>5740</v>
      </c>
      <c r="B234" t="s">
        <v>930</v>
      </c>
      <c r="C234" t="s">
        <v>410</v>
      </c>
      <c r="D234" s="233">
        <v>45720</v>
      </c>
      <c r="E234" s="28"/>
      <c r="F234" s="28" t="s">
        <v>294</v>
      </c>
      <c r="G234" s="30" t="s">
        <v>5865</v>
      </c>
      <c r="H234" s="28" t="s">
        <v>5794</v>
      </c>
      <c r="I234" s="798">
        <v>24886</v>
      </c>
      <c r="J234" s="3">
        <f t="shared" ref="J234:J260" si="20">+I234-ROUND(I234*0.12,0)</f>
        <v>21900</v>
      </c>
      <c r="K234" s="798"/>
      <c r="L234" s="1102"/>
      <c r="M234" s="233"/>
      <c r="N234" s="811"/>
      <c r="O234" s="811"/>
      <c r="P234" s="811"/>
      <c r="T234" t="s">
        <v>5393</v>
      </c>
      <c r="U234" s="360">
        <v>0.68402777777777779</v>
      </c>
      <c r="V234" s="360">
        <v>0.82986111111111116</v>
      </c>
    </row>
    <row r="235" spans="1:22" hidden="1" x14ac:dyDescent="0.25">
      <c r="A235" s="483">
        <v>15032025</v>
      </c>
      <c r="B235" t="s">
        <v>930</v>
      </c>
      <c r="C235" t="s">
        <v>13</v>
      </c>
      <c r="D235" s="233">
        <v>45731</v>
      </c>
      <c r="E235" s="28"/>
      <c r="F235" s="28" t="s">
        <v>294</v>
      </c>
      <c r="G235" t="s">
        <v>5868</v>
      </c>
      <c r="H235" s="28" t="s">
        <v>6008</v>
      </c>
      <c r="I235" s="798">
        <v>24886</v>
      </c>
      <c r="J235" s="3">
        <f t="shared" si="20"/>
        <v>21900</v>
      </c>
      <c r="L235" s="1102" t="s">
        <v>17</v>
      </c>
      <c r="M235" s="1246">
        <v>45777</v>
      </c>
      <c r="T235" t="s">
        <v>5849</v>
      </c>
      <c r="U235" s="360">
        <v>0.57013888888888886</v>
      </c>
      <c r="V235" s="360">
        <v>0.72916666666666663</v>
      </c>
    </row>
    <row r="236" spans="1:22" ht="14.45" hidden="1" customHeight="1" x14ac:dyDescent="0.25">
      <c r="A236" s="483">
        <v>21032025</v>
      </c>
      <c r="B236" t="s">
        <v>930</v>
      </c>
      <c r="C236" t="s">
        <v>410</v>
      </c>
      <c r="D236" s="233">
        <v>45737</v>
      </c>
      <c r="E236" s="28"/>
      <c r="F236" s="28" t="s">
        <v>294</v>
      </c>
      <c r="G236" t="s">
        <v>5866</v>
      </c>
      <c r="H236" s="28" t="s">
        <v>6009</v>
      </c>
      <c r="I236" s="798">
        <v>24886</v>
      </c>
      <c r="J236" s="3">
        <f t="shared" si="20"/>
        <v>21900</v>
      </c>
      <c r="K236" s="798"/>
      <c r="L236" s="1102" t="s">
        <v>17</v>
      </c>
      <c r="M236" s="1246">
        <v>45777</v>
      </c>
      <c r="N236" s="811"/>
      <c r="O236" s="811"/>
      <c r="P236" s="811"/>
      <c r="T236" t="s">
        <v>4417</v>
      </c>
      <c r="U236" s="30"/>
      <c r="V236" s="30"/>
    </row>
    <row r="237" spans="1:22" hidden="1" x14ac:dyDescent="0.25">
      <c r="A237" s="483">
        <v>25032025</v>
      </c>
      <c r="B237" s="21" t="s">
        <v>930</v>
      </c>
      <c r="C237" t="s">
        <v>410</v>
      </c>
      <c r="D237" s="233">
        <v>45741</v>
      </c>
      <c r="E237" s="28"/>
      <c r="F237" s="28" t="s">
        <v>294</v>
      </c>
      <c r="G237" t="s">
        <v>5867</v>
      </c>
      <c r="H237" s="28" t="s">
        <v>6010</v>
      </c>
      <c r="I237" s="798">
        <v>24886</v>
      </c>
      <c r="J237" s="3">
        <f t="shared" si="20"/>
        <v>21900</v>
      </c>
      <c r="L237" s="971" t="s">
        <v>17</v>
      </c>
      <c r="M237" s="1246">
        <v>45777</v>
      </c>
      <c r="T237" t="s">
        <v>4509</v>
      </c>
      <c r="U237" s="30"/>
      <c r="V237" s="30"/>
    </row>
    <row r="238" spans="1:22" s="1094" customFormat="1" hidden="1" x14ac:dyDescent="0.25">
      <c r="A238" s="1093">
        <v>29032025</v>
      </c>
      <c r="B238" s="1094" t="s">
        <v>930</v>
      </c>
      <c r="C238" s="1094" t="s">
        <v>410</v>
      </c>
      <c r="D238" s="874">
        <v>45745</v>
      </c>
      <c r="E238" s="1095"/>
      <c r="F238" s="1095" t="s">
        <v>294</v>
      </c>
      <c r="G238" s="1094" t="s">
        <v>6003</v>
      </c>
      <c r="H238" s="1095" t="s">
        <v>6339</v>
      </c>
      <c r="I238" s="1096">
        <v>24886</v>
      </c>
      <c r="J238" s="875">
        <f t="shared" si="20"/>
        <v>21900</v>
      </c>
      <c r="L238" s="1171" t="s">
        <v>17</v>
      </c>
      <c r="M238" s="1246">
        <v>45849</v>
      </c>
      <c r="T238" s="1094" t="s">
        <v>5026</v>
      </c>
      <c r="U238" s="1097">
        <v>0.71597222222222223</v>
      </c>
      <c r="V238" s="1097">
        <v>0.86944444444444446</v>
      </c>
    </row>
    <row r="239" spans="1:22" s="1094" customFormat="1" hidden="1" x14ac:dyDescent="0.25">
      <c r="A239" s="1093" t="s">
        <v>5928</v>
      </c>
      <c r="B239" s="1094" t="s">
        <v>930</v>
      </c>
      <c r="C239" s="1094" t="s">
        <v>13</v>
      </c>
      <c r="D239" s="874">
        <v>45754</v>
      </c>
      <c r="E239" s="1095"/>
      <c r="F239" s="1095" t="s">
        <v>295</v>
      </c>
      <c r="G239" s="1094" t="s">
        <v>6004</v>
      </c>
      <c r="H239" s="1095" t="s">
        <v>6340</v>
      </c>
      <c r="I239" s="1096">
        <v>34011</v>
      </c>
      <c r="J239" s="875">
        <f t="shared" si="20"/>
        <v>29930</v>
      </c>
      <c r="L239" s="1171" t="s">
        <v>17</v>
      </c>
      <c r="M239" s="1246">
        <v>45849</v>
      </c>
      <c r="T239" s="1094" t="s">
        <v>5021</v>
      </c>
      <c r="U239" s="1098"/>
      <c r="V239" s="1098"/>
    </row>
    <row r="240" spans="1:22" s="1094" customFormat="1" hidden="1" x14ac:dyDescent="0.25">
      <c r="A240" s="1093" t="s">
        <v>5952</v>
      </c>
      <c r="B240" s="1094" t="s">
        <v>930</v>
      </c>
      <c r="C240" s="1094" t="s">
        <v>13</v>
      </c>
      <c r="D240" s="874">
        <v>45756</v>
      </c>
      <c r="E240" s="1095"/>
      <c r="F240" s="1095" t="s">
        <v>295</v>
      </c>
      <c r="G240" s="1094" t="s">
        <v>6005</v>
      </c>
      <c r="H240" s="1095" t="s">
        <v>6341</v>
      </c>
      <c r="I240" s="1096">
        <v>34011</v>
      </c>
      <c r="J240" s="875">
        <f t="shared" si="20"/>
        <v>29930</v>
      </c>
      <c r="L240" s="1171" t="s">
        <v>17</v>
      </c>
      <c r="M240" s="1246">
        <v>45849</v>
      </c>
      <c r="T240" s="1094" t="s">
        <v>2050</v>
      </c>
      <c r="U240" s="1097">
        <v>0.26527777777777778</v>
      </c>
      <c r="V240" s="1097">
        <v>0.3979166666666667</v>
      </c>
    </row>
    <row r="241" spans="1:22" hidden="1" x14ac:dyDescent="0.25">
      <c r="A241" s="483" t="s">
        <v>5973</v>
      </c>
      <c r="B241" t="s">
        <v>930</v>
      </c>
      <c r="C241" t="s">
        <v>410</v>
      </c>
      <c r="D241" s="233">
        <v>45759</v>
      </c>
      <c r="E241" s="28"/>
      <c r="F241" s="28" t="s">
        <v>294</v>
      </c>
      <c r="G241" t="s">
        <v>6006</v>
      </c>
      <c r="H241" s="28" t="s">
        <v>6342</v>
      </c>
      <c r="I241" s="798">
        <v>24886</v>
      </c>
      <c r="J241" s="3">
        <f t="shared" si="20"/>
        <v>21900</v>
      </c>
      <c r="K241" s="798"/>
      <c r="L241" s="971" t="s">
        <v>17</v>
      </c>
      <c r="M241" s="1246">
        <v>45944</v>
      </c>
      <c r="T241" t="s">
        <v>4297</v>
      </c>
      <c r="U241" s="360">
        <v>0.26805555555555555</v>
      </c>
      <c r="V241" s="360">
        <v>0.42499999999999999</v>
      </c>
    </row>
    <row r="242" spans="1:22" hidden="1" x14ac:dyDescent="0.25">
      <c r="A242" s="483">
        <v>29042024</v>
      </c>
      <c r="B242" t="s">
        <v>930</v>
      </c>
      <c r="C242" t="s">
        <v>4437</v>
      </c>
      <c r="D242" s="233">
        <v>45776</v>
      </c>
      <c r="E242" s="28"/>
      <c r="F242" s="28" t="s">
        <v>295</v>
      </c>
      <c r="G242" t="s">
        <v>6101</v>
      </c>
      <c r="H242" s="28" t="s">
        <v>6343</v>
      </c>
      <c r="I242" s="798">
        <v>34011</v>
      </c>
      <c r="J242" s="3">
        <f t="shared" si="20"/>
        <v>29930</v>
      </c>
      <c r="L242" s="971" t="s">
        <v>17</v>
      </c>
      <c r="M242" s="1246">
        <v>45944</v>
      </c>
      <c r="T242" t="s">
        <v>4417</v>
      </c>
      <c r="U242" s="360">
        <v>0.66736111111111107</v>
      </c>
      <c r="V242" s="360">
        <v>0.88541666666666663</v>
      </c>
    </row>
    <row r="243" spans="1:22" hidden="1" x14ac:dyDescent="0.25">
      <c r="A243" s="483" t="s">
        <v>6125</v>
      </c>
      <c r="B243" t="s">
        <v>930</v>
      </c>
      <c r="C243" t="s">
        <v>4437</v>
      </c>
      <c r="D243" s="233">
        <v>45783</v>
      </c>
      <c r="E243" s="28"/>
      <c r="F243" s="28" t="s">
        <v>294</v>
      </c>
      <c r="G243" t="s">
        <v>6358</v>
      </c>
      <c r="H243" s="28" t="s">
        <v>6253</v>
      </c>
      <c r="I243" s="798">
        <v>24886</v>
      </c>
      <c r="J243" s="3">
        <f t="shared" si="20"/>
        <v>21900</v>
      </c>
      <c r="L243" s="971" t="s">
        <v>17</v>
      </c>
      <c r="M243" s="1246">
        <v>45944</v>
      </c>
      <c r="T243" t="s">
        <v>5393</v>
      </c>
      <c r="U243" s="360">
        <v>0.2902777777777778</v>
      </c>
      <c r="V243" s="360">
        <v>0.48333333333333334</v>
      </c>
    </row>
    <row r="244" spans="1:22" hidden="1" x14ac:dyDescent="0.25">
      <c r="A244" s="483" t="s">
        <v>6346</v>
      </c>
      <c r="B244" t="s">
        <v>930</v>
      </c>
      <c r="C244" t="s">
        <v>660</v>
      </c>
      <c r="D244" s="233">
        <v>45813</v>
      </c>
      <c r="E244" s="28"/>
      <c r="F244" s="28" t="s">
        <v>294</v>
      </c>
      <c r="G244" t="s">
        <v>6442</v>
      </c>
      <c r="H244" s="472" t="s">
        <v>6445</v>
      </c>
      <c r="I244" s="798">
        <v>24886</v>
      </c>
      <c r="J244" s="3">
        <f t="shared" si="20"/>
        <v>21900</v>
      </c>
      <c r="L244" s="971" t="s">
        <v>17</v>
      </c>
      <c r="M244" s="1246">
        <v>45904</v>
      </c>
      <c r="T244" t="s">
        <v>4911</v>
      </c>
      <c r="U244" s="360">
        <v>0.28541666666666665</v>
      </c>
      <c r="V244" s="360">
        <v>0.44375000000000003</v>
      </c>
    </row>
    <row r="245" spans="1:22" hidden="1" x14ac:dyDescent="0.25">
      <c r="A245" s="483" t="s">
        <v>6351</v>
      </c>
      <c r="B245" t="s">
        <v>930</v>
      </c>
      <c r="C245" t="s">
        <v>4437</v>
      </c>
      <c r="D245" s="233">
        <v>45815</v>
      </c>
      <c r="E245" s="28"/>
      <c r="F245" s="28" t="s">
        <v>294</v>
      </c>
      <c r="G245" t="s">
        <v>6777</v>
      </c>
      <c r="H245" s="472" t="s">
        <v>6446</v>
      </c>
      <c r="I245" s="798">
        <v>24886</v>
      </c>
      <c r="J245" s="3">
        <f t="shared" si="20"/>
        <v>21900</v>
      </c>
      <c r="L245" s="971" t="s">
        <v>17</v>
      </c>
      <c r="M245" s="1246">
        <v>45904</v>
      </c>
      <c r="T245" t="s">
        <v>6349</v>
      </c>
      <c r="U245" s="360">
        <v>0.29236111111111113</v>
      </c>
      <c r="V245" s="360">
        <v>0.44861111111111113</v>
      </c>
    </row>
    <row r="246" spans="1:22" hidden="1" x14ac:dyDescent="0.25">
      <c r="A246" s="483" t="s">
        <v>6450</v>
      </c>
      <c r="B246" t="s">
        <v>6451</v>
      </c>
      <c r="C246" t="s">
        <v>660</v>
      </c>
      <c r="D246" s="233">
        <v>45826</v>
      </c>
      <c r="E246" s="28"/>
      <c r="F246" s="28" t="s">
        <v>294</v>
      </c>
      <c r="G246" t="s">
        <v>6465</v>
      </c>
      <c r="H246" s="472" t="s">
        <v>6464</v>
      </c>
      <c r="I246" s="798">
        <v>24886</v>
      </c>
      <c r="J246" s="3">
        <f t="shared" si="20"/>
        <v>21900</v>
      </c>
      <c r="L246" s="30" t="s">
        <v>17</v>
      </c>
      <c r="M246" s="1246">
        <v>45911</v>
      </c>
      <c r="T246" t="s">
        <v>4867</v>
      </c>
      <c r="U246" s="360">
        <v>0.58194444444444449</v>
      </c>
      <c r="V246" s="360">
        <v>0.75</v>
      </c>
    </row>
    <row r="247" spans="1:22" hidden="1" x14ac:dyDescent="0.25">
      <c r="A247" s="483" t="s">
        <v>6545</v>
      </c>
      <c r="B247" t="s">
        <v>930</v>
      </c>
      <c r="C247" t="s">
        <v>660</v>
      </c>
      <c r="D247" s="233">
        <v>45847</v>
      </c>
      <c r="E247" s="28"/>
      <c r="F247" s="28" t="s">
        <v>294</v>
      </c>
      <c r="G247" t="s">
        <v>6562</v>
      </c>
      <c r="H247" s="28" t="s">
        <v>6609</v>
      </c>
      <c r="I247" s="798">
        <v>24886</v>
      </c>
      <c r="J247" s="3">
        <f t="shared" si="20"/>
        <v>21900</v>
      </c>
      <c r="L247" s="1102" t="s">
        <v>17</v>
      </c>
      <c r="M247" s="1246">
        <v>45887</v>
      </c>
      <c r="T247" t="s">
        <v>5021</v>
      </c>
      <c r="U247" s="360">
        <v>0.39097222222222222</v>
      </c>
      <c r="V247" s="30"/>
    </row>
    <row r="248" spans="1:22" hidden="1" x14ac:dyDescent="0.25">
      <c r="A248" s="483" t="s">
        <v>6575</v>
      </c>
      <c r="B248" t="s">
        <v>930</v>
      </c>
      <c r="C248" t="s">
        <v>4437</v>
      </c>
      <c r="D248" s="233">
        <v>45848</v>
      </c>
      <c r="E248" s="28"/>
      <c r="F248" s="28" t="s">
        <v>294</v>
      </c>
      <c r="G248" t="s">
        <v>6608</v>
      </c>
      <c r="H248" s="28" t="s">
        <v>6610</v>
      </c>
      <c r="I248" s="798">
        <v>24886</v>
      </c>
      <c r="J248" s="3">
        <f t="shared" si="20"/>
        <v>21900</v>
      </c>
      <c r="L248" s="971" t="s">
        <v>17</v>
      </c>
      <c r="M248" s="1246">
        <v>45895</v>
      </c>
      <c r="T248" t="s">
        <v>5891</v>
      </c>
      <c r="U248" s="360">
        <v>0.29305555555555557</v>
      </c>
      <c r="V248" s="30"/>
    </row>
    <row r="249" spans="1:22" hidden="1" x14ac:dyDescent="0.25">
      <c r="A249" s="483" t="s">
        <v>6583</v>
      </c>
      <c r="B249" t="s">
        <v>930</v>
      </c>
      <c r="C249" t="s">
        <v>4437</v>
      </c>
      <c r="D249" s="233">
        <v>45852</v>
      </c>
      <c r="E249" s="28"/>
      <c r="F249" s="28" t="s">
        <v>295</v>
      </c>
      <c r="G249" t="s">
        <v>6611</v>
      </c>
      <c r="H249" s="28" t="s">
        <v>6612</v>
      </c>
      <c r="I249" s="798">
        <v>34011</v>
      </c>
      <c r="J249" s="3">
        <f t="shared" si="20"/>
        <v>29930</v>
      </c>
      <c r="L249" s="971" t="s">
        <v>17</v>
      </c>
      <c r="M249" s="1246">
        <v>45895</v>
      </c>
      <c r="T249" t="s">
        <v>6294</v>
      </c>
      <c r="U249" s="360">
        <v>0.28472222222222221</v>
      </c>
      <c r="V249" s="360">
        <v>0.50069444444444444</v>
      </c>
    </row>
    <row r="250" spans="1:22" hidden="1" x14ac:dyDescent="0.25">
      <c r="A250" s="483" t="s">
        <v>6587</v>
      </c>
      <c r="B250" t="s">
        <v>930</v>
      </c>
      <c r="C250" t="s">
        <v>4437</v>
      </c>
      <c r="D250" s="233">
        <v>45853</v>
      </c>
      <c r="E250" s="28"/>
      <c r="F250" s="28" t="s">
        <v>295</v>
      </c>
      <c r="G250" t="s">
        <v>6677</v>
      </c>
      <c r="H250" s="28" t="s">
        <v>6771</v>
      </c>
      <c r="I250" s="798">
        <v>34011</v>
      </c>
      <c r="J250" s="3">
        <f t="shared" si="20"/>
        <v>29930</v>
      </c>
      <c r="L250" s="971" t="s">
        <v>17</v>
      </c>
      <c r="M250" s="1246">
        <v>45931</v>
      </c>
      <c r="T250" t="s">
        <v>6294</v>
      </c>
      <c r="U250" s="360">
        <v>0.31388888888888888</v>
      </c>
      <c r="V250" s="360"/>
    </row>
    <row r="251" spans="1:22" hidden="1" x14ac:dyDescent="0.25">
      <c r="A251" s="483">
        <v>23072025</v>
      </c>
      <c r="B251" t="s">
        <v>930</v>
      </c>
      <c r="C251" t="s">
        <v>278</v>
      </c>
      <c r="D251" s="233">
        <v>45861</v>
      </c>
      <c r="E251" s="28"/>
      <c r="F251" s="28" t="s">
        <v>295</v>
      </c>
      <c r="G251" t="s">
        <v>6691</v>
      </c>
      <c r="H251" s="28" t="s">
        <v>6770</v>
      </c>
      <c r="I251" s="798">
        <v>34011</v>
      </c>
      <c r="J251" s="3">
        <f t="shared" si="20"/>
        <v>29930</v>
      </c>
      <c r="L251" s="971" t="s">
        <v>17</v>
      </c>
      <c r="M251" s="1246">
        <v>45931</v>
      </c>
      <c r="T251" t="s">
        <v>4139</v>
      </c>
      <c r="U251" s="360">
        <v>0.4916666666666667</v>
      </c>
      <c r="V251" s="360">
        <v>0.76111111111111107</v>
      </c>
    </row>
    <row r="252" spans="1:22" hidden="1" x14ac:dyDescent="0.25">
      <c r="A252" s="483" t="s">
        <v>6707</v>
      </c>
      <c r="B252" t="s">
        <v>930</v>
      </c>
      <c r="C252" t="s">
        <v>13</v>
      </c>
      <c r="D252" s="233">
        <v>45873</v>
      </c>
      <c r="E252" s="28"/>
      <c r="F252" s="28" t="s">
        <v>295</v>
      </c>
      <c r="G252" s="1067" t="s">
        <v>6746</v>
      </c>
      <c r="H252" s="28" t="s">
        <v>6762</v>
      </c>
      <c r="I252" s="798">
        <v>34011</v>
      </c>
      <c r="J252" s="3">
        <f t="shared" si="20"/>
        <v>29930</v>
      </c>
      <c r="L252" s="971" t="s">
        <v>17</v>
      </c>
      <c r="M252" s="1246">
        <v>45933</v>
      </c>
      <c r="T252" t="s">
        <v>6294</v>
      </c>
      <c r="U252" s="360">
        <v>0.49305555555555558</v>
      </c>
      <c r="V252" s="360">
        <v>0.75486111111111109</v>
      </c>
    </row>
    <row r="253" spans="1:22" hidden="1" x14ac:dyDescent="0.25">
      <c r="A253" s="483" t="s">
        <v>6897</v>
      </c>
      <c r="B253" t="s">
        <v>930</v>
      </c>
      <c r="C253" t="s">
        <v>13</v>
      </c>
      <c r="D253" s="233">
        <v>45910</v>
      </c>
      <c r="E253" s="28"/>
      <c r="F253" s="28" t="s">
        <v>294</v>
      </c>
      <c r="G253" s="1067" t="s">
        <v>6906</v>
      </c>
      <c r="H253" s="28" t="s">
        <v>6919</v>
      </c>
      <c r="I253" s="313">
        <v>24886</v>
      </c>
      <c r="J253" s="3">
        <f t="shared" si="20"/>
        <v>21900</v>
      </c>
      <c r="L253" s="971" t="s">
        <v>17</v>
      </c>
      <c r="M253" s="1246">
        <v>45981</v>
      </c>
      <c r="T253" t="s">
        <v>6347</v>
      </c>
      <c r="U253" s="360">
        <v>0.82638888888888884</v>
      </c>
      <c r="V253" s="360">
        <v>0.9868055555555556</v>
      </c>
    </row>
    <row r="254" spans="1:22" hidden="1" x14ac:dyDescent="0.25">
      <c r="A254" s="483" t="s">
        <v>6949</v>
      </c>
      <c r="B254" t="s">
        <v>930</v>
      </c>
      <c r="C254" t="s">
        <v>4218</v>
      </c>
      <c r="D254" s="233">
        <v>45916</v>
      </c>
      <c r="E254" s="28"/>
      <c r="F254" s="28" t="s">
        <v>294</v>
      </c>
      <c r="G254" s="1067" t="s">
        <v>6953</v>
      </c>
      <c r="H254" s="28" t="s">
        <v>6954</v>
      </c>
      <c r="I254" s="313">
        <v>24886</v>
      </c>
      <c r="J254" s="3">
        <f t="shared" si="20"/>
        <v>21900</v>
      </c>
      <c r="L254" s="971" t="s">
        <v>17</v>
      </c>
      <c r="M254" s="1246">
        <v>45981</v>
      </c>
      <c r="T254" t="s">
        <v>3765</v>
      </c>
      <c r="U254" s="360">
        <v>0.30486111111111108</v>
      </c>
      <c r="V254" s="360">
        <v>0.46319444444444446</v>
      </c>
    </row>
    <row r="255" spans="1:22" hidden="1" x14ac:dyDescent="0.25">
      <c r="A255" s="483">
        <v>21092025</v>
      </c>
      <c r="B255" t="s">
        <v>930</v>
      </c>
      <c r="C255" t="s">
        <v>4218</v>
      </c>
      <c r="D255" s="233">
        <v>45921</v>
      </c>
      <c r="E255" s="28"/>
      <c r="F255" s="28" t="s">
        <v>294</v>
      </c>
      <c r="G255" s="1067" t="s">
        <v>7037</v>
      </c>
      <c r="H255" s="28" t="s">
        <v>7041</v>
      </c>
      <c r="I255" s="798">
        <v>24886</v>
      </c>
      <c r="J255" s="3">
        <f t="shared" si="20"/>
        <v>21900</v>
      </c>
      <c r="L255" s="30" t="s">
        <v>17</v>
      </c>
      <c r="M255" s="1246">
        <v>45986</v>
      </c>
      <c r="T255" t="s">
        <v>6214</v>
      </c>
      <c r="U255" s="360">
        <v>0.72013888888888899</v>
      </c>
      <c r="V255" s="360">
        <v>0.87986111111111109</v>
      </c>
    </row>
    <row r="256" spans="1:22" hidden="1" x14ac:dyDescent="0.25">
      <c r="A256" s="483">
        <v>17102025</v>
      </c>
      <c r="B256" t="s">
        <v>930</v>
      </c>
      <c r="C256" t="s">
        <v>13</v>
      </c>
      <c r="D256" s="233">
        <v>45947</v>
      </c>
      <c r="E256" s="28"/>
      <c r="F256" s="28" t="s">
        <v>294</v>
      </c>
      <c r="G256" s="1067" t="s">
        <v>7125</v>
      </c>
      <c r="H256" s="28" t="s">
        <v>7126</v>
      </c>
      <c r="I256" s="313">
        <v>24886</v>
      </c>
      <c r="J256" s="3">
        <f t="shared" si="20"/>
        <v>21900</v>
      </c>
      <c r="L256" s="30" t="s">
        <v>17</v>
      </c>
      <c r="M256" s="1246">
        <v>46014</v>
      </c>
      <c r="T256" t="s">
        <v>6347</v>
      </c>
      <c r="U256" s="360">
        <v>0.56527777777777777</v>
      </c>
      <c r="V256" s="360"/>
    </row>
    <row r="257" spans="1:22" hidden="1" x14ac:dyDescent="0.25">
      <c r="A257" s="483">
        <v>22102025</v>
      </c>
      <c r="B257" t="s">
        <v>930</v>
      </c>
      <c r="C257" t="s">
        <v>13</v>
      </c>
      <c r="D257" s="233">
        <v>45952</v>
      </c>
      <c r="E257" s="28"/>
      <c r="F257" s="28" t="s">
        <v>294</v>
      </c>
      <c r="G257" s="1067" t="s">
        <v>7192</v>
      </c>
      <c r="H257" s="28" t="s">
        <v>7193</v>
      </c>
      <c r="I257" s="313">
        <v>24886</v>
      </c>
      <c r="J257" s="3">
        <f t="shared" si="20"/>
        <v>21900</v>
      </c>
      <c r="L257" s="1102" t="s">
        <v>17</v>
      </c>
      <c r="M257" s="233">
        <v>46045</v>
      </c>
      <c r="T257" t="s">
        <v>4140</v>
      </c>
      <c r="U257" s="360"/>
      <c r="V257" s="360"/>
    </row>
    <row r="258" spans="1:22" ht="14.1" hidden="1" customHeight="1" x14ac:dyDescent="0.25">
      <c r="A258" s="483">
        <v>30102025</v>
      </c>
      <c r="B258" t="s">
        <v>930</v>
      </c>
      <c r="C258" t="s">
        <v>410</v>
      </c>
      <c r="D258" s="233">
        <v>45960</v>
      </c>
      <c r="E258" s="28"/>
      <c r="F258" s="28" t="s">
        <v>294</v>
      </c>
      <c r="G258" s="1067" t="s">
        <v>7199</v>
      </c>
      <c r="H258" s="28" t="s">
        <v>7200</v>
      </c>
      <c r="I258" s="798">
        <v>24886</v>
      </c>
      <c r="J258" s="3">
        <f t="shared" si="20"/>
        <v>21900</v>
      </c>
      <c r="L258" s="1102" t="s">
        <v>17</v>
      </c>
      <c r="M258" s="233">
        <v>46045</v>
      </c>
      <c r="T258" t="s">
        <v>7092</v>
      </c>
      <c r="U258" s="360"/>
      <c r="V258" s="360"/>
    </row>
    <row r="259" spans="1:22" s="1299" customFormat="1" hidden="1" x14ac:dyDescent="0.25">
      <c r="A259" s="1298">
        <v>12112025</v>
      </c>
      <c r="B259" s="1299" t="s">
        <v>930</v>
      </c>
      <c r="C259" s="1299" t="s">
        <v>4218</v>
      </c>
      <c r="D259" s="1303">
        <v>45973</v>
      </c>
      <c r="E259" s="1243"/>
      <c r="F259" s="1243" t="s">
        <v>295</v>
      </c>
      <c r="G259" s="1268" t="s">
        <v>7322</v>
      </c>
      <c r="H259" s="1243" t="s">
        <v>7323</v>
      </c>
      <c r="I259" s="1300">
        <v>34011</v>
      </c>
      <c r="J259" s="1302">
        <f t="shared" si="20"/>
        <v>29930</v>
      </c>
      <c r="L259" s="1310" t="s">
        <v>17</v>
      </c>
      <c r="M259" s="1303">
        <v>46100</v>
      </c>
      <c r="T259" s="1299" t="s">
        <v>5021</v>
      </c>
      <c r="U259" s="1301">
        <v>7.24</v>
      </c>
      <c r="V259" s="1301">
        <v>0.53055555555555556</v>
      </c>
    </row>
    <row r="260" spans="1:22" x14ac:dyDescent="0.25">
      <c r="A260" s="483">
        <v>27112025</v>
      </c>
      <c r="B260" t="s">
        <v>930</v>
      </c>
      <c r="C260" s="28" t="s">
        <v>4218</v>
      </c>
      <c r="D260" s="233">
        <v>45988</v>
      </c>
      <c r="E260" s="28"/>
      <c r="F260" s="28" t="s">
        <v>295</v>
      </c>
      <c r="G260" s="1067" t="s">
        <v>7395</v>
      </c>
      <c r="H260" s="28" t="s">
        <v>7396</v>
      </c>
      <c r="I260" s="798">
        <v>34011</v>
      </c>
      <c r="J260" s="844">
        <f t="shared" si="20"/>
        <v>29930</v>
      </c>
      <c r="L260" s="88"/>
      <c r="M260" s="88"/>
      <c r="R260" t="s">
        <v>7078</v>
      </c>
      <c r="S260" s="360">
        <v>0.8125</v>
      </c>
      <c r="T260" s="360">
        <v>4.027777777777778E-2</v>
      </c>
    </row>
    <row r="261" spans="1:22" ht="14.45" customHeight="1" thickBot="1" x14ac:dyDescent="0.3">
      <c r="A261" s="483"/>
      <c r="D261" s="233"/>
      <c r="E261" s="28"/>
      <c r="H261"/>
      <c r="I261" s="798"/>
      <c r="J261" s="3"/>
      <c r="L261" s="1102"/>
      <c r="M261" s="233"/>
      <c r="N261" s="811"/>
      <c r="O261" s="811"/>
      <c r="P261" s="811"/>
      <c r="U261" s="360"/>
      <c r="V261" s="360"/>
    </row>
    <row r="262" spans="1:22" ht="15" customHeight="1" thickBot="1" x14ac:dyDescent="0.3">
      <c r="I262" s="816">
        <f>SUBTOTAL(9,I234:I261)</f>
        <v>58897</v>
      </c>
      <c r="J262" s="88"/>
      <c r="L262" s="1102"/>
      <c r="M262" s="233"/>
      <c r="N262" s="811"/>
      <c r="O262" s="811"/>
      <c r="P262" s="811"/>
    </row>
    <row r="263" spans="1:22" ht="14.45" customHeight="1" x14ac:dyDescent="0.25">
      <c r="G263" s="30"/>
      <c r="I263" s="447"/>
      <c r="J263" s="88"/>
      <c r="L263" s="1102"/>
      <c r="M263" s="233"/>
      <c r="N263" s="811"/>
      <c r="O263" s="811"/>
      <c r="P263" s="811"/>
    </row>
    <row r="264" spans="1:22" ht="14.45" customHeight="1" x14ac:dyDescent="0.25">
      <c r="D264" s="233"/>
      <c r="I264" s="447"/>
      <c r="J264" s="88"/>
      <c r="L264" s="1102"/>
      <c r="M264" s="233"/>
      <c r="N264" s="811"/>
      <c r="O264" s="811"/>
      <c r="P264" s="811"/>
    </row>
    <row r="265" spans="1:22" ht="14.45" customHeight="1" thickBot="1" x14ac:dyDescent="0.3">
      <c r="D265" s="233"/>
      <c r="I265" s="447"/>
      <c r="J265" s="88"/>
      <c r="L265" s="1102"/>
      <c r="M265" s="233"/>
      <c r="N265" s="811"/>
      <c r="O265" s="811"/>
      <c r="P265" s="811"/>
    </row>
    <row r="266" spans="1:22" ht="15" customHeight="1" thickBot="1" x14ac:dyDescent="0.3">
      <c r="D266" s="1487" t="s">
        <v>5650</v>
      </c>
      <c r="E266" s="1488"/>
      <c r="F266" s="1488"/>
      <c r="G266" s="1488"/>
      <c r="H266" s="1488"/>
      <c r="I266" s="1489"/>
      <c r="J266" s="88"/>
      <c r="L266" s="1102"/>
      <c r="M266" s="233"/>
      <c r="N266" s="811"/>
      <c r="O266" s="811"/>
      <c r="P266" s="811"/>
    </row>
    <row r="267" spans="1:22" ht="14.45" hidden="1" customHeight="1" x14ac:dyDescent="0.25">
      <c r="A267" s="483">
        <v>15022024</v>
      </c>
      <c r="B267" t="s">
        <v>930</v>
      </c>
      <c r="C267" t="s">
        <v>4218</v>
      </c>
      <c r="D267" s="233">
        <v>45703</v>
      </c>
      <c r="E267" s="28"/>
      <c r="F267" s="28" t="s">
        <v>294</v>
      </c>
      <c r="G267" s="30" t="s">
        <v>5688</v>
      </c>
      <c r="H267" s="28" t="s">
        <v>5691</v>
      </c>
      <c r="I267" s="798">
        <v>33182</v>
      </c>
      <c r="J267" s="3">
        <f t="shared" ref="J267:J295" si="21">+I267-ROUND(I267*0.12,0)</f>
        <v>29200</v>
      </c>
      <c r="L267" s="1102" t="s">
        <v>17</v>
      </c>
      <c r="M267" s="233">
        <v>45772</v>
      </c>
      <c r="N267" s="811"/>
      <c r="O267" s="811"/>
      <c r="P267" s="811"/>
      <c r="T267" t="s">
        <v>4297</v>
      </c>
      <c r="U267" s="360">
        <v>0.61111111111111105</v>
      </c>
      <c r="V267" s="360">
        <v>0.7895833333333333</v>
      </c>
    </row>
    <row r="268" spans="1:22" ht="14.45" hidden="1" customHeight="1" x14ac:dyDescent="0.25">
      <c r="A268" s="483">
        <v>24022025</v>
      </c>
      <c r="B268" t="s">
        <v>930</v>
      </c>
      <c r="C268" t="s">
        <v>4218</v>
      </c>
      <c r="D268" s="233">
        <v>45712</v>
      </c>
      <c r="E268" s="28"/>
      <c r="F268" s="28" t="s">
        <v>294</v>
      </c>
      <c r="G268" s="30" t="s">
        <v>5721</v>
      </c>
      <c r="H268" s="28" t="s">
        <v>5726</v>
      </c>
      <c r="I268" s="313">
        <v>33182</v>
      </c>
      <c r="J268" s="3">
        <f t="shared" si="21"/>
        <v>29200</v>
      </c>
      <c r="L268" s="1102" t="s">
        <v>17</v>
      </c>
      <c r="M268" s="233">
        <v>45772</v>
      </c>
      <c r="N268" s="811"/>
      <c r="O268" s="811"/>
      <c r="P268" s="811" t="s">
        <v>1644</v>
      </c>
      <c r="Q268" s="30">
        <v>16.239999999999998</v>
      </c>
      <c r="R268" s="360">
        <v>0.86736111111111114</v>
      </c>
    </row>
    <row r="269" spans="1:22" ht="14.45" hidden="1" customHeight="1" x14ac:dyDescent="0.25">
      <c r="A269" s="483" t="s">
        <v>5781</v>
      </c>
      <c r="B269" t="s">
        <v>930</v>
      </c>
      <c r="C269" t="s">
        <v>13</v>
      </c>
      <c r="D269" s="233">
        <v>45725</v>
      </c>
      <c r="E269" s="28"/>
      <c r="F269" s="28" t="s">
        <v>294</v>
      </c>
      <c r="G269" s="30" t="s">
        <v>5793</v>
      </c>
      <c r="H269" s="28" t="s">
        <v>5795</v>
      </c>
      <c r="I269" s="798">
        <v>33182</v>
      </c>
      <c r="J269" s="3">
        <f t="shared" si="21"/>
        <v>29200</v>
      </c>
      <c r="K269" s="798"/>
      <c r="L269" s="1102" t="s">
        <v>17</v>
      </c>
      <c r="M269" s="233">
        <v>45772</v>
      </c>
      <c r="N269" s="811"/>
      <c r="O269" s="811"/>
      <c r="P269" s="811"/>
      <c r="T269" t="s">
        <v>5026</v>
      </c>
      <c r="U269" s="360">
        <v>0.37013888888888885</v>
      </c>
      <c r="V269" s="360">
        <v>0.55138888888888882</v>
      </c>
    </row>
    <row r="270" spans="1:22" ht="14.45" hidden="1" customHeight="1" x14ac:dyDescent="0.25">
      <c r="A270" s="483">
        <v>15032025</v>
      </c>
      <c r="B270" t="s">
        <v>930</v>
      </c>
      <c r="C270" t="s">
        <v>13</v>
      </c>
      <c r="D270" s="233">
        <v>45731</v>
      </c>
      <c r="E270" s="28"/>
      <c r="F270" s="28" t="s">
        <v>294</v>
      </c>
      <c r="G270" t="s">
        <v>5858</v>
      </c>
      <c r="H270" s="127" t="s">
        <v>5859</v>
      </c>
      <c r="I270" s="798">
        <v>33182</v>
      </c>
      <c r="J270" s="3">
        <f t="shared" si="21"/>
        <v>29200</v>
      </c>
      <c r="L270" s="30" t="s">
        <v>17</v>
      </c>
      <c r="M270" s="233">
        <v>45967</v>
      </c>
      <c r="N270" s="811"/>
      <c r="O270" s="811"/>
      <c r="P270" s="811"/>
      <c r="T270" t="s">
        <v>5776</v>
      </c>
      <c r="U270" s="360">
        <v>0.35138888888888892</v>
      </c>
      <c r="V270" s="360">
        <v>0.52916666666666667</v>
      </c>
    </row>
    <row r="271" spans="1:22" hidden="1" x14ac:dyDescent="0.25">
      <c r="A271" s="483" t="s">
        <v>5897</v>
      </c>
      <c r="B271" t="s">
        <v>930</v>
      </c>
      <c r="C271" t="s">
        <v>4218</v>
      </c>
      <c r="D271" s="233">
        <v>45750</v>
      </c>
      <c r="E271" s="28"/>
      <c r="F271" s="28" t="s">
        <v>294</v>
      </c>
      <c r="G271" t="s">
        <v>6007</v>
      </c>
      <c r="H271" s="28" t="s">
        <v>6338</v>
      </c>
      <c r="I271" s="798">
        <v>33182</v>
      </c>
      <c r="J271" s="3">
        <f t="shared" si="21"/>
        <v>29200</v>
      </c>
      <c r="L271" s="971" t="s">
        <v>17</v>
      </c>
      <c r="M271" s="233">
        <v>45944</v>
      </c>
      <c r="U271" s="30"/>
      <c r="V271" s="30"/>
    </row>
    <row r="272" spans="1:22" hidden="1" x14ac:dyDescent="0.25">
      <c r="A272" s="483" t="s">
        <v>6156</v>
      </c>
      <c r="B272" t="s">
        <v>930</v>
      </c>
      <c r="C272" t="s">
        <v>278</v>
      </c>
      <c r="D272" s="233">
        <v>45787</v>
      </c>
      <c r="E272" s="28"/>
      <c r="F272" s="28" t="s">
        <v>294</v>
      </c>
      <c r="G272" s="19" t="s">
        <v>6190</v>
      </c>
      <c r="H272" s="472" t="s">
        <v>6252</v>
      </c>
      <c r="I272" s="798">
        <v>33182</v>
      </c>
      <c r="J272" s="3">
        <f t="shared" si="21"/>
        <v>29200</v>
      </c>
      <c r="L272" s="1102" t="s">
        <v>17</v>
      </c>
      <c r="M272" s="233">
        <v>45887</v>
      </c>
      <c r="T272" t="s">
        <v>6151</v>
      </c>
      <c r="U272" s="360"/>
      <c r="V272" s="360">
        <v>0.7631944444444444</v>
      </c>
    </row>
    <row r="273" spans="1:22" hidden="1" x14ac:dyDescent="0.25">
      <c r="A273" s="483" t="s">
        <v>6355</v>
      </c>
      <c r="B273" t="s">
        <v>930</v>
      </c>
      <c r="C273" t="s">
        <v>4437</v>
      </c>
      <c r="D273" s="233">
        <v>45816</v>
      </c>
      <c r="E273" s="28"/>
      <c r="F273" s="28" t="s">
        <v>294</v>
      </c>
      <c r="G273" s="19" t="s">
        <v>6440</v>
      </c>
      <c r="H273" s="472" t="s">
        <v>6443</v>
      </c>
      <c r="I273" s="798">
        <v>33182</v>
      </c>
      <c r="J273" s="3">
        <f t="shared" si="21"/>
        <v>29200</v>
      </c>
      <c r="L273" s="1102" t="s">
        <v>17</v>
      </c>
      <c r="M273" s="233">
        <v>45887</v>
      </c>
      <c r="T273" t="s">
        <v>6356</v>
      </c>
      <c r="U273" s="360">
        <v>0.29305555555555557</v>
      </c>
      <c r="V273" s="360">
        <v>0.46875</v>
      </c>
    </row>
    <row r="274" spans="1:22" hidden="1" x14ac:dyDescent="0.25">
      <c r="A274" s="483" t="s">
        <v>6417</v>
      </c>
      <c r="B274" t="s">
        <v>930</v>
      </c>
      <c r="C274" t="s">
        <v>4437</v>
      </c>
      <c r="D274" s="233">
        <v>45822</v>
      </c>
      <c r="E274" s="28"/>
      <c r="F274" s="28" t="s">
        <v>294</v>
      </c>
      <c r="G274" s="19" t="s">
        <v>6441</v>
      </c>
      <c r="H274" s="472" t="s">
        <v>6444</v>
      </c>
      <c r="I274" s="798">
        <v>33182</v>
      </c>
      <c r="J274" s="3">
        <f t="shared" si="21"/>
        <v>29200</v>
      </c>
      <c r="L274" s="1102" t="s">
        <v>17</v>
      </c>
      <c r="M274" s="233">
        <v>45887</v>
      </c>
      <c r="T274" t="s">
        <v>4853</v>
      </c>
      <c r="U274" s="360">
        <v>0.30902777777777779</v>
      </c>
      <c r="V274" s="360">
        <v>0.50347222222222221</v>
      </c>
    </row>
    <row r="275" spans="1:22" hidden="1" x14ac:dyDescent="0.25">
      <c r="A275" s="483">
        <v>20062025</v>
      </c>
      <c r="B275" t="s">
        <v>930</v>
      </c>
      <c r="C275" t="s">
        <v>4437</v>
      </c>
      <c r="D275" s="233">
        <v>45828</v>
      </c>
      <c r="E275" s="28"/>
      <c r="F275" s="28" t="s">
        <v>295</v>
      </c>
      <c r="G275" t="s">
        <v>6560</v>
      </c>
      <c r="H275" s="472" t="s">
        <v>6613</v>
      </c>
      <c r="I275" s="798">
        <v>43450</v>
      </c>
      <c r="J275" s="3">
        <f t="shared" si="21"/>
        <v>38236</v>
      </c>
      <c r="L275" s="30" t="s">
        <v>17</v>
      </c>
      <c r="M275" s="233">
        <v>45911</v>
      </c>
      <c r="T275" t="s">
        <v>6356</v>
      </c>
      <c r="U275" s="30"/>
      <c r="V275" s="30"/>
    </row>
    <row r="276" spans="1:22" hidden="1" x14ac:dyDescent="0.25">
      <c r="A276" s="483">
        <v>24062025</v>
      </c>
      <c r="B276" t="s">
        <v>930</v>
      </c>
      <c r="C276" t="s">
        <v>4437</v>
      </c>
      <c r="D276" s="233">
        <v>45832</v>
      </c>
      <c r="E276" s="28"/>
      <c r="F276" s="28" t="s">
        <v>294</v>
      </c>
      <c r="G276" t="s">
        <v>6561</v>
      </c>
      <c r="H276" s="472" t="s">
        <v>6614</v>
      </c>
      <c r="I276" s="798">
        <v>33182</v>
      </c>
      <c r="J276" s="3">
        <f t="shared" si="21"/>
        <v>29200</v>
      </c>
      <c r="L276" s="971" t="s">
        <v>17</v>
      </c>
      <c r="M276" s="233">
        <v>45895</v>
      </c>
      <c r="T276" t="s">
        <v>6214</v>
      </c>
      <c r="U276" s="360">
        <v>0.43472222222222223</v>
      </c>
      <c r="V276" s="30"/>
    </row>
    <row r="277" spans="1:22" hidden="1" x14ac:dyDescent="0.25">
      <c r="A277" s="483" t="s">
        <v>6525</v>
      </c>
      <c r="B277" t="s">
        <v>930</v>
      </c>
      <c r="C277" t="s">
        <v>4437</v>
      </c>
      <c r="D277" s="233">
        <v>45840</v>
      </c>
      <c r="E277" s="28"/>
      <c r="F277" s="28" t="s">
        <v>294</v>
      </c>
      <c r="G277" t="s">
        <v>6563</v>
      </c>
      <c r="H277" s="472" t="s">
        <v>6849</v>
      </c>
      <c r="I277" s="798">
        <v>33182</v>
      </c>
      <c r="J277" s="3">
        <f t="shared" si="21"/>
        <v>29200</v>
      </c>
      <c r="L277" s="30" t="s">
        <v>17</v>
      </c>
      <c r="M277" s="233">
        <v>45919</v>
      </c>
      <c r="T277" t="s">
        <v>4297</v>
      </c>
      <c r="U277" s="360">
        <v>0.68263888888888891</v>
      </c>
      <c r="V277" s="360">
        <v>0.88541666666666663</v>
      </c>
    </row>
    <row r="278" spans="1:22" hidden="1" x14ac:dyDescent="0.25">
      <c r="A278" s="483" t="s">
        <v>6766</v>
      </c>
      <c r="B278" t="s">
        <v>930</v>
      </c>
      <c r="C278" t="s">
        <v>410</v>
      </c>
      <c r="D278" s="233">
        <v>45879</v>
      </c>
      <c r="E278" s="28"/>
      <c r="F278" s="28" t="s">
        <v>294</v>
      </c>
      <c r="G278" s="1067" t="s">
        <v>6768</v>
      </c>
      <c r="H278" s="472" t="s">
        <v>6769</v>
      </c>
      <c r="I278" s="313">
        <v>33182</v>
      </c>
      <c r="J278" s="3">
        <f t="shared" si="21"/>
        <v>29200</v>
      </c>
      <c r="L278" s="971" t="s">
        <v>17</v>
      </c>
      <c r="M278" s="233">
        <v>45951</v>
      </c>
      <c r="T278" t="s">
        <v>6349</v>
      </c>
      <c r="U278" s="360">
        <v>0.29791666666666666</v>
      </c>
      <c r="V278" s="360">
        <v>0.50624999999999998</v>
      </c>
    </row>
    <row r="279" spans="1:22" hidden="1" x14ac:dyDescent="0.25">
      <c r="A279" s="483" t="s">
        <v>6797</v>
      </c>
      <c r="B279" t="s">
        <v>930</v>
      </c>
      <c r="C279" t="s">
        <v>13</v>
      </c>
      <c r="D279" s="233">
        <v>45884</v>
      </c>
      <c r="E279" s="28"/>
      <c r="F279" s="28" t="s">
        <v>294</v>
      </c>
      <c r="G279" s="1067" t="s">
        <v>6834</v>
      </c>
      <c r="H279" s="472" t="s">
        <v>6852</v>
      </c>
      <c r="I279" s="313">
        <v>33182</v>
      </c>
      <c r="J279" s="3">
        <f t="shared" si="21"/>
        <v>29200</v>
      </c>
      <c r="L279" s="971" t="s">
        <v>17</v>
      </c>
      <c r="M279" s="233">
        <v>45951</v>
      </c>
      <c r="T279" t="s">
        <v>4140</v>
      </c>
      <c r="U279" s="360">
        <v>0.55277777777777781</v>
      </c>
      <c r="V279" s="360">
        <v>0.74861111111111112</v>
      </c>
    </row>
    <row r="280" spans="1:22" hidden="1" x14ac:dyDescent="0.25">
      <c r="A280" s="483">
        <v>26082025</v>
      </c>
      <c r="B280" t="s">
        <v>930</v>
      </c>
      <c r="C280" t="s">
        <v>4218</v>
      </c>
      <c r="D280" s="233">
        <v>45895</v>
      </c>
      <c r="E280" s="28"/>
      <c r="F280" s="28" t="s">
        <v>294</v>
      </c>
      <c r="G280" s="1067" t="s">
        <v>6850</v>
      </c>
      <c r="H280" s="472" t="s">
        <v>6853</v>
      </c>
      <c r="I280" s="313">
        <v>33182</v>
      </c>
      <c r="J280" s="3">
        <f t="shared" si="21"/>
        <v>29200</v>
      </c>
      <c r="L280" s="971" t="s">
        <v>17</v>
      </c>
      <c r="M280" s="233">
        <v>45933</v>
      </c>
      <c r="U280" s="360"/>
      <c r="V280" s="360"/>
    </row>
    <row r="281" spans="1:22" hidden="1" x14ac:dyDescent="0.25">
      <c r="A281" s="483">
        <v>26082025</v>
      </c>
      <c r="B281" t="s">
        <v>930</v>
      </c>
      <c r="C281" t="s">
        <v>410</v>
      </c>
      <c r="D281" s="233">
        <v>45895</v>
      </c>
      <c r="E281" s="28"/>
      <c r="F281" s="28" t="s">
        <v>294</v>
      </c>
      <c r="G281" s="1067" t="s">
        <v>6851</v>
      </c>
      <c r="H281" s="472" t="s">
        <v>6854</v>
      </c>
      <c r="I281" s="313">
        <v>33182</v>
      </c>
      <c r="J281" s="3">
        <f t="shared" si="21"/>
        <v>29200</v>
      </c>
      <c r="L281" s="971" t="s">
        <v>17</v>
      </c>
      <c r="M281" s="233">
        <v>45933</v>
      </c>
      <c r="T281" t="s">
        <v>6503</v>
      </c>
      <c r="U281" s="360">
        <v>0.63124999999999998</v>
      </c>
      <c r="V281" s="360"/>
    </row>
    <row r="282" spans="1:22" hidden="1" x14ac:dyDescent="0.25">
      <c r="A282" s="483" t="s">
        <v>6877</v>
      </c>
      <c r="B282" t="s">
        <v>930</v>
      </c>
      <c r="C282" t="s">
        <v>13</v>
      </c>
      <c r="D282" s="233">
        <v>45904</v>
      </c>
      <c r="E282" s="28"/>
      <c r="F282" s="28" t="s">
        <v>294</v>
      </c>
      <c r="G282" s="1067" t="s">
        <v>6917</v>
      </c>
      <c r="H282" s="28" t="s">
        <v>6922</v>
      </c>
      <c r="I282" s="313">
        <v>33182</v>
      </c>
      <c r="J282" s="3">
        <f t="shared" si="21"/>
        <v>29200</v>
      </c>
      <c r="L282" s="971" t="s">
        <v>17</v>
      </c>
      <c r="M282" s="233">
        <v>45951</v>
      </c>
      <c r="T282" t="s">
        <v>4853</v>
      </c>
      <c r="U282" s="360">
        <v>0.3</v>
      </c>
      <c r="V282" s="360">
        <v>0.50208333333333333</v>
      </c>
    </row>
    <row r="283" spans="1:22" hidden="1" x14ac:dyDescent="0.25">
      <c r="A283" s="483" t="s">
        <v>6877</v>
      </c>
      <c r="B283" t="s">
        <v>930</v>
      </c>
      <c r="C283" t="s">
        <v>4218</v>
      </c>
      <c r="D283" s="233">
        <v>45904</v>
      </c>
      <c r="E283" s="28"/>
      <c r="F283" s="28" t="s">
        <v>295</v>
      </c>
      <c r="G283" s="1067" t="s">
        <v>6916</v>
      </c>
      <c r="H283" s="28" t="s">
        <v>6921</v>
      </c>
      <c r="I283" s="313">
        <v>43450</v>
      </c>
      <c r="J283" s="3">
        <f t="shared" si="21"/>
        <v>38236</v>
      </c>
      <c r="L283" s="30" t="s">
        <v>17</v>
      </c>
      <c r="M283" s="233">
        <v>45960</v>
      </c>
      <c r="T283" t="s">
        <v>6151</v>
      </c>
      <c r="U283" s="360">
        <v>0.28888888888888892</v>
      </c>
      <c r="V283" s="360">
        <v>0.44861111111111113</v>
      </c>
    </row>
    <row r="284" spans="1:22" hidden="1" x14ac:dyDescent="0.25">
      <c r="A284" s="483" t="s">
        <v>6877</v>
      </c>
      <c r="B284" t="s">
        <v>930</v>
      </c>
      <c r="C284" t="s">
        <v>4218</v>
      </c>
      <c r="D284" s="233">
        <v>45904</v>
      </c>
      <c r="E284" s="28"/>
      <c r="F284" s="28" t="s">
        <v>294</v>
      </c>
      <c r="G284" s="1067" t="s">
        <v>6918</v>
      </c>
      <c r="H284" s="28" t="s">
        <v>6920</v>
      </c>
      <c r="I284" s="313">
        <v>33182</v>
      </c>
      <c r="J284" s="3">
        <f t="shared" si="21"/>
        <v>29200</v>
      </c>
      <c r="L284" s="30" t="s">
        <v>17</v>
      </c>
      <c r="M284" s="233">
        <v>45960</v>
      </c>
      <c r="T284" t="s">
        <v>5989</v>
      </c>
      <c r="U284" s="360">
        <v>0.74930555555555556</v>
      </c>
      <c r="V284" s="360">
        <v>0.95138888888888884</v>
      </c>
    </row>
    <row r="285" spans="1:22" hidden="1" x14ac:dyDescent="0.25">
      <c r="A285" s="483" t="s">
        <v>6951</v>
      </c>
      <c r="B285" t="s">
        <v>930</v>
      </c>
      <c r="C285" t="s">
        <v>4218</v>
      </c>
      <c r="D285" s="233">
        <v>45917</v>
      </c>
      <c r="E285" s="28"/>
      <c r="F285" s="28" t="s">
        <v>294</v>
      </c>
      <c r="G285" s="1067" t="s">
        <v>7033</v>
      </c>
      <c r="H285" s="28" t="s">
        <v>7042</v>
      </c>
      <c r="I285" s="313">
        <v>33182</v>
      </c>
      <c r="J285" s="3">
        <f t="shared" si="21"/>
        <v>29200</v>
      </c>
      <c r="L285" s="30" t="s">
        <v>17</v>
      </c>
      <c r="M285" s="233">
        <v>45967</v>
      </c>
      <c r="T285" t="s">
        <v>5021</v>
      </c>
      <c r="U285" s="360"/>
      <c r="V285" s="360"/>
    </row>
    <row r="286" spans="1:22" hidden="1" x14ac:dyDescent="0.25">
      <c r="A286" s="483" t="s">
        <v>7024</v>
      </c>
      <c r="B286" t="s">
        <v>930</v>
      </c>
      <c r="C286" t="s">
        <v>4218</v>
      </c>
      <c r="D286" s="233">
        <v>45929</v>
      </c>
      <c r="E286" s="28"/>
      <c r="F286" s="28" t="s">
        <v>294</v>
      </c>
      <c r="G286" s="1067" t="s">
        <v>7040</v>
      </c>
      <c r="H286" s="28" t="s">
        <v>7043</v>
      </c>
      <c r="I286" s="313">
        <v>33182</v>
      </c>
      <c r="J286" s="3">
        <f t="shared" si="21"/>
        <v>29200</v>
      </c>
      <c r="L286" s="30" t="s">
        <v>17</v>
      </c>
      <c r="M286" s="233">
        <v>45967</v>
      </c>
      <c r="T286" t="s">
        <v>6214</v>
      </c>
      <c r="U286" s="360">
        <v>0.68541666666666667</v>
      </c>
      <c r="V286" s="360"/>
    </row>
    <row r="287" spans="1:22" hidden="1" x14ac:dyDescent="0.25">
      <c r="A287" s="483" t="s">
        <v>7072</v>
      </c>
      <c r="B287" t="s">
        <v>930</v>
      </c>
      <c r="C287" t="s">
        <v>4218</v>
      </c>
      <c r="D287" s="233">
        <v>45937</v>
      </c>
      <c r="E287" s="28"/>
      <c r="F287" s="28" t="s">
        <v>294</v>
      </c>
      <c r="G287" s="1067" t="s">
        <v>7083</v>
      </c>
      <c r="H287" s="28" t="s">
        <v>7087</v>
      </c>
      <c r="I287" s="313">
        <v>33182</v>
      </c>
      <c r="J287" s="3">
        <f t="shared" si="21"/>
        <v>29200</v>
      </c>
      <c r="L287" s="971" t="s">
        <v>17</v>
      </c>
      <c r="M287" s="233">
        <v>45996</v>
      </c>
      <c r="T287" t="s">
        <v>5021</v>
      </c>
      <c r="U287" s="360"/>
      <c r="V287" s="360"/>
    </row>
    <row r="288" spans="1:22" hidden="1" x14ac:dyDescent="0.25">
      <c r="A288" s="483" t="s">
        <v>7079</v>
      </c>
      <c r="B288" t="s">
        <v>930</v>
      </c>
      <c r="C288" t="s">
        <v>410</v>
      </c>
      <c r="D288" s="233">
        <v>45939</v>
      </c>
      <c r="E288" s="28"/>
      <c r="F288" s="28" t="s">
        <v>295</v>
      </c>
      <c r="G288" s="1067" t="s">
        <v>7082</v>
      </c>
      <c r="H288" s="28" t="s">
        <v>7088</v>
      </c>
      <c r="I288" s="313">
        <v>43450</v>
      </c>
      <c r="J288" s="3">
        <f t="shared" si="21"/>
        <v>38236</v>
      </c>
      <c r="L288" s="971" t="s">
        <v>17</v>
      </c>
      <c r="M288" s="233">
        <v>46063</v>
      </c>
      <c r="T288" t="s">
        <v>4396</v>
      </c>
      <c r="U288" s="360">
        <v>0.31180555555555556</v>
      </c>
      <c r="V288" s="360"/>
    </row>
    <row r="289" spans="1:23" hidden="1" x14ac:dyDescent="0.25">
      <c r="A289" s="483" t="s">
        <v>7079</v>
      </c>
      <c r="B289" t="s">
        <v>930</v>
      </c>
      <c r="C289" t="s">
        <v>13</v>
      </c>
      <c r="D289" s="233">
        <v>45939</v>
      </c>
      <c r="E289" s="28"/>
      <c r="F289" s="28" t="s">
        <v>294</v>
      </c>
      <c r="G289" s="1067" t="s">
        <v>7081</v>
      </c>
      <c r="H289" s="28" t="s">
        <v>7089</v>
      </c>
      <c r="I289" s="313">
        <v>33182</v>
      </c>
      <c r="J289" s="3">
        <f t="shared" si="21"/>
        <v>29200</v>
      </c>
      <c r="L289" s="971" t="s">
        <v>17</v>
      </c>
      <c r="M289" s="233">
        <v>46063</v>
      </c>
      <c r="T289" t="s">
        <v>7078</v>
      </c>
      <c r="U289" s="360">
        <v>0.3520833333333333</v>
      </c>
      <c r="V289" s="360">
        <v>0.54722222222222217</v>
      </c>
    </row>
    <row r="290" spans="1:23" hidden="1" x14ac:dyDescent="0.25">
      <c r="A290" s="483">
        <v>16102025</v>
      </c>
      <c r="B290" t="s">
        <v>930</v>
      </c>
      <c r="C290" t="s">
        <v>4218</v>
      </c>
      <c r="D290" s="233">
        <v>45946</v>
      </c>
      <c r="E290" s="28"/>
      <c r="F290" s="28" t="s">
        <v>294</v>
      </c>
      <c r="G290" s="1067" t="s">
        <v>7124</v>
      </c>
      <c r="H290" s="28" t="s">
        <v>7324</v>
      </c>
      <c r="I290" s="313">
        <v>33182</v>
      </c>
      <c r="J290" s="3">
        <f t="shared" si="21"/>
        <v>29200</v>
      </c>
      <c r="L290" s="30" t="s">
        <v>17</v>
      </c>
      <c r="M290" s="233">
        <v>45986</v>
      </c>
      <c r="U290" s="360"/>
      <c r="V290" s="360"/>
    </row>
    <row r="291" spans="1:23" x14ac:dyDescent="0.25">
      <c r="A291" s="483" t="s">
        <v>7228</v>
      </c>
      <c r="B291" t="s">
        <v>930</v>
      </c>
      <c r="C291" t="s">
        <v>4218</v>
      </c>
      <c r="D291" s="233">
        <v>45967</v>
      </c>
      <c r="E291" s="28"/>
      <c r="F291" s="28" t="s">
        <v>295</v>
      </c>
      <c r="G291" s="1067" t="s">
        <v>7279</v>
      </c>
      <c r="H291" s="28" t="s">
        <v>7324</v>
      </c>
      <c r="I291" s="798">
        <v>43450</v>
      </c>
      <c r="J291" s="3">
        <f t="shared" si="21"/>
        <v>38236</v>
      </c>
      <c r="L291" s="236"/>
      <c r="M291" s="88"/>
      <c r="T291" t="s">
        <v>6503</v>
      </c>
      <c r="U291" s="360">
        <v>0.74861111111111101</v>
      </c>
      <c r="V291" s="360">
        <v>4.3055555555555562E-2</v>
      </c>
    </row>
    <row r="292" spans="1:23" x14ac:dyDescent="0.25">
      <c r="A292" s="483" t="s">
        <v>7246</v>
      </c>
      <c r="B292" t="s">
        <v>930</v>
      </c>
      <c r="C292" t="s">
        <v>13</v>
      </c>
      <c r="D292" s="233">
        <v>45970</v>
      </c>
      <c r="E292" s="28"/>
      <c r="F292" s="28" t="s">
        <v>294</v>
      </c>
      <c r="G292" s="1067" t="s">
        <v>7280</v>
      </c>
      <c r="H292" s="28" t="s">
        <v>7325</v>
      </c>
      <c r="I292" s="798">
        <v>33182</v>
      </c>
      <c r="J292" s="3">
        <f t="shared" si="21"/>
        <v>29200</v>
      </c>
      <c r="L292" s="236"/>
      <c r="M292" s="88"/>
      <c r="T292" t="s">
        <v>5131</v>
      </c>
      <c r="U292" s="360">
        <v>0.56180555555555556</v>
      </c>
      <c r="V292" s="360">
        <v>0.76111111111111107</v>
      </c>
    </row>
    <row r="293" spans="1:23" x14ac:dyDescent="0.25">
      <c r="A293" s="483">
        <v>12112025</v>
      </c>
      <c r="B293" t="s">
        <v>930</v>
      </c>
      <c r="C293" t="s">
        <v>4218</v>
      </c>
      <c r="D293" s="233">
        <v>45973</v>
      </c>
      <c r="E293" s="28"/>
      <c r="F293" s="28" t="s">
        <v>295</v>
      </c>
      <c r="G293" s="1067" t="s">
        <v>7281</v>
      </c>
      <c r="H293" s="28" t="s">
        <v>7321</v>
      </c>
      <c r="I293" s="798">
        <v>43450</v>
      </c>
      <c r="J293" s="3">
        <f t="shared" si="21"/>
        <v>38236</v>
      </c>
      <c r="L293" s="236"/>
      <c r="M293" s="88"/>
      <c r="T293" t="s">
        <v>4140</v>
      </c>
      <c r="U293" s="360" t="s">
        <v>7259</v>
      </c>
      <c r="V293" s="360"/>
    </row>
    <row r="294" spans="1:23" x14ac:dyDescent="0.25">
      <c r="A294" s="483">
        <v>15112025</v>
      </c>
      <c r="B294" t="s">
        <v>930</v>
      </c>
      <c r="C294" t="s">
        <v>4218</v>
      </c>
      <c r="D294" s="233">
        <v>45976</v>
      </c>
      <c r="E294" s="28"/>
      <c r="F294" s="28" t="s">
        <v>294</v>
      </c>
      <c r="G294" s="1067" t="s">
        <v>7282</v>
      </c>
      <c r="H294" s="28" t="s">
        <v>7326</v>
      </c>
      <c r="I294" s="798">
        <v>33182</v>
      </c>
      <c r="J294" s="3">
        <f t="shared" si="21"/>
        <v>29200</v>
      </c>
      <c r="L294" s="236"/>
      <c r="M294" s="88"/>
      <c r="T294" s="926" t="s">
        <v>5021</v>
      </c>
      <c r="U294" s="360">
        <v>0.42499999999999999</v>
      </c>
      <c r="V294" s="360">
        <v>0.64513888888888882</v>
      </c>
    </row>
    <row r="295" spans="1:23" x14ac:dyDescent="0.25">
      <c r="A295" s="483">
        <v>22112025</v>
      </c>
      <c r="B295" t="s">
        <v>930</v>
      </c>
      <c r="C295" t="s">
        <v>4218</v>
      </c>
      <c r="D295" s="233">
        <v>45983</v>
      </c>
      <c r="E295" s="28"/>
      <c r="F295" s="28" t="s">
        <v>294</v>
      </c>
      <c r="G295" s="1067" t="s">
        <v>7327</v>
      </c>
      <c r="H295" s="142" t="s">
        <v>7350</v>
      </c>
      <c r="I295" s="798">
        <v>33182</v>
      </c>
      <c r="J295" s="3">
        <f t="shared" si="21"/>
        <v>29200</v>
      </c>
      <c r="L295" s="88"/>
      <c r="M295" s="88"/>
      <c r="R295" t="s">
        <v>6067</v>
      </c>
      <c r="S295" s="360">
        <v>0.67291666666666661</v>
      </c>
      <c r="T295" s="360">
        <v>0.89236111111111116</v>
      </c>
    </row>
    <row r="296" spans="1:23" x14ac:dyDescent="0.25">
      <c r="A296" s="483"/>
      <c r="D296" s="233"/>
      <c r="E296" s="28"/>
      <c r="G296" s="1067"/>
      <c r="I296" s="798"/>
      <c r="J296" s="3"/>
      <c r="L296" s="88"/>
      <c r="M296" s="88"/>
      <c r="R296" s="5"/>
      <c r="S296" s="360"/>
      <c r="T296" s="360"/>
    </row>
    <row r="297" spans="1:23" ht="14.45" customHeight="1" thickBot="1" x14ac:dyDescent="0.3">
      <c r="A297" s="483"/>
      <c r="D297" s="233"/>
      <c r="E297" s="28"/>
      <c r="G297" s="1067"/>
      <c r="H297"/>
      <c r="I297" s="313"/>
      <c r="J297"/>
      <c r="L297" s="1102"/>
      <c r="M297" s="811"/>
      <c r="N297" s="811"/>
      <c r="O297" s="811"/>
      <c r="P297" s="811"/>
      <c r="U297" s="360"/>
      <c r="V297" s="360"/>
    </row>
    <row r="298" spans="1:23" ht="15" customHeight="1" thickBot="1" x14ac:dyDescent="0.3">
      <c r="A298" s="256"/>
      <c r="D298" s="233"/>
      <c r="I298" s="818">
        <f>SUBTOTAL(9,I267:I297)</f>
        <v>186446</v>
      </c>
      <c r="J298" s="88"/>
      <c r="K298" s="61"/>
      <c r="L298" s="1102"/>
      <c r="M298" s="811"/>
      <c r="N298" s="811"/>
      <c r="O298" s="811"/>
      <c r="P298" s="811"/>
      <c r="T298" s="14"/>
      <c r="U298" s="14"/>
    </row>
    <row r="299" spans="1:23" ht="14.45" customHeight="1" x14ac:dyDescent="0.25">
      <c r="A299" s="256"/>
      <c r="D299" s="233"/>
      <c r="I299" s="17"/>
      <c r="J299" s="88"/>
      <c r="K299" s="313"/>
      <c r="L299" s="1102"/>
      <c r="M299" s="811"/>
      <c r="N299" s="811"/>
      <c r="O299" s="811"/>
      <c r="P299" s="811"/>
      <c r="T299" s="14"/>
      <c r="U299" s="14"/>
    </row>
    <row r="300" spans="1:23" ht="14.45" customHeight="1" thickBot="1" x14ac:dyDescent="0.3">
      <c r="J300" s="88"/>
      <c r="L300" s="1102"/>
      <c r="M300" s="811"/>
      <c r="N300" s="811"/>
      <c r="O300" s="811"/>
      <c r="P300" s="811"/>
    </row>
    <row r="301" spans="1:23" ht="15" customHeight="1" thickBot="1" x14ac:dyDescent="0.3">
      <c r="H301" s="28" t="s">
        <v>385</v>
      </c>
      <c r="I301" s="784">
        <f>I120+I136+I150+I197+I229+I262+I298</f>
        <v>660288.4</v>
      </c>
      <c r="J301" s="88"/>
      <c r="L301" s="1102"/>
      <c r="M301" s="1251">
        <f>+N301/P307</f>
        <v>0.46543755192638397</v>
      </c>
      <c r="N301" s="914">
        <v>754047</v>
      </c>
      <c r="O301" s="1251">
        <f>+P301/P307</f>
        <v>0.53456244807361608</v>
      </c>
      <c r="P301" s="914">
        <f>+P307-P303</f>
        <v>866035</v>
      </c>
    </row>
    <row r="302" spans="1:23" ht="14.45" customHeight="1" thickBot="1" x14ac:dyDescent="0.3">
      <c r="J302" s="88"/>
      <c r="L302" s="1102"/>
      <c r="M302" s="811"/>
      <c r="N302" s="811"/>
      <c r="O302" s="811"/>
      <c r="P302" s="811"/>
      <c r="Q302" s="703"/>
      <c r="R302" s="704"/>
      <c r="S302" s="704"/>
      <c r="T302" s="704"/>
      <c r="U302" s="705"/>
    </row>
    <row r="303" spans="1:23" ht="15" customHeight="1" thickBot="1" x14ac:dyDescent="0.3">
      <c r="J303" s="88"/>
      <c r="L303" s="1172" t="s">
        <v>3032</v>
      </c>
      <c r="M303" s="917"/>
      <c r="N303" s="1135">
        <v>27</v>
      </c>
      <c r="O303" s="5"/>
      <c r="P303" s="1135">
        <v>754047</v>
      </c>
      <c r="Q303" s="715" t="s">
        <v>3033</v>
      </c>
      <c r="R303" s="33"/>
      <c r="S303" s="33"/>
      <c r="T303" s="33">
        <v>29</v>
      </c>
      <c r="U303" s="716">
        <v>1013618</v>
      </c>
      <c r="W303" s="17"/>
    </row>
    <row r="304" spans="1:23" ht="14.45" customHeight="1" thickBot="1" x14ac:dyDescent="0.3">
      <c r="H304"/>
      <c r="J304" s="88"/>
      <c r="L304" s="1102"/>
      <c r="M304" s="811"/>
      <c r="N304" s="811"/>
      <c r="O304" s="811"/>
      <c r="P304" s="811"/>
      <c r="Q304" s="708"/>
      <c r="U304" s="706"/>
    </row>
    <row r="305" spans="4:23" ht="15" customHeight="1" thickBot="1" x14ac:dyDescent="0.3">
      <c r="H305"/>
      <c r="L305" s="1102" t="s">
        <v>3030</v>
      </c>
      <c r="M305" s="811"/>
      <c r="N305" s="811"/>
      <c r="O305" s="811"/>
      <c r="P305" s="811"/>
      <c r="Q305" s="1487" t="s">
        <v>3031</v>
      </c>
      <c r="R305" s="1488"/>
      <c r="S305" s="1488"/>
      <c r="T305" s="1488"/>
      <c r="U305" s="1489"/>
      <c r="V305" s="1480"/>
      <c r="W305" s="1480"/>
    </row>
    <row r="306" spans="4:23" ht="15" customHeight="1" thickBot="1" x14ac:dyDescent="0.3">
      <c r="J306" s="60"/>
      <c r="K306" s="25"/>
      <c r="L306" s="1102" t="s">
        <v>702</v>
      </c>
      <c r="M306" s="811"/>
      <c r="N306" s="811"/>
      <c r="O306" s="811"/>
      <c r="P306" s="811"/>
      <c r="Q306" s="1487" t="s">
        <v>702</v>
      </c>
      <c r="R306" s="1503"/>
      <c r="S306" s="1503"/>
      <c r="T306" s="1488"/>
      <c r="U306" s="1489"/>
      <c r="V306" s="25"/>
      <c r="W306" s="60"/>
    </row>
    <row r="307" spans="4:23" ht="15" customHeight="1" thickBot="1" x14ac:dyDescent="0.3">
      <c r="J307" s="60"/>
      <c r="L307" s="1102" t="s">
        <v>436</v>
      </c>
      <c r="M307" s="811"/>
      <c r="N307" s="914">
        <v>58</v>
      </c>
      <c r="O307" s="811"/>
      <c r="P307" s="914">
        <v>1620082</v>
      </c>
      <c r="Q307" s="1499" t="s">
        <v>436</v>
      </c>
      <c r="R307" s="1501"/>
      <c r="S307" s="1501"/>
      <c r="T307" s="1510"/>
      <c r="U307" s="709">
        <f>856094+186446</f>
        <v>1042540</v>
      </c>
      <c r="V307" s="28"/>
    </row>
    <row r="308" spans="4:23" ht="14.45" customHeight="1" x14ac:dyDescent="0.25">
      <c r="J308" s="60"/>
      <c r="K308" s="158"/>
      <c r="L308" s="1102" t="s">
        <v>696</v>
      </c>
      <c r="M308" s="811" t="s">
        <v>697</v>
      </c>
      <c r="N308" s="811" t="s">
        <v>750</v>
      </c>
      <c r="O308" s="811"/>
      <c r="P308" s="811" t="s">
        <v>437</v>
      </c>
      <c r="Q308" s="436" t="s">
        <v>696</v>
      </c>
      <c r="R308" s="437" t="s">
        <v>697</v>
      </c>
      <c r="S308" s="438"/>
      <c r="T308" s="450" t="s">
        <v>750</v>
      </c>
      <c r="U308" s="439" t="s">
        <v>437</v>
      </c>
    </row>
    <row r="309" spans="4:23" ht="14.45" customHeight="1" x14ac:dyDescent="0.25">
      <c r="L309" s="1173">
        <f>428040/P303</f>
        <v>0.5676569232421852</v>
      </c>
      <c r="M309" s="811" t="s">
        <v>366</v>
      </c>
      <c r="N309" s="1572">
        <f>+N303</f>
        <v>27</v>
      </c>
      <c r="O309" s="811"/>
      <c r="P309" s="811" t="s">
        <v>7617</v>
      </c>
      <c r="Q309" s="710">
        <f>375270/U303</f>
        <v>0.37022823193747545</v>
      </c>
      <c r="R309" s="362" t="s">
        <v>366</v>
      </c>
      <c r="S309" s="362"/>
      <c r="T309" s="1511">
        <f>+T303</f>
        <v>29</v>
      </c>
      <c r="U309" s="711" t="str">
        <f>+P309</f>
        <v>al 29/01/25</v>
      </c>
    </row>
    <row r="310" spans="4:23" ht="14.45" customHeight="1" x14ac:dyDescent="0.25">
      <c r="K310" s="3"/>
      <c r="L310" s="1173">
        <f>+P303/P307</f>
        <v>0.46543755192638397</v>
      </c>
      <c r="M310" s="811" t="s">
        <v>365</v>
      </c>
      <c r="N310" s="1573"/>
      <c r="O310" s="811"/>
      <c r="P310" s="811" t="str">
        <f>+P309</f>
        <v>al 29/01/25</v>
      </c>
      <c r="Q310" s="710">
        <f>+U303/U307</f>
        <v>0.97225813877644984</v>
      </c>
      <c r="R310" s="362" t="s">
        <v>365</v>
      </c>
      <c r="S310" s="362"/>
      <c r="T310" s="1512"/>
      <c r="U310" s="711" t="str">
        <f>+U309</f>
        <v>al 29/01/25</v>
      </c>
      <c r="V310" s="28"/>
    </row>
    <row r="311" spans="4:23" ht="14.45" customHeight="1" thickBot="1" x14ac:dyDescent="0.3">
      <c r="L311" s="1173">
        <f>P303/P303</f>
        <v>1</v>
      </c>
      <c r="M311" s="811" t="s">
        <v>698</v>
      </c>
      <c r="N311" s="1574"/>
      <c r="O311" s="811"/>
      <c r="P311" s="811" t="str">
        <f>+P309</f>
        <v>al 29/01/25</v>
      </c>
      <c r="Q311" s="710">
        <f>684176/U303</f>
        <v>0.67498406697592195</v>
      </c>
      <c r="R311" s="362" t="s">
        <v>698</v>
      </c>
      <c r="S311" s="376"/>
      <c r="T311" s="1512"/>
      <c r="U311" s="712" t="str">
        <f>+U309</f>
        <v>al 29/01/25</v>
      </c>
    </row>
    <row r="312" spans="4:23" s="21" customFormat="1" ht="15" customHeight="1" thickBot="1" x14ac:dyDescent="0.3">
      <c r="D312" s="802"/>
      <c r="F312" s="177"/>
      <c r="H312" s="177"/>
      <c r="I312" s="155"/>
      <c r="J312" s="1570"/>
      <c r="K312" s="1556"/>
      <c r="L312" s="1174" t="s">
        <v>5095</v>
      </c>
      <c r="M312" s="1092"/>
      <c r="N312" s="1092" t="s">
        <v>5080</v>
      </c>
      <c r="O312" s="1092"/>
      <c r="P312" s="1088">
        <f>+P307-P303</f>
        <v>866035</v>
      </c>
      <c r="Q312" s="1575" t="s">
        <v>5095</v>
      </c>
      <c r="R312" s="1576"/>
      <c r="S312" s="1576"/>
      <c r="T312" s="717"/>
      <c r="U312" s="1088">
        <f>+U307-U303</f>
        <v>28922</v>
      </c>
      <c r="V312" s="449"/>
    </row>
    <row r="313" spans="4:23" ht="15" customHeight="1" thickBot="1" x14ac:dyDescent="0.3">
      <c r="L313" s="1102" t="s">
        <v>699</v>
      </c>
      <c r="M313" s="811"/>
      <c r="N313" s="811"/>
      <c r="O313" s="811"/>
      <c r="P313" s="811"/>
      <c r="Q313" s="1504" t="s">
        <v>699</v>
      </c>
      <c r="R313" s="1505"/>
      <c r="S313" s="1505"/>
      <c r="T313" s="1506"/>
      <c r="U313" s="1507"/>
    </row>
    <row r="314" spans="4:23" ht="14.45" customHeight="1" x14ac:dyDescent="0.25">
      <c r="L314" s="1102">
        <f>+L309/L310</f>
        <v>1.2196199487830943</v>
      </c>
      <c r="M314" s="811" t="s">
        <v>700</v>
      </c>
      <c r="N314" s="811"/>
      <c r="O314" s="811"/>
      <c r="P314" s="811" t="str">
        <f>+P309</f>
        <v>al 29/01/25</v>
      </c>
      <c r="Q314" s="434">
        <f>+Q309/Q310</f>
        <v>0.38079211391677698</v>
      </c>
      <c r="R314" s="435" t="s">
        <v>700</v>
      </c>
      <c r="S314" s="371"/>
      <c r="T314" s="103"/>
      <c r="U314" s="109" t="str">
        <f>+U309</f>
        <v>al 29/01/25</v>
      </c>
    </row>
    <row r="315" spans="4:23" ht="14.45" customHeight="1" x14ac:dyDescent="0.25">
      <c r="D315" s="233"/>
      <c r="E315" s="28"/>
      <c r="I315" s="798"/>
      <c r="L315" s="1102">
        <f>+L311</f>
        <v>1</v>
      </c>
      <c r="M315" s="811" t="s">
        <v>703</v>
      </c>
      <c r="N315" s="811"/>
      <c r="O315" s="811"/>
      <c r="P315" s="811" t="str">
        <f>+P309</f>
        <v>al 29/01/25</v>
      </c>
      <c r="Q315" s="361">
        <f>+Q311</f>
        <v>0.67498406697592195</v>
      </c>
      <c r="R315" s="362" t="s">
        <v>703</v>
      </c>
      <c r="S315" s="362"/>
      <c r="T315" s="102"/>
      <c r="U315" s="110" t="str">
        <f>+U309</f>
        <v>al 29/01/25</v>
      </c>
    </row>
    <row r="316" spans="4:23" ht="14.45" customHeight="1" x14ac:dyDescent="0.25">
      <c r="D316" s="233"/>
      <c r="E316" s="28"/>
      <c r="I316" s="798"/>
      <c r="L316" s="1102"/>
      <c r="M316" s="811"/>
      <c r="N316" s="811"/>
      <c r="O316" s="811"/>
      <c r="P316" s="811"/>
    </row>
    <row r="317" spans="4:23" ht="14.45" customHeight="1" thickBot="1" x14ac:dyDescent="0.3">
      <c r="D317" s="233"/>
      <c r="E317" s="28"/>
      <c r="I317" s="798"/>
      <c r="L317" s="1102"/>
      <c r="M317" s="811"/>
      <c r="N317" s="811"/>
      <c r="O317" s="811"/>
      <c r="P317" s="811"/>
    </row>
    <row r="318" spans="4:23" ht="15" customHeight="1" thickBot="1" x14ac:dyDescent="0.3">
      <c r="D318" s="233"/>
      <c r="E318" s="28"/>
      <c r="I318" s="798"/>
      <c r="L318" s="1102" t="s">
        <v>5651</v>
      </c>
      <c r="M318" s="811"/>
      <c r="N318" s="811"/>
      <c r="O318" s="811"/>
      <c r="P318" s="811"/>
      <c r="Q318" s="1537" t="s">
        <v>5651</v>
      </c>
      <c r="R318" s="1538"/>
      <c r="S318" s="1538"/>
      <c r="T318" s="1538"/>
      <c r="U318" s="1539"/>
    </row>
    <row r="319" spans="4:23" ht="15" customHeight="1" thickBot="1" x14ac:dyDescent="0.3">
      <c r="D319" s="233"/>
      <c r="E319" s="28"/>
      <c r="I319" s="798"/>
      <c r="J319"/>
      <c r="L319" s="1102" t="s">
        <v>5467</v>
      </c>
      <c r="M319" s="811"/>
      <c r="N319" s="914">
        <v>12</v>
      </c>
      <c r="O319" s="811"/>
      <c r="P319" s="914">
        <v>326007</v>
      </c>
      <c r="Q319" s="715" t="s">
        <v>5468</v>
      </c>
      <c r="R319" s="33"/>
      <c r="S319" s="33"/>
      <c r="T319" s="279">
        <v>9</v>
      </c>
      <c r="U319" s="716">
        <v>308906</v>
      </c>
    </row>
    <row r="320" spans="4:23" ht="14.45" customHeight="1" thickBot="1" x14ac:dyDescent="0.3">
      <c r="D320" s="233"/>
      <c r="E320" s="28"/>
      <c r="I320" s="798"/>
      <c r="J320"/>
      <c r="L320" s="1102"/>
      <c r="M320" s="811"/>
      <c r="N320" s="811"/>
      <c r="O320" s="811"/>
      <c r="P320" s="811"/>
      <c r="Q320" s="708"/>
      <c r="U320" s="706"/>
    </row>
    <row r="321" spans="4:21" ht="15" customHeight="1" thickBot="1" x14ac:dyDescent="0.3">
      <c r="D321" s="233"/>
      <c r="E321" s="28"/>
      <c r="I321" s="798"/>
      <c r="J321"/>
      <c r="L321" s="1102" t="s">
        <v>5465</v>
      </c>
      <c r="M321" s="811"/>
      <c r="N321" s="811"/>
      <c r="O321" s="811"/>
      <c r="P321" s="811"/>
      <c r="Q321" s="1487" t="s">
        <v>5466</v>
      </c>
      <c r="R321" s="1488"/>
      <c r="S321" s="1488"/>
      <c r="T321" s="1488"/>
      <c r="U321" s="1489"/>
    </row>
    <row r="322" spans="4:21" ht="15" customHeight="1" thickBot="1" x14ac:dyDescent="0.3">
      <c r="D322"/>
      <c r="F322"/>
      <c r="H322"/>
      <c r="I322"/>
      <c r="J322"/>
      <c r="K322" s="32"/>
      <c r="L322" s="1102" t="s">
        <v>702</v>
      </c>
      <c r="M322" s="811"/>
      <c r="N322" s="811"/>
      <c r="O322" s="811"/>
      <c r="P322" s="811"/>
      <c r="Q322" s="1487" t="s">
        <v>702</v>
      </c>
      <c r="R322" s="1503"/>
      <c r="S322" s="1503"/>
      <c r="T322" s="1488"/>
      <c r="U322" s="1489"/>
    </row>
    <row r="323" spans="4:21" ht="15" customHeight="1" thickBot="1" x14ac:dyDescent="0.3">
      <c r="D323"/>
      <c r="F323"/>
      <c r="H323"/>
      <c r="I323"/>
      <c r="J323"/>
      <c r="L323" s="1102" t="s">
        <v>436</v>
      </c>
      <c r="M323" s="811"/>
      <c r="N323" s="811"/>
      <c r="O323" s="811"/>
      <c r="P323" s="914">
        <f>1338780*0.3</f>
        <v>401634</v>
      </c>
      <c r="Q323" s="1499" t="s">
        <v>436</v>
      </c>
      <c r="R323" s="1501"/>
      <c r="S323" s="1510"/>
      <c r="T323" s="142"/>
      <c r="U323" s="709">
        <f>1105896*0.3</f>
        <v>331768.8</v>
      </c>
    </row>
    <row r="324" spans="4:21" ht="14.45" customHeight="1" x14ac:dyDescent="0.25">
      <c r="D324"/>
      <c r="F324"/>
      <c r="H324"/>
      <c r="I324"/>
      <c r="J324"/>
      <c r="L324" s="1102" t="s">
        <v>696</v>
      </c>
      <c r="M324" s="811" t="s">
        <v>697</v>
      </c>
      <c r="N324" s="811" t="s">
        <v>750</v>
      </c>
      <c r="O324" s="811"/>
      <c r="P324" s="811" t="s">
        <v>437</v>
      </c>
      <c r="Q324" s="436" t="s">
        <v>696</v>
      </c>
      <c r="R324" s="437" t="s">
        <v>697</v>
      </c>
      <c r="S324" s="438"/>
      <c r="T324" s="450" t="s">
        <v>750</v>
      </c>
      <c r="U324" s="439" t="s">
        <v>437</v>
      </c>
    </row>
    <row r="325" spans="4:21" ht="14.45" customHeight="1" x14ac:dyDescent="0.25">
      <c r="D325"/>
      <c r="F325"/>
      <c r="H325"/>
      <c r="I325"/>
      <c r="J325"/>
      <c r="L325" s="1102">
        <f>0/P323</f>
        <v>0</v>
      </c>
      <c r="M325" s="811" t="s">
        <v>366</v>
      </c>
      <c r="N325" s="811">
        <f>+N319</f>
        <v>12</v>
      </c>
      <c r="O325" s="811"/>
      <c r="P325" s="811" t="s">
        <v>5719</v>
      </c>
      <c r="Q325" s="710">
        <f>0/U323</f>
        <v>0</v>
      </c>
      <c r="R325" s="362" t="s">
        <v>366</v>
      </c>
      <c r="S325" s="362"/>
      <c r="T325" s="1511">
        <f>+T319</f>
        <v>9</v>
      </c>
      <c r="U325" s="711" t="str">
        <f>+P325</f>
        <v>al 25/02/25</v>
      </c>
    </row>
    <row r="326" spans="4:21" ht="14.45" customHeight="1" x14ac:dyDescent="0.25">
      <c r="D326"/>
      <c r="F326"/>
      <c r="H326"/>
      <c r="I326"/>
      <c r="J326"/>
      <c r="L326" s="1102">
        <f>+P319/P323</f>
        <v>0.81170169856137675</v>
      </c>
      <c r="M326" s="811" t="s">
        <v>365</v>
      </c>
      <c r="N326" s="811"/>
      <c r="O326" s="811"/>
      <c r="P326" s="811" t="str">
        <f>+P325</f>
        <v>al 25/02/25</v>
      </c>
      <c r="Q326" s="710">
        <f>+U319/U323</f>
        <v>0.93108815536602596</v>
      </c>
      <c r="R326" s="362" t="s">
        <v>365</v>
      </c>
      <c r="S326" s="362"/>
      <c r="T326" s="1512"/>
      <c r="U326" s="711" t="str">
        <f>+U325</f>
        <v>al 25/02/25</v>
      </c>
    </row>
    <row r="327" spans="4:21" ht="14.45" customHeight="1" thickBot="1" x14ac:dyDescent="0.3">
      <c r="D327"/>
      <c r="F327"/>
      <c r="H327"/>
      <c r="I327"/>
      <c r="J327"/>
      <c r="L327" s="1102">
        <f>103658/P319</f>
        <v>0.31796249773777863</v>
      </c>
      <c r="M327" s="811" t="s">
        <v>698</v>
      </c>
      <c r="N327" s="811"/>
      <c r="O327" s="811"/>
      <c r="P327" s="811" t="str">
        <f>+P325</f>
        <v>al 25/02/25</v>
      </c>
      <c r="Q327" s="710">
        <f>209360/U319</f>
        <v>0.67774662842418076</v>
      </c>
      <c r="R327" s="362" t="s">
        <v>698</v>
      </c>
      <c r="S327" s="376"/>
      <c r="T327" s="1512"/>
      <c r="U327" s="712" t="str">
        <f>+U325</f>
        <v>al 25/02/25</v>
      </c>
    </row>
    <row r="328" spans="4:21" ht="15" customHeight="1" thickBot="1" x14ac:dyDescent="0.3">
      <c r="D328"/>
      <c r="F328"/>
      <c r="H328"/>
      <c r="I328"/>
      <c r="J328"/>
      <c r="L328" s="1102" t="s">
        <v>5095</v>
      </c>
      <c r="M328" s="811"/>
      <c r="N328" s="811" t="s">
        <v>5080</v>
      </c>
      <c r="O328" s="811"/>
      <c r="P328" s="811">
        <f>+P323-P319</f>
        <v>75627</v>
      </c>
      <c r="Q328" s="1516" t="s">
        <v>5095</v>
      </c>
      <c r="R328" s="1517"/>
      <c r="S328" s="1517"/>
      <c r="T328" s="717" t="s">
        <v>5080</v>
      </c>
      <c r="U328" s="714">
        <f>+U323-U319</f>
        <v>22862.799999999988</v>
      </c>
    </row>
    <row r="329" spans="4:21" ht="15" customHeight="1" thickBot="1" x14ac:dyDescent="0.3">
      <c r="D329"/>
      <c r="F329"/>
      <c r="H329"/>
      <c r="I329"/>
      <c r="J329"/>
      <c r="L329" s="1102" t="s">
        <v>699</v>
      </c>
      <c r="M329" s="811"/>
      <c r="N329" s="811"/>
      <c r="O329" s="811"/>
      <c r="P329" s="811"/>
      <c r="Q329" s="1504" t="s">
        <v>699</v>
      </c>
      <c r="R329" s="1505"/>
      <c r="S329" s="1505"/>
      <c r="T329" s="1506"/>
      <c r="U329" s="1507"/>
    </row>
    <row r="330" spans="4:21" ht="14.45" customHeight="1" x14ac:dyDescent="0.25">
      <c r="D330"/>
      <c r="F330"/>
      <c r="H330"/>
      <c r="I330"/>
      <c r="J330"/>
      <c r="L330" s="1102">
        <f>+L325/L326</f>
        <v>0</v>
      </c>
      <c r="M330" s="811" t="s">
        <v>700</v>
      </c>
      <c r="N330" s="811"/>
      <c r="O330" s="811"/>
      <c r="P330" s="811" t="str">
        <f>+P325</f>
        <v>al 25/02/25</v>
      </c>
      <c r="Q330" s="434">
        <f>+Q325/Q326</f>
        <v>0</v>
      </c>
      <c r="R330" s="435" t="s">
        <v>700</v>
      </c>
      <c r="S330" s="371"/>
      <c r="T330" s="103"/>
      <c r="U330" s="109" t="str">
        <f>+U325</f>
        <v>al 25/02/25</v>
      </c>
    </row>
    <row r="331" spans="4:21" ht="14.45" customHeight="1" x14ac:dyDescent="0.25">
      <c r="D331"/>
      <c r="F331"/>
      <c r="H331"/>
      <c r="I331"/>
      <c r="J331"/>
      <c r="L331" s="1102">
        <f>+L327</f>
        <v>0.31796249773777863</v>
      </c>
      <c r="M331" s="811" t="s">
        <v>703</v>
      </c>
      <c r="N331" s="811"/>
      <c r="O331" s="811"/>
      <c r="P331" s="811" t="str">
        <f>+P325</f>
        <v>al 25/02/25</v>
      </c>
      <c r="Q331" s="361">
        <f>+Q327</f>
        <v>0.67774662842418076</v>
      </c>
      <c r="R331" s="362" t="s">
        <v>703</v>
      </c>
      <c r="S331" s="362"/>
      <c r="T331" s="102"/>
      <c r="U331" s="110" t="str">
        <f>+U325</f>
        <v>al 25/02/25</v>
      </c>
    </row>
    <row r="332" spans="4:21" x14ac:dyDescent="0.25">
      <c r="D332"/>
      <c r="F332"/>
      <c r="H332"/>
      <c r="I332"/>
      <c r="J332"/>
      <c r="L332" s="1102"/>
      <c r="M332" s="811"/>
      <c r="N332" s="811"/>
      <c r="O332" s="811"/>
      <c r="P332" s="811"/>
    </row>
    <row r="333" spans="4:21" x14ac:dyDescent="0.25">
      <c r="D333"/>
      <c r="F333"/>
      <c r="H333"/>
      <c r="I333"/>
      <c r="J333"/>
      <c r="L333" s="1102"/>
      <c r="M333" s="811"/>
      <c r="N333" s="811"/>
      <c r="O333" s="811"/>
      <c r="P333" s="811"/>
    </row>
    <row r="334" spans="4:21" x14ac:dyDescent="0.25">
      <c r="D334"/>
      <c r="F334"/>
      <c r="H334"/>
      <c r="I334"/>
      <c r="J334"/>
      <c r="L334" s="1102"/>
      <c r="M334" s="811"/>
      <c r="N334" s="811"/>
      <c r="O334" s="811"/>
      <c r="P334" s="811"/>
    </row>
  </sheetData>
  <autoFilter ref="A1:Y334" xr:uid="{00000000-0009-0000-0000-000015000000}">
    <filterColumn colId="11">
      <filters blank="1" calendarType="gregorian">
        <filter val="100%"/>
        <filter val="-2,803.60"/>
        <filter val="47%"/>
        <filter val="57%"/>
        <filter val="AVANCE"/>
        <filter val="ITEM 1 EJECUCIÓN"/>
        <filter val="ITEM 1 EJECUCIÓN COMPLEMENTARIO"/>
        <filter val="MONTO"/>
        <filter val="NOTAS  ITEM 1"/>
        <filter val="NOTAS  ITEM 1   COMPLEMENTARIO"/>
        <filter val="SALDO X EJECUTAR"/>
        <filter val="SOBRE EL CONTRATO"/>
        <filter val="SOBRE EL EJECUTADO"/>
        <filter val="TERMINADO"/>
        <filter val="X EJECUTAR"/>
        <dateGroupItem year="1900" dateTimeGrouping="year"/>
      </filters>
    </filterColumn>
  </autoFilter>
  <mergeCells count="48">
    <mergeCell ref="T325:T327"/>
    <mergeCell ref="Q328:S328"/>
    <mergeCell ref="Q329:U329"/>
    <mergeCell ref="Q321:U321"/>
    <mergeCell ref="Q322:U322"/>
    <mergeCell ref="Q323:S323"/>
    <mergeCell ref="V305:W305"/>
    <mergeCell ref="Q306:U306"/>
    <mergeCell ref="Q312:S312"/>
    <mergeCell ref="T309:T311"/>
    <mergeCell ref="Q307:T307"/>
    <mergeCell ref="J312:K312"/>
    <mergeCell ref="Q313:U313"/>
    <mergeCell ref="D156:I156"/>
    <mergeCell ref="D201:I201"/>
    <mergeCell ref="D233:I233"/>
    <mergeCell ref="D266:I266"/>
    <mergeCell ref="Q305:U305"/>
    <mergeCell ref="K229:K230"/>
    <mergeCell ref="N309:N311"/>
    <mergeCell ref="H16:H17"/>
    <mergeCell ref="H18:H20"/>
    <mergeCell ref="H21:H22"/>
    <mergeCell ref="H23:H24"/>
    <mergeCell ref="H25:H29"/>
    <mergeCell ref="C2:H2"/>
    <mergeCell ref="S3:V3"/>
    <mergeCell ref="K4:K15"/>
    <mergeCell ref="H4:H5"/>
    <mergeCell ref="H6:H9"/>
    <mergeCell ref="H10:H12"/>
    <mergeCell ref="H13:H15"/>
    <mergeCell ref="Q318:U318"/>
    <mergeCell ref="D123:I123"/>
    <mergeCell ref="D139:I139"/>
    <mergeCell ref="H31:H34"/>
    <mergeCell ref="H35:H37"/>
    <mergeCell ref="H38:H42"/>
    <mergeCell ref="H76:H81"/>
    <mergeCell ref="H70:H72"/>
    <mergeCell ref="H73:H75"/>
    <mergeCell ref="D88:I88"/>
    <mergeCell ref="S62:V62"/>
    <mergeCell ref="C61:H61"/>
    <mergeCell ref="K63:K66"/>
    <mergeCell ref="H65:H66"/>
    <mergeCell ref="H67:H68"/>
    <mergeCell ref="H63:H64"/>
  </mergeCells>
  <pageMargins left="0.7" right="0.7" top="0.75" bottom="0.75" header="0.3" footer="0.3"/>
  <pageSetup paperSize="9" scale="24"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2373" r:id="rId4" name="Button 1">
              <controlPr defaultSize="0" print="0" autoFill="0" autoPict="0" macro="[0]!RETORNAR">
                <anchor moveWithCells="1" sizeWithCells="1">
                  <from>
                    <xdr:col>0</xdr:col>
                    <xdr:colOff>295275</xdr:colOff>
                    <xdr:row>0</xdr:row>
                    <xdr:rowOff>123825</xdr:rowOff>
                  </from>
                  <to>
                    <xdr:col>1</xdr:col>
                    <xdr:colOff>1352550</xdr:colOff>
                    <xdr:row>0</xdr:row>
                    <xdr:rowOff>381000</xdr:rowOff>
                  </to>
                </anchor>
              </controlPr>
            </control>
          </mc:Choice>
        </mc:AlternateContent>
        <mc:AlternateContent xmlns:mc="http://schemas.openxmlformats.org/markup-compatibility/2006">
          <mc:Choice Requires="x14">
            <control shapeId="142479" r:id="rId5" name="Botón 143">
              <controlPr defaultSize="0" print="0" autoFill="0" autoPict="0" macro="[0]!IR_VENTAS_B200_2026">
                <anchor moveWithCells="1" sizeWithCells="1">
                  <from>
                    <xdr:col>1</xdr:col>
                    <xdr:colOff>666750</xdr:colOff>
                    <xdr:row>306</xdr:row>
                    <xdr:rowOff>171450</xdr:rowOff>
                  </from>
                  <to>
                    <xdr:col>2</xdr:col>
                    <xdr:colOff>285750</xdr:colOff>
                    <xdr:row>310</xdr:row>
                    <xdr:rowOff>9525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1" filterMode="1"/>
  <dimension ref="A1:V12"/>
  <sheetViews>
    <sheetView workbookViewId="0">
      <selection activeCell="H18" sqref="H18"/>
    </sheetView>
  </sheetViews>
  <sheetFormatPr baseColWidth="10" defaultColWidth="10.85546875" defaultRowHeight="15" x14ac:dyDescent="0.25"/>
  <cols>
    <col min="1" max="3" width="11.42578125" customWidth="1"/>
    <col min="6" max="6" width="48.42578125" customWidth="1"/>
    <col min="7" max="7" width="17.42578125" customWidth="1"/>
    <col min="8" max="8" width="12" bestFit="1" customWidth="1"/>
    <col min="16" max="16" width="11.28515625" customWidth="1"/>
  </cols>
  <sheetData>
    <row r="1" spans="1:22" ht="27" customHeight="1" x14ac:dyDescent="0.25"/>
    <row r="2" spans="1:22" x14ac:dyDescent="0.25">
      <c r="A2" s="1" t="s">
        <v>0</v>
      </c>
      <c r="B2" s="1" t="s">
        <v>1</v>
      </c>
      <c r="D2" s="1" t="s">
        <v>2</v>
      </c>
      <c r="E2" s="1" t="s">
        <v>3</v>
      </c>
      <c r="F2" s="1" t="s">
        <v>4</v>
      </c>
      <c r="G2" s="1" t="s">
        <v>5</v>
      </c>
      <c r="H2" s="1" t="s">
        <v>6</v>
      </c>
      <c r="I2" s="1" t="s">
        <v>1780</v>
      </c>
      <c r="J2" s="1" t="s">
        <v>8</v>
      </c>
      <c r="K2" s="1" t="s">
        <v>3998</v>
      </c>
      <c r="L2" s="1" t="s">
        <v>10</v>
      </c>
      <c r="M2" s="1480" t="s">
        <v>11</v>
      </c>
      <c r="N2" s="1480"/>
      <c r="O2" s="1480"/>
      <c r="P2" s="1480"/>
    </row>
    <row r="3" spans="1:22" ht="15.75" hidden="1" thickBot="1" x14ac:dyDescent="0.3">
      <c r="A3" s="1224">
        <v>2022</v>
      </c>
      <c r="B3" s="1225"/>
      <c r="C3" s="1225"/>
      <c r="D3" s="1225"/>
      <c r="E3" s="1225"/>
      <c r="F3" s="1225"/>
      <c r="G3" s="1225"/>
      <c r="H3" s="1226"/>
    </row>
    <row r="4" spans="1:22" hidden="1" x14ac:dyDescent="0.25">
      <c r="A4" s="10" t="s">
        <v>424</v>
      </c>
      <c r="B4" t="s">
        <v>27</v>
      </c>
      <c r="C4" s="2"/>
      <c r="D4" s="122">
        <v>44581</v>
      </c>
      <c r="E4" t="s">
        <v>425</v>
      </c>
      <c r="G4" t="s">
        <v>574</v>
      </c>
      <c r="H4" s="159">
        <v>30963</v>
      </c>
      <c r="J4" s="5" t="s">
        <v>17</v>
      </c>
      <c r="K4" s="374">
        <v>44634</v>
      </c>
    </row>
    <row r="5" spans="1:22" hidden="1" x14ac:dyDescent="0.25">
      <c r="A5" s="115">
        <v>26072022</v>
      </c>
      <c r="B5" s="169" t="s">
        <v>613</v>
      </c>
      <c r="C5" s="21" t="s">
        <v>693</v>
      </c>
      <c r="D5" s="122">
        <v>44768</v>
      </c>
      <c r="E5" s="163" t="s">
        <v>425</v>
      </c>
      <c r="F5" s="163" t="s">
        <v>1309</v>
      </c>
      <c r="G5" s="163" t="s">
        <v>1328</v>
      </c>
      <c r="H5" s="159">
        <v>31388</v>
      </c>
      <c r="I5">
        <f t="shared" ref="I5:I10" si="0">+H5*0.88</f>
        <v>27621.439999999999</v>
      </c>
      <c r="J5" s="32" t="s">
        <v>17</v>
      </c>
      <c r="K5" s="374">
        <v>44945</v>
      </c>
      <c r="O5" s="163" t="s">
        <v>651</v>
      </c>
      <c r="P5" s="14"/>
      <c r="Q5" s="14"/>
    </row>
    <row r="6" spans="1:22" hidden="1" x14ac:dyDescent="0.25">
      <c r="A6" s="115">
        <v>15092022</v>
      </c>
      <c r="B6" s="169" t="s">
        <v>613</v>
      </c>
      <c r="C6" s="169" t="s">
        <v>693</v>
      </c>
      <c r="D6" s="122">
        <v>44819</v>
      </c>
      <c r="E6" t="s">
        <v>425</v>
      </c>
      <c r="F6" s="21" t="s">
        <v>1310</v>
      </c>
      <c r="G6" s="163" t="s">
        <v>1327</v>
      </c>
      <c r="H6" s="160">
        <v>31388</v>
      </c>
      <c r="I6">
        <f t="shared" si="0"/>
        <v>27621.439999999999</v>
      </c>
      <c r="J6" s="32" t="s">
        <v>17</v>
      </c>
      <c r="K6" s="374">
        <v>44945</v>
      </c>
      <c r="O6" s="21" t="s">
        <v>922</v>
      </c>
      <c r="P6" s="157"/>
      <c r="Q6" s="21"/>
    </row>
    <row r="7" spans="1:22" hidden="1" x14ac:dyDescent="0.25">
      <c r="A7" s="116" t="s">
        <v>1316</v>
      </c>
      <c r="B7" s="169" t="s">
        <v>613</v>
      </c>
      <c r="C7" s="169" t="s">
        <v>693</v>
      </c>
      <c r="D7" s="122">
        <v>44838</v>
      </c>
      <c r="E7" t="s">
        <v>425</v>
      </c>
      <c r="F7" s="21" t="s">
        <v>1416</v>
      </c>
      <c r="G7" s="21" t="s">
        <v>1329</v>
      </c>
      <c r="H7" s="160">
        <v>31388</v>
      </c>
      <c r="I7">
        <f t="shared" si="0"/>
        <v>27621.439999999999</v>
      </c>
      <c r="J7" s="32" t="s">
        <v>17</v>
      </c>
      <c r="K7" s="374">
        <v>44945</v>
      </c>
      <c r="O7" s="21" t="s">
        <v>1042</v>
      </c>
      <c r="P7" s="157">
        <v>0.30138888888888887</v>
      </c>
      <c r="Q7" s="157">
        <v>0.55486111111111114</v>
      </c>
    </row>
    <row r="8" spans="1:22" hidden="1" x14ac:dyDescent="0.25">
      <c r="A8" s="116" t="s">
        <v>1318</v>
      </c>
      <c r="B8" s="169" t="s">
        <v>613</v>
      </c>
      <c r="C8" s="30" t="s">
        <v>410</v>
      </c>
      <c r="D8" s="122">
        <v>44839</v>
      </c>
      <c r="E8" t="s">
        <v>425</v>
      </c>
      <c r="F8" s="21" t="s">
        <v>1415</v>
      </c>
      <c r="G8" s="21" t="s">
        <v>1599</v>
      </c>
      <c r="H8" s="160">
        <v>31388</v>
      </c>
      <c r="I8">
        <f t="shared" si="0"/>
        <v>27621.439999999999</v>
      </c>
      <c r="J8" s="32" t="s">
        <v>17</v>
      </c>
      <c r="K8" s="374">
        <v>44945</v>
      </c>
      <c r="O8" s="21" t="s">
        <v>989</v>
      </c>
      <c r="P8" s="157">
        <v>0.28750000000000003</v>
      </c>
      <c r="Q8" s="21"/>
    </row>
    <row r="9" spans="1:22" s="30" customFormat="1" x14ac:dyDescent="0.25">
      <c r="A9" s="256">
        <v>29052023</v>
      </c>
      <c r="B9" s="30" t="s">
        <v>613</v>
      </c>
      <c r="C9" s="30" t="s">
        <v>693</v>
      </c>
      <c r="D9" s="374">
        <v>45075</v>
      </c>
      <c r="E9" t="s">
        <v>425</v>
      </c>
      <c r="F9" s="30" t="s">
        <v>2487</v>
      </c>
      <c r="G9" s="28" t="s">
        <v>2492</v>
      </c>
      <c r="H9" s="236">
        <v>30491</v>
      </c>
      <c r="I9" s="3">
        <f>+H9-ROUND(H9*0.12,0)</f>
        <v>26832</v>
      </c>
      <c r="J9" s="30" t="s">
        <v>71</v>
      </c>
      <c r="K9" s="374">
        <v>45085</v>
      </c>
      <c r="L9" s="236"/>
      <c r="T9" s="30" t="s">
        <v>1506</v>
      </c>
      <c r="U9" s="360">
        <v>0.26944444444444443</v>
      </c>
      <c r="V9" s="360"/>
    </row>
    <row r="10" spans="1:22" hidden="1" x14ac:dyDescent="0.25">
      <c r="A10" s="95" t="s">
        <v>4577</v>
      </c>
      <c r="B10" t="s">
        <v>613</v>
      </c>
      <c r="C10" s="28" t="s">
        <v>410</v>
      </c>
      <c r="D10" s="233">
        <v>45506</v>
      </c>
      <c r="E10" s="30" t="s">
        <v>425</v>
      </c>
      <c r="F10" s="30" t="s">
        <v>4611</v>
      </c>
      <c r="G10" s="30" t="s">
        <v>4612</v>
      </c>
      <c r="H10" s="368">
        <v>30491</v>
      </c>
      <c r="I10">
        <f t="shared" si="0"/>
        <v>26832.080000000002</v>
      </c>
      <c r="J10" s="30" t="s">
        <v>17</v>
      </c>
      <c r="K10" s="374">
        <v>45527</v>
      </c>
      <c r="L10" s="32"/>
      <c r="T10" t="s">
        <v>4277</v>
      </c>
      <c r="U10" s="360">
        <v>0.68402777777777779</v>
      </c>
      <c r="V10" s="360">
        <v>0.93472222222222223</v>
      </c>
    </row>
    <row r="11" spans="1:22" x14ac:dyDescent="0.25">
      <c r="A11" s="115"/>
      <c r="B11" s="169"/>
      <c r="C11" s="169"/>
      <c r="D11" s="122"/>
      <c r="E11" s="88"/>
      <c r="G11" s="21"/>
      <c r="I11" s="2"/>
      <c r="J11" s="160"/>
      <c r="K11" s="160"/>
      <c r="O11" s="21"/>
      <c r="P11" s="157"/>
      <c r="Q11" s="21"/>
    </row>
    <row r="12" spans="1:22" x14ac:dyDescent="0.25">
      <c r="G12" s="732" t="s">
        <v>1292</v>
      </c>
      <c r="H12" s="9">
        <f>SUBTOTAL(9,H4:H10)</f>
        <v>30491</v>
      </c>
    </row>
  </sheetData>
  <autoFilter ref="A2:P10" xr:uid="{00000000-0009-0000-0000-000016000000}">
    <filterColumn colId="9">
      <filters blank="1">
        <filter val="ENVIADA"/>
      </filters>
    </filterColumn>
    <filterColumn colId="12" showButton="0"/>
    <filterColumn colId="13" showButton="0"/>
    <filterColumn colId="14" showButton="0"/>
  </autoFilter>
  <mergeCells count="1">
    <mergeCell ref="M2:P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7541" r:id="rId4" name="Button 1">
              <controlPr defaultSize="0" print="0" autoFill="0" autoPict="0" macro="[0]!RETORNAR">
                <anchor moveWithCells="1" sizeWithCells="1">
                  <from>
                    <xdr:col>0</xdr:col>
                    <xdr:colOff>28575</xdr:colOff>
                    <xdr:row>0</xdr:row>
                    <xdr:rowOff>0</xdr:rowOff>
                  </from>
                  <to>
                    <xdr:col>2</xdr:col>
                    <xdr:colOff>238125</xdr:colOff>
                    <xdr:row>0</xdr:row>
                    <xdr:rowOff>257175</xdr:rowOff>
                  </to>
                </anchor>
              </controlPr>
            </control>
          </mc:Choice>
        </mc:AlternateContent>
        <mc:AlternateContent xmlns:mc="http://schemas.openxmlformats.org/markup-compatibility/2006">
          <mc:Choice Requires="x14">
            <control shapeId="577547" r:id="rId5" name="Botón 11">
              <controlPr defaultSize="0" print="0" autoFill="0" autoPict="0" macro="[0]!IR_VENTAS_B200_2026">
                <anchor moveWithCells="1" sizeWithCells="1">
                  <from>
                    <xdr:col>0</xdr:col>
                    <xdr:colOff>619125</xdr:colOff>
                    <xdr:row>19</xdr:row>
                    <xdr:rowOff>38100</xdr:rowOff>
                  </from>
                  <to>
                    <xdr:col>2</xdr:col>
                    <xdr:colOff>314325</xdr:colOff>
                    <xdr:row>22</xdr:row>
                    <xdr:rowOff>66675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30" filterMode="1"/>
  <dimension ref="A1:V34"/>
  <sheetViews>
    <sheetView workbookViewId="0">
      <selection activeCell="G14" sqref="G14:I16"/>
    </sheetView>
  </sheetViews>
  <sheetFormatPr baseColWidth="10" defaultColWidth="10.85546875" defaultRowHeight="15" x14ac:dyDescent="0.25"/>
  <cols>
    <col min="2" max="2" width="19.28515625" customWidth="1"/>
    <col min="4" max="4" width="10.85546875" style="28"/>
    <col min="7" max="7" width="48.140625" customWidth="1"/>
    <col min="9" max="9" width="12" bestFit="1" customWidth="1"/>
    <col min="10" max="10" width="13" bestFit="1" customWidth="1"/>
  </cols>
  <sheetData>
    <row r="1" spans="1:22" ht="27" customHeight="1" x14ac:dyDescent="0.25"/>
    <row r="2" spans="1:22" x14ac:dyDescent="0.25">
      <c r="A2" t="s">
        <v>706</v>
      </c>
      <c r="B2" s="1" t="s">
        <v>0</v>
      </c>
      <c r="C2" s="1" t="s">
        <v>1</v>
      </c>
      <c r="D2" s="25" t="s">
        <v>2</v>
      </c>
      <c r="E2" s="1"/>
      <c r="F2" s="1" t="s">
        <v>3</v>
      </c>
      <c r="G2" s="1" t="s">
        <v>4</v>
      </c>
      <c r="H2" s="1" t="s">
        <v>5</v>
      </c>
      <c r="I2" s="1" t="s">
        <v>6</v>
      </c>
      <c r="J2" s="1" t="s">
        <v>1780</v>
      </c>
      <c r="K2" s="1" t="s">
        <v>8</v>
      </c>
      <c r="L2" s="1" t="s">
        <v>3998</v>
      </c>
      <c r="M2" s="1" t="s">
        <v>10</v>
      </c>
      <c r="N2" s="1480" t="s">
        <v>11</v>
      </c>
      <c r="O2" s="1480"/>
      <c r="P2" s="1480"/>
      <c r="Q2" s="1480"/>
    </row>
    <row r="3" spans="1:22" ht="15" hidden="1" customHeight="1" x14ac:dyDescent="0.25">
      <c r="A3" s="115">
        <v>28072022</v>
      </c>
      <c r="B3" s="169" t="s">
        <v>1055</v>
      </c>
      <c r="C3" s="21" t="s">
        <v>693</v>
      </c>
      <c r="D3" s="122">
        <v>44770</v>
      </c>
      <c r="E3" s="32"/>
      <c r="F3" t="s">
        <v>573</v>
      </c>
      <c r="G3" s="163" t="s">
        <v>1928</v>
      </c>
      <c r="H3" t="s">
        <v>1183</v>
      </c>
      <c r="I3" s="159">
        <v>39885</v>
      </c>
      <c r="J3" s="159">
        <f t="shared" ref="J3:J11" si="0">+I3*0.88</f>
        <v>35098.800000000003</v>
      </c>
      <c r="K3" s="159" t="s">
        <v>17</v>
      </c>
      <c r="L3" s="2">
        <v>44806</v>
      </c>
      <c r="O3" s="163" t="s">
        <v>817</v>
      </c>
      <c r="P3" s="14">
        <v>0.35625000000000001</v>
      </c>
      <c r="Q3" s="14">
        <v>0.57430555555555551</v>
      </c>
    </row>
    <row r="4" spans="1:22" hidden="1" x14ac:dyDescent="0.25">
      <c r="A4" s="116">
        <v>13112022</v>
      </c>
      <c r="B4" s="169" t="s">
        <v>1055</v>
      </c>
      <c r="C4" s="30" t="s">
        <v>410</v>
      </c>
      <c r="D4" s="122">
        <v>44878</v>
      </c>
      <c r="E4" s="88"/>
      <c r="F4" t="s">
        <v>573</v>
      </c>
      <c r="G4" s="21" t="s">
        <v>1589</v>
      </c>
      <c r="H4" s="21" t="s">
        <v>1926</v>
      </c>
      <c r="I4" s="181">
        <v>42350</v>
      </c>
      <c r="J4" s="159">
        <f t="shared" si="0"/>
        <v>37268</v>
      </c>
      <c r="K4" s="2" t="s">
        <v>17</v>
      </c>
      <c r="L4" s="2">
        <v>44995</v>
      </c>
      <c r="O4" s="21" t="s">
        <v>929</v>
      </c>
      <c r="P4" s="157">
        <v>0.52638888888888891</v>
      </c>
      <c r="Q4" s="157">
        <v>0.71458333333333324</v>
      </c>
    </row>
    <row r="5" spans="1:22" hidden="1" x14ac:dyDescent="0.25">
      <c r="A5" s="116" t="s">
        <v>1552</v>
      </c>
      <c r="B5" t="s">
        <v>1055</v>
      </c>
      <c r="C5" s="30" t="s">
        <v>660</v>
      </c>
      <c r="D5" s="122">
        <v>44901</v>
      </c>
      <c r="E5" s="88"/>
      <c r="F5" t="s">
        <v>573</v>
      </c>
      <c r="G5" s="21" t="s">
        <v>1590</v>
      </c>
      <c r="H5" t="s">
        <v>1923</v>
      </c>
      <c r="I5" s="160">
        <v>32100</v>
      </c>
      <c r="J5" s="159">
        <f t="shared" si="0"/>
        <v>28248</v>
      </c>
      <c r="K5" s="2" t="s">
        <v>17</v>
      </c>
      <c r="L5" s="2">
        <v>44980</v>
      </c>
      <c r="O5" t="s">
        <v>989</v>
      </c>
      <c r="P5" s="157">
        <v>0.33263888888888887</v>
      </c>
      <c r="Q5" s="157">
        <v>0.50763888888888886</v>
      </c>
    </row>
    <row r="6" spans="1:22" hidden="1" x14ac:dyDescent="0.25">
      <c r="A6" s="115">
        <v>26122022</v>
      </c>
      <c r="B6" t="s">
        <v>1055</v>
      </c>
      <c r="C6" s="169" t="s">
        <v>693</v>
      </c>
      <c r="D6" s="122">
        <v>44921</v>
      </c>
      <c r="E6" s="88"/>
      <c r="F6" t="s">
        <v>1492</v>
      </c>
      <c r="G6" s="21" t="s">
        <v>1641</v>
      </c>
      <c r="H6" t="s">
        <v>1927</v>
      </c>
      <c r="I6" s="160">
        <v>49100</v>
      </c>
      <c r="J6" s="159">
        <f t="shared" si="0"/>
        <v>43208</v>
      </c>
      <c r="K6" s="2" t="s">
        <v>17</v>
      </c>
      <c r="L6" s="2">
        <v>44987</v>
      </c>
      <c r="S6" s="2" t="s">
        <v>1506</v>
      </c>
      <c r="T6" s="157">
        <v>0.41736111111111113</v>
      </c>
      <c r="U6" s="21"/>
    </row>
    <row r="7" spans="1:22" hidden="1" x14ac:dyDescent="0.25">
      <c r="A7" s="244">
        <v>44931</v>
      </c>
      <c r="B7" s="169" t="s">
        <v>1055</v>
      </c>
      <c r="C7" s="21"/>
      <c r="D7" s="122">
        <v>44931</v>
      </c>
      <c r="E7" s="32"/>
      <c r="F7" t="s">
        <v>573</v>
      </c>
      <c r="G7" s="163" t="s">
        <v>1735</v>
      </c>
      <c r="H7" t="s">
        <v>1737</v>
      </c>
      <c r="I7" s="159">
        <v>41536</v>
      </c>
      <c r="J7" s="159">
        <f t="shared" si="0"/>
        <v>36551.68</v>
      </c>
      <c r="K7" s="2" t="s">
        <v>17</v>
      </c>
      <c r="L7" s="2">
        <v>44995</v>
      </c>
      <c r="O7" s="163"/>
      <c r="P7" s="14"/>
      <c r="Q7" s="14"/>
    </row>
    <row r="8" spans="1:22" hidden="1" x14ac:dyDescent="0.25">
      <c r="A8" s="246">
        <v>28012023</v>
      </c>
      <c r="B8" t="s">
        <v>1055</v>
      </c>
      <c r="C8" t="s">
        <v>13</v>
      </c>
      <c r="D8" s="122">
        <v>44954</v>
      </c>
      <c r="F8" t="s">
        <v>573</v>
      </c>
      <c r="G8" t="s">
        <v>1825</v>
      </c>
      <c r="H8" s="5" t="s">
        <v>1826</v>
      </c>
      <c r="I8" s="32">
        <v>41536</v>
      </c>
      <c r="J8" s="159">
        <f t="shared" si="0"/>
        <v>36551.68</v>
      </c>
      <c r="K8" s="2" t="s">
        <v>17</v>
      </c>
      <c r="L8" s="2">
        <v>45002</v>
      </c>
      <c r="S8" t="s">
        <v>1644</v>
      </c>
      <c r="T8" s="14">
        <v>0.33680555555555558</v>
      </c>
      <c r="U8" s="14">
        <v>0.54027777777777775</v>
      </c>
    </row>
    <row r="9" spans="1:22" hidden="1" x14ac:dyDescent="0.25">
      <c r="A9" s="246">
        <v>30012023</v>
      </c>
      <c r="B9" t="s">
        <v>1055</v>
      </c>
      <c r="C9" t="s">
        <v>809</v>
      </c>
      <c r="D9" s="122">
        <v>44956</v>
      </c>
      <c r="F9" t="s">
        <v>1492</v>
      </c>
      <c r="G9" t="s">
        <v>1824</v>
      </c>
      <c r="H9" s="5" t="s">
        <v>1827</v>
      </c>
      <c r="I9" s="32">
        <v>58730</v>
      </c>
      <c r="J9" s="159">
        <f t="shared" si="0"/>
        <v>51682.400000000001</v>
      </c>
      <c r="K9" s="2" t="s">
        <v>17</v>
      </c>
      <c r="L9" s="2">
        <v>45002</v>
      </c>
      <c r="S9" t="s">
        <v>1178</v>
      </c>
      <c r="T9" s="14">
        <v>0.28958333333333336</v>
      </c>
      <c r="U9" s="14">
        <v>0.49791666666666662</v>
      </c>
    </row>
    <row r="10" spans="1:22" hidden="1" x14ac:dyDescent="0.25">
      <c r="A10" s="95" t="s">
        <v>1869</v>
      </c>
      <c r="B10" t="s">
        <v>1055</v>
      </c>
      <c r="C10" t="s">
        <v>410</v>
      </c>
      <c r="D10" s="255">
        <v>44966</v>
      </c>
      <c r="F10" t="s">
        <v>573</v>
      </c>
      <c r="G10" t="s">
        <v>1924</v>
      </c>
      <c r="H10" t="s">
        <v>1925</v>
      </c>
      <c r="I10" s="32">
        <v>41536</v>
      </c>
      <c r="J10" s="159">
        <f t="shared" si="0"/>
        <v>36551.68</v>
      </c>
      <c r="K10" s="2" t="s">
        <v>17</v>
      </c>
      <c r="L10" s="2">
        <v>45008</v>
      </c>
      <c r="S10" t="s">
        <v>1506</v>
      </c>
      <c r="T10" s="14"/>
      <c r="U10" s="14"/>
    </row>
    <row r="11" spans="1:22" s="30" customFormat="1" hidden="1" x14ac:dyDescent="0.25">
      <c r="A11" s="256">
        <v>23082023</v>
      </c>
      <c r="B11" s="373" t="s">
        <v>1055</v>
      </c>
      <c r="C11" s="30" t="s">
        <v>410</v>
      </c>
      <c r="D11" s="374">
        <v>45161</v>
      </c>
      <c r="F11" s="30" t="s">
        <v>573</v>
      </c>
      <c r="G11" s="30" t="s">
        <v>2802</v>
      </c>
      <c r="H11" s="30" t="s">
        <v>3010</v>
      </c>
      <c r="I11" s="236">
        <v>40497</v>
      </c>
      <c r="J11" s="236">
        <f t="shared" si="0"/>
        <v>35637.360000000001</v>
      </c>
      <c r="K11" s="30" t="s">
        <v>17</v>
      </c>
      <c r="L11" s="374">
        <v>45215</v>
      </c>
      <c r="T11" s="360" t="s">
        <v>893</v>
      </c>
      <c r="U11" s="360">
        <v>0.30624999999999997</v>
      </c>
      <c r="V11" s="360">
        <v>0.4909722222222222</v>
      </c>
    </row>
    <row r="12" spans="1:22" hidden="1" x14ac:dyDescent="0.25">
      <c r="A12" s="256">
        <v>25092023</v>
      </c>
      <c r="B12" t="s">
        <v>1055</v>
      </c>
      <c r="C12" t="s">
        <v>13</v>
      </c>
      <c r="D12" s="374">
        <v>45194</v>
      </c>
      <c r="F12" t="s">
        <v>573</v>
      </c>
      <c r="G12" t="s">
        <v>3011</v>
      </c>
      <c r="H12" t="s">
        <v>3705</v>
      </c>
      <c r="I12" s="414">
        <v>39100</v>
      </c>
      <c r="J12" s="236">
        <f>+I12*0.88</f>
        <v>34408</v>
      </c>
      <c r="K12" t="s">
        <v>17</v>
      </c>
      <c r="L12" s="359">
        <v>45372</v>
      </c>
      <c r="T12" s="14" t="s">
        <v>2050</v>
      </c>
      <c r="U12" s="14">
        <v>0.53541666666666665</v>
      </c>
      <c r="V12" s="14"/>
    </row>
    <row r="13" spans="1:22" hidden="1" x14ac:dyDescent="0.25">
      <c r="A13" s="509">
        <v>12042024</v>
      </c>
      <c r="B13" t="s">
        <v>1055</v>
      </c>
      <c r="C13" s="28" t="s">
        <v>410</v>
      </c>
      <c r="D13" s="233">
        <v>45394</v>
      </c>
      <c r="F13" s="28" t="s">
        <v>2095</v>
      </c>
      <c r="G13" s="30" t="s">
        <v>4040</v>
      </c>
      <c r="H13" s="30" t="s">
        <v>4041</v>
      </c>
      <c r="I13" s="237">
        <v>56350</v>
      </c>
      <c r="J13" s="236">
        <f>+I13*0.88</f>
        <v>49588</v>
      </c>
      <c r="K13" t="s">
        <v>17</v>
      </c>
      <c r="L13" s="233">
        <v>45478</v>
      </c>
      <c r="T13" s="14" t="s">
        <v>3991</v>
      </c>
      <c r="U13" s="360"/>
      <c r="V13" s="360"/>
    </row>
    <row r="14" spans="1:22" x14ac:dyDescent="0.25">
      <c r="A14" s="509">
        <v>1052024</v>
      </c>
      <c r="B14" t="s">
        <v>1055</v>
      </c>
      <c r="C14" s="28" t="s">
        <v>13</v>
      </c>
      <c r="D14" s="233">
        <v>45413</v>
      </c>
      <c r="F14" s="28" t="s">
        <v>2095</v>
      </c>
      <c r="G14" s="30" t="s">
        <v>4132</v>
      </c>
      <c r="H14" s="30" t="s">
        <v>4133</v>
      </c>
      <c r="I14" s="237">
        <v>56350</v>
      </c>
      <c r="J14" s="3">
        <f>+I14-ROUND(I14*0.12,0)</f>
        <v>49588</v>
      </c>
      <c r="K14" t="s">
        <v>71</v>
      </c>
      <c r="L14" s="233">
        <v>45422</v>
      </c>
      <c r="T14" s="14" t="s">
        <v>922</v>
      </c>
      <c r="U14" s="360">
        <v>0.55138888888888893</v>
      </c>
      <c r="V14" s="360">
        <v>0.91111111111111109</v>
      </c>
    </row>
    <row r="15" spans="1:22" hidden="1" x14ac:dyDescent="0.25">
      <c r="A15" s="483" t="s">
        <v>4474</v>
      </c>
      <c r="B15" t="s">
        <v>1055</v>
      </c>
      <c r="C15" s="28" t="s">
        <v>4218</v>
      </c>
      <c r="D15" s="233">
        <v>45479</v>
      </c>
      <c r="F15" s="28" t="s">
        <v>4476</v>
      </c>
      <c r="G15" s="30" t="s">
        <v>4506</v>
      </c>
      <c r="H15" s="694" t="s">
        <v>4507</v>
      </c>
      <c r="I15" s="481">
        <v>64100</v>
      </c>
      <c r="J15" s="3">
        <f>+I15-ROUND(I15*0.12,0)</f>
        <v>56408</v>
      </c>
      <c r="K15" t="s">
        <v>17</v>
      </c>
      <c r="L15" s="233">
        <v>45624</v>
      </c>
      <c r="T15" s="14" t="s">
        <v>4097</v>
      </c>
      <c r="U15" s="360">
        <v>0.35000000000000003</v>
      </c>
      <c r="V15" s="360">
        <v>0.93680555555555556</v>
      </c>
    </row>
    <row r="16" spans="1:22" x14ac:dyDescent="0.25">
      <c r="A16" s="483" t="s">
        <v>4869</v>
      </c>
      <c r="B16" t="s">
        <v>1055</v>
      </c>
      <c r="C16" s="28" t="s">
        <v>13</v>
      </c>
      <c r="D16" s="233">
        <v>45568</v>
      </c>
      <c r="F16" s="28" t="s">
        <v>294</v>
      </c>
      <c r="G16" s="30" t="s">
        <v>4894</v>
      </c>
      <c r="H16" s="30" t="s">
        <v>4921</v>
      </c>
      <c r="I16" s="236">
        <v>35880</v>
      </c>
      <c r="J16" s="3">
        <f>+I16-ROUND(I16*0.12,0)</f>
        <v>31574</v>
      </c>
      <c r="K16" t="s">
        <v>71</v>
      </c>
      <c r="L16" s="233">
        <v>45579</v>
      </c>
      <c r="T16" t="s">
        <v>4550</v>
      </c>
      <c r="U16" s="360"/>
      <c r="V16" s="30"/>
    </row>
    <row r="17" spans="1:22" hidden="1" x14ac:dyDescent="0.25">
      <c r="A17" s="483">
        <v>19102024</v>
      </c>
      <c r="B17" t="s">
        <v>1055</v>
      </c>
      <c r="C17" s="28" t="s">
        <v>4218</v>
      </c>
      <c r="D17" s="233">
        <v>45584</v>
      </c>
      <c r="F17" s="28" t="s">
        <v>294</v>
      </c>
      <c r="G17" s="30" t="s">
        <v>5000</v>
      </c>
      <c r="H17" t="s">
        <v>5001</v>
      </c>
      <c r="I17" s="313">
        <v>36820</v>
      </c>
      <c r="J17" s="3">
        <f>+I17-ROUND(I17*0.12,0)</f>
        <v>32402</v>
      </c>
      <c r="K17" t="s">
        <v>17</v>
      </c>
      <c r="L17" s="233">
        <v>45681</v>
      </c>
      <c r="T17" t="s">
        <v>4417</v>
      </c>
      <c r="U17" s="360">
        <v>0.40069444444444446</v>
      </c>
      <c r="V17" s="360">
        <v>0.55694444444444446</v>
      </c>
    </row>
    <row r="18" spans="1:22" hidden="1" x14ac:dyDescent="0.25">
      <c r="A18" s="483">
        <v>31102024</v>
      </c>
      <c r="B18" t="s">
        <v>1055</v>
      </c>
      <c r="C18" s="28" t="s">
        <v>410</v>
      </c>
      <c r="D18" s="233">
        <v>45596</v>
      </c>
      <c r="F18" s="28" t="s">
        <v>294</v>
      </c>
      <c r="G18" s="30" t="s">
        <v>5032</v>
      </c>
      <c r="H18" s="30" t="s">
        <v>5076</v>
      </c>
      <c r="I18" s="236">
        <v>45060</v>
      </c>
      <c r="J18" s="3">
        <f>+I18-ROUND(I18*0.12,0)</f>
        <v>39653</v>
      </c>
      <c r="K18" t="s">
        <v>17</v>
      </c>
      <c r="L18" s="233">
        <v>45681</v>
      </c>
      <c r="T18" t="s">
        <v>4417</v>
      </c>
      <c r="U18" s="360">
        <v>0.37083333333333335</v>
      </c>
      <c r="V18" s="360">
        <v>0.79166666666666663</v>
      </c>
    </row>
    <row r="19" spans="1:22" hidden="1" x14ac:dyDescent="0.25">
      <c r="A19" s="483">
        <v>20112024</v>
      </c>
      <c r="B19" t="s">
        <v>1055</v>
      </c>
      <c r="C19" s="233" t="s">
        <v>410</v>
      </c>
      <c r="D19" s="233">
        <v>45616</v>
      </c>
      <c r="E19" s="28"/>
      <c r="F19" s="28" t="s">
        <v>4476</v>
      </c>
      <c r="G19" t="s">
        <v>5197</v>
      </c>
      <c r="H19" s="313" t="s">
        <v>5198</v>
      </c>
      <c r="I19" s="88">
        <v>62032</v>
      </c>
      <c r="J19" s="88">
        <f>+I19*0.88</f>
        <v>54588.160000000003</v>
      </c>
      <c r="K19" t="s">
        <v>17</v>
      </c>
      <c r="L19" s="233">
        <v>45688</v>
      </c>
      <c r="T19" t="s">
        <v>5131</v>
      </c>
      <c r="U19" s="360">
        <v>0.30138888888888887</v>
      </c>
      <c r="V19" s="360">
        <v>0.66805555555555562</v>
      </c>
    </row>
    <row r="20" spans="1:22" hidden="1" x14ac:dyDescent="0.25">
      <c r="A20" s="483">
        <v>5012025</v>
      </c>
      <c r="B20" t="s">
        <v>1055</v>
      </c>
      <c r="C20" s="233" t="s">
        <v>4218</v>
      </c>
      <c r="D20" s="233">
        <v>45662</v>
      </c>
      <c r="E20" s="28"/>
      <c r="F20" s="28" t="s">
        <v>294</v>
      </c>
      <c r="G20" t="s">
        <v>5502</v>
      </c>
      <c r="H20" s="30" t="s">
        <v>5555</v>
      </c>
      <c r="I20" s="88">
        <v>29972</v>
      </c>
      <c r="J20" s="3">
        <f>+I20-ROUND(I20*0.12,0)</f>
        <v>26375</v>
      </c>
      <c r="K20" t="s">
        <v>17</v>
      </c>
      <c r="L20" s="233">
        <v>45789</v>
      </c>
      <c r="T20" t="s">
        <v>4139</v>
      </c>
      <c r="U20" s="360">
        <v>0.39930555555555558</v>
      </c>
      <c r="V20" s="360">
        <v>0.54999999999999993</v>
      </c>
    </row>
    <row r="21" spans="1:22" hidden="1" x14ac:dyDescent="0.25">
      <c r="A21" s="483">
        <v>8012025</v>
      </c>
      <c r="B21" t="s">
        <v>1055</v>
      </c>
      <c r="C21" s="233" t="s">
        <v>13</v>
      </c>
      <c r="D21" s="233">
        <v>45665</v>
      </c>
      <c r="E21" s="28"/>
      <c r="F21" s="28" t="s">
        <v>294</v>
      </c>
      <c r="G21" t="s">
        <v>5557</v>
      </c>
      <c r="H21" s="30" t="s">
        <v>5556</v>
      </c>
      <c r="I21" s="88">
        <v>29972</v>
      </c>
      <c r="J21" s="3">
        <f>+I21-ROUND(I21*0.12,0)</f>
        <v>26375</v>
      </c>
      <c r="K21" t="s">
        <v>17</v>
      </c>
      <c r="L21" s="233">
        <v>45789</v>
      </c>
      <c r="T21" t="s">
        <v>5020</v>
      </c>
      <c r="U21" s="360">
        <v>0.28958333333333336</v>
      </c>
      <c r="V21" s="360">
        <v>0.45347222222222222</v>
      </c>
    </row>
    <row r="22" spans="1:22" hidden="1" x14ac:dyDescent="0.25">
      <c r="A22" s="483" t="s">
        <v>5740</v>
      </c>
      <c r="B22" t="s">
        <v>1055</v>
      </c>
      <c r="C22" s="28" t="s">
        <v>4218</v>
      </c>
      <c r="D22" s="233">
        <v>45720</v>
      </c>
      <c r="E22" s="28"/>
      <c r="F22" s="28" t="s">
        <v>294</v>
      </c>
      <c r="G22" s="30" t="s">
        <v>5755</v>
      </c>
      <c r="H22" t="s">
        <v>5756</v>
      </c>
      <c r="I22" s="798">
        <v>49406</v>
      </c>
      <c r="J22" s="3">
        <f>+I22-ROUND(I22*0.12,0)</f>
        <v>43477</v>
      </c>
      <c r="K22" t="s">
        <v>17</v>
      </c>
      <c r="L22" s="233">
        <v>45820</v>
      </c>
      <c r="T22" t="s">
        <v>4345</v>
      </c>
      <c r="U22" s="360">
        <v>0.44930555555555557</v>
      </c>
      <c r="V22" s="360">
        <v>0.92569444444444438</v>
      </c>
    </row>
    <row r="23" spans="1:22" hidden="1" x14ac:dyDescent="0.25">
      <c r="A23" s="483" t="s">
        <v>5896</v>
      </c>
      <c r="B23" t="s">
        <v>1055</v>
      </c>
      <c r="C23" s="28" t="s">
        <v>13</v>
      </c>
      <c r="D23" s="233">
        <v>45749</v>
      </c>
      <c r="E23" s="28"/>
      <c r="F23" s="28" t="s">
        <v>294</v>
      </c>
      <c r="G23" t="s">
        <v>5941</v>
      </c>
      <c r="H23" s="30" t="s">
        <v>5942</v>
      </c>
      <c r="I23" s="798">
        <v>49406</v>
      </c>
      <c r="J23" s="3">
        <f>+I23-ROUND(I23*0.12,0)</f>
        <v>43477</v>
      </c>
      <c r="K23" t="s">
        <v>17</v>
      </c>
      <c r="L23" s="233">
        <v>45931</v>
      </c>
      <c r="T23" t="s">
        <v>4140</v>
      </c>
      <c r="U23" s="360">
        <v>0.27847222222222223</v>
      </c>
      <c r="V23" s="30"/>
    </row>
    <row r="24" spans="1:22" hidden="1" x14ac:dyDescent="0.25">
      <c r="A24" s="483" t="s">
        <v>6910</v>
      </c>
      <c r="B24" t="s">
        <v>1055</v>
      </c>
      <c r="C24" s="28" t="s">
        <v>410</v>
      </c>
      <c r="D24" s="233">
        <v>45914</v>
      </c>
      <c r="E24" s="28"/>
      <c r="F24" s="28" t="s">
        <v>294</v>
      </c>
      <c r="G24" s="1067" t="s">
        <v>6923</v>
      </c>
      <c r="H24" s="30" t="s">
        <v>6969</v>
      </c>
      <c r="I24" s="313">
        <v>49406</v>
      </c>
      <c r="J24" s="3">
        <f>+I24-ROUND(I24*0.12,0)</f>
        <v>43477</v>
      </c>
      <c r="K24" t="s">
        <v>17</v>
      </c>
      <c r="L24" s="233">
        <v>45940</v>
      </c>
      <c r="M24" s="32"/>
      <c r="T24" t="s">
        <v>6282</v>
      </c>
      <c r="U24" s="360">
        <v>0.30902777777777779</v>
      </c>
      <c r="V24" s="360">
        <v>0.7319444444444444</v>
      </c>
    </row>
    <row r="25" spans="1:22" x14ac:dyDescent="0.25">
      <c r="B25" s="10"/>
      <c r="J25" s="158"/>
      <c r="K25" s="2"/>
      <c r="L25" s="233"/>
    </row>
    <row r="26" spans="1:22" x14ac:dyDescent="0.25">
      <c r="H26" s="238" t="s">
        <v>4480</v>
      </c>
      <c r="I26" s="27">
        <f>SUBTOTAL(9,I3:I25)</f>
        <v>92230</v>
      </c>
      <c r="K26" s="2"/>
      <c r="L26" s="233"/>
    </row>
    <row r="27" spans="1:22" x14ac:dyDescent="0.25">
      <c r="K27" s="2"/>
    </row>
    <row r="28" spans="1:22" x14ac:dyDescent="0.25">
      <c r="I28" s="32"/>
      <c r="K28" s="2"/>
    </row>
    <row r="29" spans="1:22" x14ac:dyDescent="0.25">
      <c r="I29" s="32"/>
      <c r="J29" s="358"/>
      <c r="K29" s="32"/>
    </row>
    <row r="30" spans="1:22" x14ac:dyDescent="0.25">
      <c r="I30" s="32"/>
      <c r="J30" s="158"/>
      <c r="K30" s="32"/>
    </row>
    <row r="31" spans="1:22" x14ac:dyDescent="0.25">
      <c r="I31" s="32"/>
      <c r="J31" s="158"/>
      <c r="L31" s="17"/>
    </row>
    <row r="32" spans="1:22" x14ac:dyDescent="0.25">
      <c r="I32" s="32"/>
      <c r="J32" s="158"/>
      <c r="K32" s="17"/>
      <c r="L32" s="17"/>
    </row>
    <row r="33" spans="9:12" x14ac:dyDescent="0.25">
      <c r="I33" s="32"/>
      <c r="J33" s="158"/>
      <c r="K33" s="17"/>
      <c r="L33" s="17"/>
    </row>
    <row r="34" spans="9:12" x14ac:dyDescent="0.25">
      <c r="I34" s="32"/>
      <c r="J34" s="32"/>
      <c r="K34" s="17"/>
    </row>
  </sheetData>
  <autoFilter ref="F2:Q25" xr:uid="{00000000-0009-0000-0000-000017000000}">
    <filterColumn colId="5">
      <filters blank="1">
        <filter val="ENVIADA"/>
      </filters>
    </filterColumn>
    <filterColumn colId="8" showButton="0"/>
    <filterColumn colId="9" showButton="0"/>
    <filterColumn colId="10" showButton="0"/>
  </autoFilter>
  <mergeCells count="1">
    <mergeCell ref="N2:Q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9177" r:id="rId4" name="Button 1">
              <controlPr defaultSize="0" print="0" autoFill="0" autoPict="0" macro="[0]!RETORNAR">
                <anchor moveWithCells="1" sizeWithCells="1">
                  <from>
                    <xdr:col>0</xdr:col>
                    <xdr:colOff>28575</xdr:colOff>
                    <xdr:row>0</xdr:row>
                    <xdr:rowOff>0</xdr:rowOff>
                  </from>
                  <to>
                    <xdr:col>2</xdr:col>
                    <xdr:colOff>323850</xdr:colOff>
                    <xdr:row>0</xdr:row>
                    <xdr:rowOff>257175</xdr:rowOff>
                  </to>
                </anchor>
              </controlPr>
            </control>
          </mc:Choice>
        </mc:AlternateContent>
        <mc:AlternateContent xmlns:mc="http://schemas.openxmlformats.org/markup-compatibility/2006">
          <mc:Choice Requires="x14">
            <control shapeId="519188" r:id="rId5" name="Botón 20">
              <controlPr defaultSize="0" print="0" autoFill="0" autoPict="0" macro="[0]!IR_VENTAS_B200_2026">
                <anchor moveWithCells="1" sizeWithCells="1">
                  <from>
                    <xdr:col>1</xdr:col>
                    <xdr:colOff>666750</xdr:colOff>
                    <xdr:row>31</xdr:row>
                    <xdr:rowOff>152400</xdr:rowOff>
                  </from>
                  <to>
                    <xdr:col>2</xdr:col>
                    <xdr:colOff>619125</xdr:colOff>
                    <xdr:row>35</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39" filterMode="1"/>
  <dimension ref="A1:V10"/>
  <sheetViews>
    <sheetView workbookViewId="0">
      <selection activeCell="B18" sqref="B18"/>
    </sheetView>
  </sheetViews>
  <sheetFormatPr baseColWidth="10" defaultColWidth="10.85546875" defaultRowHeight="15" x14ac:dyDescent="0.25"/>
  <cols>
    <col min="2" max="2" width="33.7109375" customWidth="1"/>
    <col min="7" max="7" width="11.42578125" customWidth="1"/>
    <col min="10" max="10" width="11.85546875" style="32" bestFit="1" customWidth="1"/>
  </cols>
  <sheetData>
    <row r="1" spans="1:22" ht="24.95" customHeight="1" x14ac:dyDescent="0.25"/>
    <row r="2" spans="1:22" x14ac:dyDescent="0.25">
      <c r="A2" t="s">
        <v>706</v>
      </c>
      <c r="B2" s="1" t="s">
        <v>0</v>
      </c>
      <c r="C2" s="1" t="s">
        <v>1</v>
      </c>
      <c r="D2" s="1" t="s">
        <v>2</v>
      </c>
      <c r="E2" s="1"/>
      <c r="F2" s="1" t="s">
        <v>3</v>
      </c>
      <c r="G2" s="1" t="s">
        <v>4</v>
      </c>
      <c r="H2" s="1" t="s">
        <v>5</v>
      </c>
      <c r="I2" s="1" t="s">
        <v>6</v>
      </c>
      <c r="J2" s="1" t="s">
        <v>1780</v>
      </c>
      <c r="K2" s="1" t="s">
        <v>8</v>
      </c>
      <c r="L2" s="1" t="s">
        <v>3998</v>
      </c>
      <c r="M2" s="1" t="s">
        <v>10</v>
      </c>
      <c r="N2" s="1480" t="s">
        <v>11</v>
      </c>
      <c r="O2" s="1480"/>
      <c r="P2" s="1480"/>
      <c r="Q2" s="1480"/>
    </row>
    <row r="3" spans="1:22" hidden="1" x14ac:dyDescent="0.25">
      <c r="A3" s="115">
        <v>21062022</v>
      </c>
      <c r="B3" s="169" t="s">
        <v>979</v>
      </c>
      <c r="C3" t="s">
        <v>410</v>
      </c>
      <c r="D3" s="122">
        <v>44733</v>
      </c>
      <c r="E3" s="32"/>
      <c r="F3" s="163" t="s">
        <v>545</v>
      </c>
      <c r="G3" s="163" t="s">
        <v>279</v>
      </c>
      <c r="H3" s="120" t="s">
        <v>623</v>
      </c>
      <c r="J3" s="159">
        <v>15000</v>
      </c>
      <c r="K3" t="s">
        <v>17</v>
      </c>
      <c r="L3" s="2">
        <v>44737</v>
      </c>
      <c r="O3" s="163" t="s">
        <v>929</v>
      </c>
      <c r="P3" s="14">
        <v>0.66041666666666665</v>
      </c>
      <c r="Q3" s="14">
        <v>0.86041666666666661</v>
      </c>
    </row>
    <row r="4" spans="1:22" hidden="1" x14ac:dyDescent="0.25">
      <c r="A4" s="116" t="s">
        <v>1097</v>
      </c>
      <c r="B4" s="169" t="s">
        <v>638</v>
      </c>
      <c r="C4">
        <v>2221</v>
      </c>
      <c r="D4" s="123">
        <v>44784</v>
      </c>
      <c r="E4" s="88"/>
      <c r="F4" s="21" t="s">
        <v>1098</v>
      </c>
      <c r="G4" s="21" t="s">
        <v>277</v>
      </c>
      <c r="J4" s="160">
        <v>20000</v>
      </c>
      <c r="K4" t="s">
        <v>17</v>
      </c>
      <c r="L4" s="2">
        <v>44784</v>
      </c>
      <c r="O4" s="163"/>
      <c r="P4" s="157">
        <v>0.63541666666666663</v>
      </c>
      <c r="Q4" s="157"/>
    </row>
    <row r="5" spans="1:22" hidden="1" x14ac:dyDescent="0.25">
      <c r="A5" s="116" t="s">
        <v>1176</v>
      </c>
      <c r="B5" t="s">
        <v>638</v>
      </c>
      <c r="C5" s="169" t="s">
        <v>809</v>
      </c>
      <c r="D5" s="122">
        <v>44806</v>
      </c>
      <c r="E5" s="32"/>
      <c r="F5" t="s">
        <v>545</v>
      </c>
      <c r="G5" t="s">
        <v>1177</v>
      </c>
      <c r="H5" s="120"/>
      <c r="J5" s="159">
        <v>21000</v>
      </c>
      <c r="K5" t="s">
        <v>17</v>
      </c>
      <c r="L5" s="2">
        <v>44810</v>
      </c>
      <c r="O5" t="s">
        <v>1178</v>
      </c>
      <c r="P5" s="157">
        <v>0.68333333333333324</v>
      </c>
      <c r="Q5" s="157"/>
    </row>
    <row r="6" spans="1:22" hidden="1" x14ac:dyDescent="0.25">
      <c r="A6" s="256">
        <v>25042023</v>
      </c>
      <c r="B6" t="s">
        <v>638</v>
      </c>
      <c r="C6" t="s">
        <v>693</v>
      </c>
      <c r="D6" s="122">
        <v>45041</v>
      </c>
      <c r="F6" s="30" t="s">
        <v>143</v>
      </c>
      <c r="G6" s="28" t="s">
        <v>279</v>
      </c>
      <c r="H6" t="s">
        <v>2286</v>
      </c>
      <c r="I6" s="313">
        <v>32340</v>
      </c>
      <c r="J6"/>
      <c r="K6" t="s">
        <v>17</v>
      </c>
      <c r="L6" s="122">
        <v>45041</v>
      </c>
      <c r="T6" t="s">
        <v>1644</v>
      </c>
      <c r="U6" s="14">
        <v>0.9</v>
      </c>
      <c r="V6" s="14">
        <v>2.2916666666666669E-2</v>
      </c>
    </row>
    <row r="7" spans="1:22" hidden="1" x14ac:dyDescent="0.25">
      <c r="A7" s="509">
        <v>13032024</v>
      </c>
      <c r="B7" s="30" t="s">
        <v>3867</v>
      </c>
      <c r="C7" s="28" t="s">
        <v>13</v>
      </c>
      <c r="D7" s="233">
        <v>45364</v>
      </c>
      <c r="F7" s="28" t="s">
        <v>545</v>
      </c>
      <c r="G7" s="28" t="s">
        <v>279</v>
      </c>
      <c r="J7" s="251">
        <v>34456</v>
      </c>
      <c r="K7" t="s">
        <v>17</v>
      </c>
      <c r="L7" s="233">
        <v>45364</v>
      </c>
      <c r="T7" s="14" t="s">
        <v>2037</v>
      </c>
      <c r="U7" s="360">
        <v>0.8847222222222223</v>
      </c>
      <c r="V7" s="360">
        <v>6.5277777777777782E-2</v>
      </c>
    </row>
    <row r="8" spans="1:22" x14ac:dyDescent="0.25">
      <c r="A8" s="509"/>
      <c r="B8" s="30"/>
      <c r="C8" s="28"/>
      <c r="D8" s="233"/>
      <c r="F8" s="28"/>
      <c r="G8" s="28"/>
      <c r="J8"/>
      <c r="L8" s="88"/>
      <c r="T8" s="14"/>
      <c r="U8" s="360"/>
      <c r="V8" s="360"/>
    </row>
    <row r="9" spans="1:22" x14ac:dyDescent="0.25">
      <c r="A9" s="116"/>
      <c r="D9" s="122"/>
      <c r="E9" s="32"/>
      <c r="H9" s="19"/>
      <c r="K9" s="32"/>
      <c r="P9" s="14"/>
      <c r="Q9" s="14"/>
    </row>
    <row r="10" spans="1:22" x14ac:dyDescent="0.25">
      <c r="H10" t="s">
        <v>423</v>
      </c>
      <c r="I10" s="89">
        <f>SUBTOTAL(9,I3:I9)</f>
        <v>0</v>
      </c>
      <c r="J10" s="89">
        <f>SUBTOTAL(9,J3:J9)</f>
        <v>0</v>
      </c>
    </row>
  </sheetData>
  <autoFilter ref="A2:Q9" xr:uid="{00000000-0009-0000-0000-000018000000}">
    <filterColumn colId="10">
      <filters blank="1"/>
    </filterColumn>
    <filterColumn colId="13" showButton="0"/>
    <filterColumn colId="14" showButton="0"/>
    <filterColumn colId="15" showButton="0"/>
  </autoFilter>
  <mergeCells count="1">
    <mergeCell ref="N2: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2219" r:id="rId3" name="Button 1">
              <controlPr defaultSize="0" print="0" autoFill="0" autoPict="0" macro="[0]!RETORNAR">
                <anchor moveWithCells="1" sizeWithCells="1">
                  <from>
                    <xdr:col>0</xdr:col>
                    <xdr:colOff>38100</xdr:colOff>
                    <xdr:row>0</xdr:row>
                    <xdr:rowOff>47625</xdr:rowOff>
                  </from>
                  <to>
                    <xdr:col>1</xdr:col>
                    <xdr:colOff>1095375</xdr:colOff>
                    <xdr:row>0</xdr:row>
                    <xdr:rowOff>314325</xdr:rowOff>
                  </to>
                </anchor>
              </controlPr>
            </control>
          </mc:Choice>
        </mc:AlternateContent>
        <mc:AlternateContent xmlns:mc="http://schemas.openxmlformats.org/markup-compatibility/2006">
          <mc:Choice Requires="x14">
            <control shapeId="222223" r:id="rId4" name="Botón 15">
              <controlPr defaultSize="0" print="0" autoFill="0" autoPict="0" macro="[0]!IR_VENTAS_B200_2026">
                <anchor moveWithCells="1" sizeWithCells="1">
                  <from>
                    <xdr:col>1</xdr:col>
                    <xdr:colOff>666750</xdr:colOff>
                    <xdr:row>17</xdr:row>
                    <xdr:rowOff>180975</xdr:rowOff>
                  </from>
                  <to>
                    <xdr:col>1</xdr:col>
                    <xdr:colOff>1962150</xdr:colOff>
                    <xdr:row>21</xdr:row>
                    <xdr:rowOff>28575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42" filterMode="1"/>
  <dimension ref="A1:Q12"/>
  <sheetViews>
    <sheetView workbookViewId="0">
      <selection activeCell="B15" sqref="B15"/>
    </sheetView>
  </sheetViews>
  <sheetFormatPr baseColWidth="10" defaultColWidth="10.85546875" defaultRowHeight="15" x14ac:dyDescent="0.25"/>
  <cols>
    <col min="7" max="7" width="44.85546875" customWidth="1"/>
    <col min="8" max="8" width="22.7109375" customWidth="1"/>
    <col min="9" max="9" width="12" style="32" bestFit="1" customWidth="1"/>
  </cols>
  <sheetData>
    <row r="1" spans="1:17" ht="29.1" customHeight="1" x14ac:dyDescent="0.25"/>
    <row r="2" spans="1:17" x14ac:dyDescent="0.25">
      <c r="A2" t="s">
        <v>706</v>
      </c>
      <c r="B2" s="1" t="s">
        <v>0</v>
      </c>
      <c r="C2" s="1" t="s">
        <v>1</v>
      </c>
      <c r="D2" s="1" t="s">
        <v>2</v>
      </c>
      <c r="E2" s="1"/>
      <c r="F2" s="1" t="s">
        <v>3</v>
      </c>
      <c r="G2" s="1" t="s">
        <v>4</v>
      </c>
      <c r="H2" s="1" t="s">
        <v>5</v>
      </c>
      <c r="I2" s="32" t="s">
        <v>6</v>
      </c>
      <c r="J2" s="1" t="s">
        <v>1780</v>
      </c>
      <c r="K2" s="1" t="s">
        <v>8</v>
      </c>
      <c r="L2" s="1" t="s">
        <v>3998</v>
      </c>
      <c r="M2" s="1" t="s">
        <v>10</v>
      </c>
      <c r="N2" s="1480" t="s">
        <v>11</v>
      </c>
      <c r="O2" s="1480"/>
      <c r="P2" s="1480"/>
      <c r="Q2" s="1480"/>
    </row>
    <row r="3" spans="1:17" hidden="1" x14ac:dyDescent="0.25">
      <c r="A3" s="116">
        <v>21112022</v>
      </c>
      <c r="B3" s="169" t="s">
        <v>1503</v>
      </c>
      <c r="C3" s="169" t="s">
        <v>693</v>
      </c>
      <c r="D3" s="122">
        <v>44886</v>
      </c>
      <c r="E3" s="88"/>
      <c r="F3" t="s">
        <v>1500</v>
      </c>
      <c r="G3" s="21" t="s">
        <v>1575</v>
      </c>
      <c r="H3" t="s">
        <v>1576</v>
      </c>
      <c r="I3" s="88">
        <v>39648</v>
      </c>
      <c r="J3" s="160"/>
      <c r="K3" s="2" t="s">
        <v>17</v>
      </c>
      <c r="L3" s="2">
        <v>44910</v>
      </c>
      <c r="O3" s="21" t="s">
        <v>1029</v>
      </c>
      <c r="P3" s="157">
        <v>0.47361111111111115</v>
      </c>
      <c r="Q3" s="157"/>
    </row>
    <row r="4" spans="1:17" ht="15" customHeight="1" x14ac:dyDescent="0.25">
      <c r="A4" s="122"/>
      <c r="B4" s="122"/>
      <c r="C4" s="122"/>
      <c r="D4" s="122"/>
      <c r="E4" s="122"/>
      <c r="F4" s="122"/>
      <c r="G4" s="122"/>
      <c r="H4" s="122"/>
      <c r="I4" s="176"/>
      <c r="J4" s="122"/>
      <c r="K4" s="2"/>
      <c r="L4" s="122"/>
      <c r="M4" s="122"/>
      <c r="N4" s="122"/>
      <c r="O4" s="122"/>
      <c r="P4" s="122"/>
      <c r="Q4" s="122"/>
    </row>
    <row r="5" spans="1:17" ht="15" customHeight="1" x14ac:dyDescent="0.25">
      <c r="A5" s="122"/>
      <c r="B5" s="122"/>
      <c r="C5" s="122"/>
      <c r="D5" s="122"/>
      <c r="E5" s="122"/>
      <c r="F5" s="122"/>
      <c r="G5" s="122"/>
      <c r="H5" s="122"/>
      <c r="I5" s="176"/>
      <c r="J5" s="122"/>
      <c r="K5" s="2"/>
      <c r="L5" s="122"/>
      <c r="M5" s="122"/>
      <c r="N5" s="122"/>
      <c r="O5" s="122"/>
      <c r="P5" s="122"/>
      <c r="Q5" s="122"/>
    </row>
    <row r="6" spans="1:17" x14ac:dyDescent="0.25">
      <c r="A6" s="116"/>
      <c r="B6" s="169"/>
      <c r="C6" s="169"/>
      <c r="D6" s="122"/>
      <c r="E6" s="88"/>
      <c r="G6" s="21"/>
      <c r="I6" s="160"/>
      <c r="J6" s="160"/>
      <c r="K6" s="2"/>
      <c r="O6" s="21"/>
      <c r="P6" s="157"/>
      <c r="Q6" s="157"/>
    </row>
    <row r="7" spans="1:17" x14ac:dyDescent="0.25">
      <c r="D7" s="2"/>
      <c r="E7" s="32"/>
      <c r="I7" s="159"/>
      <c r="K7" s="2"/>
      <c r="L7" s="6"/>
    </row>
    <row r="8" spans="1:17" x14ac:dyDescent="0.25">
      <c r="H8" t="s">
        <v>356</v>
      </c>
      <c r="I8" s="89">
        <f>SUBTOTAL(9,I3:I7)</f>
        <v>0</v>
      </c>
      <c r="K8" s="2"/>
    </row>
    <row r="9" spans="1:17" x14ac:dyDescent="0.25">
      <c r="K9" s="2"/>
      <c r="M9" s="3"/>
    </row>
    <row r="12" spans="1:17" x14ac:dyDescent="0.25">
      <c r="G12" s="160"/>
    </row>
  </sheetData>
  <autoFilter ref="F2:Q5" xr:uid="{00000000-0009-0000-0000-000019000000}">
    <filterColumn colId="5">
      <filters blank="1"/>
    </filterColumn>
    <filterColumn colId="8" showButton="0"/>
    <filterColumn colId="9" showButton="0"/>
    <filterColumn colId="10" showButton="0"/>
  </autoFilter>
  <mergeCells count="1">
    <mergeCell ref="N2:Q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8564" r:id="rId4" name="Button 1">
              <controlPr defaultSize="0" print="0" autoFill="0" autoPict="0" macro="[0]!RETORNAR">
                <anchor moveWithCells="1" sizeWithCells="1">
                  <from>
                    <xdr:col>0</xdr:col>
                    <xdr:colOff>38100</xdr:colOff>
                    <xdr:row>0</xdr:row>
                    <xdr:rowOff>47625</xdr:rowOff>
                  </from>
                  <to>
                    <xdr:col>2</xdr:col>
                    <xdr:colOff>333375</xdr:colOff>
                    <xdr:row>0</xdr:row>
                    <xdr:rowOff>314325</xdr:rowOff>
                  </to>
                </anchor>
              </controlPr>
            </control>
          </mc:Choice>
        </mc:AlternateContent>
        <mc:AlternateContent xmlns:mc="http://schemas.openxmlformats.org/markup-compatibility/2006">
          <mc:Choice Requires="x14">
            <control shapeId="578568" r:id="rId5" name="Botón 8">
              <controlPr defaultSize="0" print="0" autoFill="0" autoPict="0" macro="[0]!IR_VENTAS_B200_2026">
                <anchor moveWithCells="1" sizeWithCells="1">
                  <from>
                    <xdr:col>1</xdr:col>
                    <xdr:colOff>666750</xdr:colOff>
                    <xdr:row>14</xdr:row>
                    <xdr:rowOff>114300</xdr:rowOff>
                  </from>
                  <to>
                    <xdr:col>3</xdr:col>
                    <xdr:colOff>447675</xdr:colOff>
                    <xdr:row>17</xdr:row>
                    <xdr:rowOff>142875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43" filterMode="1"/>
  <dimension ref="A1:X37"/>
  <sheetViews>
    <sheetView topLeftCell="B1" workbookViewId="0">
      <selection activeCell="H22" sqref="H22:J23"/>
    </sheetView>
  </sheetViews>
  <sheetFormatPr baseColWidth="10" defaultColWidth="10.85546875" defaultRowHeight="15" x14ac:dyDescent="0.25"/>
  <cols>
    <col min="7" max="7" width="44.85546875" customWidth="1"/>
    <col min="8" max="8" width="22.7109375" customWidth="1"/>
    <col min="9" max="9" width="12" style="32" bestFit="1" customWidth="1"/>
  </cols>
  <sheetData>
    <row r="1" spans="1:22" ht="26.45" customHeight="1" x14ac:dyDescent="0.25"/>
    <row r="2" spans="1:22" x14ac:dyDescent="0.25">
      <c r="A2" t="s">
        <v>706</v>
      </c>
      <c r="B2" s="1" t="s">
        <v>0</v>
      </c>
      <c r="C2" s="1" t="s">
        <v>1</v>
      </c>
      <c r="D2" s="1" t="s">
        <v>2</v>
      </c>
      <c r="E2" s="1"/>
      <c r="F2" s="1" t="s">
        <v>3</v>
      </c>
      <c r="G2" s="1" t="s">
        <v>4</v>
      </c>
      <c r="H2" s="1" t="s">
        <v>5</v>
      </c>
      <c r="I2" s="32" t="s">
        <v>6</v>
      </c>
      <c r="J2" s="1" t="s">
        <v>1780</v>
      </c>
      <c r="K2" s="1" t="s">
        <v>8</v>
      </c>
      <c r="L2" s="1" t="s">
        <v>3998</v>
      </c>
      <c r="M2" s="1" t="s">
        <v>10</v>
      </c>
      <c r="N2" s="1480" t="s">
        <v>11</v>
      </c>
      <c r="O2" s="1480"/>
      <c r="P2" s="1480"/>
      <c r="Q2" s="1480"/>
    </row>
    <row r="3" spans="1:22" ht="15" hidden="1" customHeight="1" x14ac:dyDescent="0.25">
      <c r="B3" s="1"/>
      <c r="C3" s="1"/>
      <c r="D3" s="1577">
        <v>44870</v>
      </c>
      <c r="E3" s="1"/>
      <c r="F3" s="1492" t="s">
        <v>68</v>
      </c>
      <c r="G3" t="s">
        <v>1573</v>
      </c>
      <c r="H3" t="s">
        <v>1574</v>
      </c>
      <c r="I3" s="32">
        <v>37760</v>
      </c>
      <c r="J3" s="32">
        <f t="shared" ref="J3:J14" si="0">+I3*0.88</f>
        <v>33228.800000000003</v>
      </c>
      <c r="K3" t="s">
        <v>17</v>
      </c>
      <c r="L3" s="2">
        <v>44916</v>
      </c>
      <c r="M3" s="1"/>
      <c r="N3" s="25"/>
      <c r="O3" s="25"/>
      <c r="P3" s="25"/>
      <c r="Q3" s="25"/>
    </row>
    <row r="4" spans="1:22" ht="15" hidden="1" customHeight="1" x14ac:dyDescent="0.25">
      <c r="A4" s="116">
        <v>5112022</v>
      </c>
      <c r="B4" s="169" t="s">
        <v>1448</v>
      </c>
      <c r="C4" s="30" t="s">
        <v>410</v>
      </c>
      <c r="D4" s="1577"/>
      <c r="E4" s="88"/>
      <c r="F4" s="1492"/>
      <c r="G4" t="s">
        <v>1572</v>
      </c>
      <c r="H4" t="s">
        <v>1571</v>
      </c>
      <c r="I4" s="160">
        <v>9440</v>
      </c>
      <c r="J4" s="32">
        <f t="shared" si="0"/>
        <v>8307.2000000000007</v>
      </c>
      <c r="K4" t="s">
        <v>17</v>
      </c>
      <c r="L4" s="2">
        <v>44916</v>
      </c>
      <c r="M4" s="1"/>
      <c r="O4" s="21"/>
      <c r="P4" s="157"/>
      <c r="Q4" s="21"/>
    </row>
    <row r="5" spans="1:22" ht="15" hidden="1" customHeight="1" x14ac:dyDescent="0.25">
      <c r="A5" s="116"/>
      <c r="B5" s="169"/>
      <c r="C5" s="30"/>
      <c r="D5" s="233"/>
      <c r="E5" s="88"/>
      <c r="F5" s="28"/>
      <c r="G5" t="s">
        <v>2091</v>
      </c>
      <c r="H5" t="s">
        <v>2093</v>
      </c>
      <c r="I5" s="160">
        <v>36816</v>
      </c>
      <c r="J5" s="32">
        <f t="shared" si="0"/>
        <v>32398.080000000002</v>
      </c>
      <c r="K5" t="s">
        <v>17</v>
      </c>
      <c r="L5" s="2">
        <v>45014</v>
      </c>
      <c r="M5" s="1"/>
      <c r="O5" s="21"/>
      <c r="P5" s="157"/>
      <c r="Q5" s="21"/>
    </row>
    <row r="6" spans="1:22" hidden="1" x14ac:dyDescent="0.25">
      <c r="A6" s="95" t="s">
        <v>2006</v>
      </c>
      <c r="B6" t="s">
        <v>1997</v>
      </c>
      <c r="C6" t="s">
        <v>410</v>
      </c>
      <c r="D6" s="122">
        <v>44993</v>
      </c>
      <c r="F6" s="28" t="s">
        <v>68</v>
      </c>
      <c r="G6" t="s">
        <v>2092</v>
      </c>
      <c r="H6" t="s">
        <v>2094</v>
      </c>
      <c r="I6" s="32">
        <v>9384</v>
      </c>
      <c r="J6" s="32">
        <f t="shared" si="0"/>
        <v>8257.92</v>
      </c>
      <c r="K6" t="s">
        <v>17</v>
      </c>
      <c r="L6" s="2">
        <v>45014</v>
      </c>
      <c r="S6" t="s">
        <v>929</v>
      </c>
      <c r="T6" s="14">
        <v>0.3034722222222222</v>
      </c>
      <c r="U6" s="14">
        <v>0.57986111111111105</v>
      </c>
    </row>
    <row r="7" spans="1:22" hidden="1" x14ac:dyDescent="0.25">
      <c r="A7" s="95"/>
      <c r="D7" s="122"/>
      <c r="F7" s="28"/>
      <c r="G7" t="s">
        <v>3289</v>
      </c>
      <c r="H7" t="s">
        <v>3290</v>
      </c>
      <c r="I7" s="32">
        <v>36816</v>
      </c>
      <c r="J7" s="32">
        <f t="shared" si="0"/>
        <v>32398.080000000002</v>
      </c>
      <c r="K7" t="s">
        <v>17</v>
      </c>
      <c r="L7" s="122">
        <v>45296</v>
      </c>
      <c r="T7" s="14"/>
      <c r="U7" s="14"/>
    </row>
    <row r="8" spans="1:22" hidden="1" x14ac:dyDescent="0.25">
      <c r="A8" s="256">
        <v>27112023</v>
      </c>
      <c r="B8" t="s">
        <v>3236</v>
      </c>
      <c r="C8" t="s">
        <v>13</v>
      </c>
      <c r="D8" s="122">
        <v>45257</v>
      </c>
      <c r="F8" s="28" t="s">
        <v>68</v>
      </c>
      <c r="G8" s="30" t="s">
        <v>3288</v>
      </c>
      <c r="H8" t="s">
        <v>3291</v>
      </c>
      <c r="I8" s="313">
        <v>8024</v>
      </c>
      <c r="J8" s="32">
        <f t="shared" si="0"/>
        <v>7061.12</v>
      </c>
      <c r="K8" t="s">
        <v>17</v>
      </c>
      <c r="L8" s="122">
        <v>45278</v>
      </c>
      <c r="T8" s="14" t="s">
        <v>989</v>
      </c>
      <c r="U8" s="14">
        <v>0.49236111111111108</v>
      </c>
      <c r="V8" s="14"/>
    </row>
    <row r="9" spans="1:22" hidden="1" x14ac:dyDescent="0.25">
      <c r="A9" s="509" t="s">
        <v>4262</v>
      </c>
      <c r="B9" t="s">
        <v>4263</v>
      </c>
      <c r="C9" s="28" t="s">
        <v>13</v>
      </c>
      <c r="D9" s="233">
        <v>45452</v>
      </c>
      <c r="F9" s="28" t="s">
        <v>68</v>
      </c>
      <c r="G9" s="30" t="s">
        <v>4816</v>
      </c>
      <c r="H9" t="s">
        <v>4820</v>
      </c>
      <c r="I9" s="251">
        <v>34078.400000000001</v>
      </c>
      <c r="J9" s="32">
        <f t="shared" si="0"/>
        <v>29988.992000000002</v>
      </c>
      <c r="K9" t="s">
        <v>17</v>
      </c>
      <c r="L9" s="122">
        <v>45569</v>
      </c>
      <c r="T9" s="14" t="s">
        <v>4095</v>
      </c>
      <c r="U9" s="360">
        <v>0.29652777777777778</v>
      </c>
      <c r="V9" s="360">
        <v>0.54861111111111105</v>
      </c>
    </row>
    <row r="10" spans="1:22" hidden="1" x14ac:dyDescent="0.25">
      <c r="A10" s="256"/>
      <c r="D10" s="122"/>
      <c r="F10" s="28"/>
      <c r="G10" s="30" t="s">
        <v>4817</v>
      </c>
      <c r="H10" t="s">
        <v>4821</v>
      </c>
      <c r="I10" s="313">
        <v>8968</v>
      </c>
      <c r="J10" s="32">
        <f t="shared" si="0"/>
        <v>7891.84</v>
      </c>
      <c r="K10" t="s">
        <v>17</v>
      </c>
      <c r="L10" s="122">
        <v>45569</v>
      </c>
      <c r="T10" s="14"/>
      <c r="U10" s="14"/>
      <c r="V10" s="14"/>
    </row>
    <row r="11" spans="1:22" hidden="1" x14ac:dyDescent="0.25">
      <c r="A11" s="509">
        <v>18062024</v>
      </c>
      <c r="B11" t="s">
        <v>3236</v>
      </c>
      <c r="C11" s="28" t="s">
        <v>13</v>
      </c>
      <c r="D11" s="233">
        <v>45461</v>
      </c>
      <c r="F11" s="28" t="s">
        <v>68</v>
      </c>
      <c r="G11" s="30" t="s">
        <v>4819</v>
      </c>
      <c r="H11" t="s">
        <v>4822</v>
      </c>
      <c r="I11" s="251">
        <v>34078.400000000001</v>
      </c>
      <c r="J11" s="32">
        <f t="shared" si="0"/>
        <v>29988.992000000002</v>
      </c>
      <c r="K11" t="s">
        <v>17</v>
      </c>
      <c r="L11" s="122">
        <v>45569</v>
      </c>
      <c r="T11" s="14" t="s">
        <v>3408</v>
      </c>
      <c r="U11" s="360">
        <v>0.33194444444444443</v>
      </c>
      <c r="V11" s="360">
        <v>0.64097222222222217</v>
      </c>
    </row>
    <row r="12" spans="1:22" hidden="1" x14ac:dyDescent="0.25">
      <c r="A12" s="509"/>
      <c r="C12" s="28"/>
      <c r="D12" s="233"/>
      <c r="F12" s="28"/>
      <c r="G12" s="30" t="s">
        <v>4818</v>
      </c>
      <c r="H12" t="s">
        <v>4823</v>
      </c>
      <c r="I12" s="313">
        <v>8968</v>
      </c>
      <c r="J12" s="32">
        <f t="shared" si="0"/>
        <v>7891.84</v>
      </c>
      <c r="K12" t="s">
        <v>17</v>
      </c>
      <c r="L12" s="122">
        <v>45569</v>
      </c>
      <c r="T12" s="14"/>
      <c r="U12" s="360"/>
      <c r="V12" s="360"/>
    </row>
    <row r="13" spans="1:22" hidden="1" x14ac:dyDescent="0.25">
      <c r="A13" s="961" t="s">
        <v>6229</v>
      </c>
      <c r="B13" t="s">
        <v>3236</v>
      </c>
      <c r="C13" s="28"/>
      <c r="D13" s="233">
        <v>45793</v>
      </c>
      <c r="E13" s="28"/>
      <c r="F13" s="28" t="s">
        <v>68</v>
      </c>
      <c r="G13" s="30" t="s">
        <v>6247</v>
      </c>
      <c r="H13" t="s">
        <v>6249</v>
      </c>
      <c r="I13" s="798">
        <v>34526.800000000003</v>
      </c>
      <c r="J13" s="32">
        <f>+I13*0.88</f>
        <v>30383.584000000003</v>
      </c>
      <c r="K13" t="s">
        <v>17</v>
      </c>
      <c r="L13" s="233">
        <v>45805</v>
      </c>
      <c r="U13" s="30"/>
      <c r="V13" s="30"/>
    </row>
    <row r="14" spans="1:22" hidden="1" x14ac:dyDescent="0.25">
      <c r="A14" s="961" t="s">
        <v>6229</v>
      </c>
      <c r="B14" t="s">
        <v>3236</v>
      </c>
      <c r="C14" s="28"/>
      <c r="D14" s="233">
        <v>45793</v>
      </c>
      <c r="E14" s="28"/>
      <c r="F14" s="28" t="s">
        <v>68</v>
      </c>
      <c r="G14" s="30" t="s">
        <v>6248</v>
      </c>
      <c r="H14" t="s">
        <v>6250</v>
      </c>
      <c r="I14" s="798">
        <v>9123.2000000000007</v>
      </c>
      <c r="J14" s="32">
        <f t="shared" si="0"/>
        <v>8028.4160000000011</v>
      </c>
      <c r="K14" t="s">
        <v>17</v>
      </c>
      <c r="L14" s="233">
        <v>45805</v>
      </c>
      <c r="U14" s="30"/>
      <c r="V14" s="30"/>
    </row>
    <row r="15" spans="1:22" hidden="1" x14ac:dyDescent="0.25">
      <c r="A15" s="483">
        <v>15112025</v>
      </c>
      <c r="B15" t="s">
        <v>7262</v>
      </c>
      <c r="C15" s="28" t="s">
        <v>4218</v>
      </c>
      <c r="D15" s="233">
        <v>45976</v>
      </c>
      <c r="E15" s="28"/>
      <c r="F15" s="28" t="s">
        <v>68</v>
      </c>
      <c r="G15" s="1067" t="s">
        <v>7307</v>
      </c>
      <c r="H15" s="28" t="s">
        <v>7309</v>
      </c>
      <c r="I15" s="798">
        <v>3099</v>
      </c>
      <c r="J15" s="32">
        <f>+I15-ROUND(I15*0.12,0)</f>
        <v>2727</v>
      </c>
      <c r="K15" t="s">
        <v>17</v>
      </c>
      <c r="L15" s="233">
        <v>45988</v>
      </c>
      <c r="M15" s="88"/>
      <c r="T15" s="926" t="s">
        <v>4140</v>
      </c>
      <c r="U15" s="360">
        <v>0.75347222222222221</v>
      </c>
      <c r="V15" s="360">
        <v>1.3888888888888889E-3</v>
      </c>
    </row>
    <row r="16" spans="1:22" hidden="1" x14ac:dyDescent="0.25">
      <c r="A16" s="483">
        <v>15112025</v>
      </c>
      <c r="B16" t="s">
        <v>7262</v>
      </c>
      <c r="C16" s="28" t="s">
        <v>4218</v>
      </c>
      <c r="D16" s="233">
        <v>45976</v>
      </c>
      <c r="E16" s="28"/>
      <c r="F16" s="28" t="s">
        <v>68</v>
      </c>
      <c r="G16" s="1067" t="s">
        <v>7307</v>
      </c>
      <c r="H16" s="28" t="s">
        <v>7310</v>
      </c>
      <c r="I16" s="798">
        <v>6178</v>
      </c>
      <c r="J16" s="32">
        <f t="shared" ref="J16:J23" si="1">+I16-ROUND(I16*0.12,0)</f>
        <v>5437</v>
      </c>
      <c r="K16" t="s">
        <v>17</v>
      </c>
      <c r="L16" s="233">
        <v>45988</v>
      </c>
      <c r="M16" s="88"/>
      <c r="T16" s="926" t="s">
        <v>4140</v>
      </c>
      <c r="U16" s="360">
        <v>0.75347222222222221</v>
      </c>
      <c r="V16" s="360">
        <v>1.3888888888888889E-3</v>
      </c>
    </row>
    <row r="17" spans="1:24" hidden="1" x14ac:dyDescent="0.25">
      <c r="A17" s="483">
        <v>15112025</v>
      </c>
      <c r="B17" t="s">
        <v>7262</v>
      </c>
      <c r="C17" s="28" t="s">
        <v>4218</v>
      </c>
      <c r="D17" s="233">
        <v>45976</v>
      </c>
      <c r="E17" s="28"/>
      <c r="F17" s="28" t="s">
        <v>68</v>
      </c>
      <c r="G17" s="1067" t="s">
        <v>7307</v>
      </c>
      <c r="H17" s="28" t="s">
        <v>7311</v>
      </c>
      <c r="I17" s="798">
        <v>3550</v>
      </c>
      <c r="J17" s="32">
        <f t="shared" si="1"/>
        <v>3124</v>
      </c>
      <c r="K17" t="s">
        <v>17</v>
      </c>
      <c r="L17" s="233">
        <v>45988</v>
      </c>
      <c r="M17" s="88"/>
      <c r="T17" s="926" t="s">
        <v>4140</v>
      </c>
      <c r="U17" s="360">
        <v>0.75347222222222221</v>
      </c>
      <c r="V17" s="360">
        <v>1.3888888888888889E-3</v>
      </c>
    </row>
    <row r="18" spans="1:24" hidden="1" x14ac:dyDescent="0.25">
      <c r="A18" s="483">
        <v>15112025</v>
      </c>
      <c r="B18" t="s">
        <v>7262</v>
      </c>
      <c r="C18" s="28" t="s">
        <v>4218</v>
      </c>
      <c r="D18" s="233">
        <v>45976</v>
      </c>
      <c r="E18" s="28"/>
      <c r="F18" s="28" t="s">
        <v>68</v>
      </c>
      <c r="G18" s="1067" t="s">
        <v>7307</v>
      </c>
      <c r="H18" s="28" t="s">
        <v>7312</v>
      </c>
      <c r="I18" s="798">
        <v>22447</v>
      </c>
      <c r="J18" s="32">
        <f t="shared" si="1"/>
        <v>19753</v>
      </c>
      <c r="K18" t="s">
        <v>17</v>
      </c>
      <c r="L18" s="233">
        <v>45988</v>
      </c>
      <c r="M18" s="88"/>
      <c r="T18" s="926" t="s">
        <v>4140</v>
      </c>
      <c r="U18" s="360">
        <v>0.75347222222222221</v>
      </c>
      <c r="V18" s="360">
        <v>1.3888888888888889E-3</v>
      </c>
    </row>
    <row r="19" spans="1:24" hidden="1" x14ac:dyDescent="0.25">
      <c r="A19" s="483">
        <v>15112025</v>
      </c>
      <c r="B19" t="s">
        <v>7262</v>
      </c>
      <c r="C19" s="28" t="s">
        <v>4218</v>
      </c>
      <c r="D19" s="233">
        <v>45976</v>
      </c>
      <c r="E19" s="28"/>
      <c r="F19" s="28" t="s">
        <v>68</v>
      </c>
      <c r="G19" s="1067" t="s">
        <v>7308</v>
      </c>
      <c r="H19" s="28" t="s">
        <v>7313</v>
      </c>
      <c r="I19" s="798">
        <v>6409</v>
      </c>
      <c r="J19" s="32">
        <f t="shared" si="1"/>
        <v>5640</v>
      </c>
      <c r="K19" t="s">
        <v>17</v>
      </c>
      <c r="L19" s="233">
        <v>45988</v>
      </c>
      <c r="M19" s="88"/>
      <c r="T19" s="926" t="s">
        <v>4140</v>
      </c>
      <c r="U19" s="360">
        <v>0.75347222222222221</v>
      </c>
      <c r="V19" s="360">
        <v>1.3888888888888889E-3</v>
      </c>
    </row>
    <row r="20" spans="1:24" hidden="1" x14ac:dyDescent="0.25">
      <c r="A20" s="483" t="s">
        <v>7873</v>
      </c>
      <c r="B20" s="21" t="s">
        <v>3236</v>
      </c>
      <c r="C20" s="28" t="s">
        <v>410</v>
      </c>
      <c r="D20" s="233">
        <v>46105</v>
      </c>
      <c r="E20" s="28"/>
      <c r="F20" s="28" t="s">
        <v>68</v>
      </c>
      <c r="G20" s="1175" t="s">
        <v>7930</v>
      </c>
      <c r="H20" s="28" t="s">
        <v>7932</v>
      </c>
      <c r="I20" s="915">
        <v>38731</v>
      </c>
      <c r="J20" s="32">
        <f t="shared" ref="J20" si="2">+I20-ROUND(I20*0.12,0)</f>
        <v>34083</v>
      </c>
      <c r="K20" s="233" t="s">
        <v>17</v>
      </c>
      <c r="L20" s="233">
        <v>46134</v>
      </c>
      <c r="M20" s="558"/>
      <c r="N20" s="88"/>
      <c r="U20" t="s">
        <v>7842</v>
      </c>
      <c r="V20" s="360"/>
      <c r="W20" s="360"/>
    </row>
    <row r="21" spans="1:24" hidden="1" x14ac:dyDescent="0.25">
      <c r="A21" s="483" t="s">
        <v>7873</v>
      </c>
      <c r="B21" s="21" t="s">
        <v>3236</v>
      </c>
      <c r="C21" s="28" t="s">
        <v>410</v>
      </c>
      <c r="D21" s="233">
        <v>46105</v>
      </c>
      <c r="E21" s="28"/>
      <c r="F21" s="28" t="s">
        <v>68</v>
      </c>
      <c r="G21" s="1175" t="s">
        <v>7931</v>
      </c>
      <c r="H21" s="28" t="s">
        <v>7933</v>
      </c>
      <c r="I21" s="915">
        <v>8732</v>
      </c>
      <c r="J21" s="32">
        <f t="shared" si="1"/>
        <v>7684</v>
      </c>
      <c r="K21" s="233" t="s">
        <v>17</v>
      </c>
      <c r="L21" s="233">
        <v>46134</v>
      </c>
      <c r="M21" s="558"/>
      <c r="N21" s="88"/>
      <c r="U21" t="s">
        <v>7842</v>
      </c>
      <c r="V21" s="360"/>
      <c r="W21" s="360"/>
    </row>
    <row r="22" spans="1:24" hidden="1" x14ac:dyDescent="0.25">
      <c r="A22" s="483" t="s">
        <v>8301</v>
      </c>
      <c r="B22" t="s">
        <v>3236</v>
      </c>
      <c r="C22" s="31" t="s">
        <v>410</v>
      </c>
      <c r="D22" s="233">
        <v>46207</v>
      </c>
      <c r="E22" s="28"/>
      <c r="F22" s="313" t="s">
        <v>68</v>
      </c>
      <c r="G22" t="s">
        <v>8444</v>
      </c>
      <c r="H22" t="s">
        <v>8442</v>
      </c>
      <c r="I22" s="313">
        <v>6718</v>
      </c>
      <c r="J22" s="88">
        <f t="shared" ref="J22" si="3">+I22-ROUND(I22*0.12,0)</f>
        <v>5912</v>
      </c>
      <c r="K22" t="s">
        <v>17</v>
      </c>
      <c r="L22" s="233">
        <v>46244</v>
      </c>
      <c r="N22" s="88"/>
      <c r="O22" s="88"/>
      <c r="V22" t="s">
        <v>8289</v>
      </c>
      <c r="W22" s="360">
        <v>0.34166666666666662</v>
      </c>
      <c r="X22" s="360">
        <v>0.64930555555555558</v>
      </c>
    </row>
    <row r="23" spans="1:24" hidden="1" x14ac:dyDescent="0.25">
      <c r="A23" s="483" t="s">
        <v>8301</v>
      </c>
      <c r="B23" t="s">
        <v>3236</v>
      </c>
      <c r="C23" s="31" t="s">
        <v>410</v>
      </c>
      <c r="D23" s="233">
        <v>46207</v>
      </c>
      <c r="E23" s="28"/>
      <c r="F23" s="313" t="s">
        <v>68</v>
      </c>
      <c r="G23" t="s">
        <v>8445</v>
      </c>
      <c r="H23" t="s">
        <v>8443</v>
      </c>
      <c r="I23" s="313">
        <v>39945</v>
      </c>
      <c r="J23" s="88">
        <f t="shared" si="1"/>
        <v>35152</v>
      </c>
      <c r="K23" t="s">
        <v>17</v>
      </c>
      <c r="L23" s="233">
        <v>46244</v>
      </c>
      <c r="N23" s="88"/>
      <c r="O23" s="88"/>
      <c r="V23" t="s">
        <v>8289</v>
      </c>
      <c r="W23" s="360">
        <v>0.34166666666666662</v>
      </c>
      <c r="X23" s="360">
        <v>0.64930555555555558</v>
      </c>
    </row>
    <row r="24" spans="1:24" x14ac:dyDescent="0.25">
      <c r="D24" s="2"/>
      <c r="E24" s="32"/>
      <c r="G24" s="30"/>
      <c r="I24" s="159"/>
      <c r="K24" s="233"/>
      <c r="L24" s="122"/>
    </row>
    <row r="25" spans="1:24" x14ac:dyDescent="0.25">
      <c r="H25" t="s">
        <v>356</v>
      </c>
      <c r="I25" s="89">
        <f>SUBTOTAL(9,I3:I24)</f>
        <v>0</v>
      </c>
      <c r="L25" s="2"/>
    </row>
    <row r="26" spans="1:24" x14ac:dyDescent="0.25">
      <c r="L26" s="2"/>
      <c r="M26" s="3"/>
    </row>
    <row r="27" spans="1:24" x14ac:dyDescent="0.25">
      <c r="L27" s="2"/>
    </row>
    <row r="28" spans="1:24" x14ac:dyDescent="0.25">
      <c r="H28" s="32"/>
    </row>
    <row r="29" spans="1:24" x14ac:dyDescent="0.25">
      <c r="H29" s="97"/>
    </row>
    <row r="30" spans="1:24" x14ac:dyDescent="0.25">
      <c r="H30" s="97"/>
    </row>
    <row r="31" spans="1:24" x14ac:dyDescent="0.25">
      <c r="H31" s="97"/>
    </row>
    <row r="32" spans="1:24" x14ac:dyDescent="0.25">
      <c r="H32" s="97"/>
    </row>
    <row r="33" spans="8:8" x14ac:dyDescent="0.25">
      <c r="H33" s="97"/>
    </row>
    <row r="34" spans="8:8" x14ac:dyDescent="0.25">
      <c r="H34" s="97"/>
    </row>
    <row r="35" spans="8:8" x14ac:dyDescent="0.25">
      <c r="H35" s="97"/>
    </row>
    <row r="36" spans="8:8" x14ac:dyDescent="0.25">
      <c r="H36" s="32"/>
    </row>
    <row r="37" spans="8:8" x14ac:dyDescent="0.25">
      <c r="H37" s="32"/>
    </row>
  </sheetData>
  <autoFilter ref="F2:Q24" xr:uid="{00000000-0009-0000-0000-00001A000000}">
    <filterColumn colId="5">
      <filters blank="1"/>
    </filterColumn>
    <filterColumn colId="8" showButton="0"/>
    <filterColumn colId="9" showButton="0"/>
    <filterColumn colId="10" showButton="0"/>
  </autoFilter>
  <mergeCells count="3">
    <mergeCell ref="N2:Q2"/>
    <mergeCell ref="D3:D4"/>
    <mergeCell ref="F3:F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9588" r:id="rId4" name="Button 1">
              <controlPr defaultSize="0" print="0" autoFill="0" autoPict="0" macro="[0]!RETORNAR">
                <anchor moveWithCells="1" sizeWithCells="1">
                  <from>
                    <xdr:col>0</xdr:col>
                    <xdr:colOff>38100</xdr:colOff>
                    <xdr:row>0</xdr:row>
                    <xdr:rowOff>47625</xdr:rowOff>
                  </from>
                  <to>
                    <xdr:col>2</xdr:col>
                    <xdr:colOff>333375</xdr:colOff>
                    <xdr:row>0</xdr:row>
                    <xdr:rowOff>314325</xdr:rowOff>
                  </to>
                </anchor>
              </controlPr>
            </control>
          </mc:Choice>
        </mc:AlternateContent>
        <mc:AlternateContent xmlns:mc="http://schemas.openxmlformats.org/markup-compatibility/2006">
          <mc:Choice Requires="x14">
            <control shapeId="579592" r:id="rId5" name="Botón 8">
              <controlPr defaultSize="0" print="0" autoFill="0" autoPict="0" macro="[0]!IR_VENTAS_B200_2026">
                <anchor moveWithCells="1" sizeWithCells="1">
                  <from>
                    <xdr:col>0</xdr:col>
                    <xdr:colOff>704850</xdr:colOff>
                    <xdr:row>31</xdr:row>
                    <xdr:rowOff>142875</xdr:rowOff>
                  </from>
                  <to>
                    <xdr:col>2</xdr:col>
                    <xdr:colOff>485775</xdr:colOff>
                    <xdr:row>34</xdr:row>
                    <xdr:rowOff>171450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44" filterMode="1"/>
  <dimension ref="A1:X55"/>
  <sheetViews>
    <sheetView workbookViewId="0">
      <selection activeCell="K3" sqref="K3"/>
    </sheetView>
  </sheetViews>
  <sheetFormatPr baseColWidth="10" defaultColWidth="10.85546875" defaultRowHeight="15" x14ac:dyDescent="0.25"/>
  <cols>
    <col min="1" max="1" width="11.85546875" customWidth="1"/>
    <col min="7" max="7" width="44.85546875" customWidth="1"/>
    <col min="8" max="8" width="22.7109375" customWidth="1"/>
    <col min="9" max="9" width="12.5703125" bestFit="1" customWidth="1"/>
    <col min="11" max="11" width="10.85546875" style="1014"/>
    <col min="14" max="14" width="7.85546875" customWidth="1"/>
  </cols>
  <sheetData>
    <row r="1" spans="1:22" ht="24" customHeight="1" x14ac:dyDescent="0.25"/>
    <row r="2" spans="1:22" x14ac:dyDescent="0.25">
      <c r="A2" t="s">
        <v>706</v>
      </c>
      <c r="B2" s="1" t="s">
        <v>0</v>
      </c>
      <c r="C2" s="1" t="s">
        <v>1</v>
      </c>
      <c r="D2" s="1" t="s">
        <v>2</v>
      </c>
      <c r="E2" s="1"/>
      <c r="F2" s="1" t="s">
        <v>3</v>
      </c>
      <c r="G2" s="1" t="s">
        <v>4</v>
      </c>
      <c r="H2" s="1" t="s">
        <v>5</v>
      </c>
      <c r="I2" s="1" t="s">
        <v>6</v>
      </c>
      <c r="J2" s="1" t="s">
        <v>1780</v>
      </c>
      <c r="K2" s="244" t="s">
        <v>8</v>
      </c>
      <c r="L2" s="1" t="s">
        <v>3998</v>
      </c>
      <c r="M2" s="1" t="s">
        <v>10</v>
      </c>
      <c r="N2" s="1480" t="s">
        <v>11</v>
      </c>
      <c r="O2" s="1480"/>
      <c r="P2" s="1480"/>
      <c r="Q2" s="1480"/>
    </row>
    <row r="3" spans="1:22" hidden="1" x14ac:dyDescent="0.25">
      <c r="A3" s="116" t="s">
        <v>1304</v>
      </c>
      <c r="B3" s="169" t="s">
        <v>1303</v>
      </c>
      <c r="C3" s="30" t="s">
        <v>410</v>
      </c>
      <c r="D3" s="122">
        <v>44835</v>
      </c>
      <c r="E3" s="88"/>
      <c r="F3" t="s">
        <v>1302</v>
      </c>
      <c r="G3" s="21" t="s">
        <v>1498</v>
      </c>
      <c r="H3" t="s">
        <v>1570</v>
      </c>
      <c r="I3" s="160">
        <v>56640</v>
      </c>
      <c r="J3" s="160"/>
      <c r="K3" s="1014" t="s">
        <v>17</v>
      </c>
      <c r="L3" s="122">
        <v>44910</v>
      </c>
      <c r="O3" s="21" t="s">
        <v>1225</v>
      </c>
      <c r="P3" s="157">
        <v>0.30208333333333331</v>
      </c>
      <c r="Q3" s="157">
        <v>0.64374999999999993</v>
      </c>
    </row>
    <row r="4" spans="1:22" hidden="1" x14ac:dyDescent="0.25">
      <c r="A4" s="116">
        <v>16102022</v>
      </c>
      <c r="B4" s="169" t="s">
        <v>1374</v>
      </c>
      <c r="C4" s="169" t="s">
        <v>693</v>
      </c>
      <c r="D4" s="122">
        <v>44850</v>
      </c>
      <c r="E4" s="88"/>
      <c r="F4" t="s">
        <v>1302</v>
      </c>
      <c r="G4" s="21" t="s">
        <v>1537</v>
      </c>
      <c r="H4" t="s">
        <v>1569</v>
      </c>
      <c r="I4" s="160">
        <v>56640</v>
      </c>
      <c r="J4" s="160"/>
      <c r="K4" s="1014" t="s">
        <v>17</v>
      </c>
      <c r="L4" s="122">
        <v>44910</v>
      </c>
      <c r="O4" s="21" t="s">
        <v>929</v>
      </c>
      <c r="P4" s="157">
        <v>0.35972222222222222</v>
      </c>
      <c r="Q4" s="157">
        <v>0.68958333333333333</v>
      </c>
    </row>
    <row r="5" spans="1:22" hidden="1" x14ac:dyDescent="0.25">
      <c r="A5" s="116">
        <v>28102022</v>
      </c>
      <c r="B5" s="169" t="s">
        <v>1374</v>
      </c>
      <c r="C5" s="169" t="s">
        <v>693</v>
      </c>
      <c r="D5" s="122">
        <v>44862</v>
      </c>
      <c r="E5" s="88"/>
      <c r="F5" t="s">
        <v>1302</v>
      </c>
      <c r="G5" s="21" t="s">
        <v>1536</v>
      </c>
      <c r="H5" t="s">
        <v>1568</v>
      </c>
      <c r="I5" s="160">
        <v>56640</v>
      </c>
      <c r="J5" s="160"/>
      <c r="K5" s="1014" t="s">
        <v>17</v>
      </c>
      <c r="L5" s="122">
        <v>44910</v>
      </c>
      <c r="O5" s="21" t="s">
        <v>1042</v>
      </c>
      <c r="P5" s="157">
        <v>0.38958333333333334</v>
      </c>
      <c r="Q5" s="21"/>
    </row>
    <row r="6" spans="1:22" hidden="1" x14ac:dyDescent="0.25">
      <c r="A6" s="256">
        <v>22072023</v>
      </c>
      <c r="B6" t="s">
        <v>2651</v>
      </c>
      <c r="C6" t="s">
        <v>13</v>
      </c>
      <c r="D6" s="122">
        <v>45129</v>
      </c>
      <c r="F6" t="s">
        <v>1302</v>
      </c>
      <c r="G6" s="30" t="s">
        <v>2695</v>
      </c>
      <c r="H6" s="30" t="s">
        <v>3069</v>
      </c>
      <c r="I6" s="368">
        <v>54580</v>
      </c>
      <c r="J6">
        <f t="shared" ref="J6:J15" si="0">+I6*0.88</f>
        <v>48030.400000000001</v>
      </c>
      <c r="K6" s="1014" t="s">
        <v>17</v>
      </c>
      <c r="L6" s="122">
        <v>45240</v>
      </c>
      <c r="T6" s="14" t="s">
        <v>1506</v>
      </c>
      <c r="U6" s="14">
        <v>0.25972222222222224</v>
      </c>
      <c r="V6" s="14">
        <v>0.63263888888888886</v>
      </c>
    </row>
    <row r="7" spans="1:22" hidden="1" x14ac:dyDescent="0.25">
      <c r="A7" s="95">
        <v>22102023</v>
      </c>
      <c r="B7" t="s">
        <v>3083</v>
      </c>
      <c r="C7" t="s">
        <v>13</v>
      </c>
      <c r="D7" s="122">
        <v>45221</v>
      </c>
      <c r="F7" t="s">
        <v>2253</v>
      </c>
      <c r="G7" t="s">
        <v>3087</v>
      </c>
      <c r="H7" t="s">
        <v>3278</v>
      </c>
      <c r="I7" s="414">
        <v>54580</v>
      </c>
      <c r="J7">
        <f t="shared" si="0"/>
        <v>48030.400000000001</v>
      </c>
      <c r="K7" s="236" t="s">
        <v>17</v>
      </c>
      <c r="L7" s="122">
        <v>45286</v>
      </c>
      <c r="T7" s="14" t="s">
        <v>1029</v>
      </c>
      <c r="U7" s="14">
        <v>0.28750000000000003</v>
      </c>
      <c r="V7" s="14">
        <v>0.60555555555555551</v>
      </c>
    </row>
    <row r="8" spans="1:22" s="30" customFormat="1" hidden="1" x14ac:dyDescent="0.25">
      <c r="A8" s="256">
        <v>25102023</v>
      </c>
      <c r="B8" s="30" t="s">
        <v>3083</v>
      </c>
      <c r="C8" s="30" t="s">
        <v>13</v>
      </c>
      <c r="D8" s="374">
        <v>45224</v>
      </c>
      <c r="F8" s="30" t="s">
        <v>2253</v>
      </c>
      <c r="G8" s="30" t="s">
        <v>3267</v>
      </c>
      <c r="H8" t="s">
        <v>3278</v>
      </c>
      <c r="I8" s="236">
        <v>54580</v>
      </c>
      <c r="J8">
        <f t="shared" si="0"/>
        <v>48030.400000000001</v>
      </c>
      <c r="K8" s="236" t="s">
        <v>17</v>
      </c>
      <c r="L8" s="122">
        <v>45286</v>
      </c>
      <c r="T8" s="360" t="s">
        <v>1029</v>
      </c>
      <c r="U8" s="360">
        <v>0.55625000000000002</v>
      </c>
      <c r="V8" s="360"/>
    </row>
    <row r="9" spans="1:22" s="30" customFormat="1" hidden="1" x14ac:dyDescent="0.25">
      <c r="A9" s="256">
        <v>18112023</v>
      </c>
      <c r="B9" s="30" t="s">
        <v>1303</v>
      </c>
      <c r="C9" s="30" t="s">
        <v>410</v>
      </c>
      <c r="D9" s="374">
        <v>45248</v>
      </c>
      <c r="F9" s="30" t="s">
        <v>3202</v>
      </c>
      <c r="G9" s="30" t="s">
        <v>3266</v>
      </c>
      <c r="H9" s="30" t="s">
        <v>3560</v>
      </c>
      <c r="I9" s="236">
        <v>56145</v>
      </c>
      <c r="J9">
        <f t="shared" si="0"/>
        <v>49407.6</v>
      </c>
      <c r="K9" s="30" t="s">
        <v>17</v>
      </c>
      <c r="L9" s="122">
        <v>45294</v>
      </c>
      <c r="T9" s="360" t="s">
        <v>2037</v>
      </c>
      <c r="U9" s="360">
        <v>0.27430555555555552</v>
      </c>
      <c r="V9" s="360">
        <v>0.74097222222222225</v>
      </c>
    </row>
    <row r="10" spans="1:22" hidden="1" x14ac:dyDescent="0.25">
      <c r="A10" s="509">
        <v>10022024</v>
      </c>
      <c r="B10" s="30" t="s">
        <v>3678</v>
      </c>
      <c r="C10" s="28" t="s">
        <v>13</v>
      </c>
      <c r="D10" s="233">
        <v>45332</v>
      </c>
      <c r="F10" s="28" t="s">
        <v>2253</v>
      </c>
      <c r="G10" s="30" t="s">
        <v>3875</v>
      </c>
      <c r="H10" s="30" t="s">
        <v>3955</v>
      </c>
      <c r="I10" s="237">
        <v>55224</v>
      </c>
      <c r="J10">
        <f t="shared" si="0"/>
        <v>48597.120000000003</v>
      </c>
      <c r="K10" s="30" t="s">
        <v>17</v>
      </c>
      <c r="L10" s="233">
        <v>45383</v>
      </c>
      <c r="T10" s="14" t="s">
        <v>2050</v>
      </c>
      <c r="U10" s="360">
        <v>0.25277777777777777</v>
      </c>
      <c r="V10" s="360">
        <v>0.53263888888888888</v>
      </c>
    </row>
    <row r="11" spans="1:22" hidden="1" x14ac:dyDescent="0.25">
      <c r="A11" s="509">
        <v>20022023</v>
      </c>
      <c r="B11" s="30" t="s">
        <v>3678</v>
      </c>
      <c r="C11" s="28" t="s">
        <v>13</v>
      </c>
      <c r="D11" s="233">
        <v>45342</v>
      </c>
      <c r="F11" s="28" t="s">
        <v>2253</v>
      </c>
      <c r="G11" s="30" t="s">
        <v>4047</v>
      </c>
      <c r="H11" s="30" t="s">
        <v>4048</v>
      </c>
      <c r="I11" s="237">
        <v>55224</v>
      </c>
      <c r="J11">
        <f t="shared" si="0"/>
        <v>48597.120000000003</v>
      </c>
      <c r="K11" s="30" t="s">
        <v>17</v>
      </c>
      <c r="L11" s="233">
        <v>45408</v>
      </c>
      <c r="T11" s="14" t="s">
        <v>3408</v>
      </c>
      <c r="U11" s="360">
        <v>0.36944444444444446</v>
      </c>
      <c r="V11" s="360"/>
    </row>
    <row r="12" spans="1:22" hidden="1" x14ac:dyDescent="0.25">
      <c r="A12" s="509">
        <v>25032024</v>
      </c>
      <c r="B12" s="30" t="s">
        <v>1303</v>
      </c>
      <c r="C12" s="28" t="s">
        <v>13</v>
      </c>
      <c r="D12" s="233">
        <v>45376</v>
      </c>
      <c r="F12" s="28" t="s">
        <v>2253</v>
      </c>
      <c r="G12" s="30" t="s">
        <v>3994</v>
      </c>
      <c r="H12" s="30" t="s">
        <v>4351</v>
      </c>
      <c r="I12" s="251">
        <v>58824</v>
      </c>
      <c r="J12">
        <f t="shared" si="0"/>
        <v>51765.120000000003</v>
      </c>
      <c r="K12" s="30" t="s">
        <v>17</v>
      </c>
      <c r="L12" s="233">
        <v>45471</v>
      </c>
      <c r="T12" s="14" t="s">
        <v>3879</v>
      </c>
      <c r="U12" s="360">
        <v>0.44513888888888892</v>
      </c>
      <c r="V12" s="360">
        <v>0.7715277777777777</v>
      </c>
    </row>
    <row r="13" spans="1:22" hidden="1" x14ac:dyDescent="0.25">
      <c r="A13" s="509">
        <v>31032024</v>
      </c>
      <c r="B13" s="30" t="s">
        <v>1303</v>
      </c>
      <c r="C13" s="28" t="s">
        <v>13</v>
      </c>
      <c r="D13" s="233">
        <v>45382</v>
      </c>
      <c r="F13" s="28" t="s">
        <v>2253</v>
      </c>
      <c r="G13" s="30" t="s">
        <v>3993</v>
      </c>
      <c r="H13" s="30" t="s">
        <v>4351</v>
      </c>
      <c r="I13" s="251">
        <v>58824</v>
      </c>
      <c r="J13">
        <f t="shared" si="0"/>
        <v>51765.120000000003</v>
      </c>
      <c r="K13" s="30" t="s">
        <v>17</v>
      </c>
      <c r="L13" s="233">
        <v>45471</v>
      </c>
      <c r="T13" s="14" t="s">
        <v>1506</v>
      </c>
      <c r="U13" s="360">
        <v>0.38194444444444442</v>
      </c>
      <c r="V13" s="360">
        <v>0.82916666666666661</v>
      </c>
    </row>
    <row r="14" spans="1:22" hidden="1" x14ac:dyDescent="0.25">
      <c r="A14" s="509" t="s">
        <v>3989</v>
      </c>
      <c r="B14" s="30" t="s">
        <v>3990</v>
      </c>
      <c r="C14" s="28" t="s">
        <v>410</v>
      </c>
      <c r="D14" s="233">
        <v>45391</v>
      </c>
      <c r="F14" s="28" t="s">
        <v>2253</v>
      </c>
      <c r="G14" s="30" t="s">
        <v>4353</v>
      </c>
      <c r="H14" s="30" t="s">
        <v>4351</v>
      </c>
      <c r="I14" s="237">
        <v>58824</v>
      </c>
      <c r="J14">
        <f>+I14*0.88</f>
        <v>51765.120000000003</v>
      </c>
      <c r="K14" s="30" t="s">
        <v>17</v>
      </c>
      <c r="L14" s="233">
        <v>45471</v>
      </c>
      <c r="T14" s="14" t="s">
        <v>3991</v>
      </c>
      <c r="U14" s="360">
        <v>0.25972222222222224</v>
      </c>
      <c r="V14" s="360">
        <v>0.60902777777777783</v>
      </c>
    </row>
    <row r="15" spans="1:22" hidden="1" x14ac:dyDescent="0.25">
      <c r="A15" s="509">
        <v>1052024</v>
      </c>
      <c r="B15" t="s">
        <v>3990</v>
      </c>
      <c r="C15" s="28" t="s">
        <v>410</v>
      </c>
      <c r="D15" s="233">
        <v>45413</v>
      </c>
      <c r="F15" s="28" t="s">
        <v>2253</v>
      </c>
      <c r="G15" s="30" t="s">
        <v>4294</v>
      </c>
      <c r="H15" s="30" t="s">
        <v>4352</v>
      </c>
      <c r="I15" s="237">
        <v>58824</v>
      </c>
      <c r="J15">
        <f t="shared" si="0"/>
        <v>51765.120000000003</v>
      </c>
      <c r="K15" s="30" t="s">
        <v>17</v>
      </c>
      <c r="L15" s="233">
        <v>45471</v>
      </c>
      <c r="T15" s="14" t="s">
        <v>2050</v>
      </c>
      <c r="U15" s="360">
        <v>0.26805555555555555</v>
      </c>
      <c r="V15" s="360">
        <v>0.62916666666666665</v>
      </c>
    </row>
    <row r="16" spans="1:22" hidden="1" x14ac:dyDescent="0.25">
      <c r="A16" s="483" t="s">
        <v>5611</v>
      </c>
      <c r="B16" t="s">
        <v>3083</v>
      </c>
      <c r="C16" s="28" t="s">
        <v>410</v>
      </c>
      <c r="D16" s="233">
        <v>45693</v>
      </c>
      <c r="F16" s="28" t="s">
        <v>2253</v>
      </c>
      <c r="G16" s="30" t="s">
        <v>5807</v>
      </c>
      <c r="H16" s="30" t="s">
        <v>5808</v>
      </c>
      <c r="I16" s="798">
        <v>58824</v>
      </c>
      <c r="J16" s="149">
        <f t="shared" ref="J16:J21" si="1">+I14-ROUND(I14*0.12,0)</f>
        <v>51765</v>
      </c>
      <c r="K16" s="30" t="s">
        <v>17</v>
      </c>
      <c r="L16" s="233">
        <v>45740</v>
      </c>
      <c r="T16" t="s">
        <v>5078</v>
      </c>
      <c r="U16" s="30"/>
      <c r="V16" s="30"/>
    </row>
    <row r="17" spans="1:24" hidden="1" x14ac:dyDescent="0.25">
      <c r="A17" s="483">
        <v>29032025</v>
      </c>
      <c r="B17" t="s">
        <v>3083</v>
      </c>
      <c r="C17" s="28" t="s">
        <v>13</v>
      </c>
      <c r="D17" s="233">
        <v>45745</v>
      </c>
      <c r="E17" s="28"/>
      <c r="F17" s="28" t="s">
        <v>2253</v>
      </c>
      <c r="G17" t="s">
        <v>6160</v>
      </c>
      <c r="H17" s="28" t="s">
        <v>6161</v>
      </c>
      <c r="I17" s="798">
        <v>58824</v>
      </c>
      <c r="J17" s="149">
        <f t="shared" si="1"/>
        <v>51765</v>
      </c>
      <c r="K17" s="30" t="s">
        <v>17</v>
      </c>
      <c r="L17" s="233">
        <v>45789</v>
      </c>
      <c r="T17" t="s">
        <v>4417</v>
      </c>
      <c r="U17" s="360">
        <v>0.2951388888888889</v>
      </c>
      <c r="V17" s="360">
        <v>0.62847222222222221</v>
      </c>
    </row>
    <row r="18" spans="1:24" ht="15" hidden="1" customHeight="1" x14ac:dyDescent="0.25">
      <c r="A18" s="483" t="s">
        <v>6156</v>
      </c>
      <c r="B18" t="s">
        <v>6159</v>
      </c>
      <c r="C18" s="28" t="s">
        <v>4437</v>
      </c>
      <c r="D18" s="233">
        <v>45787</v>
      </c>
      <c r="E18" s="28"/>
      <c r="F18" s="28" t="s">
        <v>2253</v>
      </c>
      <c r="G18" t="s">
        <v>6191</v>
      </c>
      <c r="H18" s="28" t="s">
        <v>6381</v>
      </c>
      <c r="I18" s="798">
        <v>58824</v>
      </c>
      <c r="J18" s="149">
        <f t="shared" si="1"/>
        <v>51765</v>
      </c>
      <c r="K18" s="971" t="s">
        <v>17</v>
      </c>
      <c r="L18" s="233">
        <v>45828</v>
      </c>
      <c r="T18" t="s">
        <v>4297</v>
      </c>
      <c r="U18" s="360">
        <v>0.25277777777777777</v>
      </c>
      <c r="V18" s="360" t="s">
        <v>6154</v>
      </c>
    </row>
    <row r="19" spans="1:24" hidden="1" x14ac:dyDescent="0.25">
      <c r="A19" s="483" t="s">
        <v>6237</v>
      </c>
      <c r="B19" t="s">
        <v>6159</v>
      </c>
      <c r="C19" s="28" t="s">
        <v>278</v>
      </c>
      <c r="D19" s="233">
        <v>45795</v>
      </c>
      <c r="E19" s="28"/>
      <c r="F19" s="28" t="s">
        <v>2253</v>
      </c>
      <c r="G19" t="s">
        <v>6274</v>
      </c>
      <c r="H19" s="28" t="s">
        <v>6381</v>
      </c>
      <c r="I19" s="798">
        <v>58824</v>
      </c>
      <c r="J19" s="149">
        <f t="shared" si="1"/>
        <v>51765</v>
      </c>
      <c r="K19" s="971" t="s">
        <v>17</v>
      </c>
      <c r="L19" s="233">
        <v>45828</v>
      </c>
      <c r="T19" t="s">
        <v>4911</v>
      </c>
      <c r="U19" s="30" t="s">
        <v>6238</v>
      </c>
      <c r="V19" s="360">
        <v>0.92013888888888884</v>
      </c>
    </row>
    <row r="20" spans="1:24" hidden="1" x14ac:dyDescent="0.25">
      <c r="A20" s="483" t="s">
        <v>6447</v>
      </c>
      <c r="B20" t="s">
        <v>3083</v>
      </c>
      <c r="C20" s="28" t="s">
        <v>278</v>
      </c>
      <c r="D20" s="233">
        <v>45825</v>
      </c>
      <c r="E20" s="28"/>
      <c r="F20" s="28" t="s">
        <v>2253</v>
      </c>
      <c r="G20" t="s">
        <v>6564</v>
      </c>
      <c r="H20" s="28" t="s">
        <v>6648</v>
      </c>
      <c r="I20" s="798">
        <v>58824</v>
      </c>
      <c r="J20" s="149">
        <f t="shared" si="1"/>
        <v>51765</v>
      </c>
      <c r="K20" s="30" t="s">
        <v>17</v>
      </c>
      <c r="L20" s="233">
        <v>45876</v>
      </c>
      <c r="T20" t="s">
        <v>5989</v>
      </c>
      <c r="U20" s="360">
        <v>0.4201388888888889</v>
      </c>
      <c r="V20" s="30"/>
    </row>
    <row r="21" spans="1:24" hidden="1" x14ac:dyDescent="0.25">
      <c r="A21" s="483" t="s">
        <v>7785</v>
      </c>
      <c r="B21" t="s">
        <v>3083</v>
      </c>
      <c r="C21" s="28" t="s">
        <v>410</v>
      </c>
      <c r="D21" s="233">
        <v>46086</v>
      </c>
      <c r="E21" s="28"/>
      <c r="F21" s="28" t="s">
        <v>2253</v>
      </c>
      <c r="G21" s="1175" t="s">
        <v>7854</v>
      </c>
      <c r="H21" s="28" t="s">
        <v>7995</v>
      </c>
      <c r="I21" s="915">
        <v>58824</v>
      </c>
      <c r="J21" s="149">
        <f t="shared" si="1"/>
        <v>51765</v>
      </c>
      <c r="K21" s="30" t="s">
        <v>17</v>
      </c>
      <c r="L21" s="233">
        <v>46136</v>
      </c>
      <c r="M21" s="88"/>
      <c r="T21" t="s">
        <v>7060</v>
      </c>
      <c r="U21" s="360">
        <v>0.27361111111111108</v>
      </c>
      <c r="V21" s="360"/>
    </row>
    <row r="22" spans="1:24" hidden="1" x14ac:dyDescent="0.25">
      <c r="A22" s="483" t="s">
        <v>7883</v>
      </c>
      <c r="B22" s="21" t="s">
        <v>3083</v>
      </c>
      <c r="C22" s="28" t="s">
        <v>410</v>
      </c>
      <c r="D22" s="233">
        <v>46109</v>
      </c>
      <c r="E22" s="28"/>
      <c r="F22" s="28" t="s">
        <v>2253</v>
      </c>
      <c r="G22" s="1175" t="s">
        <v>7897</v>
      </c>
      <c r="H22" s="28" t="s">
        <v>8077</v>
      </c>
      <c r="I22" s="915">
        <v>60400</v>
      </c>
      <c r="J22" s="149">
        <f>+I22-ROUND(I22*0.12,0)</f>
        <v>53152</v>
      </c>
      <c r="K22" s="1067" t="s">
        <v>17</v>
      </c>
      <c r="L22" s="233">
        <v>46155</v>
      </c>
      <c r="M22" s="558"/>
      <c r="N22" s="88"/>
      <c r="U22" t="s">
        <v>6898</v>
      </c>
      <c r="V22" s="360">
        <v>0.36736111111111108</v>
      </c>
      <c r="W22" s="360">
        <v>0.65694444444444444</v>
      </c>
    </row>
    <row r="23" spans="1:24" hidden="1" x14ac:dyDescent="0.25">
      <c r="A23" s="483">
        <v>15062026</v>
      </c>
      <c r="B23" s="21" t="s">
        <v>3083</v>
      </c>
      <c r="C23" s="31" t="s">
        <v>13</v>
      </c>
      <c r="D23" s="233">
        <v>46188</v>
      </c>
      <c r="E23" s="28"/>
      <c r="F23" s="28" t="s">
        <v>2253</v>
      </c>
      <c r="G23" s="88" t="s">
        <v>8232</v>
      </c>
      <c r="H23" s="28" t="s">
        <v>8363</v>
      </c>
      <c r="I23" s="798">
        <v>60500</v>
      </c>
      <c r="J23" s="149">
        <f>+I23-ROUND(I23*0.12,0)</f>
        <v>53240</v>
      </c>
      <c r="K23" s="1067" t="s">
        <v>17</v>
      </c>
      <c r="L23" s="233">
        <v>46227</v>
      </c>
      <c r="N23" s="798"/>
      <c r="V23" s="21" t="s">
        <v>4983</v>
      </c>
      <c r="W23" s="360">
        <v>0.29722222222222222</v>
      </c>
      <c r="X23" s="360"/>
    </row>
    <row r="24" spans="1:24" x14ac:dyDescent="0.25">
      <c r="A24" s="509"/>
      <c r="C24" s="28"/>
      <c r="D24" s="233"/>
      <c r="F24" s="28"/>
      <c r="G24" s="30"/>
      <c r="H24" s="30"/>
      <c r="I24" s="233"/>
      <c r="K24" s="30"/>
      <c r="L24" s="233"/>
      <c r="T24" s="14"/>
      <c r="U24" s="360"/>
      <c r="V24" s="360"/>
    </row>
    <row r="25" spans="1:24" x14ac:dyDescent="0.25">
      <c r="K25" s="368"/>
      <c r="L25" s="233"/>
      <c r="M25" s="3"/>
    </row>
    <row r="26" spans="1:24" x14ac:dyDescent="0.25">
      <c r="I26" s="138">
        <f>SUBTOTAL(9,I3:I25)</f>
        <v>0</v>
      </c>
      <c r="K26" s="462"/>
      <c r="L26" s="233"/>
    </row>
    <row r="27" spans="1:24" x14ac:dyDescent="0.25">
      <c r="K27" s="462"/>
      <c r="L27" s="233"/>
    </row>
    <row r="28" spans="1:24" ht="15.75" thickBot="1" x14ac:dyDescent="0.3">
      <c r="K28" s="462"/>
      <c r="L28" s="2"/>
    </row>
    <row r="29" spans="1:24" ht="56.1" customHeight="1" thickBot="1" x14ac:dyDescent="0.3">
      <c r="B29" s="1547" t="s">
        <v>5025</v>
      </c>
      <c r="C29" s="1548"/>
      <c r="D29" s="1549"/>
      <c r="E29" s="1548"/>
      <c r="F29" s="1550"/>
      <c r="G29" s="1548"/>
      <c r="H29" s="1548"/>
      <c r="I29" s="1551"/>
      <c r="K29" s="30"/>
      <c r="M29" s="28"/>
    </row>
    <row r="30" spans="1:24" hidden="1" x14ac:dyDescent="0.25">
      <c r="A30" s="483" t="s">
        <v>5029</v>
      </c>
      <c r="B30" t="s">
        <v>2651</v>
      </c>
      <c r="C30" s="28" t="s">
        <v>13</v>
      </c>
      <c r="D30" s="233">
        <v>45599</v>
      </c>
      <c r="E30" s="28"/>
      <c r="F30" s="30" t="s">
        <v>2253</v>
      </c>
      <c r="G30" t="s">
        <v>5043</v>
      </c>
      <c r="H30" t="s">
        <v>5116</v>
      </c>
      <c r="I30" s="32">
        <v>56333</v>
      </c>
      <c r="J30" s="3">
        <f>+I30-ROUND(I30*0.12,0)</f>
        <v>49573</v>
      </c>
      <c r="K30" s="30" t="s">
        <v>17</v>
      </c>
      <c r="L30" s="233">
        <v>45625</v>
      </c>
      <c r="T30" t="s">
        <v>5030</v>
      </c>
      <c r="U30" s="360">
        <v>0.58611111111111114</v>
      </c>
      <c r="V30" s="360">
        <v>0.93472222222222223</v>
      </c>
    </row>
    <row r="31" spans="1:24" hidden="1" x14ac:dyDescent="0.25">
      <c r="A31" s="483" t="s">
        <v>5123</v>
      </c>
      <c r="B31" t="s">
        <v>2651</v>
      </c>
      <c r="C31" s="233" t="s">
        <v>410</v>
      </c>
      <c r="D31" s="233">
        <v>45610</v>
      </c>
      <c r="E31" s="28"/>
      <c r="F31" s="30" t="s">
        <v>2253</v>
      </c>
      <c r="G31" t="s">
        <v>5163</v>
      </c>
      <c r="H31" s="13" t="s">
        <v>5266</v>
      </c>
      <c r="I31" s="88">
        <v>56333</v>
      </c>
      <c r="J31" s="3">
        <f>+I31-ROUND(I31*0.12,0)</f>
        <v>49573</v>
      </c>
      <c r="K31" s="30" t="s">
        <v>17</v>
      </c>
      <c r="L31" s="233">
        <v>45637</v>
      </c>
      <c r="T31" t="s">
        <v>4581</v>
      </c>
      <c r="U31" s="360">
        <v>0.30277777777777776</v>
      </c>
      <c r="V31" s="360">
        <v>0.62152777777777779</v>
      </c>
    </row>
    <row r="32" spans="1:24" hidden="1" x14ac:dyDescent="0.25">
      <c r="A32" s="483">
        <v>21112024</v>
      </c>
      <c r="B32" t="s">
        <v>2651</v>
      </c>
      <c r="C32" s="233" t="s">
        <v>13</v>
      </c>
      <c r="D32" s="233">
        <v>45617</v>
      </c>
      <c r="E32" s="28"/>
      <c r="F32" s="30" t="s">
        <v>2253</v>
      </c>
      <c r="G32" t="s">
        <v>5183</v>
      </c>
      <c r="H32" s="21" t="s">
        <v>5190</v>
      </c>
      <c r="I32" s="88">
        <v>56333</v>
      </c>
      <c r="J32" s="3">
        <f>+I32-ROUND(I32*0.12,0)</f>
        <v>49573</v>
      </c>
      <c r="K32" s="30" t="s">
        <v>17</v>
      </c>
      <c r="L32" s="233">
        <v>45625</v>
      </c>
      <c r="T32" t="s">
        <v>4509</v>
      </c>
      <c r="U32" s="360">
        <v>0.26250000000000001</v>
      </c>
      <c r="V32" s="360">
        <v>0.64444444444444449</v>
      </c>
    </row>
    <row r="33" spans="1:24" hidden="1" x14ac:dyDescent="0.25">
      <c r="A33" s="483">
        <v>11012025</v>
      </c>
      <c r="B33" t="s">
        <v>5507</v>
      </c>
      <c r="C33" s="233" t="s">
        <v>410</v>
      </c>
      <c r="D33" s="233">
        <v>45668</v>
      </c>
      <c r="E33" s="28"/>
      <c r="F33" s="28" t="s">
        <v>2253</v>
      </c>
      <c r="G33" t="s">
        <v>5573</v>
      </c>
      <c r="H33" t="s">
        <v>5574</v>
      </c>
      <c r="I33" s="88">
        <v>56333</v>
      </c>
      <c r="J33" s="3">
        <f>+I33-ROUND(I33*0.12,0)</f>
        <v>49573</v>
      </c>
      <c r="K33" s="236" t="s">
        <v>17</v>
      </c>
      <c r="L33" s="233">
        <v>45691</v>
      </c>
      <c r="T33" t="s">
        <v>5026</v>
      </c>
      <c r="U33" s="360">
        <v>0.30416666666666664</v>
      </c>
      <c r="V33" s="360">
        <v>0.63958333333333328</v>
      </c>
    </row>
    <row r="34" spans="1:24" hidden="1" x14ac:dyDescent="0.25">
      <c r="A34" s="483">
        <v>18012025</v>
      </c>
      <c r="B34" t="s">
        <v>5507</v>
      </c>
      <c r="C34" s="233" t="s">
        <v>410</v>
      </c>
      <c r="D34" s="233">
        <v>45675</v>
      </c>
      <c r="E34" s="28"/>
      <c r="F34" s="28" t="s">
        <v>2253</v>
      </c>
      <c r="G34" t="s">
        <v>5546</v>
      </c>
      <c r="H34" t="s">
        <v>5575</v>
      </c>
      <c r="I34" s="88">
        <v>56333</v>
      </c>
      <c r="J34" s="3">
        <f>+I34-ROUND(I34*0.12,0)</f>
        <v>49573</v>
      </c>
      <c r="K34" s="236" t="s">
        <v>17</v>
      </c>
      <c r="L34" s="233">
        <v>45691</v>
      </c>
      <c r="T34" t="s">
        <v>5078</v>
      </c>
      <c r="U34" s="360">
        <v>0.27569444444444446</v>
      </c>
      <c r="V34" s="360">
        <v>0.5756944444444444</v>
      </c>
    </row>
    <row r="35" spans="1:24" x14ac:dyDescent="0.25">
      <c r="A35" s="483"/>
      <c r="C35" s="28"/>
      <c r="D35" s="233"/>
      <c r="F35" s="28"/>
      <c r="G35" s="30"/>
      <c r="H35" s="10"/>
      <c r="I35" s="236"/>
      <c r="J35" s="3"/>
      <c r="K35" s="30"/>
      <c r="L35" s="233"/>
      <c r="U35" s="360"/>
      <c r="V35" s="30"/>
    </row>
    <row r="36" spans="1:24" x14ac:dyDescent="0.25">
      <c r="A36" s="483"/>
      <c r="C36" s="28"/>
      <c r="D36" s="233"/>
      <c r="F36" s="28"/>
      <c r="G36" s="30"/>
      <c r="H36" s="10"/>
      <c r="I36" s="236"/>
      <c r="J36" s="3"/>
      <c r="K36" s="30"/>
      <c r="L36" s="233"/>
      <c r="U36" s="360"/>
      <c r="V36" s="360"/>
    </row>
    <row r="37" spans="1:24" x14ac:dyDescent="0.25">
      <c r="A37" s="483"/>
      <c r="C37" s="28"/>
      <c r="D37" s="233"/>
      <c r="F37" s="28"/>
      <c r="G37" s="30"/>
      <c r="H37" s="10"/>
      <c r="I37" s="236"/>
      <c r="J37" s="3"/>
      <c r="K37" s="30"/>
      <c r="L37" s="233"/>
      <c r="U37" s="360"/>
      <c r="V37" s="360"/>
    </row>
    <row r="38" spans="1:24" x14ac:dyDescent="0.25">
      <c r="D38" s="275"/>
      <c r="H38" s="61"/>
      <c r="I38" s="149"/>
      <c r="K38" s="30"/>
      <c r="M38" s="28"/>
    </row>
    <row r="39" spans="1:24" x14ac:dyDescent="0.25">
      <c r="D39" s="275"/>
      <c r="H39" s="61"/>
      <c r="I39" s="138">
        <f>SUBTOTAL(9,I30:I38)</f>
        <v>0</v>
      </c>
      <c r="K39" s="30"/>
      <c r="M39" s="28"/>
    </row>
    <row r="40" spans="1:24" ht="15.75" thickBot="1" x14ac:dyDescent="0.3">
      <c r="D40" s="275"/>
      <c r="H40" s="13"/>
      <c r="K40" s="30"/>
      <c r="M40" s="28"/>
    </row>
    <row r="41" spans="1:24" ht="56.1" customHeight="1" thickBot="1" x14ac:dyDescent="0.3">
      <c r="B41" s="1547" t="s">
        <v>8346</v>
      </c>
      <c r="C41" s="1548"/>
      <c r="D41" s="1549"/>
      <c r="E41" s="1548"/>
      <c r="F41" s="1550"/>
      <c r="G41" s="1548"/>
      <c r="H41" s="1548"/>
      <c r="I41" s="1551"/>
      <c r="K41" s="30"/>
      <c r="M41" s="28"/>
    </row>
    <row r="42" spans="1:24" hidden="1" x14ac:dyDescent="0.25">
      <c r="A42" s="1448" t="s">
        <v>8470</v>
      </c>
      <c r="B42" t="s">
        <v>3083</v>
      </c>
      <c r="C42" s="31" t="s">
        <v>410</v>
      </c>
      <c r="D42" s="233">
        <v>46247</v>
      </c>
      <c r="E42" s="28"/>
      <c r="F42" s="313" t="s">
        <v>2253</v>
      </c>
      <c r="G42" s="88" t="s">
        <v>8500</v>
      </c>
      <c r="H42" t="s">
        <v>8532</v>
      </c>
      <c r="I42" s="88">
        <v>59265</v>
      </c>
      <c r="J42" s="3">
        <f>+I42-ROUND(I42*0.12,0)</f>
        <v>52153</v>
      </c>
      <c r="K42" t="s">
        <v>17</v>
      </c>
      <c r="L42" s="1479">
        <v>46267</v>
      </c>
      <c r="M42" s="915"/>
      <c r="N42" s="915"/>
      <c r="O42" s="88"/>
      <c r="V42" t="s">
        <v>8468</v>
      </c>
      <c r="W42" s="360">
        <v>0.30833333333333335</v>
      </c>
      <c r="X42" s="30"/>
    </row>
    <row r="43" spans="1:24" hidden="1" x14ac:dyDescent="0.25">
      <c r="A43" s="1448" t="s">
        <v>8519</v>
      </c>
      <c r="B43" s="21" t="s">
        <v>3083</v>
      </c>
      <c r="C43" s="31" t="s">
        <v>410</v>
      </c>
      <c r="D43" s="233">
        <v>46257</v>
      </c>
      <c r="E43" s="28"/>
      <c r="F43" s="313" t="s">
        <v>2253</v>
      </c>
      <c r="G43" s="88" t="s">
        <v>8531</v>
      </c>
      <c r="H43" t="s">
        <v>8530</v>
      </c>
      <c r="I43" s="915">
        <v>59265</v>
      </c>
      <c r="J43" s="3">
        <f>+I43-ROUND(I43*0.12,0)</f>
        <v>52153</v>
      </c>
      <c r="K43" t="s">
        <v>17</v>
      </c>
      <c r="L43" s="1479">
        <v>46279</v>
      </c>
      <c r="N43" s="558"/>
      <c r="O43" s="88"/>
      <c r="V43" t="s">
        <v>8193</v>
      </c>
      <c r="W43" s="360">
        <v>0.45555555555555555</v>
      </c>
      <c r="X43" s="360">
        <v>0.86319444444444438</v>
      </c>
    </row>
    <row r="44" spans="1:24" x14ac:dyDescent="0.25">
      <c r="A44" s="483"/>
      <c r="C44" s="28"/>
      <c r="D44" s="233"/>
      <c r="F44" s="28"/>
      <c r="G44" s="30"/>
      <c r="H44" s="10"/>
      <c r="I44" s="236"/>
      <c r="J44" s="3"/>
      <c r="K44" s="30"/>
      <c r="L44" s="233"/>
      <c r="U44" s="360"/>
      <c r="V44" s="360"/>
    </row>
    <row r="45" spans="1:24" x14ac:dyDescent="0.25">
      <c r="A45" s="483"/>
      <c r="C45" s="28"/>
      <c r="D45" s="233"/>
      <c r="F45" s="28"/>
      <c r="G45" s="30"/>
      <c r="H45" s="10"/>
      <c r="I45" s="236"/>
      <c r="J45" s="3"/>
      <c r="K45" s="30"/>
      <c r="L45" s="233"/>
      <c r="U45" s="360"/>
      <c r="V45" s="360"/>
    </row>
    <row r="46" spans="1:24" x14ac:dyDescent="0.25">
      <c r="D46" s="275"/>
      <c r="H46" s="61"/>
      <c r="I46" s="149"/>
      <c r="K46" s="30"/>
      <c r="M46" s="28"/>
    </row>
    <row r="47" spans="1:24" x14ac:dyDescent="0.25">
      <c r="D47" s="275"/>
      <c r="H47" s="61"/>
      <c r="I47" s="138">
        <f>SUBTOTAL(9,I42:I46)</f>
        <v>0</v>
      </c>
      <c r="K47" s="30"/>
      <c r="M47" s="28"/>
    </row>
    <row r="48" spans="1:24" x14ac:dyDescent="0.25">
      <c r="D48" s="275"/>
      <c r="H48" s="61"/>
      <c r="I48" s="17"/>
      <c r="K48" s="30"/>
      <c r="M48" s="28"/>
    </row>
    <row r="49" spans="4:13" x14ac:dyDescent="0.25">
      <c r="D49" s="275"/>
      <c r="H49" s="61"/>
      <c r="I49" s="17"/>
      <c r="K49" s="30"/>
      <c r="M49" s="28"/>
    </row>
    <row r="50" spans="4:13" x14ac:dyDescent="0.25">
      <c r="D50" s="275"/>
      <c r="G50" s="1578" t="s">
        <v>581</v>
      </c>
      <c r="H50" s="1578"/>
      <c r="I50" s="674">
        <f>+I26+I39+I47</f>
        <v>0</v>
      </c>
      <c r="K50" s="30"/>
      <c r="M50" s="28"/>
    </row>
    <row r="51" spans="4:13" x14ac:dyDescent="0.25">
      <c r="D51" s="275"/>
      <c r="H51" s="13"/>
      <c r="K51" s="30"/>
      <c r="M51" s="28"/>
    </row>
    <row r="52" spans="4:13" x14ac:dyDescent="0.25">
      <c r="D52" s="275"/>
      <c r="I52" t="s">
        <v>8471</v>
      </c>
      <c r="J52" s="32"/>
      <c r="K52" s="30"/>
      <c r="L52" s="28" t="s">
        <v>2468</v>
      </c>
      <c r="M52" s="28"/>
    </row>
    <row r="53" spans="4:13" x14ac:dyDescent="0.25">
      <c r="D53" s="275"/>
      <c r="G53" s="6"/>
      <c r="I53" s="28" t="s">
        <v>219</v>
      </c>
      <c r="J53" s="32">
        <v>296325</v>
      </c>
      <c r="K53" s="30">
        <v>5</v>
      </c>
      <c r="L53" s="122">
        <v>46259</v>
      </c>
      <c r="M53" s="28"/>
    </row>
    <row r="54" spans="4:13" x14ac:dyDescent="0.25">
      <c r="D54" s="275"/>
      <c r="I54" s="28" t="s">
        <v>2048</v>
      </c>
      <c r="J54" s="32">
        <v>118530</v>
      </c>
      <c r="K54" s="30">
        <f>+J54/59265</f>
        <v>2</v>
      </c>
      <c r="L54" s="122">
        <f>+L53</f>
        <v>46259</v>
      </c>
      <c r="M54" s="28"/>
    </row>
    <row r="55" spans="4:13" x14ac:dyDescent="0.25">
      <c r="D55" s="275"/>
      <c r="I55" s="344" t="s">
        <v>2128</v>
      </c>
      <c r="J55" s="345">
        <f>+J53-J54</f>
        <v>177795</v>
      </c>
      <c r="K55" s="1015">
        <f>+K53-K54</f>
        <v>3</v>
      </c>
      <c r="M55" s="28"/>
    </row>
  </sheetData>
  <autoFilter ref="A2:X55" xr:uid="{00000000-0001-0000-1B00-000000000000}">
    <filterColumn colId="10">
      <filters blank="1">
        <filter val="2"/>
        <filter val="3"/>
        <filter val="5"/>
      </filters>
    </filterColumn>
    <filterColumn colId="13" showButton="0"/>
    <filterColumn colId="14" showButton="0"/>
    <filterColumn colId="15" showButton="0"/>
  </autoFilter>
  <mergeCells count="4">
    <mergeCell ref="N2:Q2"/>
    <mergeCell ref="B29:I29"/>
    <mergeCell ref="G50:H50"/>
    <mergeCell ref="B41:I4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0613" r:id="rId4" name="Button 1">
              <controlPr defaultSize="0" print="0" autoFill="0" autoPict="0" macro="[0]!RETORNAR">
                <anchor moveWithCells="1" sizeWithCells="1">
                  <from>
                    <xdr:col>0</xdr:col>
                    <xdr:colOff>38100</xdr:colOff>
                    <xdr:row>0</xdr:row>
                    <xdr:rowOff>47625</xdr:rowOff>
                  </from>
                  <to>
                    <xdr:col>2</xdr:col>
                    <xdr:colOff>266700</xdr:colOff>
                    <xdr:row>1</xdr:row>
                    <xdr:rowOff>0</xdr:rowOff>
                  </to>
                </anchor>
              </controlPr>
            </control>
          </mc:Choice>
        </mc:AlternateContent>
        <mc:AlternateContent xmlns:mc="http://schemas.openxmlformats.org/markup-compatibility/2006">
          <mc:Choice Requires="x14">
            <control shapeId="580622" r:id="rId5" name="Botón 14">
              <controlPr defaultSize="0" print="0" autoFill="0" autoPict="0" macro="[0]!IR_VENTAS_B200_2026">
                <anchor moveWithCells="1" sizeWithCells="1">
                  <from>
                    <xdr:col>1</xdr:col>
                    <xdr:colOff>600075</xdr:colOff>
                    <xdr:row>46</xdr:row>
                    <xdr:rowOff>28575</xdr:rowOff>
                  </from>
                  <to>
                    <xdr:col>3</xdr:col>
                    <xdr:colOff>514350</xdr:colOff>
                    <xdr:row>51</xdr:row>
                    <xdr:rowOff>47625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45" filterMode="1"/>
  <dimension ref="A1:W126"/>
  <sheetViews>
    <sheetView zoomScale="92" zoomScaleNormal="92" workbookViewId="0">
      <selection activeCell="H97" sqref="H97:J97"/>
    </sheetView>
  </sheetViews>
  <sheetFormatPr baseColWidth="10" defaultColWidth="10.85546875" defaultRowHeight="15" x14ac:dyDescent="0.25"/>
  <cols>
    <col min="3" max="3" width="12.85546875" customWidth="1"/>
    <col min="6" max="6" width="10.85546875" style="28"/>
    <col min="7" max="7" width="44.85546875" customWidth="1"/>
    <col min="8" max="8" width="21.28515625" style="28" bestFit="1" customWidth="1"/>
    <col min="9" max="9" width="16.42578125" customWidth="1"/>
    <col min="10" max="10" width="13.140625" customWidth="1"/>
  </cols>
  <sheetData>
    <row r="1" spans="1:22" ht="25.5" customHeight="1" x14ac:dyDescent="0.25"/>
    <row r="2" spans="1:22" x14ac:dyDescent="0.25">
      <c r="A2" t="s">
        <v>706</v>
      </c>
      <c r="B2" s="1" t="s">
        <v>0</v>
      </c>
      <c r="C2" s="1" t="s">
        <v>1</v>
      </c>
      <c r="D2" s="1" t="s">
        <v>2</v>
      </c>
      <c r="E2" s="1"/>
      <c r="F2" s="25" t="s">
        <v>3</v>
      </c>
      <c r="G2" s="1" t="s">
        <v>4</v>
      </c>
      <c r="H2" s="25" t="s">
        <v>5</v>
      </c>
      <c r="I2" s="1" t="s">
        <v>6</v>
      </c>
      <c r="J2" s="1" t="s">
        <v>1780</v>
      </c>
      <c r="K2" s="1" t="s">
        <v>8</v>
      </c>
      <c r="L2" s="1" t="s">
        <v>3998</v>
      </c>
      <c r="M2" s="1" t="s">
        <v>10</v>
      </c>
      <c r="N2" s="1480" t="s">
        <v>11</v>
      </c>
      <c r="O2" s="1480"/>
      <c r="P2" s="1480"/>
      <c r="Q2" s="1480"/>
    </row>
    <row r="3" spans="1:22" hidden="1" x14ac:dyDescent="0.25">
      <c r="A3" s="116">
        <v>26082022</v>
      </c>
      <c r="B3" s="169" t="s">
        <v>1164</v>
      </c>
      <c r="C3" s="169" t="s">
        <v>410</v>
      </c>
      <c r="D3" s="123">
        <v>44799</v>
      </c>
      <c r="E3" s="88"/>
      <c r="F3" s="30" t="s">
        <v>106</v>
      </c>
      <c r="G3" s="21" t="s">
        <v>1527</v>
      </c>
      <c r="H3" s="28" t="s">
        <v>1528</v>
      </c>
      <c r="I3" s="160">
        <v>27770</v>
      </c>
      <c r="J3" s="32">
        <f t="shared" ref="J3:J8" si="0">+I3*0.88</f>
        <v>24437.599999999999</v>
      </c>
      <c r="K3" s="88" t="s">
        <v>17</v>
      </c>
      <c r="L3" s="122">
        <v>44896</v>
      </c>
      <c r="M3" t="s">
        <v>81</v>
      </c>
      <c r="O3" s="163" t="s">
        <v>655</v>
      </c>
      <c r="P3" s="157">
        <v>0.31388888888888888</v>
      </c>
      <c r="Q3" s="157">
        <v>0.48125000000000001</v>
      </c>
    </row>
    <row r="4" spans="1:22" hidden="1" x14ac:dyDescent="0.25">
      <c r="A4" s="256" t="s">
        <v>2327</v>
      </c>
      <c r="B4" t="s">
        <v>2227</v>
      </c>
      <c r="C4" t="s">
        <v>693</v>
      </c>
      <c r="D4" s="122">
        <v>45050</v>
      </c>
      <c r="F4" s="30" t="s">
        <v>106</v>
      </c>
      <c r="G4" s="30" t="s">
        <v>2344</v>
      </c>
      <c r="H4" s="28" t="s">
        <v>3051</v>
      </c>
      <c r="I4" s="313">
        <v>26910</v>
      </c>
      <c r="J4" s="32">
        <f t="shared" si="0"/>
        <v>23680.799999999999</v>
      </c>
      <c r="K4" s="88" t="s">
        <v>17</v>
      </c>
      <c r="L4" s="122">
        <v>45100</v>
      </c>
      <c r="T4" t="s">
        <v>1644</v>
      </c>
      <c r="U4" s="14">
        <v>0.62152777777777779</v>
      </c>
      <c r="V4" s="14"/>
    </row>
    <row r="5" spans="1:22" hidden="1" x14ac:dyDescent="0.25">
      <c r="A5" s="256" t="s">
        <v>2341</v>
      </c>
      <c r="B5" t="s">
        <v>2227</v>
      </c>
      <c r="C5" t="s">
        <v>693</v>
      </c>
      <c r="D5" s="122">
        <v>45053</v>
      </c>
      <c r="F5" s="30" t="s">
        <v>106</v>
      </c>
      <c r="G5" s="30" t="s">
        <v>2352</v>
      </c>
      <c r="H5" s="28" t="s">
        <v>3041</v>
      </c>
      <c r="I5" s="313">
        <v>26910</v>
      </c>
      <c r="J5" s="32">
        <f t="shared" si="0"/>
        <v>23680.799999999999</v>
      </c>
      <c r="K5" s="368" t="s">
        <v>17</v>
      </c>
      <c r="L5" s="122">
        <v>45189</v>
      </c>
      <c r="T5" t="s">
        <v>1506</v>
      </c>
      <c r="U5" s="14">
        <v>0.57708333333333328</v>
      </c>
      <c r="V5" s="14">
        <v>0.73541666666666661</v>
      </c>
    </row>
    <row r="6" spans="1:22" hidden="1" x14ac:dyDescent="0.25">
      <c r="A6" s="256">
        <v>13052023</v>
      </c>
      <c r="B6" t="s">
        <v>2227</v>
      </c>
      <c r="C6" t="s">
        <v>410</v>
      </c>
      <c r="D6" s="122">
        <v>45059</v>
      </c>
      <c r="F6" s="30" t="s">
        <v>2369</v>
      </c>
      <c r="G6" s="30" t="s">
        <v>2414</v>
      </c>
      <c r="H6" s="28" t="s">
        <v>3041</v>
      </c>
      <c r="I6" s="313">
        <v>26910</v>
      </c>
      <c r="J6" s="32">
        <f t="shared" si="0"/>
        <v>23680.799999999999</v>
      </c>
      <c r="K6" s="368" t="s">
        <v>17</v>
      </c>
      <c r="L6" s="122">
        <v>45189</v>
      </c>
      <c r="T6" t="s">
        <v>1656</v>
      </c>
      <c r="U6" s="14">
        <v>0.29305555555555557</v>
      </c>
      <c r="V6" s="14">
        <v>0.4465277777777778</v>
      </c>
    </row>
    <row r="7" spans="1:22" s="30" customFormat="1" hidden="1" x14ac:dyDescent="0.25">
      <c r="A7" s="256">
        <v>30112023</v>
      </c>
      <c r="B7" s="30" t="s">
        <v>3244</v>
      </c>
      <c r="C7" s="30" t="s">
        <v>410</v>
      </c>
      <c r="D7" s="374">
        <v>45260</v>
      </c>
      <c r="F7" s="30" t="s">
        <v>106</v>
      </c>
      <c r="G7" s="30" t="s">
        <v>3488</v>
      </c>
      <c r="H7" s="28" t="s">
        <v>3519</v>
      </c>
      <c r="I7" s="236">
        <v>25000</v>
      </c>
      <c r="J7" s="32">
        <f t="shared" si="0"/>
        <v>22000</v>
      </c>
      <c r="K7" s="30" t="s">
        <v>17</v>
      </c>
      <c r="L7" s="374">
        <v>45306</v>
      </c>
      <c r="T7" s="360" t="s">
        <v>3151</v>
      </c>
      <c r="U7" s="360">
        <v>0.52083333333333337</v>
      </c>
      <c r="V7" s="360">
        <v>0.70416666666666661</v>
      </c>
    </row>
    <row r="8" spans="1:22" hidden="1" x14ac:dyDescent="0.25">
      <c r="A8" s="509">
        <v>29032024</v>
      </c>
      <c r="B8" s="30" t="s">
        <v>3244</v>
      </c>
      <c r="C8" s="30" t="s">
        <v>410</v>
      </c>
      <c r="D8" s="233">
        <v>45380</v>
      </c>
      <c r="F8" s="30" t="s">
        <v>106</v>
      </c>
      <c r="G8" s="30" t="s">
        <v>3996</v>
      </c>
      <c r="H8" s="28" t="s">
        <v>4390</v>
      </c>
      <c r="I8" s="237">
        <v>26567</v>
      </c>
      <c r="J8" s="32">
        <f t="shared" si="0"/>
        <v>23378.959999999999</v>
      </c>
      <c r="K8" s="30" t="s">
        <v>17</v>
      </c>
      <c r="L8" s="374">
        <v>45476</v>
      </c>
      <c r="T8" s="14" t="s">
        <v>3935</v>
      </c>
      <c r="U8" s="360">
        <v>0.46458333333333335</v>
      </c>
      <c r="V8" s="360">
        <v>0.62777777777777777</v>
      </c>
    </row>
    <row r="9" spans="1:22" hidden="1" x14ac:dyDescent="0.25">
      <c r="A9" s="483">
        <v>17042024</v>
      </c>
      <c r="B9" t="s">
        <v>3007</v>
      </c>
      <c r="C9" s="30" t="s">
        <v>13</v>
      </c>
      <c r="D9" s="233">
        <v>45399</v>
      </c>
      <c r="F9" s="30" t="s">
        <v>106</v>
      </c>
      <c r="G9" s="30" t="s">
        <v>4086</v>
      </c>
      <c r="H9" s="28" t="s">
        <v>4221</v>
      </c>
      <c r="I9" s="237">
        <v>25400</v>
      </c>
      <c r="J9" s="32">
        <f>+I9*0.88</f>
        <v>22352</v>
      </c>
      <c r="K9" t="s">
        <v>17</v>
      </c>
      <c r="L9" s="374">
        <v>45433</v>
      </c>
      <c r="T9" s="14"/>
      <c r="U9" s="360"/>
      <c r="V9" s="360"/>
    </row>
    <row r="10" spans="1:22" hidden="1" x14ac:dyDescent="0.25">
      <c r="A10" s="95" t="s">
        <v>4596</v>
      </c>
      <c r="B10" t="s">
        <v>2227</v>
      </c>
      <c r="C10" s="28" t="s">
        <v>13</v>
      </c>
      <c r="D10" s="233">
        <v>45510</v>
      </c>
      <c r="F10" s="28" t="s">
        <v>106</v>
      </c>
      <c r="G10" s="30" t="s">
        <v>4729</v>
      </c>
      <c r="H10" s="28" t="s">
        <v>4728</v>
      </c>
      <c r="I10" s="368">
        <v>24549</v>
      </c>
      <c r="J10" s="32">
        <f>+I10*0.88</f>
        <v>21603.119999999999</v>
      </c>
      <c r="K10" s="2" t="s">
        <v>17</v>
      </c>
      <c r="L10" s="233">
        <v>45538</v>
      </c>
      <c r="M10" t="s">
        <v>81</v>
      </c>
      <c r="T10" t="s">
        <v>4365</v>
      </c>
      <c r="U10" s="360">
        <v>0.25069444444444444</v>
      </c>
      <c r="V10" s="360">
        <v>0.3923611111111111</v>
      </c>
    </row>
    <row r="11" spans="1:22" hidden="1" x14ac:dyDescent="0.25">
      <c r="A11" s="95">
        <v>3092024</v>
      </c>
      <c r="B11" t="s">
        <v>4702</v>
      </c>
      <c r="C11" s="28" t="s">
        <v>13</v>
      </c>
      <c r="D11" s="233">
        <v>45538</v>
      </c>
      <c r="F11" s="28" t="s">
        <v>4698</v>
      </c>
      <c r="G11" s="30" t="s">
        <v>4742</v>
      </c>
      <c r="H11" s="28" t="s">
        <v>4743</v>
      </c>
      <c r="I11" s="61">
        <v>26000</v>
      </c>
      <c r="J11" s="32">
        <f>+I11*0.88</f>
        <v>22880</v>
      </c>
      <c r="K11" t="s">
        <v>17</v>
      </c>
      <c r="L11" s="233">
        <v>45555</v>
      </c>
      <c r="T11" t="s">
        <v>4071</v>
      </c>
      <c r="U11" s="360">
        <v>0.58750000000000002</v>
      </c>
      <c r="V11" s="360">
        <v>0.75</v>
      </c>
    </row>
    <row r="12" spans="1:22" ht="14.1" hidden="1" customHeight="1" x14ac:dyDescent="0.25">
      <c r="A12" s="95">
        <v>20092024</v>
      </c>
      <c r="B12" t="s">
        <v>2227</v>
      </c>
      <c r="C12" s="28" t="s">
        <v>410</v>
      </c>
      <c r="D12" s="233">
        <v>45555</v>
      </c>
      <c r="F12" s="28" t="s">
        <v>106</v>
      </c>
      <c r="G12" s="30" t="s">
        <v>5009</v>
      </c>
      <c r="H12" s="28" t="s">
        <v>5010</v>
      </c>
      <c r="I12" s="368">
        <v>26100</v>
      </c>
      <c r="J12" s="32">
        <f>+I12*0.88</f>
        <v>22968</v>
      </c>
      <c r="K12" t="s">
        <v>17</v>
      </c>
      <c r="L12" s="233">
        <v>45586</v>
      </c>
      <c r="T12" t="s">
        <v>4792</v>
      </c>
      <c r="U12" s="360">
        <v>0.25486111111111109</v>
      </c>
      <c r="V12" s="360">
        <v>0.42777777777777781</v>
      </c>
    </row>
    <row r="13" spans="1:22" hidden="1" x14ac:dyDescent="0.25">
      <c r="A13" s="483" t="s">
        <v>5135</v>
      </c>
      <c r="B13" t="s">
        <v>5134</v>
      </c>
      <c r="C13" s="233" t="s">
        <v>13</v>
      </c>
      <c r="D13" s="233">
        <v>45612</v>
      </c>
      <c r="E13" s="28"/>
      <c r="F13" s="30" t="s">
        <v>106</v>
      </c>
      <c r="G13" t="s">
        <v>5191</v>
      </c>
      <c r="H13" s="28" t="s">
        <v>5192</v>
      </c>
      <c r="I13" s="88">
        <v>26200</v>
      </c>
      <c r="J13" s="3">
        <f>+I13-ROUND(I13*0.12,0)</f>
        <v>23056</v>
      </c>
      <c r="K13" s="88" t="s">
        <v>17</v>
      </c>
      <c r="L13" s="233">
        <v>45628</v>
      </c>
      <c r="T13" t="s">
        <v>4345</v>
      </c>
      <c r="U13" s="360">
        <v>0.24166666666666667</v>
      </c>
      <c r="V13" s="360">
        <v>0.43402777777777773</v>
      </c>
    </row>
    <row r="14" spans="1:22" hidden="1" x14ac:dyDescent="0.25">
      <c r="A14" s="483" t="s">
        <v>5736</v>
      </c>
      <c r="B14" t="s">
        <v>4137</v>
      </c>
      <c r="C14" s="28" t="s">
        <v>4218</v>
      </c>
      <c r="D14" s="233">
        <v>45718</v>
      </c>
      <c r="E14" s="28"/>
      <c r="F14" s="28" t="s">
        <v>106</v>
      </c>
      <c r="G14" s="30" t="s">
        <v>5817</v>
      </c>
      <c r="H14" s="28" t="s">
        <v>5886</v>
      </c>
      <c r="I14" s="798">
        <v>27280</v>
      </c>
      <c r="J14" s="3">
        <f>+I14-ROUND(I14*0.12,0)</f>
        <v>24006</v>
      </c>
      <c r="K14" s="798" t="s">
        <v>17</v>
      </c>
      <c r="L14" s="233">
        <v>45763</v>
      </c>
      <c r="T14" t="s">
        <v>4509</v>
      </c>
      <c r="U14" s="360">
        <v>0.25972222222222224</v>
      </c>
      <c r="V14" s="360">
        <v>0.43680555555555556</v>
      </c>
    </row>
    <row r="15" spans="1:22" hidden="1" x14ac:dyDescent="0.25">
      <c r="A15" s="483" t="s">
        <v>5753</v>
      </c>
      <c r="B15" t="s">
        <v>5754</v>
      </c>
      <c r="C15" s="28" t="s">
        <v>410</v>
      </c>
      <c r="D15" s="233">
        <v>45722</v>
      </c>
      <c r="E15" s="28"/>
      <c r="F15" s="28" t="s">
        <v>106</v>
      </c>
      <c r="G15" s="30" t="s">
        <v>5818</v>
      </c>
      <c r="H15" s="28" t="s">
        <v>6118</v>
      </c>
      <c r="I15" s="915">
        <v>27280</v>
      </c>
      <c r="J15" s="3">
        <f>+I15-ROUND(I15*0.12,0)</f>
        <v>24006</v>
      </c>
      <c r="K15" s="798" t="s">
        <v>17</v>
      </c>
      <c r="L15" s="233">
        <v>45768</v>
      </c>
      <c r="T15" t="s">
        <v>4297</v>
      </c>
      <c r="U15" s="360">
        <v>0.43055555555555558</v>
      </c>
      <c r="V15" s="360">
        <v>0.58472222222222225</v>
      </c>
    </row>
    <row r="16" spans="1:22" hidden="1" x14ac:dyDescent="0.25">
      <c r="A16" s="483">
        <v>29122025</v>
      </c>
      <c r="B16" t="s">
        <v>1164</v>
      </c>
      <c r="C16" s="28" t="s">
        <v>4218</v>
      </c>
      <c r="D16" s="233">
        <v>46020</v>
      </c>
      <c r="E16" s="28"/>
      <c r="F16" s="28" t="s">
        <v>106</v>
      </c>
      <c r="G16" s="1067" t="s">
        <v>7491</v>
      </c>
      <c r="H16" s="28" t="s">
        <v>7492</v>
      </c>
      <c r="I16" s="240">
        <v>26500</v>
      </c>
      <c r="J16" s="1025">
        <f>+I16-ROUND(I16*0.12,0)</f>
        <v>23320</v>
      </c>
      <c r="K16" t="s">
        <v>17</v>
      </c>
      <c r="L16" s="233">
        <v>46045</v>
      </c>
      <c r="M16" s="88"/>
      <c r="T16" s="5" t="s">
        <v>6150</v>
      </c>
      <c r="U16" s="360">
        <v>0.2722222222222222</v>
      </c>
      <c r="V16" s="360">
        <v>0.43472222222222223</v>
      </c>
    </row>
    <row r="17" spans="1:22" s="30" customFormat="1" x14ac:dyDescent="0.25">
      <c r="A17" s="256"/>
      <c r="D17" s="359"/>
      <c r="F17" s="28"/>
      <c r="H17" s="28"/>
      <c r="I17" s="236"/>
      <c r="J17" s="368"/>
      <c r="L17" s="236"/>
      <c r="T17" s="360"/>
      <c r="U17" s="360"/>
      <c r="V17" s="360"/>
    </row>
    <row r="18" spans="1:22" x14ac:dyDescent="0.25">
      <c r="D18" s="2"/>
      <c r="E18" s="32"/>
      <c r="I18" s="32"/>
      <c r="J18" s="32"/>
      <c r="L18" s="6"/>
    </row>
    <row r="19" spans="1:22" x14ac:dyDescent="0.25">
      <c r="H19" s="28" t="s">
        <v>1281</v>
      </c>
      <c r="I19" s="27">
        <f>SUBTOTAL(9,I3:I18)</f>
        <v>0</v>
      </c>
      <c r="J19" s="32"/>
    </row>
    <row r="20" spans="1:22" ht="15.75" thickBot="1" x14ac:dyDescent="0.3">
      <c r="I20" s="3"/>
      <c r="J20" s="32"/>
    </row>
    <row r="21" spans="1:22" ht="15.75" thickBot="1" x14ac:dyDescent="0.3">
      <c r="A21" s="1487" t="s">
        <v>2706</v>
      </c>
      <c r="B21" s="1488"/>
      <c r="C21" s="1488"/>
      <c r="D21" s="1488"/>
      <c r="E21" s="1488"/>
      <c r="F21" s="1488"/>
      <c r="G21" s="1488"/>
      <c r="H21" s="1489"/>
      <c r="J21" s="32"/>
      <c r="M21" s="3"/>
    </row>
    <row r="22" spans="1:22" hidden="1" x14ac:dyDescent="0.25">
      <c r="A22" s="256">
        <v>21062023</v>
      </c>
      <c r="B22" t="s">
        <v>2555</v>
      </c>
      <c r="C22" t="s">
        <v>809</v>
      </c>
      <c r="D22" s="122">
        <v>45098</v>
      </c>
      <c r="F22" s="30" t="s">
        <v>106</v>
      </c>
      <c r="G22" s="30" t="s">
        <v>2582</v>
      </c>
      <c r="H22" s="28" t="s">
        <v>3041</v>
      </c>
      <c r="I22" s="368">
        <v>26910</v>
      </c>
      <c r="J22" s="32">
        <f>+I22*0.88</f>
        <v>23680.799999999999</v>
      </c>
      <c r="K22" s="368" t="s">
        <v>17</v>
      </c>
      <c r="L22" s="122">
        <v>45189</v>
      </c>
      <c r="T22" s="14" t="s">
        <v>894</v>
      </c>
      <c r="U22" s="14">
        <v>0.4770833333333333</v>
      </c>
      <c r="V22" s="14">
        <v>0.66180555555555554</v>
      </c>
    </row>
    <row r="23" spans="1:22" hidden="1" x14ac:dyDescent="0.25">
      <c r="A23" s="256">
        <v>14092023</v>
      </c>
      <c r="B23" t="s">
        <v>2227</v>
      </c>
      <c r="C23" t="s">
        <v>13</v>
      </c>
      <c r="D23" s="122">
        <v>45183</v>
      </c>
      <c r="F23" s="30" t="s">
        <v>106</v>
      </c>
      <c r="G23" s="30" t="s">
        <v>3064</v>
      </c>
      <c r="H23" s="28" t="s">
        <v>3065</v>
      </c>
      <c r="I23" s="236">
        <v>26910</v>
      </c>
      <c r="J23" s="32">
        <f>+I23*0.88</f>
        <v>23680.799999999999</v>
      </c>
      <c r="K23" s="236" t="s">
        <v>17</v>
      </c>
      <c r="L23" s="122">
        <v>45238</v>
      </c>
      <c r="T23" s="14" t="s">
        <v>1029</v>
      </c>
      <c r="U23" s="14">
        <v>0.57152777777777775</v>
      </c>
      <c r="V23" s="14"/>
    </row>
    <row r="24" spans="1:22" hidden="1" x14ac:dyDescent="0.25">
      <c r="A24" s="256" t="s">
        <v>2705</v>
      </c>
      <c r="B24" t="s">
        <v>2227</v>
      </c>
      <c r="C24" t="s">
        <v>410</v>
      </c>
      <c r="D24" s="122">
        <v>45141</v>
      </c>
      <c r="F24" s="30" t="s">
        <v>106</v>
      </c>
      <c r="G24" s="30" t="s">
        <v>2793</v>
      </c>
      <c r="H24" s="28" t="s">
        <v>2794</v>
      </c>
      <c r="I24" s="368">
        <v>26910</v>
      </c>
      <c r="J24" s="32">
        <f>+I24*0.88</f>
        <v>23680.799999999999</v>
      </c>
      <c r="K24" s="368" t="s">
        <v>17</v>
      </c>
      <c r="L24" s="122">
        <v>45176</v>
      </c>
      <c r="T24" s="14" t="s">
        <v>1816</v>
      </c>
      <c r="U24" s="14">
        <v>0.25</v>
      </c>
      <c r="V24" s="14">
        <v>0.4236111111111111</v>
      </c>
    </row>
    <row r="25" spans="1:22" x14ac:dyDescent="0.25">
      <c r="A25" s="256"/>
      <c r="D25" s="122"/>
      <c r="G25" s="30"/>
      <c r="I25" s="236"/>
      <c r="K25" s="236"/>
      <c r="L25" s="88"/>
      <c r="T25" s="14"/>
      <c r="U25" s="14"/>
      <c r="V25" s="14"/>
    </row>
    <row r="26" spans="1:22" x14ac:dyDescent="0.25">
      <c r="A26" s="256"/>
      <c r="D26" s="122"/>
      <c r="G26" s="28"/>
      <c r="I26" s="368"/>
      <c r="K26" s="61"/>
      <c r="L26" s="122"/>
      <c r="T26" s="14"/>
      <c r="U26" s="14"/>
      <c r="V26" s="14"/>
    </row>
    <row r="27" spans="1:22" x14ac:dyDescent="0.25">
      <c r="A27" s="256"/>
      <c r="D27" s="122"/>
      <c r="G27" s="28"/>
      <c r="I27" s="368"/>
      <c r="K27" s="61"/>
      <c r="L27" s="122"/>
      <c r="T27" s="14"/>
      <c r="U27" s="14"/>
      <c r="V27" s="14"/>
    </row>
    <row r="28" spans="1:22" x14ac:dyDescent="0.25">
      <c r="A28" s="256"/>
      <c r="D28" s="122"/>
      <c r="G28" s="28"/>
      <c r="I28" s="9">
        <f>SUBTOTAL(9,I22:I27)</f>
        <v>0</v>
      </c>
      <c r="K28" s="61"/>
      <c r="L28" s="32"/>
      <c r="T28" s="14"/>
      <c r="U28" s="14"/>
      <c r="V28" s="14"/>
    </row>
    <row r="29" spans="1:22" ht="15.75" thickBot="1" x14ac:dyDescent="0.3">
      <c r="A29" s="256"/>
      <c r="D29" s="122"/>
      <c r="G29" s="28"/>
      <c r="I29" s="3"/>
      <c r="K29" s="313"/>
      <c r="L29" s="88"/>
      <c r="T29" s="14"/>
      <c r="U29" s="14"/>
      <c r="V29" s="14"/>
    </row>
    <row r="30" spans="1:22" ht="15.75" thickBot="1" x14ac:dyDescent="0.3">
      <c r="A30" s="1487" t="s">
        <v>3036</v>
      </c>
      <c r="B30" s="1488"/>
      <c r="C30" s="1488"/>
      <c r="D30" s="1488"/>
      <c r="E30" s="1488"/>
      <c r="F30" s="1488"/>
      <c r="G30" s="1488"/>
      <c r="H30" s="1489"/>
      <c r="M30" s="3"/>
    </row>
    <row r="31" spans="1:22" s="30" customFormat="1" hidden="1" x14ac:dyDescent="0.25">
      <c r="A31" s="256" t="s">
        <v>3006</v>
      </c>
      <c r="B31" s="30" t="s">
        <v>3007</v>
      </c>
      <c r="C31" s="30" t="s">
        <v>410</v>
      </c>
      <c r="D31" s="359">
        <v>45204</v>
      </c>
      <c r="F31" s="30" t="s">
        <v>106</v>
      </c>
      <c r="G31" s="30" t="s">
        <v>3107</v>
      </c>
      <c r="H31" s="28" t="s">
        <v>3187</v>
      </c>
      <c r="I31" s="236">
        <v>27000</v>
      </c>
      <c r="J31" s="30">
        <f>+I31*0.88</f>
        <v>23760</v>
      </c>
      <c r="K31" t="s">
        <v>17</v>
      </c>
      <c r="L31" s="359">
        <v>45253</v>
      </c>
      <c r="T31" s="360" t="s">
        <v>916</v>
      </c>
      <c r="U31" s="360">
        <v>0.50555555555555554</v>
      </c>
      <c r="V31" s="360"/>
    </row>
    <row r="32" spans="1:22" hidden="1" x14ac:dyDescent="0.25">
      <c r="A32" s="95">
        <v>16102023</v>
      </c>
      <c r="B32" t="s">
        <v>3007</v>
      </c>
      <c r="C32" t="s">
        <v>410</v>
      </c>
      <c r="D32" s="359">
        <v>45215</v>
      </c>
      <c r="F32" t="s">
        <v>106</v>
      </c>
      <c r="G32" t="s">
        <v>3108</v>
      </c>
      <c r="H32" s="28" t="s">
        <v>3181</v>
      </c>
      <c r="I32" s="414">
        <v>27000</v>
      </c>
      <c r="J32" s="30">
        <f>+I32*0.88</f>
        <v>23760</v>
      </c>
      <c r="K32" t="s">
        <v>17</v>
      </c>
      <c r="L32" s="359">
        <v>45253</v>
      </c>
      <c r="T32" s="14" t="s">
        <v>989</v>
      </c>
      <c r="U32" s="14">
        <v>0.54999999999999993</v>
      </c>
      <c r="V32" s="14">
        <v>0.71666666666666667</v>
      </c>
    </row>
    <row r="33" spans="1:22" s="30" customFormat="1" hidden="1" x14ac:dyDescent="0.25">
      <c r="A33" s="256">
        <v>22102023</v>
      </c>
      <c r="B33" s="30" t="s">
        <v>2227</v>
      </c>
      <c r="C33" s="30" t="s">
        <v>809</v>
      </c>
      <c r="D33" s="359">
        <v>45221</v>
      </c>
      <c r="F33" t="s">
        <v>106</v>
      </c>
      <c r="G33" s="30" t="s">
        <v>3109</v>
      </c>
      <c r="H33" s="28" t="s">
        <v>3182</v>
      </c>
      <c r="I33" s="236">
        <v>27000</v>
      </c>
      <c r="J33" s="30">
        <f>+I33*0.88</f>
        <v>23760</v>
      </c>
      <c r="K33" t="s">
        <v>17</v>
      </c>
      <c r="L33" s="359">
        <v>45253</v>
      </c>
      <c r="T33" s="360" t="s">
        <v>1178</v>
      </c>
      <c r="U33" s="360">
        <v>0.4861111111111111</v>
      </c>
      <c r="V33" s="360">
        <v>0.72083333333333333</v>
      </c>
    </row>
    <row r="34" spans="1:22" ht="15.75" thickBot="1" x14ac:dyDescent="0.3">
      <c r="A34" s="25"/>
      <c r="B34" s="25"/>
      <c r="C34" s="25"/>
      <c r="D34" s="25"/>
      <c r="E34" s="25"/>
      <c r="F34" s="25"/>
      <c r="G34" s="25"/>
      <c r="H34" s="25"/>
      <c r="L34" s="359"/>
      <c r="M34" s="3"/>
    </row>
    <row r="35" spans="1:22" ht="15.75" thickBot="1" x14ac:dyDescent="0.3">
      <c r="A35" s="25"/>
      <c r="B35" s="25"/>
      <c r="C35" s="25"/>
      <c r="D35" s="25"/>
      <c r="E35" s="25"/>
      <c r="F35" s="25"/>
      <c r="G35" s="25"/>
      <c r="H35" s="25"/>
      <c r="I35" s="172">
        <f>SUBTOTAL(9,I31:I34)</f>
        <v>0</v>
      </c>
      <c r="M35" s="3"/>
    </row>
    <row r="36" spans="1:22" ht="15.75" thickBot="1" x14ac:dyDescent="0.3">
      <c r="A36" s="1487" t="s">
        <v>1280</v>
      </c>
      <c r="B36" s="1488"/>
      <c r="C36" s="1488"/>
      <c r="D36" s="1488"/>
      <c r="E36" s="1488"/>
      <c r="F36" s="1488"/>
      <c r="G36" s="1488"/>
      <c r="H36" s="1489"/>
    </row>
    <row r="37" spans="1:22" hidden="1" x14ac:dyDescent="0.25">
      <c r="A37" s="115">
        <v>26092022</v>
      </c>
      <c r="B37" s="169" t="s">
        <v>1164</v>
      </c>
      <c r="C37" s="30" t="s">
        <v>410</v>
      </c>
      <c r="D37" s="122">
        <v>44830</v>
      </c>
      <c r="E37" s="88"/>
      <c r="F37" s="30" t="s">
        <v>106</v>
      </c>
      <c r="G37" s="21" t="s">
        <v>1315</v>
      </c>
      <c r="H37" s="28" t="s">
        <v>1649</v>
      </c>
      <c r="I37" s="160">
        <v>27770</v>
      </c>
      <c r="J37" s="160">
        <f>+I37*0.88</f>
        <v>24437.599999999999</v>
      </c>
      <c r="K37" s="160" t="s">
        <v>17</v>
      </c>
      <c r="L37" s="122">
        <v>44932</v>
      </c>
      <c r="O37" s="21" t="s">
        <v>916</v>
      </c>
      <c r="P37" s="157"/>
      <c r="Q37" s="21"/>
    </row>
    <row r="38" spans="1:22" hidden="1" x14ac:dyDescent="0.25">
      <c r="A38" s="246">
        <v>29012023</v>
      </c>
      <c r="B38" t="s">
        <v>1164</v>
      </c>
      <c r="C38" t="s">
        <v>410</v>
      </c>
      <c r="D38" s="122">
        <v>44955</v>
      </c>
      <c r="F38" s="30" t="s">
        <v>106</v>
      </c>
      <c r="G38" t="s">
        <v>1895</v>
      </c>
      <c r="H38" s="28" t="s">
        <v>2069</v>
      </c>
      <c r="I38" s="32">
        <v>27770</v>
      </c>
      <c r="J38" s="160">
        <f>+I38*0.88</f>
        <v>24437.599999999999</v>
      </c>
      <c r="K38" t="s">
        <v>17</v>
      </c>
      <c r="L38" s="122">
        <v>45014</v>
      </c>
      <c r="S38" t="s">
        <v>795</v>
      </c>
      <c r="T38" s="14">
        <v>0.51874999999999993</v>
      </c>
      <c r="U38" s="14">
        <v>0.7090277777777777</v>
      </c>
    </row>
    <row r="39" spans="1:22" hidden="1" x14ac:dyDescent="0.25">
      <c r="A39" s="95" t="s">
        <v>1995</v>
      </c>
      <c r="B39" t="s">
        <v>1996</v>
      </c>
      <c r="C39" t="s">
        <v>13</v>
      </c>
      <c r="D39" s="122">
        <v>44992</v>
      </c>
      <c r="F39" s="30" t="s">
        <v>106</v>
      </c>
      <c r="G39" t="s">
        <v>2232</v>
      </c>
      <c r="H39" s="306" t="s">
        <v>3050</v>
      </c>
      <c r="I39" s="32">
        <v>27770</v>
      </c>
      <c r="J39" s="160">
        <f>+I39*0.88</f>
        <v>24437.599999999999</v>
      </c>
      <c r="K39" s="32" t="s">
        <v>17</v>
      </c>
      <c r="L39" s="122">
        <v>45044</v>
      </c>
      <c r="S39" t="s">
        <v>1042</v>
      </c>
      <c r="T39" s="14"/>
    </row>
    <row r="40" spans="1:22" hidden="1" x14ac:dyDescent="0.25">
      <c r="A40" s="256">
        <v>15042023</v>
      </c>
      <c r="B40" t="s">
        <v>2227</v>
      </c>
      <c r="C40" t="s">
        <v>410</v>
      </c>
      <c r="D40" s="122">
        <v>45031</v>
      </c>
      <c r="F40" s="30" t="s">
        <v>106</v>
      </c>
      <c r="G40" t="s">
        <v>2231</v>
      </c>
      <c r="H40" s="28" t="s">
        <v>2429</v>
      </c>
      <c r="I40" s="88">
        <v>27770</v>
      </c>
      <c r="J40" s="160">
        <f>+I40*0.88</f>
        <v>24437.599999999999</v>
      </c>
      <c r="K40" s="88" t="s">
        <v>17</v>
      </c>
      <c r="L40" s="122">
        <v>45086</v>
      </c>
      <c r="T40" t="s">
        <v>1506</v>
      </c>
      <c r="U40" s="14">
        <v>0.30972222222222223</v>
      </c>
      <c r="V40" s="14">
        <v>0.48888888888888887</v>
      </c>
    </row>
    <row r="41" spans="1:22" x14ac:dyDescent="0.25">
      <c r="L41" s="122"/>
    </row>
    <row r="42" spans="1:22" ht="15.75" thickBot="1" x14ac:dyDescent="0.3"/>
    <row r="43" spans="1:22" ht="15.75" thickBot="1" x14ac:dyDescent="0.3">
      <c r="H43" s="28" t="s">
        <v>359</v>
      </c>
      <c r="I43" s="206">
        <f>SUBTOTAL(9,I37:I42)</f>
        <v>0</v>
      </c>
      <c r="K43" s="149"/>
    </row>
    <row r="44" spans="1:22" ht="15.75" thickBot="1" x14ac:dyDescent="0.3">
      <c r="A44" s="25"/>
      <c r="B44" s="25"/>
      <c r="C44" s="25"/>
      <c r="D44" s="25"/>
      <c r="E44" s="25"/>
      <c r="F44" s="25"/>
      <c r="G44" s="25"/>
      <c r="H44" s="25"/>
      <c r="I44" s="478"/>
      <c r="M44" s="3"/>
    </row>
    <row r="45" spans="1:22" ht="15.75" thickBot="1" x14ac:dyDescent="0.3">
      <c r="A45" s="1487" t="s">
        <v>3311</v>
      </c>
      <c r="B45" s="1488"/>
      <c r="C45" s="1488"/>
      <c r="D45" s="1488"/>
      <c r="E45" s="1488"/>
      <c r="F45" s="1488"/>
      <c r="G45" s="1488"/>
      <c r="H45" s="1489"/>
    </row>
    <row r="46" spans="1:22" hidden="1" x14ac:dyDescent="0.25">
      <c r="A46" s="115" t="s">
        <v>3310</v>
      </c>
      <c r="B46" s="169" t="s">
        <v>2227</v>
      </c>
      <c r="C46" s="30" t="s">
        <v>410</v>
      </c>
      <c r="D46" s="122">
        <v>45273</v>
      </c>
      <c r="E46" s="88"/>
      <c r="F46" s="30" t="s">
        <v>106</v>
      </c>
      <c r="G46" t="s">
        <v>3359</v>
      </c>
      <c r="H46" s="313" t="s">
        <v>3513</v>
      </c>
      <c r="I46" s="160">
        <v>26567</v>
      </c>
      <c r="J46" s="30">
        <f>+I46*0.88</f>
        <v>23378.959999999999</v>
      </c>
      <c r="K46" t="s">
        <v>17</v>
      </c>
      <c r="L46" s="122">
        <v>45302</v>
      </c>
      <c r="O46" s="21"/>
      <c r="P46" s="157"/>
      <c r="Q46" s="21"/>
      <c r="T46" t="s">
        <v>1506</v>
      </c>
      <c r="U46">
        <v>0.62152777777777779</v>
      </c>
      <c r="V46">
        <v>0.6958333333333333</v>
      </c>
    </row>
    <row r="47" spans="1:22" hidden="1" x14ac:dyDescent="0.25">
      <c r="A47" s="246" t="s">
        <v>3310</v>
      </c>
      <c r="B47" t="s">
        <v>2227</v>
      </c>
      <c r="C47" t="s">
        <v>278</v>
      </c>
      <c r="D47" s="122">
        <v>45273</v>
      </c>
      <c r="F47" t="s">
        <v>106</v>
      </c>
      <c r="G47" t="s">
        <v>3360</v>
      </c>
      <c r="H47" s="61" t="s">
        <v>3512</v>
      </c>
      <c r="I47" s="160">
        <v>26567</v>
      </c>
      <c r="J47" s="30">
        <f>+I47*0.88</f>
        <v>23378.959999999999</v>
      </c>
      <c r="K47" s="30" t="s">
        <v>17</v>
      </c>
      <c r="L47" s="374">
        <v>45306</v>
      </c>
      <c r="T47" s="14" t="s">
        <v>1042</v>
      </c>
      <c r="U47" s="14">
        <v>0.63958333333333328</v>
      </c>
      <c r="V47">
        <v>0.69166666666666676</v>
      </c>
    </row>
    <row r="48" spans="1:22" hidden="1" x14ac:dyDescent="0.25">
      <c r="A48" s="430" t="s">
        <v>3390</v>
      </c>
      <c r="B48" t="s">
        <v>3392</v>
      </c>
      <c r="C48" t="s">
        <v>13</v>
      </c>
      <c r="D48" s="122">
        <v>45287</v>
      </c>
      <c r="F48" t="s">
        <v>106</v>
      </c>
      <c r="G48" s="30" t="s">
        <v>3468</v>
      </c>
      <c r="H48" s="28" t="s">
        <v>3511</v>
      </c>
      <c r="I48" s="313">
        <v>26567</v>
      </c>
      <c r="J48" s="30">
        <f>+I48*0.88</f>
        <v>23378.959999999999</v>
      </c>
      <c r="K48" s="30" t="s">
        <v>17</v>
      </c>
      <c r="L48" s="374">
        <v>45306</v>
      </c>
      <c r="T48" s="14" t="s">
        <v>1029</v>
      </c>
      <c r="U48" s="14">
        <v>0.58194444444444449</v>
      </c>
      <c r="V48" s="14">
        <v>0.74444444444444446</v>
      </c>
    </row>
    <row r="49" spans="1:22" x14ac:dyDescent="0.25">
      <c r="A49" s="25"/>
      <c r="B49" s="25"/>
      <c r="C49" s="25"/>
      <c r="D49" s="25"/>
      <c r="E49" s="25"/>
      <c r="F49" s="25"/>
      <c r="G49" s="25"/>
      <c r="H49" s="25"/>
      <c r="I49" s="478"/>
      <c r="M49" s="3"/>
    </row>
    <row r="50" spans="1:22" x14ac:dyDescent="0.25">
      <c r="A50" s="256"/>
      <c r="D50" s="122"/>
      <c r="G50" s="28"/>
      <c r="I50" s="3"/>
      <c r="K50" s="313"/>
      <c r="L50" s="88"/>
      <c r="T50" s="14"/>
      <c r="U50" s="14"/>
      <c r="V50" s="14"/>
    </row>
    <row r="51" spans="1:22" ht="15.75" thickBot="1" x14ac:dyDescent="0.3">
      <c r="A51" s="256"/>
      <c r="D51" s="122"/>
      <c r="G51" s="28"/>
      <c r="I51" s="3"/>
      <c r="K51" s="313"/>
      <c r="L51" s="88"/>
      <c r="T51" s="14"/>
      <c r="U51" s="14"/>
      <c r="V51" s="14"/>
    </row>
    <row r="52" spans="1:22" ht="15.75" thickBot="1" x14ac:dyDescent="0.3">
      <c r="A52" s="256"/>
      <c r="D52" s="122"/>
      <c r="G52" s="28"/>
      <c r="I52" s="206">
        <f>SUBTOTAL(9,I46:I51)</f>
        <v>0</v>
      </c>
      <c r="K52" s="313"/>
      <c r="L52" s="88"/>
      <c r="T52" s="14"/>
      <c r="U52" s="14"/>
      <c r="V52" s="14"/>
    </row>
    <row r="53" spans="1:22" x14ac:dyDescent="0.25">
      <c r="A53" s="256"/>
      <c r="D53" s="122"/>
      <c r="G53" s="28"/>
      <c r="I53" s="3"/>
      <c r="K53" s="313"/>
      <c r="L53" s="88"/>
      <c r="T53" s="14"/>
      <c r="U53" s="14"/>
      <c r="V53" s="14"/>
    </row>
    <row r="54" spans="1:22" x14ac:dyDescent="0.25">
      <c r="A54" s="256"/>
      <c r="D54" s="122"/>
      <c r="G54" s="28"/>
      <c r="I54" s="3"/>
      <c r="K54" s="313"/>
      <c r="L54" s="88"/>
      <c r="T54" s="14"/>
      <c r="U54" s="14"/>
      <c r="V54" s="14"/>
    </row>
    <row r="55" spans="1:22" x14ac:dyDescent="0.25">
      <c r="A55" s="256"/>
      <c r="D55" s="122"/>
      <c r="G55" s="28"/>
      <c r="I55" s="3"/>
      <c r="K55" s="313"/>
      <c r="L55" s="88"/>
      <c r="T55" s="14"/>
      <c r="U55" s="14"/>
      <c r="V55" s="14"/>
    </row>
    <row r="56" spans="1:22" ht="15.75" thickBot="1" x14ac:dyDescent="0.3">
      <c r="A56" s="256"/>
      <c r="D56" s="122"/>
      <c r="G56" s="28"/>
      <c r="I56" s="3"/>
      <c r="K56" s="313"/>
      <c r="L56" s="88"/>
      <c r="T56" s="14"/>
      <c r="U56" s="14"/>
      <c r="V56" s="14"/>
    </row>
    <row r="57" spans="1:22" ht="15.75" thickBot="1" x14ac:dyDescent="0.3">
      <c r="A57" s="1487" t="s">
        <v>4127</v>
      </c>
      <c r="B57" s="1488"/>
      <c r="C57" s="1488"/>
      <c r="D57" s="1488"/>
      <c r="E57" s="1488"/>
      <c r="F57" s="1488"/>
      <c r="G57" s="1488"/>
      <c r="H57" s="1489"/>
    </row>
    <row r="58" spans="1:22" hidden="1" x14ac:dyDescent="0.25">
      <c r="A58" s="483">
        <v>11052024</v>
      </c>
      <c r="B58" t="s">
        <v>4137</v>
      </c>
      <c r="C58" s="28" t="s">
        <v>13</v>
      </c>
      <c r="D58" s="233">
        <v>45423</v>
      </c>
      <c r="F58" s="28" t="s">
        <v>106</v>
      </c>
      <c r="G58" s="30" t="s">
        <v>4242</v>
      </c>
      <c r="H58" s="28" t="s">
        <v>4243</v>
      </c>
      <c r="I58" s="236">
        <v>28000</v>
      </c>
      <c r="J58" s="176">
        <f>+I58*0.88</f>
        <v>24640</v>
      </c>
      <c r="K58" s="30" t="s">
        <v>297</v>
      </c>
      <c r="L58" s="233">
        <v>45456</v>
      </c>
      <c r="T58" s="14" t="s">
        <v>2050</v>
      </c>
      <c r="U58" s="360">
        <v>0.47430555555555554</v>
      </c>
      <c r="V58" s="360">
        <v>0.64166666666666672</v>
      </c>
    </row>
    <row r="59" spans="1:22" hidden="1" x14ac:dyDescent="0.25">
      <c r="A59" s="483">
        <v>29052024</v>
      </c>
      <c r="B59" s="5" t="s">
        <v>2227</v>
      </c>
      <c r="C59" s="28" t="s">
        <v>410</v>
      </c>
      <c r="D59" s="233">
        <v>45441</v>
      </c>
      <c r="F59" s="28" t="s">
        <v>106</v>
      </c>
      <c r="G59" s="30" t="s">
        <v>4342</v>
      </c>
      <c r="H59" s="28" t="s">
        <v>4343</v>
      </c>
      <c r="I59" s="236">
        <v>28000</v>
      </c>
      <c r="J59" s="176">
        <f>+I59*0.88</f>
        <v>24640</v>
      </c>
      <c r="K59" s="30" t="s">
        <v>297</v>
      </c>
      <c r="L59" s="233">
        <v>45476</v>
      </c>
      <c r="T59" s="14" t="s">
        <v>1506</v>
      </c>
      <c r="U59" s="360">
        <v>0.2638888888888889</v>
      </c>
      <c r="V59" s="360">
        <v>0.4597222222222222</v>
      </c>
    </row>
    <row r="60" spans="1:22" hidden="1" x14ac:dyDescent="0.25">
      <c r="A60" s="509">
        <v>24062024</v>
      </c>
      <c r="B60" t="s">
        <v>2227</v>
      </c>
      <c r="C60" s="28" t="s">
        <v>4218</v>
      </c>
      <c r="D60" s="233">
        <v>45467</v>
      </c>
      <c r="F60" s="28" t="s">
        <v>106</v>
      </c>
      <c r="G60" s="30" t="s">
        <v>4584</v>
      </c>
      <c r="H60" s="28" t="s">
        <v>4585</v>
      </c>
      <c r="I60" s="237">
        <v>28000</v>
      </c>
      <c r="J60" s="176">
        <f>+I60*0.88</f>
        <v>24640</v>
      </c>
      <c r="K60" t="s">
        <v>297</v>
      </c>
      <c r="L60" s="233">
        <v>45520</v>
      </c>
      <c r="T60" s="14" t="s">
        <v>4396</v>
      </c>
      <c r="U60" s="360">
        <v>0.2951388888888889</v>
      </c>
      <c r="V60" s="360"/>
    </row>
    <row r="61" spans="1:22" hidden="1" x14ac:dyDescent="0.25">
      <c r="A61" s="483" t="s">
        <v>4474</v>
      </c>
      <c r="B61" t="s">
        <v>4477</v>
      </c>
      <c r="C61" s="28" t="s">
        <v>809</v>
      </c>
      <c r="D61" s="233">
        <v>45479</v>
      </c>
      <c r="F61" s="28" t="s">
        <v>106</v>
      </c>
      <c r="G61" s="30" t="s">
        <v>4541</v>
      </c>
      <c r="H61" s="28" t="s">
        <v>4653</v>
      </c>
      <c r="I61" s="236">
        <v>28000</v>
      </c>
      <c r="J61" s="176">
        <f>+I61*0.88</f>
        <v>24640</v>
      </c>
      <c r="K61" t="s">
        <v>297</v>
      </c>
      <c r="L61" s="233">
        <v>45520</v>
      </c>
      <c r="T61" s="14" t="s">
        <v>4475</v>
      </c>
      <c r="U61" s="360">
        <v>0.56111111111111112</v>
      </c>
      <c r="V61" s="360">
        <v>0.71458333333333324</v>
      </c>
    </row>
    <row r="62" spans="1:22" hidden="1" x14ac:dyDescent="0.25">
      <c r="A62" s="483" t="s">
        <v>4489</v>
      </c>
      <c r="B62" t="s">
        <v>4477</v>
      </c>
      <c r="C62" s="28" t="s">
        <v>4218</v>
      </c>
      <c r="D62" s="233">
        <v>45483</v>
      </c>
      <c r="F62" s="28" t="s">
        <v>106</v>
      </c>
      <c r="G62" s="30" t="s">
        <v>4540</v>
      </c>
      <c r="H62" s="28" t="s">
        <v>4654</v>
      </c>
      <c r="I62" s="236">
        <v>28000</v>
      </c>
      <c r="J62" s="176">
        <f>+I62*0.88</f>
        <v>24640</v>
      </c>
      <c r="K62" t="s">
        <v>297</v>
      </c>
      <c r="L62" s="233">
        <v>45525</v>
      </c>
      <c r="T62" s="14" t="s">
        <v>4097</v>
      </c>
      <c r="U62" s="360">
        <v>0.4916666666666667</v>
      </c>
      <c r="V62" s="30"/>
    </row>
    <row r="64" spans="1:22" x14ac:dyDescent="0.25">
      <c r="A64" s="256"/>
      <c r="D64" s="122"/>
      <c r="G64" s="28"/>
      <c r="I64" s="3"/>
      <c r="K64" s="313"/>
      <c r="L64" s="88"/>
      <c r="T64" s="14"/>
      <c r="U64" s="14"/>
      <c r="V64" s="14"/>
    </row>
    <row r="65" spans="1:22" x14ac:dyDescent="0.25">
      <c r="A65" s="256"/>
      <c r="D65" s="122"/>
      <c r="G65" s="28"/>
      <c r="I65" s="3"/>
      <c r="K65" s="313"/>
      <c r="L65" s="88"/>
      <c r="T65" s="14"/>
      <c r="U65" s="14"/>
      <c r="V65" s="14"/>
    </row>
    <row r="66" spans="1:22" ht="15.75" thickBot="1" x14ac:dyDescent="0.3">
      <c r="A66" s="256"/>
      <c r="D66" s="122"/>
      <c r="G66" s="28"/>
      <c r="I66" s="3"/>
      <c r="K66" s="313"/>
      <c r="L66" s="88"/>
      <c r="T66" s="14"/>
      <c r="U66" s="14"/>
      <c r="V66" s="14"/>
    </row>
    <row r="67" spans="1:22" ht="15.75" thickBot="1" x14ac:dyDescent="0.3">
      <c r="A67" s="256"/>
      <c r="D67" s="122"/>
      <c r="G67" s="28"/>
      <c r="I67" s="206">
        <f>SUBTOTAL(9,I58:I66)</f>
        <v>0</v>
      </c>
      <c r="K67" s="313"/>
      <c r="L67" s="88"/>
      <c r="T67" s="14"/>
      <c r="U67" s="14"/>
      <c r="V67" s="14"/>
    </row>
    <row r="68" spans="1:22" x14ac:dyDescent="0.25">
      <c r="A68" s="256"/>
      <c r="D68" s="122"/>
      <c r="G68" s="28"/>
      <c r="I68" s="3"/>
      <c r="K68" s="313"/>
      <c r="L68" s="88"/>
      <c r="T68" s="14"/>
      <c r="U68" s="14"/>
      <c r="V68" s="14"/>
    </row>
    <row r="69" spans="1:22" ht="15.75" thickBot="1" x14ac:dyDescent="0.3">
      <c r="A69" s="256"/>
      <c r="D69" s="122"/>
      <c r="G69" s="28"/>
      <c r="I69" s="3"/>
      <c r="K69" s="313"/>
      <c r="L69" s="88"/>
      <c r="T69" s="14"/>
      <c r="U69" s="14"/>
      <c r="V69" s="14"/>
    </row>
    <row r="70" spans="1:22" ht="15.75" thickBot="1" x14ac:dyDescent="0.3">
      <c r="A70" s="1487" t="s">
        <v>5162</v>
      </c>
      <c r="B70" s="1488"/>
      <c r="C70" s="1488"/>
      <c r="D70" s="1488"/>
      <c r="E70" s="1488"/>
      <c r="F70" s="1488"/>
      <c r="G70" s="1488"/>
      <c r="H70" s="1489"/>
      <c r="I70" s="3"/>
      <c r="K70" s="313"/>
      <c r="L70" s="88"/>
      <c r="T70" s="14"/>
      <c r="U70" s="14"/>
      <c r="V70" s="14"/>
    </row>
    <row r="71" spans="1:22" hidden="1" x14ac:dyDescent="0.25">
      <c r="A71" s="483">
        <v>22112024</v>
      </c>
      <c r="B71" t="s">
        <v>3007</v>
      </c>
      <c r="C71" s="233" t="s">
        <v>4218</v>
      </c>
      <c r="D71" s="233">
        <v>45618</v>
      </c>
      <c r="E71" s="28"/>
      <c r="F71" s="30" t="s">
        <v>106</v>
      </c>
      <c r="G71" t="s">
        <v>5285</v>
      </c>
      <c r="H71" s="28" t="s">
        <v>5301</v>
      </c>
      <c r="I71" s="88">
        <v>27150</v>
      </c>
      <c r="J71" s="3">
        <f>+I71-ROUND(I71*0.12,0)</f>
        <v>23892</v>
      </c>
      <c r="K71" s="88" t="s">
        <v>17</v>
      </c>
      <c r="L71" s="233">
        <v>45644</v>
      </c>
      <c r="T71" t="s">
        <v>5078</v>
      </c>
      <c r="U71" s="360">
        <v>0.27361111111111108</v>
      </c>
      <c r="V71" s="360">
        <v>0.43472222222222223</v>
      </c>
    </row>
    <row r="72" spans="1:22" hidden="1" x14ac:dyDescent="0.25">
      <c r="A72" s="483">
        <v>5122024</v>
      </c>
      <c r="B72" t="s">
        <v>2227</v>
      </c>
      <c r="C72" s="233" t="s">
        <v>4218</v>
      </c>
      <c r="D72" s="233">
        <v>45631</v>
      </c>
      <c r="E72" s="28"/>
      <c r="F72" s="30" t="s">
        <v>106</v>
      </c>
      <c r="G72" t="s">
        <v>5318</v>
      </c>
      <c r="H72" s="28" t="s">
        <v>5332</v>
      </c>
      <c r="I72" s="88">
        <v>27150</v>
      </c>
      <c r="J72" s="3">
        <f>+I72-ROUND(I72*0.12,0)</f>
        <v>23892</v>
      </c>
      <c r="K72" s="88" t="s">
        <v>17</v>
      </c>
      <c r="L72" s="233">
        <v>45650</v>
      </c>
      <c r="T72" t="s">
        <v>5078</v>
      </c>
      <c r="U72" s="360">
        <v>0.28888888888888892</v>
      </c>
      <c r="V72" s="360">
        <v>0.44513888888888892</v>
      </c>
    </row>
    <row r="73" spans="1:22" hidden="1" x14ac:dyDescent="0.25">
      <c r="A73" s="483">
        <v>10122024</v>
      </c>
      <c r="B73" t="s">
        <v>1164</v>
      </c>
      <c r="C73" s="233" t="s">
        <v>13</v>
      </c>
      <c r="D73" s="233">
        <v>45636</v>
      </c>
      <c r="E73" s="28"/>
      <c r="F73" s="30" t="s">
        <v>106</v>
      </c>
      <c r="G73" t="s">
        <v>5331</v>
      </c>
      <c r="H73" s="28" t="s">
        <v>5332</v>
      </c>
      <c r="I73" s="88">
        <v>27150</v>
      </c>
      <c r="J73" s="3">
        <f>+I73-ROUND(I73*0.12,0)</f>
        <v>23892</v>
      </c>
      <c r="K73" s="88" t="s">
        <v>17</v>
      </c>
      <c r="L73" s="233">
        <v>45650</v>
      </c>
      <c r="T73" t="s">
        <v>5026</v>
      </c>
      <c r="U73" s="360"/>
      <c r="V73" s="360"/>
    </row>
    <row r="74" spans="1:22" ht="15.75" thickBot="1" x14ac:dyDescent="0.3">
      <c r="A74" s="256"/>
      <c r="D74" s="122"/>
      <c r="G74" s="28"/>
      <c r="I74" s="3"/>
      <c r="K74" s="313"/>
      <c r="L74" s="88"/>
      <c r="T74" s="14"/>
      <c r="U74" s="14"/>
      <c r="V74" s="14"/>
    </row>
    <row r="75" spans="1:22" ht="15.75" thickBot="1" x14ac:dyDescent="0.3">
      <c r="A75" s="256"/>
      <c r="D75" s="122"/>
      <c r="G75" s="28"/>
      <c r="I75" s="560">
        <f>SUBTOTAL(9,I71:I74)</f>
        <v>0</v>
      </c>
      <c r="K75" s="313"/>
      <c r="L75" s="88"/>
      <c r="T75" s="14"/>
      <c r="U75" s="14"/>
      <c r="V75" s="14"/>
    </row>
    <row r="76" spans="1:22" x14ac:dyDescent="0.25">
      <c r="A76" s="256"/>
      <c r="D76" s="122"/>
      <c r="G76" s="28"/>
      <c r="I76" s="3"/>
      <c r="K76" s="313"/>
      <c r="L76" s="88"/>
      <c r="T76" s="14"/>
      <c r="U76" s="14"/>
      <c r="V76" s="14"/>
    </row>
    <row r="77" spans="1:22" ht="15.75" thickBot="1" x14ac:dyDescent="0.3">
      <c r="A77" s="256"/>
      <c r="D77" s="122"/>
      <c r="G77" s="28"/>
      <c r="I77" s="3"/>
      <c r="K77" s="313"/>
      <c r="L77" s="88"/>
      <c r="T77" s="14"/>
      <c r="U77" s="14"/>
      <c r="V77" s="14"/>
    </row>
    <row r="78" spans="1:22" ht="15.75" thickBot="1" x14ac:dyDescent="0.3">
      <c r="A78" s="1487" t="s">
        <v>6508</v>
      </c>
      <c r="B78" s="1488"/>
      <c r="C78" s="1488"/>
      <c r="D78" s="1488"/>
      <c r="E78" s="1488"/>
      <c r="F78" s="1488"/>
      <c r="G78" s="1488"/>
      <c r="H78" s="1489"/>
      <c r="I78" s="3"/>
      <c r="K78" s="313"/>
      <c r="L78" s="88"/>
      <c r="T78" s="14"/>
      <c r="U78" s="14"/>
      <c r="V78" s="14"/>
    </row>
    <row r="79" spans="1:22" hidden="1" x14ac:dyDescent="0.25">
      <c r="A79" s="483" t="s">
        <v>5892</v>
      </c>
      <c r="B79" t="s">
        <v>4137</v>
      </c>
      <c r="C79" s="28" t="s">
        <v>410</v>
      </c>
      <c r="D79" s="233">
        <v>45748</v>
      </c>
      <c r="E79" s="28"/>
      <c r="F79" s="28" t="s">
        <v>106</v>
      </c>
      <c r="G79" t="s">
        <v>6116</v>
      </c>
      <c r="H79" s="28" t="s">
        <v>6117</v>
      </c>
      <c r="I79" s="798">
        <v>28000</v>
      </c>
      <c r="J79" s="3">
        <f>+I79-ROUND(I79*0.12,0)</f>
        <v>24640</v>
      </c>
      <c r="K79" t="s">
        <v>17</v>
      </c>
      <c r="L79" s="233">
        <v>45786</v>
      </c>
      <c r="T79" t="s">
        <v>4417</v>
      </c>
      <c r="U79" s="360">
        <v>0.41805555555555557</v>
      </c>
      <c r="V79" s="360">
        <v>0.59444444444444444</v>
      </c>
    </row>
    <row r="80" spans="1:22" hidden="1" x14ac:dyDescent="0.25">
      <c r="A80" s="483" t="s">
        <v>5928</v>
      </c>
      <c r="B80" t="s">
        <v>2227</v>
      </c>
      <c r="C80" s="28" t="s">
        <v>410</v>
      </c>
      <c r="D80" s="233">
        <v>45754</v>
      </c>
      <c r="E80" s="28"/>
      <c r="F80" s="28" t="s">
        <v>106</v>
      </c>
      <c r="G80" t="s">
        <v>6113</v>
      </c>
      <c r="H80" s="28" t="s">
        <v>6112</v>
      </c>
      <c r="I80" s="798">
        <v>28000</v>
      </c>
      <c r="J80" s="3">
        <f>+I80-ROUND(I80*0.12,0)</f>
        <v>24640</v>
      </c>
      <c r="K80" t="s">
        <v>17</v>
      </c>
      <c r="L80" s="233">
        <v>45789</v>
      </c>
      <c r="T80" t="s">
        <v>4140</v>
      </c>
      <c r="U80" s="360">
        <v>0.54722222222222217</v>
      </c>
      <c r="V80" s="30"/>
    </row>
    <row r="81" spans="1:23" hidden="1" x14ac:dyDescent="0.25">
      <c r="A81" s="690" t="s">
        <v>5974</v>
      </c>
      <c r="B81" t="s">
        <v>3007</v>
      </c>
      <c r="C81" s="28" t="s">
        <v>4218</v>
      </c>
      <c r="D81" s="233">
        <v>45760</v>
      </c>
      <c r="E81" s="28"/>
      <c r="F81" s="28" t="s">
        <v>106</v>
      </c>
      <c r="G81" t="s">
        <v>6114</v>
      </c>
      <c r="H81" s="28" t="s">
        <v>6115</v>
      </c>
      <c r="I81" s="798">
        <v>28000</v>
      </c>
      <c r="J81" s="3">
        <f>+I81-ROUND(I81*0.12,0)</f>
        <v>24640</v>
      </c>
      <c r="K81" s="359" t="s">
        <v>17</v>
      </c>
      <c r="L81" s="233">
        <v>45797</v>
      </c>
      <c r="M81" s="2"/>
      <c r="T81" t="s">
        <v>5975</v>
      </c>
      <c r="U81" s="360">
        <v>0.47500000000000003</v>
      </c>
      <c r="V81" s="360">
        <v>0.62430555555555556</v>
      </c>
    </row>
    <row r="82" spans="1:23" hidden="1" x14ac:dyDescent="0.25">
      <c r="A82" s="483">
        <v>17042025</v>
      </c>
      <c r="B82" t="s">
        <v>3244</v>
      </c>
      <c r="C82" s="28" t="s">
        <v>13</v>
      </c>
      <c r="D82" s="233">
        <v>45764</v>
      </c>
      <c r="E82" s="28"/>
      <c r="F82" s="28" t="s">
        <v>106</v>
      </c>
      <c r="G82" t="s">
        <v>6138</v>
      </c>
      <c r="H82" s="28" t="s">
        <v>6162</v>
      </c>
      <c r="I82" s="798">
        <v>28000</v>
      </c>
      <c r="J82" s="176">
        <f t="shared" ref="J82:J91" si="1">+I82*0.88</f>
        <v>24640</v>
      </c>
      <c r="K82" t="s">
        <v>17</v>
      </c>
      <c r="L82" s="233">
        <v>45799</v>
      </c>
      <c r="T82" t="s">
        <v>5891</v>
      </c>
      <c r="U82" s="360">
        <v>0.25694444444444442</v>
      </c>
      <c r="V82" s="360">
        <v>0.40694444444444444</v>
      </c>
    </row>
    <row r="83" spans="1:23" hidden="1" x14ac:dyDescent="0.25">
      <c r="A83" s="483">
        <v>24042025</v>
      </c>
      <c r="B83" t="s">
        <v>3244</v>
      </c>
      <c r="C83" s="28" t="s">
        <v>13</v>
      </c>
      <c r="D83" s="233">
        <v>45771</v>
      </c>
      <c r="E83" s="28"/>
      <c r="F83" s="28" t="s">
        <v>106</v>
      </c>
      <c r="G83" t="s">
        <v>6139</v>
      </c>
      <c r="H83" s="28" t="s">
        <v>6163</v>
      </c>
      <c r="I83" s="798">
        <v>28000</v>
      </c>
      <c r="J83" s="176">
        <f t="shared" si="1"/>
        <v>24640</v>
      </c>
      <c r="K83" t="s">
        <v>17</v>
      </c>
      <c r="L83" s="233">
        <v>45800</v>
      </c>
      <c r="T83" t="s">
        <v>6071</v>
      </c>
      <c r="U83" s="360">
        <v>0.51388888888888884</v>
      </c>
      <c r="V83" s="360"/>
    </row>
    <row r="84" spans="1:23" hidden="1" x14ac:dyDescent="0.25">
      <c r="A84" s="483" t="s">
        <v>6158</v>
      </c>
      <c r="B84" t="s">
        <v>2227</v>
      </c>
      <c r="C84" s="28" t="s">
        <v>6152</v>
      </c>
      <c r="D84" s="233">
        <v>45789</v>
      </c>
      <c r="E84" s="28"/>
      <c r="F84" s="28" t="s">
        <v>106</v>
      </c>
      <c r="G84" t="s">
        <v>6192</v>
      </c>
      <c r="H84" s="28" t="s">
        <v>6362</v>
      </c>
      <c r="I84" s="798">
        <v>28000</v>
      </c>
      <c r="J84" s="176">
        <f t="shared" si="1"/>
        <v>24640</v>
      </c>
      <c r="K84" t="s">
        <v>17</v>
      </c>
      <c r="L84" s="233">
        <v>45826</v>
      </c>
      <c r="T84" t="s">
        <v>4911</v>
      </c>
      <c r="U84" s="360">
        <v>0.42569444444444443</v>
      </c>
      <c r="V84" s="30"/>
    </row>
    <row r="85" spans="1:23" hidden="1" x14ac:dyDescent="0.25">
      <c r="A85" s="483" t="s">
        <v>6229</v>
      </c>
      <c r="B85" t="s">
        <v>6228</v>
      </c>
      <c r="C85" s="28" t="s">
        <v>278</v>
      </c>
      <c r="D85" s="233">
        <v>45793</v>
      </c>
      <c r="E85" s="28"/>
      <c r="F85" s="28" t="s">
        <v>106</v>
      </c>
      <c r="G85" t="s">
        <v>6256</v>
      </c>
      <c r="H85" s="28" t="s">
        <v>6363</v>
      </c>
      <c r="I85" s="798">
        <v>28000</v>
      </c>
      <c r="J85" s="176">
        <f t="shared" si="1"/>
        <v>24640</v>
      </c>
      <c r="K85" t="s">
        <v>17</v>
      </c>
      <c r="L85" s="233">
        <v>45826</v>
      </c>
      <c r="T85" t="s">
        <v>5026</v>
      </c>
      <c r="U85" s="360">
        <v>0.39374999999999999</v>
      </c>
      <c r="V85" s="30"/>
    </row>
    <row r="86" spans="1:23" hidden="1" x14ac:dyDescent="0.25">
      <c r="A86" s="690">
        <v>21052025</v>
      </c>
      <c r="B86" t="s">
        <v>2227</v>
      </c>
      <c r="C86" s="28" t="s">
        <v>4437</v>
      </c>
      <c r="D86" s="233">
        <v>45798</v>
      </c>
      <c r="E86" s="28"/>
      <c r="F86" s="28" t="s">
        <v>106</v>
      </c>
      <c r="G86" t="s">
        <v>6273</v>
      </c>
      <c r="H86" s="28" t="s">
        <v>6439</v>
      </c>
      <c r="I86" s="798">
        <v>28000</v>
      </c>
      <c r="J86" s="176">
        <f t="shared" si="1"/>
        <v>24640</v>
      </c>
      <c r="K86" t="s">
        <v>17</v>
      </c>
      <c r="L86" s="233">
        <v>45831</v>
      </c>
      <c r="T86" t="s">
        <v>6147</v>
      </c>
      <c r="U86" s="360">
        <v>0.55277777777777781</v>
      </c>
      <c r="V86" s="30"/>
    </row>
    <row r="87" spans="1:23" hidden="1" x14ac:dyDescent="0.25">
      <c r="A87" s="483">
        <v>26052025</v>
      </c>
      <c r="B87" t="s">
        <v>2227</v>
      </c>
      <c r="C87" s="28" t="s">
        <v>4437</v>
      </c>
      <c r="D87" s="233">
        <v>45803</v>
      </c>
      <c r="E87" s="28"/>
      <c r="F87" s="28" t="s">
        <v>106</v>
      </c>
      <c r="G87" t="s">
        <v>6317</v>
      </c>
      <c r="H87" s="28" t="s">
        <v>6438</v>
      </c>
      <c r="I87" s="798">
        <v>28000</v>
      </c>
      <c r="J87" s="176">
        <f t="shared" si="1"/>
        <v>24640</v>
      </c>
      <c r="K87" t="s">
        <v>17</v>
      </c>
      <c r="L87" s="233">
        <v>45831</v>
      </c>
      <c r="T87" t="s">
        <v>4983</v>
      </c>
      <c r="U87" s="360"/>
      <c r="V87" s="360"/>
    </row>
    <row r="88" spans="1:23" hidden="1" x14ac:dyDescent="0.25">
      <c r="A88" s="483" t="s">
        <v>6345</v>
      </c>
      <c r="B88" t="s">
        <v>2227</v>
      </c>
      <c r="C88" s="28" t="s">
        <v>278</v>
      </c>
      <c r="D88" s="233">
        <v>45812</v>
      </c>
      <c r="E88" s="28"/>
      <c r="F88" s="28" t="s">
        <v>106</v>
      </c>
      <c r="G88" t="s">
        <v>6360</v>
      </c>
      <c r="H88" s="28" t="s">
        <v>6490</v>
      </c>
      <c r="I88" s="798">
        <v>28000</v>
      </c>
      <c r="J88" s="176">
        <f t="shared" si="1"/>
        <v>24640</v>
      </c>
      <c r="K88" t="s">
        <v>17</v>
      </c>
      <c r="L88" s="233">
        <v>45845</v>
      </c>
      <c r="T88" t="s">
        <v>6145</v>
      </c>
      <c r="U88" s="360">
        <v>0.28333333333333333</v>
      </c>
      <c r="V88" s="360">
        <v>0.44166666666666665</v>
      </c>
    </row>
    <row r="89" spans="1:23" hidden="1" x14ac:dyDescent="0.25">
      <c r="A89" s="483" t="s">
        <v>6351</v>
      </c>
      <c r="B89" t="s">
        <v>2227</v>
      </c>
      <c r="C89" s="28" t="s">
        <v>4437</v>
      </c>
      <c r="D89" s="233">
        <v>45815</v>
      </c>
      <c r="E89" s="28"/>
      <c r="F89" s="28" t="s">
        <v>106</v>
      </c>
      <c r="G89" t="s">
        <v>6361</v>
      </c>
      <c r="H89" s="28" t="s">
        <v>6489</v>
      </c>
      <c r="I89" s="798">
        <v>28000</v>
      </c>
      <c r="J89" s="176">
        <f t="shared" si="1"/>
        <v>24640</v>
      </c>
      <c r="K89" t="s">
        <v>17</v>
      </c>
      <c r="L89" s="233">
        <v>45849</v>
      </c>
      <c r="T89" t="s">
        <v>6349</v>
      </c>
      <c r="U89" s="360">
        <v>0.5</v>
      </c>
      <c r="V89" s="360">
        <v>0.66805555555555562</v>
      </c>
    </row>
    <row r="90" spans="1:23" hidden="1" x14ac:dyDescent="0.25">
      <c r="A90" s="483" t="s">
        <v>6417</v>
      </c>
      <c r="B90" t="s">
        <v>3007</v>
      </c>
      <c r="C90" s="28" t="s">
        <v>278</v>
      </c>
      <c r="D90" s="233">
        <v>45822</v>
      </c>
      <c r="E90" s="28"/>
      <c r="F90" s="28" t="s">
        <v>106</v>
      </c>
      <c r="G90" t="s">
        <v>6504</v>
      </c>
      <c r="H90" s="28" t="s">
        <v>6505</v>
      </c>
      <c r="I90" s="798">
        <v>28000</v>
      </c>
      <c r="J90" s="176">
        <f t="shared" si="1"/>
        <v>24640</v>
      </c>
      <c r="K90" t="s">
        <v>17</v>
      </c>
      <c r="L90" s="233">
        <v>45849</v>
      </c>
      <c r="T90" t="s">
        <v>5131</v>
      </c>
      <c r="U90" s="360">
        <v>0.53472222222222221</v>
      </c>
      <c r="V90" s="360">
        <v>0.67638888888888893</v>
      </c>
    </row>
    <row r="91" spans="1:23" hidden="1" x14ac:dyDescent="0.25">
      <c r="A91" s="483">
        <v>21062025</v>
      </c>
      <c r="B91" t="s">
        <v>4137</v>
      </c>
      <c r="C91" s="28" t="s">
        <v>278</v>
      </c>
      <c r="D91" s="233">
        <v>45829</v>
      </c>
      <c r="E91" s="28"/>
      <c r="F91" s="28" t="s">
        <v>106</v>
      </c>
      <c r="G91" t="s">
        <v>6506</v>
      </c>
      <c r="H91" s="28" t="s">
        <v>6509</v>
      </c>
      <c r="I91" s="798">
        <v>28000</v>
      </c>
      <c r="J91" s="176">
        <f t="shared" si="1"/>
        <v>24640</v>
      </c>
      <c r="K91" t="s">
        <v>17</v>
      </c>
      <c r="L91" s="233">
        <v>45849</v>
      </c>
      <c r="T91" t="s">
        <v>4297</v>
      </c>
      <c r="U91" s="360">
        <v>0.3125</v>
      </c>
      <c r="V91" s="360">
        <v>0.46666666666666662</v>
      </c>
    </row>
    <row r="92" spans="1:23" hidden="1" x14ac:dyDescent="0.25">
      <c r="A92" s="483">
        <v>26062025</v>
      </c>
      <c r="B92" t="s">
        <v>4137</v>
      </c>
      <c r="C92" s="28" t="s">
        <v>278</v>
      </c>
      <c r="D92" s="233">
        <v>45834</v>
      </c>
      <c r="E92" s="28"/>
      <c r="F92" s="28" t="s">
        <v>106</v>
      </c>
      <c r="G92" t="s">
        <v>6507</v>
      </c>
      <c r="H92" s="28" t="s">
        <v>6510</v>
      </c>
      <c r="I92" s="798">
        <v>28000</v>
      </c>
      <c r="J92" s="3">
        <f>+I92*0.88</f>
        <v>24640</v>
      </c>
      <c r="K92" t="s">
        <v>17</v>
      </c>
      <c r="L92" s="233">
        <v>45860</v>
      </c>
      <c r="T92" t="s">
        <v>6356</v>
      </c>
      <c r="U92" s="360">
        <v>0.26874999999999999</v>
      </c>
      <c r="V92" s="360">
        <v>0.42222222222222222</v>
      </c>
    </row>
    <row r="93" spans="1:23" hidden="1" x14ac:dyDescent="0.25">
      <c r="A93" s="483">
        <v>25072025</v>
      </c>
      <c r="B93" t="s">
        <v>2227</v>
      </c>
      <c r="C93" s="28" t="s">
        <v>278</v>
      </c>
      <c r="D93" s="233">
        <v>45863</v>
      </c>
      <c r="E93" s="28"/>
      <c r="F93" s="28" t="s">
        <v>106</v>
      </c>
      <c r="G93" t="s">
        <v>6723</v>
      </c>
      <c r="H93" s="28" t="s">
        <v>6791</v>
      </c>
      <c r="I93" s="798">
        <v>28000</v>
      </c>
      <c r="J93" s="3">
        <f>+I93-ROUND(I93*0.12,0)</f>
        <v>24640</v>
      </c>
      <c r="K93" t="s">
        <v>17</v>
      </c>
      <c r="L93" s="233">
        <v>45894</v>
      </c>
      <c r="M93" s="32"/>
      <c r="T93" t="s">
        <v>6347</v>
      </c>
      <c r="U93" s="360">
        <v>0.30416666666666664</v>
      </c>
      <c r="V93" s="360"/>
    </row>
    <row r="94" spans="1:23" hidden="1" x14ac:dyDescent="0.25">
      <c r="A94" s="483">
        <v>25022026</v>
      </c>
      <c r="B94" t="s">
        <v>7722</v>
      </c>
      <c r="C94" s="28"/>
      <c r="D94" s="233">
        <v>46078</v>
      </c>
      <c r="E94" s="28"/>
      <c r="F94" s="28" t="s">
        <v>106</v>
      </c>
      <c r="G94" s="1067" t="s">
        <v>7791</v>
      </c>
      <c r="H94" s="28" t="s">
        <v>8034</v>
      </c>
      <c r="I94" s="798">
        <v>28000</v>
      </c>
      <c r="J94" s="3">
        <f>+I94-ROUND(I94*0.12,0)</f>
        <v>24640</v>
      </c>
      <c r="K94" s="2" t="s">
        <v>17</v>
      </c>
      <c r="L94" s="233">
        <v>46161</v>
      </c>
      <c r="M94" s="88"/>
      <c r="U94" s="360"/>
      <c r="V94" s="360"/>
    </row>
    <row r="95" spans="1:23" s="21" customFormat="1" hidden="1" x14ac:dyDescent="0.25">
      <c r="A95" s="509" t="s">
        <v>7856</v>
      </c>
      <c r="B95" s="21" t="s">
        <v>2227</v>
      </c>
      <c r="C95" s="177" t="s">
        <v>13</v>
      </c>
      <c r="D95" s="510">
        <v>46099</v>
      </c>
      <c r="E95" s="177"/>
      <c r="F95" s="177" t="s">
        <v>106</v>
      </c>
      <c r="G95" s="1175" t="s">
        <v>7876</v>
      </c>
      <c r="H95" s="177" t="s">
        <v>8032</v>
      </c>
      <c r="I95" s="911">
        <v>28000</v>
      </c>
      <c r="J95" s="3">
        <f>+I95-ROUND(I95*0.12,0)</f>
        <v>24640</v>
      </c>
      <c r="K95" s="2" t="s">
        <v>17</v>
      </c>
      <c r="L95" s="233">
        <v>46161</v>
      </c>
      <c r="M95" s="1289"/>
      <c r="N95" s="181"/>
      <c r="U95" s="21" t="s">
        <v>7842</v>
      </c>
      <c r="V95" s="488"/>
      <c r="W95" s="488"/>
    </row>
    <row r="96" spans="1:23" hidden="1" x14ac:dyDescent="0.25">
      <c r="A96" s="483" t="s">
        <v>7870</v>
      </c>
      <c r="B96" s="21" t="s">
        <v>4137</v>
      </c>
      <c r="C96" s="28" t="s">
        <v>410</v>
      </c>
      <c r="D96" s="233">
        <v>46104</v>
      </c>
      <c r="E96" s="28"/>
      <c r="F96" s="28" t="s">
        <v>106</v>
      </c>
      <c r="G96" s="1175" t="s">
        <v>7896</v>
      </c>
      <c r="H96" s="1385" t="s">
        <v>8033</v>
      </c>
      <c r="I96" s="17">
        <v>28000</v>
      </c>
      <c r="J96" s="3">
        <f>+I96-ROUND(I96*0.12,0)</f>
        <v>24640</v>
      </c>
      <c r="K96" s="2" t="s">
        <v>17</v>
      </c>
      <c r="L96" s="233">
        <v>46161</v>
      </c>
      <c r="M96" s="558"/>
      <c r="N96" s="88"/>
      <c r="U96" t="s">
        <v>5131</v>
      </c>
      <c r="V96" s="360">
        <v>0.55833333333333335</v>
      </c>
      <c r="W96" s="360"/>
    </row>
    <row r="97" spans="1:23" hidden="1" x14ac:dyDescent="0.25">
      <c r="A97" s="483" t="s">
        <v>8007</v>
      </c>
      <c r="B97" t="s">
        <v>2227</v>
      </c>
      <c r="C97" s="28" t="s">
        <v>4218</v>
      </c>
      <c r="D97" s="233">
        <v>46136</v>
      </c>
      <c r="E97" s="28"/>
      <c r="F97" s="28" t="s">
        <v>106</v>
      </c>
      <c r="G97" s="88" t="s">
        <v>8035</v>
      </c>
      <c r="H97" s="28" t="s">
        <v>8123</v>
      </c>
      <c r="I97" s="798">
        <v>28000</v>
      </c>
      <c r="J97" s="3">
        <f>+I97-ROUND(I97*0.12,0)</f>
        <v>24640</v>
      </c>
      <c r="K97" s="1345" t="s">
        <v>17</v>
      </c>
      <c r="L97" s="233">
        <v>46116</v>
      </c>
      <c r="M97" s="798"/>
      <c r="U97" t="s">
        <v>7833</v>
      </c>
      <c r="V97" s="360">
        <v>0.4368055555555555</v>
      </c>
      <c r="W97" s="360"/>
    </row>
    <row r="99" spans="1:23" ht="15.75" thickBot="1" x14ac:dyDescent="0.3">
      <c r="A99" s="483"/>
      <c r="C99" s="28"/>
      <c r="D99" s="233"/>
      <c r="E99" s="28"/>
      <c r="I99" s="798"/>
      <c r="L99" s="233"/>
      <c r="U99" s="360"/>
      <c r="V99" s="360"/>
    </row>
    <row r="100" spans="1:23" ht="15.75" thickBot="1" x14ac:dyDescent="0.3">
      <c r="A100" s="483"/>
      <c r="C100" s="28"/>
      <c r="D100" s="233"/>
      <c r="E100" s="28"/>
      <c r="I100" s="593">
        <f>SUBTOTAL(9,I79:I99)</f>
        <v>0</v>
      </c>
      <c r="L100" s="233"/>
      <c r="U100" s="360"/>
      <c r="V100" s="360"/>
    </row>
    <row r="101" spans="1:23" x14ac:dyDescent="0.25">
      <c r="A101" s="483"/>
      <c r="C101" s="28"/>
      <c r="D101" s="233"/>
      <c r="E101" s="28"/>
      <c r="I101" s="798"/>
      <c r="L101" s="798"/>
      <c r="U101" s="360"/>
      <c r="V101" s="360"/>
    </row>
    <row r="102" spans="1:23" x14ac:dyDescent="0.25">
      <c r="A102" s="483"/>
      <c r="C102" s="28"/>
      <c r="D102" s="233"/>
      <c r="E102" s="28"/>
      <c r="I102" s="798"/>
      <c r="L102" s="798"/>
      <c r="U102" s="360"/>
      <c r="V102" s="360"/>
    </row>
    <row r="103" spans="1:23" x14ac:dyDescent="0.25">
      <c r="A103" s="483"/>
      <c r="C103" s="28"/>
      <c r="D103" s="233"/>
      <c r="E103" s="28"/>
      <c r="I103" s="798"/>
      <c r="L103" s="798"/>
      <c r="U103" s="360"/>
      <c r="V103" s="360"/>
    </row>
    <row r="104" spans="1:23" ht="15.75" thickBot="1" x14ac:dyDescent="0.3">
      <c r="A104" s="256"/>
      <c r="D104" s="122"/>
      <c r="G104" s="28"/>
      <c r="I104" s="3"/>
      <c r="K104" s="313"/>
      <c r="L104" s="88"/>
      <c r="T104" s="14"/>
      <c r="U104" s="14"/>
      <c r="V104" s="14"/>
    </row>
    <row r="105" spans="1:23" ht="15.75" thickBot="1" x14ac:dyDescent="0.3">
      <c r="H105" s="28" t="s">
        <v>1282</v>
      </c>
      <c r="I105" s="560">
        <f>+I19+I28+I35+I43+I52+I67+I75+I100</f>
        <v>0</v>
      </c>
    </row>
    <row r="106" spans="1:23" x14ac:dyDescent="0.25">
      <c r="A106" s="256"/>
      <c r="D106" s="122"/>
      <c r="G106" s="28"/>
      <c r="J106" s="1" t="s">
        <v>6488</v>
      </c>
      <c r="K106" s="1"/>
      <c r="L106" s="445" t="s">
        <v>2468</v>
      </c>
      <c r="M106" s="88"/>
      <c r="T106" s="14"/>
      <c r="U106" s="14"/>
      <c r="V106" s="14"/>
    </row>
    <row r="107" spans="1:23" x14ac:dyDescent="0.25">
      <c r="A107" s="256"/>
      <c r="D107" s="122"/>
      <c r="G107" s="28"/>
      <c r="I107" s="122"/>
      <c r="J107" s="32">
        <f>28000*15+28000*4</f>
        <v>532000</v>
      </c>
      <c r="K107" s="479">
        <f>15+4</f>
        <v>19</v>
      </c>
      <c r="L107" s="122">
        <v>46136</v>
      </c>
      <c r="T107" s="14"/>
      <c r="U107" s="14"/>
      <c r="V107" s="14"/>
    </row>
    <row r="108" spans="1:23" x14ac:dyDescent="0.25">
      <c r="A108" s="256"/>
      <c r="D108" s="122"/>
      <c r="G108" s="28"/>
      <c r="I108" t="s">
        <v>2152</v>
      </c>
      <c r="J108" s="32">
        <v>532000</v>
      </c>
      <c r="K108" s="479">
        <f>+J108/28000</f>
        <v>19</v>
      </c>
      <c r="L108" s="122">
        <f>+L107</f>
        <v>46136</v>
      </c>
      <c r="T108" s="14"/>
      <c r="U108" s="14"/>
      <c r="V108" s="14"/>
    </row>
    <row r="109" spans="1:23" x14ac:dyDescent="0.25">
      <c r="A109" s="256"/>
      <c r="D109" s="122"/>
      <c r="G109" s="28"/>
      <c r="I109" s="342" t="s">
        <v>2127</v>
      </c>
      <c r="J109" s="345">
        <f>+J107-J108</f>
        <v>0</v>
      </c>
      <c r="K109" s="344">
        <f>+K107-K108</f>
        <v>0</v>
      </c>
      <c r="L109" s="32"/>
      <c r="T109" s="14"/>
      <c r="U109" s="14"/>
      <c r="V109" s="14"/>
    </row>
    <row r="116" spans="9:11" x14ac:dyDescent="0.25">
      <c r="I116" s="122"/>
      <c r="J116" s="32"/>
    </row>
    <row r="117" spans="9:11" x14ac:dyDescent="0.25">
      <c r="J117" s="32"/>
    </row>
    <row r="118" spans="9:11" x14ac:dyDescent="0.25">
      <c r="I118" s="352"/>
      <c r="J118" s="352"/>
      <c r="K118" s="352"/>
    </row>
    <row r="124" spans="9:11" x14ac:dyDescent="0.25">
      <c r="I124" s="122"/>
      <c r="J124" s="88"/>
    </row>
    <row r="125" spans="9:11" x14ac:dyDescent="0.25">
      <c r="J125" s="88"/>
    </row>
    <row r="126" spans="9:11" x14ac:dyDescent="0.25">
      <c r="I126" s="352"/>
      <c r="J126" s="352"/>
      <c r="K126" s="352"/>
    </row>
  </sheetData>
  <autoFilter ref="A2:Q113" xr:uid="{00000000-0009-0000-0000-00001C000000}">
    <filterColumn colId="10">
      <filters blank="1">
        <filter val="0"/>
        <filter val="19"/>
      </filters>
    </filterColumn>
    <filterColumn colId="13" showButton="0"/>
    <filterColumn colId="14" showButton="0"/>
    <filterColumn colId="15" showButton="0"/>
  </autoFilter>
  <mergeCells count="8">
    <mergeCell ref="A78:H78"/>
    <mergeCell ref="A70:H70"/>
    <mergeCell ref="A57:H57"/>
    <mergeCell ref="A45:H45"/>
    <mergeCell ref="N2:Q2"/>
    <mergeCell ref="A21:H21"/>
    <mergeCell ref="A30:H30"/>
    <mergeCell ref="A36:H3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1637" r:id="rId4" name="Button 1">
              <controlPr defaultSize="0" print="0" autoFill="0" autoPict="0" macro="[0]!RETORNAR">
                <anchor moveWithCells="1" sizeWithCells="1">
                  <from>
                    <xdr:col>0</xdr:col>
                    <xdr:colOff>38100</xdr:colOff>
                    <xdr:row>0</xdr:row>
                    <xdr:rowOff>47625</xdr:rowOff>
                  </from>
                  <to>
                    <xdr:col>2</xdr:col>
                    <xdr:colOff>333375</xdr:colOff>
                    <xdr:row>0</xdr:row>
                    <xdr:rowOff>314325</xdr:rowOff>
                  </to>
                </anchor>
              </controlPr>
            </control>
          </mc:Choice>
        </mc:AlternateContent>
        <mc:AlternateContent xmlns:mc="http://schemas.openxmlformats.org/markup-compatibility/2006">
          <mc:Choice Requires="x14">
            <control shapeId="581650" r:id="rId5" name="Botón 18">
              <controlPr defaultSize="0" print="0" autoFill="0" autoPict="0" macro="[0]!IR_VENTAS_B200_2026">
                <anchor moveWithCells="1" sizeWithCells="1">
                  <from>
                    <xdr:col>1</xdr:col>
                    <xdr:colOff>123825</xdr:colOff>
                    <xdr:row>111</xdr:row>
                    <xdr:rowOff>9525</xdr:rowOff>
                  </from>
                  <to>
                    <xdr:col>2</xdr:col>
                    <xdr:colOff>676275</xdr:colOff>
                    <xdr:row>114</xdr:row>
                    <xdr:rowOff>38100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46" filterMode="1"/>
  <dimension ref="A1:W21"/>
  <sheetViews>
    <sheetView topLeftCell="B1" workbookViewId="0">
      <selection activeCell="G20" sqref="G20"/>
    </sheetView>
  </sheetViews>
  <sheetFormatPr baseColWidth="10" defaultColWidth="10.85546875" defaultRowHeight="15" x14ac:dyDescent="0.25"/>
  <cols>
    <col min="1" max="1" width="13.85546875" customWidth="1"/>
    <col min="7" max="7" width="44.85546875" customWidth="1"/>
    <col min="8" max="8" width="22.7109375" customWidth="1"/>
    <col min="9" max="9" width="12" bestFit="1" customWidth="1"/>
    <col min="10" max="10" width="10.85546875" style="32"/>
  </cols>
  <sheetData>
    <row r="1" spans="1:23" ht="26.45" customHeight="1" x14ac:dyDescent="0.25"/>
    <row r="2" spans="1:23" x14ac:dyDescent="0.25">
      <c r="A2" t="s">
        <v>706</v>
      </c>
      <c r="B2" s="1" t="s">
        <v>0</v>
      </c>
      <c r="C2" s="1" t="s">
        <v>1</v>
      </c>
      <c r="D2" s="1" t="s">
        <v>2</v>
      </c>
      <c r="E2" s="1"/>
      <c r="F2" s="1" t="s">
        <v>3</v>
      </c>
      <c r="G2" s="1" t="s">
        <v>4</v>
      </c>
      <c r="H2" s="1" t="s">
        <v>5</v>
      </c>
      <c r="I2" s="1" t="s">
        <v>6</v>
      </c>
      <c r="J2" s="87" t="s">
        <v>1780</v>
      </c>
      <c r="K2" s="1" t="s">
        <v>8</v>
      </c>
      <c r="L2" s="1" t="s">
        <v>3998</v>
      </c>
      <c r="M2" s="1" t="s">
        <v>10</v>
      </c>
      <c r="N2" s="1480" t="s">
        <v>11</v>
      </c>
      <c r="O2" s="1480"/>
      <c r="P2" s="1480"/>
      <c r="Q2" s="1480"/>
    </row>
    <row r="3" spans="1:23" hidden="1" x14ac:dyDescent="0.25">
      <c r="A3" s="115">
        <v>24092022</v>
      </c>
      <c r="B3" s="169" t="s">
        <v>1284</v>
      </c>
      <c r="C3" s="169" t="s">
        <v>693</v>
      </c>
      <c r="D3" s="122">
        <v>44828</v>
      </c>
      <c r="E3" s="88"/>
      <c r="F3" s="28" t="s">
        <v>796</v>
      </c>
      <c r="G3" s="21" t="s">
        <v>1334</v>
      </c>
      <c r="H3" t="s">
        <v>1333</v>
      </c>
      <c r="I3" s="160">
        <v>24544</v>
      </c>
      <c r="J3" s="32">
        <f t="shared" ref="J3:J8" si="0">+I3*0.88</f>
        <v>21598.720000000001</v>
      </c>
      <c r="K3" s="88" t="s">
        <v>17</v>
      </c>
      <c r="L3" s="2">
        <v>44852</v>
      </c>
      <c r="O3" s="21" t="s">
        <v>1042</v>
      </c>
      <c r="P3" s="157">
        <v>0.31458333333333333</v>
      </c>
      <c r="Q3" s="157">
        <v>0.57638888888888895</v>
      </c>
    </row>
    <row r="4" spans="1:23" hidden="1" x14ac:dyDescent="0.25">
      <c r="A4" s="430" t="s">
        <v>3377</v>
      </c>
      <c r="B4" t="s">
        <v>3378</v>
      </c>
      <c r="C4" t="s">
        <v>13</v>
      </c>
      <c r="D4" s="122">
        <v>45283</v>
      </c>
      <c r="F4" s="28" t="s">
        <v>796</v>
      </c>
      <c r="G4" s="30" t="s">
        <v>3558</v>
      </c>
      <c r="H4" s="30" t="s">
        <v>3559</v>
      </c>
      <c r="I4" s="236">
        <v>25110</v>
      </c>
      <c r="J4" s="32">
        <f t="shared" si="0"/>
        <v>22096.799999999999</v>
      </c>
      <c r="K4" t="s">
        <v>17</v>
      </c>
      <c r="L4" s="122">
        <v>45295</v>
      </c>
      <c r="M4" s="88" t="s">
        <v>3380</v>
      </c>
      <c r="T4" s="14" t="s">
        <v>1656</v>
      </c>
      <c r="U4" s="14">
        <v>0.29791666666666666</v>
      </c>
      <c r="V4" s="14">
        <v>0.53333333333333333</v>
      </c>
    </row>
    <row r="5" spans="1:23" hidden="1" x14ac:dyDescent="0.25">
      <c r="A5" s="184" t="s">
        <v>1863</v>
      </c>
      <c r="B5" s="30" t="s">
        <v>3673</v>
      </c>
      <c r="C5" s="30" t="s">
        <v>13</v>
      </c>
      <c r="D5" s="374">
        <v>45329</v>
      </c>
      <c r="F5" s="28" t="s">
        <v>796</v>
      </c>
      <c r="G5" s="30" t="s">
        <v>3743</v>
      </c>
      <c r="H5" t="s">
        <v>3744</v>
      </c>
      <c r="I5" s="251">
        <v>25110</v>
      </c>
      <c r="J5" s="32">
        <f t="shared" si="0"/>
        <v>22096.799999999999</v>
      </c>
      <c r="K5" t="s">
        <v>17</v>
      </c>
      <c r="L5" s="374">
        <v>45349</v>
      </c>
      <c r="T5" s="14" t="s">
        <v>922</v>
      </c>
      <c r="U5" s="360">
        <v>0.31597222222222221</v>
      </c>
      <c r="V5" s="360" t="s">
        <v>3674</v>
      </c>
    </row>
    <row r="6" spans="1:23" hidden="1" x14ac:dyDescent="0.25">
      <c r="A6" s="509">
        <v>11042024</v>
      </c>
      <c r="B6" t="s">
        <v>4020</v>
      </c>
      <c r="C6" s="28" t="s">
        <v>13</v>
      </c>
      <c r="D6" s="233">
        <v>45393</v>
      </c>
      <c r="F6" s="28" t="s">
        <v>796</v>
      </c>
      <c r="G6" s="30" t="s">
        <v>4034</v>
      </c>
      <c r="H6" s="30" t="s">
        <v>4035</v>
      </c>
      <c r="I6" s="237">
        <v>25110</v>
      </c>
      <c r="J6" s="32">
        <f t="shared" si="0"/>
        <v>22096.799999999999</v>
      </c>
      <c r="K6" t="s">
        <v>17</v>
      </c>
      <c r="L6" s="374">
        <v>45412</v>
      </c>
      <c r="T6" s="14" t="s">
        <v>4022</v>
      </c>
      <c r="U6" s="360">
        <v>0.26597222222222222</v>
      </c>
      <c r="V6" s="360"/>
    </row>
    <row r="7" spans="1:23" hidden="1" x14ac:dyDescent="0.25">
      <c r="A7" s="509" t="s">
        <v>4246</v>
      </c>
      <c r="B7" t="s">
        <v>4250</v>
      </c>
      <c r="C7" s="28" t="s">
        <v>13</v>
      </c>
      <c r="D7" s="233">
        <v>45445</v>
      </c>
      <c r="F7" s="28" t="s">
        <v>796</v>
      </c>
      <c r="G7" s="30" t="s">
        <v>4393</v>
      </c>
      <c r="H7" s="30" t="s">
        <v>4394</v>
      </c>
      <c r="I7" s="237">
        <v>25110</v>
      </c>
      <c r="J7" s="32">
        <f t="shared" si="0"/>
        <v>22096.799999999999</v>
      </c>
      <c r="K7" t="s">
        <v>17</v>
      </c>
      <c r="L7" s="233">
        <v>45471</v>
      </c>
      <c r="T7" s="14" t="s">
        <v>4071</v>
      </c>
      <c r="U7" s="360">
        <v>6.27</v>
      </c>
      <c r="V7" s="360">
        <v>0.53055555555555556</v>
      </c>
    </row>
    <row r="8" spans="1:23" hidden="1" x14ac:dyDescent="0.25">
      <c r="A8" s="184"/>
      <c r="B8" t="s">
        <v>4020</v>
      </c>
      <c r="C8" s="28" t="s">
        <v>410</v>
      </c>
      <c r="D8" s="233">
        <v>45533</v>
      </c>
      <c r="F8" s="28" t="s">
        <v>796</v>
      </c>
      <c r="G8" s="30" t="s">
        <v>4700</v>
      </c>
      <c r="H8" s="30" t="s">
        <v>4699</v>
      </c>
      <c r="I8" s="251">
        <v>25110</v>
      </c>
      <c r="J8" s="32">
        <f t="shared" si="0"/>
        <v>22096.799999999999</v>
      </c>
      <c r="K8" t="s">
        <v>17</v>
      </c>
      <c r="L8" s="233">
        <v>45544</v>
      </c>
      <c r="T8" s="14"/>
      <c r="U8" s="360"/>
      <c r="V8" s="360"/>
    </row>
    <row r="9" spans="1:23" hidden="1" x14ac:dyDescent="0.25">
      <c r="A9" s="483" t="s">
        <v>4959</v>
      </c>
      <c r="B9" t="s">
        <v>4960</v>
      </c>
      <c r="C9" s="28" t="s">
        <v>4218</v>
      </c>
      <c r="D9" s="233">
        <v>45581</v>
      </c>
      <c r="F9" s="28" t="s">
        <v>2437</v>
      </c>
      <c r="G9" s="30" t="s">
        <v>5046</v>
      </c>
      <c r="H9" s="30" t="s">
        <v>5045</v>
      </c>
      <c r="I9" s="313">
        <v>25110</v>
      </c>
      <c r="J9" s="3">
        <f>+I9-ROUND(I9*0.12,0)</f>
        <v>22097</v>
      </c>
      <c r="K9" t="s">
        <v>17</v>
      </c>
      <c r="L9" s="233">
        <v>45596</v>
      </c>
      <c r="T9" t="s">
        <v>4867</v>
      </c>
      <c r="U9" s="360">
        <v>0.39097222222222222</v>
      </c>
      <c r="V9" s="30"/>
    </row>
    <row r="10" spans="1:23" hidden="1" x14ac:dyDescent="0.25">
      <c r="A10" s="483" t="s">
        <v>6615</v>
      </c>
      <c r="B10" t="s">
        <v>4960</v>
      </c>
      <c r="C10" s="28" t="s">
        <v>4437</v>
      </c>
      <c r="D10" s="233">
        <v>45856</v>
      </c>
      <c r="E10" s="28"/>
      <c r="F10" s="28" t="s">
        <v>2437</v>
      </c>
      <c r="G10" t="s">
        <v>6676</v>
      </c>
      <c r="H10" s="28" t="s">
        <v>6724</v>
      </c>
      <c r="I10" s="798">
        <v>25842</v>
      </c>
      <c r="J10" s="3">
        <f>+I10-ROUND(I10*0.12,0)</f>
        <v>22741</v>
      </c>
      <c r="K10" t="s">
        <v>17</v>
      </c>
      <c r="L10" s="233">
        <v>45887</v>
      </c>
      <c r="T10" t="s">
        <v>3765</v>
      </c>
      <c r="U10" s="360">
        <v>0.36458333333333331</v>
      </c>
      <c r="V10" s="360">
        <v>0.58194444444444449</v>
      </c>
    </row>
    <row r="11" spans="1:23" hidden="1" x14ac:dyDescent="0.25">
      <c r="A11" s="483" t="s">
        <v>7978</v>
      </c>
      <c r="B11" t="s">
        <v>7979</v>
      </c>
      <c r="C11" s="28" t="s">
        <v>4218</v>
      </c>
      <c r="D11" s="233">
        <v>46128</v>
      </c>
      <c r="E11" s="28"/>
      <c r="F11" s="28" t="s">
        <v>2437</v>
      </c>
      <c r="G11" s="88" t="s">
        <v>8036</v>
      </c>
      <c r="H11" s="28" t="s">
        <v>8067</v>
      </c>
      <c r="I11" s="798">
        <v>27285</v>
      </c>
      <c r="J11" s="3">
        <f>+I11-ROUND(I11*0.12,0)</f>
        <v>24011</v>
      </c>
      <c r="K11" s="28" t="s">
        <v>17</v>
      </c>
      <c r="L11" s="233">
        <v>46150</v>
      </c>
      <c r="M11" s="798"/>
      <c r="U11" t="s">
        <v>7078</v>
      </c>
      <c r="V11" s="360">
        <v>0.30277777777777776</v>
      </c>
      <c r="W11" s="360"/>
    </row>
    <row r="12" spans="1:23" x14ac:dyDescent="0.25">
      <c r="A12" s="184"/>
      <c r="B12" s="30"/>
      <c r="C12" s="28"/>
      <c r="D12" s="233"/>
      <c r="F12" s="28"/>
      <c r="G12" s="30"/>
      <c r="I12" s="251"/>
      <c r="L12" s="88"/>
      <c r="T12" s="14"/>
      <c r="U12" s="360"/>
      <c r="V12" s="360"/>
    </row>
    <row r="13" spans="1:23" x14ac:dyDescent="0.25">
      <c r="A13" s="30"/>
      <c r="D13" s="2"/>
      <c r="E13" s="32"/>
      <c r="I13" s="32"/>
      <c r="L13" s="6"/>
    </row>
    <row r="14" spans="1:23" x14ac:dyDescent="0.25">
      <c r="H14" t="s">
        <v>356</v>
      </c>
      <c r="I14" s="9">
        <f>SUBTOTAL(9,I3:I13)</f>
        <v>0</v>
      </c>
    </row>
    <row r="15" spans="1:23" x14ac:dyDescent="0.25">
      <c r="M15" s="3"/>
    </row>
    <row r="21" spans="9:9" x14ac:dyDescent="0.25">
      <c r="I21" s="3"/>
    </row>
  </sheetData>
  <autoFilter ref="A2:Q15" xr:uid="{00000000-0009-0000-0000-00001D000000}">
    <filterColumn colId="10">
      <filters blank="1"/>
    </filterColumn>
    <filterColumn colId="13" showButton="0"/>
    <filterColumn colId="14" showButton="0"/>
    <filterColumn colId="15" showButton="0"/>
  </autoFilter>
  <mergeCells count="1">
    <mergeCell ref="N2:Q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2660" r:id="rId4" name="Button 1">
              <controlPr defaultSize="0" print="0" autoFill="0" autoPict="0" macro="[0]!RETORNAR">
                <anchor moveWithCells="1" sizeWithCells="1">
                  <from>
                    <xdr:col>0</xdr:col>
                    <xdr:colOff>38100</xdr:colOff>
                    <xdr:row>0</xdr:row>
                    <xdr:rowOff>47625</xdr:rowOff>
                  </from>
                  <to>
                    <xdr:col>2</xdr:col>
                    <xdr:colOff>123825</xdr:colOff>
                    <xdr:row>0</xdr:row>
                    <xdr:rowOff>314325</xdr:rowOff>
                  </to>
                </anchor>
              </controlPr>
            </control>
          </mc:Choice>
        </mc:AlternateContent>
        <mc:AlternateContent xmlns:mc="http://schemas.openxmlformats.org/markup-compatibility/2006">
          <mc:Choice Requires="x14">
            <control shapeId="582664" r:id="rId5" name="Botón 8">
              <controlPr defaultSize="0" print="0" autoFill="0" autoPict="0" macro="[0]!IR_VENTAS_B200_2026">
                <anchor moveWithCells="1" sizeWithCells="1">
                  <from>
                    <xdr:col>0</xdr:col>
                    <xdr:colOff>885825</xdr:colOff>
                    <xdr:row>19</xdr:row>
                    <xdr:rowOff>161925</xdr:rowOff>
                  </from>
                  <to>
                    <xdr:col>2</xdr:col>
                    <xdr:colOff>466725</xdr:colOff>
                    <xdr:row>23</xdr:row>
                    <xdr:rowOff>9525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34" filterMode="1"/>
  <dimension ref="A1:Q11"/>
  <sheetViews>
    <sheetView workbookViewId="0">
      <selection activeCell="A13" sqref="A13"/>
    </sheetView>
  </sheetViews>
  <sheetFormatPr baseColWidth="10" defaultColWidth="10.85546875" defaultRowHeight="15" x14ac:dyDescent="0.25"/>
  <cols>
    <col min="1" max="1" width="15.85546875" customWidth="1"/>
    <col min="7" max="7" width="44.85546875" customWidth="1"/>
    <col min="8" max="8" width="22.7109375" customWidth="1"/>
    <col min="9" max="9" width="12" bestFit="1" customWidth="1"/>
  </cols>
  <sheetData>
    <row r="1" spans="1:17" ht="30" customHeight="1" x14ac:dyDescent="0.25"/>
    <row r="2" spans="1:17" x14ac:dyDescent="0.25">
      <c r="A2" t="s">
        <v>706</v>
      </c>
      <c r="B2" s="1" t="s">
        <v>0</v>
      </c>
      <c r="C2" s="1" t="s">
        <v>1</v>
      </c>
      <c r="D2" s="1" t="s">
        <v>2</v>
      </c>
      <c r="E2" s="1"/>
      <c r="F2" s="1" t="s">
        <v>3</v>
      </c>
      <c r="G2" s="1" t="s">
        <v>4</v>
      </c>
      <c r="H2" s="1" t="s">
        <v>5</v>
      </c>
      <c r="I2" s="1" t="s">
        <v>6</v>
      </c>
      <c r="J2" s="1" t="s">
        <v>1780</v>
      </c>
      <c r="K2" s="1" t="s">
        <v>8</v>
      </c>
      <c r="L2" s="1" t="s">
        <v>3998</v>
      </c>
      <c r="M2" s="1" t="s">
        <v>10</v>
      </c>
      <c r="N2" s="1480" t="s">
        <v>11</v>
      </c>
      <c r="O2" s="1480"/>
      <c r="P2" s="1480"/>
      <c r="Q2" s="1480"/>
    </row>
    <row r="3" spans="1:17" hidden="1" x14ac:dyDescent="0.25">
      <c r="A3" s="115">
        <v>24052022</v>
      </c>
      <c r="B3" t="s">
        <v>860</v>
      </c>
      <c r="C3" t="s">
        <v>693</v>
      </c>
      <c r="D3" s="122">
        <v>44705</v>
      </c>
      <c r="E3" s="32"/>
      <c r="F3" t="s">
        <v>796</v>
      </c>
      <c r="G3" t="s">
        <v>1216</v>
      </c>
      <c r="H3" s="120" t="s">
        <v>1593</v>
      </c>
      <c r="I3" s="32">
        <v>23100</v>
      </c>
      <c r="J3" s="140"/>
      <c r="K3" s="32" t="s">
        <v>297</v>
      </c>
      <c r="L3" s="2">
        <v>44956</v>
      </c>
      <c r="O3" t="s">
        <v>690</v>
      </c>
      <c r="P3" s="14">
        <v>0.34236111111111112</v>
      </c>
      <c r="Q3" s="14"/>
    </row>
    <row r="4" spans="1:17" x14ac:dyDescent="0.25">
      <c r="D4" s="2"/>
      <c r="E4" s="32"/>
      <c r="I4" s="32"/>
      <c r="K4" s="2"/>
      <c r="L4" s="6"/>
    </row>
    <row r="5" spans="1:17" x14ac:dyDescent="0.25">
      <c r="D5" s="2"/>
      <c r="E5" s="32"/>
      <c r="I5" s="32"/>
      <c r="L5" s="6"/>
    </row>
    <row r="6" spans="1:17" x14ac:dyDescent="0.25">
      <c r="D6" s="2"/>
      <c r="E6" s="32"/>
      <c r="I6" s="32"/>
      <c r="L6" s="6"/>
    </row>
    <row r="7" spans="1:17" x14ac:dyDescent="0.25">
      <c r="H7" t="s">
        <v>356</v>
      </c>
      <c r="I7" s="9">
        <f>SUBTOTAL(9,I3:I6)</f>
        <v>0</v>
      </c>
    </row>
    <row r="11" spans="1:17" x14ac:dyDescent="0.25">
      <c r="I11" s="3"/>
    </row>
  </sheetData>
  <autoFilter ref="B2:Q6" xr:uid="{00000000-0009-0000-0000-00001E000000}">
    <filterColumn colId="9">
      <filters blank="1"/>
    </filterColumn>
    <filterColumn colId="12" showButton="0"/>
    <filterColumn colId="13" showButton="0"/>
    <filterColumn colId="14" showButton="0"/>
  </autoFilter>
  <mergeCells count="1">
    <mergeCell ref="N2:Q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1845" r:id="rId4" name="Button 1">
              <controlPr defaultSize="0" print="0" autoFill="0" autoPict="0" macro="[0]!RETORNAR">
                <anchor moveWithCells="1" sizeWithCells="1">
                  <from>
                    <xdr:col>0</xdr:col>
                    <xdr:colOff>38100</xdr:colOff>
                    <xdr:row>0</xdr:row>
                    <xdr:rowOff>47625</xdr:rowOff>
                  </from>
                  <to>
                    <xdr:col>1</xdr:col>
                    <xdr:colOff>742950</xdr:colOff>
                    <xdr:row>0</xdr:row>
                    <xdr:rowOff>314325</xdr:rowOff>
                  </to>
                </anchor>
              </controlPr>
            </control>
          </mc:Choice>
        </mc:AlternateContent>
        <mc:AlternateContent xmlns:mc="http://schemas.openxmlformats.org/markup-compatibility/2006">
          <mc:Choice Requires="x14">
            <control shapeId="291849" r:id="rId5" name="Botón 9">
              <controlPr defaultSize="0" print="0" autoFill="0" autoPict="0" macro="[0]!IR_VENTAS_B200_2026">
                <anchor moveWithCells="1" sizeWithCells="1">
                  <from>
                    <xdr:col>0</xdr:col>
                    <xdr:colOff>885825</xdr:colOff>
                    <xdr:row>12</xdr:row>
                    <xdr:rowOff>123825</xdr:rowOff>
                  </from>
                  <to>
                    <xdr:col>2</xdr:col>
                    <xdr:colOff>323850</xdr:colOff>
                    <xdr:row>15</xdr:row>
                    <xdr:rowOff>152400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32" filterMode="1"/>
  <dimension ref="A1:X50"/>
  <sheetViews>
    <sheetView topLeftCell="A24" workbookViewId="0">
      <selection activeCell="H22" sqref="H22"/>
    </sheetView>
  </sheetViews>
  <sheetFormatPr baseColWidth="10" defaultColWidth="10.85546875" defaultRowHeight="15" x14ac:dyDescent="0.25"/>
  <cols>
    <col min="2" max="2" width="21.85546875" customWidth="1"/>
    <col min="4" max="4" width="10.85546875" style="28"/>
    <col min="6" max="6" width="10.85546875" style="30"/>
    <col min="7" max="7" width="50.5703125" customWidth="1"/>
    <col min="8" max="8" width="22.7109375" customWidth="1"/>
    <col min="9" max="9" width="12" bestFit="1" customWidth="1"/>
    <col min="12" max="12" width="10.85546875" style="28"/>
  </cols>
  <sheetData>
    <row r="1" spans="1:22" ht="27.95" customHeight="1" x14ac:dyDescent="0.25"/>
    <row r="2" spans="1:22" x14ac:dyDescent="0.25">
      <c r="B2" s="1" t="s">
        <v>0</v>
      </c>
      <c r="C2" s="1" t="s">
        <v>1</v>
      </c>
      <c r="D2" s="25" t="s">
        <v>2</v>
      </c>
      <c r="E2" s="1"/>
      <c r="F2" s="115" t="s">
        <v>3</v>
      </c>
      <c r="G2" s="1" t="s">
        <v>4</v>
      </c>
      <c r="H2" s="1" t="s">
        <v>5</v>
      </c>
      <c r="I2" s="1" t="s">
        <v>6</v>
      </c>
      <c r="J2" s="1" t="s">
        <v>1780</v>
      </c>
      <c r="K2" s="1" t="s">
        <v>8</v>
      </c>
      <c r="L2" s="25" t="s">
        <v>3998</v>
      </c>
      <c r="M2" s="1" t="s">
        <v>10</v>
      </c>
      <c r="N2" s="1480" t="s">
        <v>11</v>
      </c>
      <c r="O2" s="1480"/>
      <c r="P2" s="1480"/>
      <c r="Q2" s="1480"/>
    </row>
    <row r="3" spans="1:22" hidden="1" x14ac:dyDescent="0.25">
      <c r="A3" s="115">
        <v>22042022</v>
      </c>
      <c r="B3" t="s">
        <v>801</v>
      </c>
      <c r="C3" t="s">
        <v>693</v>
      </c>
      <c r="D3" s="233">
        <v>44673</v>
      </c>
      <c r="E3" s="32"/>
      <c r="F3" s="30" t="s">
        <v>143</v>
      </c>
      <c r="G3" t="s">
        <v>279</v>
      </c>
      <c r="H3" t="s">
        <v>811</v>
      </c>
      <c r="I3" s="32">
        <v>36750</v>
      </c>
      <c r="J3" s="32">
        <f t="shared" ref="J3:J9" si="0">+I3*0.88</f>
        <v>32340</v>
      </c>
      <c r="K3" s="32" t="s">
        <v>17</v>
      </c>
      <c r="L3" s="233">
        <v>44692</v>
      </c>
      <c r="O3" t="s">
        <v>651</v>
      </c>
      <c r="P3" s="14">
        <v>0.6020833333333333</v>
      </c>
    </row>
    <row r="4" spans="1:22" hidden="1" x14ac:dyDescent="0.25">
      <c r="A4" s="95" t="s">
        <v>2498</v>
      </c>
      <c r="B4" t="s">
        <v>2497</v>
      </c>
      <c r="C4" t="s">
        <v>410</v>
      </c>
      <c r="D4" s="233">
        <v>45085</v>
      </c>
      <c r="F4" s="30" t="s">
        <v>143</v>
      </c>
      <c r="G4" t="s">
        <v>2608</v>
      </c>
      <c r="H4" t="s">
        <v>2636</v>
      </c>
      <c r="I4" s="61">
        <v>38200</v>
      </c>
      <c r="J4" s="32">
        <f t="shared" si="0"/>
        <v>33616</v>
      </c>
      <c r="K4" s="32" t="s">
        <v>17</v>
      </c>
      <c r="L4" s="233">
        <v>45126</v>
      </c>
      <c r="T4" t="s">
        <v>1042</v>
      </c>
      <c r="U4" s="14">
        <v>0.24722222222222223</v>
      </c>
      <c r="V4" s="14">
        <v>0.47152777777777777</v>
      </c>
    </row>
    <row r="5" spans="1:22" hidden="1" x14ac:dyDescent="0.25">
      <c r="A5" s="256">
        <v>13082023</v>
      </c>
      <c r="B5" t="s">
        <v>2754</v>
      </c>
      <c r="C5" t="s">
        <v>13</v>
      </c>
      <c r="D5" s="233">
        <v>45151</v>
      </c>
      <c r="F5" s="30" t="s">
        <v>143</v>
      </c>
      <c r="G5" s="30" t="s">
        <v>2757</v>
      </c>
      <c r="H5" s="30" t="s">
        <v>2910</v>
      </c>
      <c r="I5" s="61">
        <v>38200</v>
      </c>
      <c r="J5" s="32">
        <f t="shared" si="0"/>
        <v>33616</v>
      </c>
      <c r="K5" s="32" t="s">
        <v>17</v>
      </c>
      <c r="L5" s="233">
        <v>45187</v>
      </c>
      <c r="T5" s="14" t="s">
        <v>893</v>
      </c>
      <c r="U5" s="14">
        <v>0.24791666666666667</v>
      </c>
      <c r="V5" s="14">
        <v>0.48958333333333331</v>
      </c>
    </row>
    <row r="6" spans="1:22" hidden="1" x14ac:dyDescent="0.25">
      <c r="A6" s="256" t="s">
        <v>3152</v>
      </c>
      <c r="B6" t="s">
        <v>3163</v>
      </c>
      <c r="C6" t="s">
        <v>410</v>
      </c>
      <c r="D6" s="233">
        <v>45233</v>
      </c>
      <c r="F6" s="30" t="s">
        <v>143</v>
      </c>
      <c r="G6" s="30" t="s">
        <v>3317</v>
      </c>
      <c r="H6" s="30" t="s">
        <v>3489</v>
      </c>
      <c r="I6" s="236">
        <v>38200</v>
      </c>
      <c r="J6" s="32">
        <f t="shared" si="0"/>
        <v>33616</v>
      </c>
      <c r="K6" t="s">
        <v>17</v>
      </c>
      <c r="L6" s="233">
        <v>45300</v>
      </c>
      <c r="T6" s="14" t="s">
        <v>3151</v>
      </c>
      <c r="U6" s="14">
        <v>0.86944444444444446</v>
      </c>
      <c r="V6" s="14">
        <v>0.58680555555555558</v>
      </c>
    </row>
    <row r="7" spans="1:22" hidden="1" x14ac:dyDescent="0.25">
      <c r="A7" s="256">
        <v>17112023</v>
      </c>
      <c r="B7" t="s">
        <v>3163</v>
      </c>
      <c r="C7" t="s">
        <v>13</v>
      </c>
      <c r="D7" s="233">
        <v>45247</v>
      </c>
      <c r="F7" s="30" t="s">
        <v>143</v>
      </c>
      <c r="G7" s="30" t="s">
        <v>3318</v>
      </c>
      <c r="H7" s="30" t="s">
        <v>3490</v>
      </c>
      <c r="I7" s="313">
        <v>38200</v>
      </c>
      <c r="J7" s="88">
        <f t="shared" si="0"/>
        <v>33616</v>
      </c>
      <c r="K7" t="s">
        <v>17</v>
      </c>
      <c r="L7" s="233">
        <v>45300</v>
      </c>
      <c r="T7" s="14" t="s">
        <v>916</v>
      </c>
      <c r="U7" s="14">
        <v>0.27499999999999997</v>
      </c>
      <c r="V7" s="14">
        <v>0.50347222222222221</v>
      </c>
    </row>
    <row r="8" spans="1:22" s="30" customFormat="1" hidden="1" x14ac:dyDescent="0.25">
      <c r="A8" s="184">
        <v>23022024</v>
      </c>
      <c r="B8" s="30" t="s">
        <v>2497</v>
      </c>
      <c r="C8" s="30" t="s">
        <v>410</v>
      </c>
      <c r="D8" s="233">
        <v>45345</v>
      </c>
      <c r="F8" s="30" t="s">
        <v>143</v>
      </c>
      <c r="G8" s="30" t="s">
        <v>3871</v>
      </c>
      <c r="H8" s="30" t="s">
        <v>3982</v>
      </c>
      <c r="I8" s="237">
        <v>36750</v>
      </c>
      <c r="J8" s="88">
        <f t="shared" si="0"/>
        <v>32340</v>
      </c>
      <c r="K8" s="30" t="s">
        <v>17</v>
      </c>
      <c r="L8" s="233">
        <v>45387</v>
      </c>
      <c r="T8" s="360" t="s">
        <v>2380</v>
      </c>
      <c r="V8" s="360"/>
    </row>
    <row r="9" spans="1:22" hidden="1" x14ac:dyDescent="0.25">
      <c r="A9" s="509" t="s">
        <v>4252</v>
      </c>
      <c r="B9" t="s">
        <v>4253</v>
      </c>
      <c r="C9" s="28" t="s">
        <v>410</v>
      </c>
      <c r="D9" s="233">
        <v>45447</v>
      </c>
      <c r="F9" s="30" t="s">
        <v>143</v>
      </c>
      <c r="G9" s="30" t="s">
        <v>4340</v>
      </c>
      <c r="H9" t="s">
        <v>4341</v>
      </c>
      <c r="I9" s="237">
        <v>36750</v>
      </c>
      <c r="J9" s="88">
        <f t="shared" si="0"/>
        <v>32340</v>
      </c>
      <c r="K9" s="236" t="s">
        <v>17</v>
      </c>
      <c r="L9" s="233">
        <v>45469</v>
      </c>
      <c r="T9" s="14" t="s">
        <v>2050</v>
      </c>
      <c r="U9" s="360">
        <v>0.60277777777777775</v>
      </c>
      <c r="V9" s="360"/>
    </row>
    <row r="10" spans="1:22" hidden="1" x14ac:dyDescent="0.25">
      <c r="A10" s="509">
        <v>11062024</v>
      </c>
      <c r="B10" t="s">
        <v>4296</v>
      </c>
      <c r="C10" s="28" t="s">
        <v>13</v>
      </c>
      <c r="D10" s="233">
        <v>45454</v>
      </c>
      <c r="F10" s="30" t="s">
        <v>143</v>
      </c>
      <c r="G10" s="30" t="s">
        <v>4392</v>
      </c>
      <c r="H10" t="s">
        <v>4391</v>
      </c>
      <c r="I10" s="237">
        <v>36750</v>
      </c>
      <c r="J10" s="88">
        <f>+I10*0.88</f>
        <v>32340</v>
      </c>
      <c r="K10" s="236" t="s">
        <v>17</v>
      </c>
      <c r="L10" s="233">
        <v>45476</v>
      </c>
      <c r="T10" s="14" t="s">
        <v>4297</v>
      </c>
      <c r="U10" s="360">
        <v>0.63958333333333328</v>
      </c>
      <c r="V10" s="360">
        <v>0.87013888888888891</v>
      </c>
    </row>
    <row r="11" spans="1:22" hidden="1" x14ac:dyDescent="0.25">
      <c r="A11" s="95" t="s">
        <v>4577</v>
      </c>
      <c r="B11" t="s">
        <v>4253</v>
      </c>
      <c r="C11" s="28" t="s">
        <v>13</v>
      </c>
      <c r="D11" s="233">
        <v>45506</v>
      </c>
      <c r="F11" s="30" t="s">
        <v>143</v>
      </c>
      <c r="G11" s="30" t="s">
        <v>4688</v>
      </c>
      <c r="H11" s="30" t="s">
        <v>4689</v>
      </c>
      <c r="I11" s="313">
        <v>36750</v>
      </c>
      <c r="J11" s="88">
        <f>+I11*0.88</f>
        <v>32340</v>
      </c>
      <c r="K11" t="s">
        <v>17</v>
      </c>
      <c r="L11" s="233">
        <v>45562</v>
      </c>
      <c r="T11" t="s">
        <v>4297</v>
      </c>
      <c r="U11" s="360">
        <v>0.64513888888888882</v>
      </c>
      <c r="V11" s="360">
        <v>0.98749999999999993</v>
      </c>
    </row>
    <row r="12" spans="1:22" hidden="1" x14ac:dyDescent="0.25">
      <c r="A12" s="483">
        <v>22102024</v>
      </c>
      <c r="B12" t="s">
        <v>2497</v>
      </c>
      <c r="C12" s="28" t="s">
        <v>4218</v>
      </c>
      <c r="D12" s="233">
        <v>45587</v>
      </c>
      <c r="F12" s="30" t="s">
        <v>143</v>
      </c>
      <c r="G12" s="30" t="s">
        <v>5057</v>
      </c>
      <c r="H12" s="30" t="s">
        <v>5058</v>
      </c>
      <c r="I12" s="236">
        <v>36750</v>
      </c>
      <c r="J12" s="88">
        <f t="shared" ref="J12:J16" si="1">+I12-ROUND(I12*0.12,0)</f>
        <v>32340</v>
      </c>
      <c r="K12" t="s">
        <v>297</v>
      </c>
      <c r="L12" s="233">
        <v>45625</v>
      </c>
      <c r="T12" t="s">
        <v>4140</v>
      </c>
      <c r="U12" s="360">
        <v>0.80625000000000002</v>
      </c>
      <c r="V12" s="360">
        <v>1.8749999999999999E-2</v>
      </c>
    </row>
    <row r="13" spans="1:22" hidden="1" x14ac:dyDescent="0.25">
      <c r="A13" s="483">
        <v>17012025</v>
      </c>
      <c r="B13" t="s">
        <v>5537</v>
      </c>
      <c r="C13" s="233" t="s">
        <v>4218</v>
      </c>
      <c r="D13" s="233">
        <v>45674</v>
      </c>
      <c r="E13" s="28"/>
      <c r="F13" s="30" t="s">
        <v>143</v>
      </c>
      <c r="G13" t="s">
        <v>5626</v>
      </c>
      <c r="H13" s="236" t="s">
        <v>5660</v>
      </c>
      <c r="I13" s="88">
        <v>36650</v>
      </c>
      <c r="J13" s="88">
        <f t="shared" si="1"/>
        <v>32252</v>
      </c>
      <c r="K13" t="s">
        <v>17</v>
      </c>
      <c r="L13" s="233">
        <v>45720</v>
      </c>
      <c r="T13" t="s">
        <v>4138</v>
      </c>
      <c r="U13" s="360">
        <v>0.26180555555555557</v>
      </c>
      <c r="V13" s="360">
        <v>0.96527777777777779</v>
      </c>
    </row>
    <row r="14" spans="1:22" hidden="1" x14ac:dyDescent="0.25">
      <c r="A14" s="483">
        <v>29012025</v>
      </c>
      <c r="B14" t="s">
        <v>5600</v>
      </c>
      <c r="C14" s="28" t="s">
        <v>4218</v>
      </c>
      <c r="D14" s="233">
        <v>45686</v>
      </c>
      <c r="F14" s="30" t="s">
        <v>143</v>
      </c>
      <c r="G14" t="s">
        <v>5627</v>
      </c>
      <c r="H14" t="s">
        <v>5659</v>
      </c>
      <c r="I14" s="313">
        <v>36650</v>
      </c>
      <c r="J14" s="88">
        <f t="shared" si="1"/>
        <v>32252</v>
      </c>
      <c r="K14" t="s">
        <v>17</v>
      </c>
      <c r="L14" s="233">
        <v>45720</v>
      </c>
      <c r="T14" t="s">
        <v>5026</v>
      </c>
      <c r="U14" s="360">
        <v>0.91180555555555554</v>
      </c>
      <c r="V14" s="360">
        <v>0.1125</v>
      </c>
    </row>
    <row r="15" spans="1:22" hidden="1" x14ac:dyDescent="0.25">
      <c r="A15" s="483">
        <v>21022024</v>
      </c>
      <c r="B15" t="s">
        <v>2497</v>
      </c>
      <c r="C15" s="28" t="s">
        <v>13</v>
      </c>
      <c r="D15" s="233">
        <v>45709</v>
      </c>
      <c r="E15" s="28"/>
      <c r="F15" s="30" t="s">
        <v>143</v>
      </c>
      <c r="G15" s="30" t="s">
        <v>5777</v>
      </c>
      <c r="H15" t="s">
        <v>5778</v>
      </c>
      <c r="I15" s="313">
        <v>36650</v>
      </c>
      <c r="J15" s="88">
        <f t="shared" si="1"/>
        <v>32252</v>
      </c>
      <c r="K15" t="s">
        <v>17</v>
      </c>
      <c r="L15" s="233">
        <v>45720</v>
      </c>
      <c r="T15" t="s">
        <v>5078</v>
      </c>
      <c r="U15" s="360">
        <v>0.42152777777777778</v>
      </c>
      <c r="V15" s="360">
        <v>0.69305555555555554</v>
      </c>
    </row>
    <row r="16" spans="1:22" hidden="1" x14ac:dyDescent="0.25">
      <c r="A16" s="483">
        <v>21022024</v>
      </c>
      <c r="B16" t="s">
        <v>2497</v>
      </c>
      <c r="C16" s="28" t="s">
        <v>410</v>
      </c>
      <c r="D16" s="233">
        <v>45709</v>
      </c>
      <c r="E16" s="28"/>
      <c r="F16" s="30" t="s">
        <v>143</v>
      </c>
      <c r="G16" s="30" t="s">
        <v>5819</v>
      </c>
      <c r="I16" s="313">
        <v>37650</v>
      </c>
      <c r="J16" s="88">
        <f t="shared" si="1"/>
        <v>33132</v>
      </c>
      <c r="K16" t="s">
        <v>17</v>
      </c>
      <c r="L16" s="233">
        <v>45743</v>
      </c>
      <c r="T16" t="s">
        <v>4365</v>
      </c>
      <c r="U16" s="360">
        <v>0.51041666666666663</v>
      </c>
      <c r="V16" s="360">
        <v>0.76041666666666663</v>
      </c>
    </row>
    <row r="17" spans="1:24" hidden="1" x14ac:dyDescent="0.25">
      <c r="A17" s="483" t="s">
        <v>7582</v>
      </c>
      <c r="B17" t="s">
        <v>4253</v>
      </c>
      <c r="C17" s="28" t="s">
        <v>4218</v>
      </c>
      <c r="D17" s="233">
        <v>46043</v>
      </c>
      <c r="E17" s="28"/>
      <c r="F17" s="28" t="s">
        <v>143</v>
      </c>
      <c r="G17" s="1067" t="s">
        <v>7678</v>
      </c>
      <c r="H17" s="28" t="s">
        <v>7768</v>
      </c>
      <c r="I17" s="798">
        <v>37252</v>
      </c>
      <c r="J17" s="3">
        <f>+I17-ROUND(I17*0.12,0)</f>
        <v>32782</v>
      </c>
      <c r="K17" s="313" t="s">
        <v>17</v>
      </c>
      <c r="L17" s="233">
        <v>46093</v>
      </c>
      <c r="M17" s="88"/>
      <c r="T17" t="s">
        <v>7060</v>
      </c>
      <c r="U17" s="360">
        <v>0.85</v>
      </c>
      <c r="V17" s="360">
        <v>5.2777777777777778E-2</v>
      </c>
    </row>
    <row r="18" spans="1:24" hidden="1" x14ac:dyDescent="0.25">
      <c r="A18" s="483">
        <v>24022026</v>
      </c>
      <c r="B18" t="s">
        <v>2497</v>
      </c>
      <c r="C18" s="28" t="s">
        <v>4218</v>
      </c>
      <c r="D18" s="233">
        <v>46077</v>
      </c>
      <c r="E18" s="28"/>
      <c r="F18" s="28" t="s">
        <v>143</v>
      </c>
      <c r="G18" s="1067" t="s">
        <v>7743</v>
      </c>
      <c r="H18" s="28" t="s">
        <v>7871</v>
      </c>
      <c r="I18" s="798">
        <v>37252</v>
      </c>
      <c r="J18" s="3">
        <f>+I18-ROUND(I18*0.12,0)</f>
        <v>32782</v>
      </c>
      <c r="K18" t="s">
        <v>17</v>
      </c>
      <c r="L18" s="233">
        <v>46112</v>
      </c>
      <c r="M18" s="88"/>
      <c r="T18" t="s">
        <v>4867</v>
      </c>
      <c r="U18" s="360">
        <v>0.76527777777777783</v>
      </c>
      <c r="V18" s="360">
        <v>3.8194444444444441E-2</v>
      </c>
    </row>
    <row r="19" spans="1:24" hidden="1" x14ac:dyDescent="0.25">
      <c r="A19" s="509">
        <v>10062026</v>
      </c>
      <c r="B19" s="21" t="s">
        <v>4253</v>
      </c>
      <c r="C19" s="31" t="s">
        <v>410</v>
      </c>
      <c r="D19" s="510">
        <v>46183</v>
      </c>
      <c r="E19" s="28"/>
      <c r="F19" s="28" t="s">
        <v>143</v>
      </c>
      <c r="G19" s="88" t="s">
        <v>8221</v>
      </c>
      <c r="H19" t="s">
        <v>8220</v>
      </c>
      <c r="I19" s="798">
        <v>42250</v>
      </c>
      <c r="J19" s="3">
        <f>+I19-ROUND(I19*0.12,0)</f>
        <v>37180</v>
      </c>
      <c r="K19" s="1345" t="s">
        <v>17</v>
      </c>
      <c r="L19" s="510">
        <v>46205</v>
      </c>
      <c r="N19" s="798"/>
      <c r="V19" s="21" t="s">
        <v>4983</v>
      </c>
      <c r="W19" s="360">
        <v>0.75138888888888899</v>
      </c>
      <c r="X19" s="360">
        <v>0.96527777777777779</v>
      </c>
    </row>
    <row r="20" spans="1:24" hidden="1" x14ac:dyDescent="0.25">
      <c r="A20" s="483" t="s">
        <v>8315</v>
      </c>
      <c r="B20" t="s">
        <v>2497</v>
      </c>
      <c r="C20" s="31"/>
      <c r="D20" s="233">
        <v>46211</v>
      </c>
      <c r="E20" s="28"/>
      <c r="F20" s="313" t="s">
        <v>143</v>
      </c>
      <c r="G20" s="88" t="s">
        <v>8325</v>
      </c>
      <c r="H20" s="88" t="s">
        <v>8394</v>
      </c>
      <c r="I20" s="313">
        <v>40380</v>
      </c>
      <c r="J20" s="3">
        <f>+I20-ROUND(I20*0.12,0)</f>
        <v>35534</v>
      </c>
      <c r="K20" t="s">
        <v>17</v>
      </c>
      <c r="L20" s="233">
        <v>46255</v>
      </c>
      <c r="N20" s="88"/>
      <c r="O20" s="88"/>
      <c r="W20" s="360"/>
      <c r="X20" s="30"/>
    </row>
    <row r="21" spans="1:24" x14ac:dyDescent="0.25">
      <c r="A21" s="1448" t="s">
        <v>8581</v>
      </c>
      <c r="B21" s="21" t="s">
        <v>2497</v>
      </c>
      <c r="C21" s="31" t="s">
        <v>13</v>
      </c>
      <c r="D21" s="233">
        <v>46267</v>
      </c>
      <c r="E21" s="28"/>
      <c r="F21" s="313" t="s">
        <v>143</v>
      </c>
      <c r="G21" s="88" t="s">
        <v>8666</v>
      </c>
      <c r="H21" t="s">
        <v>8667</v>
      </c>
      <c r="I21" s="915">
        <v>43010</v>
      </c>
      <c r="J21" s="3">
        <f>+I21-ROUND(I21*0.12,0)</f>
        <v>37849</v>
      </c>
      <c r="L21"/>
      <c r="N21" s="558"/>
      <c r="O21" s="88"/>
      <c r="V21" t="s">
        <v>7548</v>
      </c>
      <c r="W21" s="360"/>
      <c r="X21" s="30"/>
    </row>
    <row r="22" spans="1:24" x14ac:dyDescent="0.25">
      <c r="K22" s="1346"/>
    </row>
    <row r="23" spans="1:24" x14ac:dyDescent="0.25">
      <c r="A23" s="483"/>
      <c r="C23" s="28"/>
      <c r="D23" s="233"/>
      <c r="E23" s="28"/>
      <c r="F23" s="28"/>
      <c r="I23" s="798"/>
      <c r="J23" s="88"/>
      <c r="K23" s="1346"/>
      <c r="L23" s="88"/>
      <c r="U23" s="360"/>
      <c r="V23" s="360"/>
    </row>
    <row r="24" spans="1:24" x14ac:dyDescent="0.25">
      <c r="A24" s="256"/>
      <c r="D24" s="233"/>
      <c r="G24" s="30"/>
      <c r="H24" s="30"/>
      <c r="I24" s="61"/>
      <c r="K24" s="1346"/>
      <c r="L24" s="313"/>
      <c r="T24" s="14"/>
      <c r="U24" s="14"/>
      <c r="V24" s="14"/>
    </row>
    <row r="25" spans="1:24" ht="15.75" thickBot="1" x14ac:dyDescent="0.3">
      <c r="A25" s="116"/>
      <c r="C25" s="21"/>
      <c r="D25" s="510"/>
      <c r="E25" s="88"/>
      <c r="F25" s="169"/>
      <c r="G25" s="21"/>
      <c r="J25" s="160"/>
      <c r="K25" s="160"/>
      <c r="L25" s="233"/>
      <c r="O25" s="163"/>
      <c r="P25" s="157"/>
      <c r="Q25" s="157"/>
    </row>
    <row r="26" spans="1:24" ht="15.75" thickBot="1" x14ac:dyDescent="0.3">
      <c r="H26" t="s">
        <v>356</v>
      </c>
      <c r="I26" s="560">
        <f>SUBTOTAL(9,I3:I25)</f>
        <v>43010</v>
      </c>
      <c r="K26" s="1346"/>
    </row>
    <row r="27" spans="1:24" x14ac:dyDescent="0.25">
      <c r="K27" s="1346"/>
      <c r="M27" s="3"/>
    </row>
    <row r="28" spans="1:24" ht="15.75" thickBot="1" x14ac:dyDescent="0.3">
      <c r="K28" s="1346"/>
    </row>
    <row r="29" spans="1:24" ht="40.5" customHeight="1" thickBot="1" x14ac:dyDescent="0.3">
      <c r="A29" s="1547" t="s">
        <v>6681</v>
      </c>
      <c r="B29" s="1548"/>
      <c r="C29" s="1549"/>
      <c r="D29" s="1548"/>
      <c r="E29" s="1548"/>
      <c r="F29" s="1548"/>
      <c r="G29" s="1548"/>
      <c r="H29" s="1551"/>
      <c r="K29" s="1346"/>
    </row>
    <row r="30" spans="1:24" s="28" customFormat="1" x14ac:dyDescent="0.25">
      <c r="B30" s="25" t="s">
        <v>0</v>
      </c>
      <c r="C30" s="25" t="s">
        <v>1</v>
      </c>
      <c r="D30" s="25" t="s">
        <v>2</v>
      </c>
      <c r="E30" s="25"/>
      <c r="F30" s="25" t="s">
        <v>3</v>
      </c>
      <c r="G30" s="25" t="s">
        <v>4</v>
      </c>
      <c r="H30" s="25" t="s">
        <v>5</v>
      </c>
      <c r="I30" s="25" t="s">
        <v>6</v>
      </c>
      <c r="J30" s="25" t="s">
        <v>1780</v>
      </c>
      <c r="K30" s="25" t="s">
        <v>8</v>
      </c>
      <c r="L30" s="25" t="s">
        <v>3998</v>
      </c>
      <c r="M30" s="25" t="s">
        <v>10</v>
      </c>
      <c r="N30" s="1480" t="s">
        <v>11</v>
      </c>
      <c r="O30" s="1480"/>
      <c r="P30" s="1480"/>
      <c r="Q30" s="1480"/>
    </row>
    <row r="31" spans="1:24" hidden="1" x14ac:dyDescent="0.25">
      <c r="A31" s="483" t="s">
        <v>6778</v>
      </c>
      <c r="B31" t="s">
        <v>2497</v>
      </c>
      <c r="C31" s="28" t="s">
        <v>410</v>
      </c>
      <c r="D31" s="233">
        <v>45881</v>
      </c>
      <c r="E31" s="28"/>
      <c r="F31" s="28" t="s">
        <v>143</v>
      </c>
      <c r="G31" s="1067" t="s">
        <v>6836</v>
      </c>
      <c r="H31" s="28" t="s">
        <v>6876</v>
      </c>
      <c r="I31" s="61">
        <v>37252</v>
      </c>
      <c r="J31" s="3">
        <f t="shared" ref="J31:J34" si="2">+I31-ROUND(I31*0.12,0)</f>
        <v>32782</v>
      </c>
      <c r="K31" t="s">
        <v>17</v>
      </c>
      <c r="L31" s="233">
        <v>45902</v>
      </c>
      <c r="M31" s="32"/>
      <c r="T31" t="s">
        <v>6349</v>
      </c>
      <c r="U31" s="360">
        <v>0.37361111111111112</v>
      </c>
      <c r="V31" s="360"/>
    </row>
    <row r="32" spans="1:24" hidden="1" x14ac:dyDescent="0.25">
      <c r="A32" s="483" t="s">
        <v>6877</v>
      </c>
      <c r="B32" t="s">
        <v>2497</v>
      </c>
      <c r="C32" s="28" t="s">
        <v>13</v>
      </c>
      <c r="D32" s="233">
        <v>45904</v>
      </c>
      <c r="E32" s="28"/>
      <c r="F32" s="28" t="s">
        <v>143</v>
      </c>
      <c r="G32" s="1067" t="s">
        <v>6924</v>
      </c>
      <c r="H32" s="28" t="s">
        <v>7050</v>
      </c>
      <c r="I32" s="313">
        <v>37252</v>
      </c>
      <c r="J32" s="3">
        <f t="shared" si="2"/>
        <v>32782</v>
      </c>
      <c r="K32" t="s">
        <v>17</v>
      </c>
      <c r="L32" s="233">
        <v>45930</v>
      </c>
      <c r="M32" s="32"/>
      <c r="T32" t="s">
        <v>4853</v>
      </c>
      <c r="U32" s="360"/>
      <c r="V32" s="360"/>
    </row>
    <row r="33" spans="1:24" hidden="1" x14ac:dyDescent="0.25">
      <c r="A33" s="483" t="s">
        <v>7062</v>
      </c>
      <c r="B33" t="s">
        <v>2497</v>
      </c>
      <c r="C33" s="28" t="s">
        <v>410</v>
      </c>
      <c r="D33" s="233">
        <v>45934</v>
      </c>
      <c r="E33" s="28"/>
      <c r="F33" s="28" t="s">
        <v>143</v>
      </c>
      <c r="G33" s="1067" t="s">
        <v>7112</v>
      </c>
      <c r="H33" s="28" t="s">
        <v>7113</v>
      </c>
      <c r="I33" s="88">
        <v>37252</v>
      </c>
      <c r="J33" s="3">
        <f t="shared" si="2"/>
        <v>32782</v>
      </c>
      <c r="K33" t="s">
        <v>17</v>
      </c>
      <c r="L33" s="233">
        <v>45946</v>
      </c>
      <c r="M33" s="88"/>
      <c r="T33" t="s">
        <v>4983</v>
      </c>
      <c r="U33" s="360">
        <v>0.63888888888888884</v>
      </c>
      <c r="V33" s="360">
        <v>0.86458333333333337</v>
      </c>
    </row>
    <row r="34" spans="1:24" hidden="1" x14ac:dyDescent="0.25">
      <c r="A34" s="483">
        <v>17102025</v>
      </c>
      <c r="B34" t="s">
        <v>7119</v>
      </c>
      <c r="C34" s="28" t="s">
        <v>13</v>
      </c>
      <c r="D34" s="233">
        <v>45947</v>
      </c>
      <c r="E34" s="28"/>
      <c r="F34" s="28" t="s">
        <v>143</v>
      </c>
      <c r="G34" s="1067" t="s">
        <v>7185</v>
      </c>
      <c r="H34" s="28" t="s">
        <v>7284</v>
      </c>
      <c r="I34" s="313">
        <v>37252</v>
      </c>
      <c r="J34" s="3">
        <f t="shared" si="2"/>
        <v>32782</v>
      </c>
      <c r="K34" t="s">
        <v>17</v>
      </c>
      <c r="L34" s="233">
        <v>45981</v>
      </c>
      <c r="M34" s="88"/>
      <c r="T34" t="s">
        <v>4297</v>
      </c>
      <c r="U34" s="360"/>
      <c r="V34" s="360"/>
    </row>
    <row r="35" spans="1:24" hidden="1" x14ac:dyDescent="0.25">
      <c r="A35" s="483">
        <v>29102025</v>
      </c>
      <c r="B35" t="s">
        <v>2497</v>
      </c>
      <c r="C35" s="28" t="s">
        <v>13</v>
      </c>
      <c r="D35" s="233">
        <v>45959</v>
      </c>
      <c r="E35" s="28"/>
      <c r="F35" s="28" t="s">
        <v>143</v>
      </c>
      <c r="G35" s="1067" t="s">
        <v>7215</v>
      </c>
      <c r="H35" s="28" t="s">
        <v>7355</v>
      </c>
      <c r="I35" s="798">
        <v>37252</v>
      </c>
      <c r="J35" s="3">
        <f>+I35-ROUND(I35*0.12,0)</f>
        <v>32782</v>
      </c>
      <c r="K35" t="s">
        <v>17</v>
      </c>
      <c r="L35" s="233">
        <v>46007</v>
      </c>
      <c r="M35" s="88"/>
      <c r="T35" t="s">
        <v>7140</v>
      </c>
      <c r="U35" s="360"/>
      <c r="V35" s="360"/>
    </row>
    <row r="36" spans="1:24" hidden="1" x14ac:dyDescent="0.25">
      <c r="A36" s="483" t="s">
        <v>7505</v>
      </c>
      <c r="B36" t="s">
        <v>2497</v>
      </c>
      <c r="C36" s="233" t="s">
        <v>410</v>
      </c>
      <c r="D36" s="233">
        <v>46029</v>
      </c>
      <c r="E36" s="28"/>
      <c r="F36" s="28" t="s">
        <v>143</v>
      </c>
      <c r="G36" t="s">
        <v>7520</v>
      </c>
      <c r="H36" s="28" t="s">
        <v>7606</v>
      </c>
      <c r="I36" s="798">
        <v>37252</v>
      </c>
      <c r="J36" s="3">
        <f>+I36-ROUND(I36*0.12,0)</f>
        <v>32782</v>
      </c>
      <c r="K36" s="88" t="s">
        <v>17</v>
      </c>
      <c r="L36" s="233">
        <v>46055</v>
      </c>
      <c r="T36" t="s">
        <v>7506</v>
      </c>
      <c r="U36" s="360">
        <v>0.34583333333333338</v>
      </c>
      <c r="V36" s="360"/>
    </row>
    <row r="37" spans="1:24" hidden="1" x14ac:dyDescent="0.25">
      <c r="A37" s="483" t="s">
        <v>7778</v>
      </c>
      <c r="B37" s="33" t="s">
        <v>2497</v>
      </c>
      <c r="C37" s="28" t="s">
        <v>13</v>
      </c>
      <c r="D37" s="233">
        <v>46084</v>
      </c>
      <c r="E37" s="28"/>
      <c r="F37" s="28" t="s">
        <v>143</v>
      </c>
      <c r="G37" s="1067" t="s">
        <v>7845</v>
      </c>
      <c r="H37" s="28" t="s">
        <v>7835</v>
      </c>
      <c r="I37" s="915">
        <v>37252</v>
      </c>
      <c r="J37" s="3">
        <f>+I37-ROUND(I37*0.12,0)</f>
        <v>32782</v>
      </c>
      <c r="K37" t="s">
        <v>17</v>
      </c>
      <c r="L37" s="233">
        <v>46108</v>
      </c>
      <c r="M37" s="88"/>
      <c r="T37" s="33" t="s">
        <v>4297</v>
      </c>
      <c r="U37" s="360">
        <v>0.57291666666666663</v>
      </c>
      <c r="V37" s="360"/>
    </row>
    <row r="38" spans="1:24" hidden="1" x14ac:dyDescent="0.25">
      <c r="A38" s="483">
        <v>29052026</v>
      </c>
      <c r="B38" t="s">
        <v>2497</v>
      </c>
      <c r="C38" s="28" t="s">
        <v>410</v>
      </c>
      <c r="D38" s="233">
        <v>46171</v>
      </c>
      <c r="E38" s="28"/>
      <c r="F38" s="28" t="s">
        <v>143</v>
      </c>
      <c r="G38" s="88" t="s">
        <v>8222</v>
      </c>
      <c r="H38" s="28" t="s">
        <v>8223</v>
      </c>
      <c r="I38" s="915">
        <v>37252</v>
      </c>
      <c r="J38" s="3">
        <f>+I38-ROUND(I38*0.12,0)</f>
        <v>32782</v>
      </c>
      <c r="K38" s="1345" t="s">
        <v>17</v>
      </c>
      <c r="L38" s="510">
        <v>46205</v>
      </c>
      <c r="M38" s="798"/>
      <c r="N38" s="798"/>
      <c r="V38" t="s">
        <v>4983</v>
      </c>
      <c r="W38" s="360" t="s">
        <v>8164</v>
      </c>
      <c r="X38" s="360"/>
    </row>
    <row r="39" spans="1:24" ht="15.75" thickBot="1" x14ac:dyDescent="0.3"/>
    <row r="40" spans="1:24" ht="15.75" thickBot="1" x14ac:dyDescent="0.3">
      <c r="H40" t="s">
        <v>356</v>
      </c>
      <c r="I40" s="560">
        <f>SUBTOTAL(9,I31:I39)</f>
        <v>0</v>
      </c>
    </row>
    <row r="44" spans="1:24" ht="15.75" thickBot="1" x14ac:dyDescent="0.3"/>
    <row r="45" spans="1:24" ht="15.75" thickBot="1" x14ac:dyDescent="0.3">
      <c r="H45" t="s">
        <v>4480</v>
      </c>
      <c r="I45" s="560">
        <f>+I26+I40</f>
        <v>43010</v>
      </c>
    </row>
    <row r="47" spans="1:24" x14ac:dyDescent="0.25">
      <c r="J47" s="61"/>
      <c r="K47" t="s">
        <v>6682</v>
      </c>
      <c r="M47" s="28" t="s">
        <v>2468</v>
      </c>
    </row>
    <row r="48" spans="1:24" x14ac:dyDescent="0.25">
      <c r="J48" s="61" t="s">
        <v>219</v>
      </c>
      <c r="K48" s="32">
        <v>298016</v>
      </c>
      <c r="L48" s="28">
        <v>8</v>
      </c>
      <c r="M48" s="122">
        <v>45806</v>
      </c>
    </row>
    <row r="49" spans="10:13" x14ac:dyDescent="0.25">
      <c r="J49" s="61" t="s">
        <v>2048</v>
      </c>
      <c r="K49" s="32">
        <v>298016</v>
      </c>
      <c r="L49" s="28">
        <f>+K49/37252</f>
        <v>8</v>
      </c>
      <c r="M49" s="122">
        <f>+M48</f>
        <v>45806</v>
      </c>
    </row>
    <row r="50" spans="10:13" x14ac:dyDescent="0.25">
      <c r="J50" s="513" t="s">
        <v>2128</v>
      </c>
      <c r="K50" s="345">
        <f>+K48-K49</f>
        <v>0</v>
      </c>
      <c r="L50" s="344">
        <f>+L48-L49</f>
        <v>0</v>
      </c>
    </row>
  </sheetData>
  <autoFilter ref="A2:U51" xr:uid="{00000000-0009-0000-0000-00001F000000}">
    <filterColumn colId="10">
      <filters blank="1">
        <filter val="-"/>
        <filter val="298,016.00"/>
        <filter val="CONTRATO N° 32-2025-HRL-ULO"/>
        <filter val="STATUS"/>
      </filters>
    </filterColumn>
    <filterColumn colId="13" showButton="0"/>
    <filterColumn colId="14" showButton="0"/>
    <filterColumn colId="15" showButton="0"/>
  </autoFilter>
  <mergeCells count="3">
    <mergeCell ref="N2:Q2"/>
    <mergeCell ref="A29:H29"/>
    <mergeCell ref="N30:Q3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84" r:id="rId4" name="Button 1">
              <controlPr defaultSize="0" print="0" autoFill="0" autoPict="0" macro="[0]!RETORNAR">
                <anchor moveWithCells="1" sizeWithCells="1">
                  <from>
                    <xdr:col>0</xdr:col>
                    <xdr:colOff>38100</xdr:colOff>
                    <xdr:row>0</xdr:row>
                    <xdr:rowOff>47625</xdr:rowOff>
                  </from>
                  <to>
                    <xdr:col>1</xdr:col>
                    <xdr:colOff>1095375</xdr:colOff>
                    <xdr:row>0</xdr:row>
                    <xdr:rowOff>314325</xdr:rowOff>
                  </to>
                </anchor>
              </controlPr>
            </control>
          </mc:Choice>
        </mc:AlternateContent>
        <mc:AlternateContent xmlns:mc="http://schemas.openxmlformats.org/markup-compatibility/2006">
          <mc:Choice Requires="x14">
            <control shapeId="583692" r:id="rId5" name="Botón 12">
              <controlPr defaultSize="0" print="0" autoFill="0" autoPict="0" macro="[0]!IR_VENTAS_B200_2026">
                <anchor moveWithCells="1" sizeWithCells="1">
                  <from>
                    <xdr:col>1</xdr:col>
                    <xdr:colOff>123825</xdr:colOff>
                    <xdr:row>51</xdr:row>
                    <xdr:rowOff>0</xdr:rowOff>
                  </from>
                  <to>
                    <xdr:col>1</xdr:col>
                    <xdr:colOff>1428750</xdr:colOff>
                    <xdr:row>53</xdr:row>
                    <xdr:rowOff>66675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14" filterMode="1"/>
  <dimension ref="A1:XEZ176"/>
  <sheetViews>
    <sheetView topLeftCell="A137" zoomScale="91" zoomScaleNormal="91" workbookViewId="0">
      <selection activeCell="G93" sqref="G93"/>
    </sheetView>
  </sheetViews>
  <sheetFormatPr baseColWidth="10" defaultColWidth="10.85546875" defaultRowHeight="15" x14ac:dyDescent="0.25"/>
  <cols>
    <col min="1" max="1" width="17.42578125" customWidth="1"/>
    <col min="2" max="2" width="15.28515625" customWidth="1"/>
    <col min="6" max="6" width="57.140625" customWidth="1"/>
    <col min="7" max="7" width="22.7109375" style="30" customWidth="1"/>
    <col min="8" max="8" width="28.42578125" bestFit="1" customWidth="1"/>
    <col min="9" max="9" width="11.140625" bestFit="1" customWidth="1"/>
    <col min="10" max="10" width="14.28515625" customWidth="1"/>
    <col min="16" max="16" width="12" bestFit="1" customWidth="1"/>
  </cols>
  <sheetData>
    <row r="1" spans="1:17" ht="35.1" customHeight="1" x14ac:dyDescent="0.25"/>
    <row r="2" spans="1:17" x14ac:dyDescent="0.25">
      <c r="A2" s="1" t="s">
        <v>0</v>
      </c>
      <c r="B2" s="1" t="s">
        <v>1</v>
      </c>
      <c r="C2" s="1" t="s">
        <v>2</v>
      </c>
      <c r="D2" s="1"/>
      <c r="E2" s="1" t="s">
        <v>3</v>
      </c>
      <c r="F2" s="1" t="s">
        <v>4</v>
      </c>
      <c r="G2" s="115" t="s">
        <v>5</v>
      </c>
      <c r="H2" s="1" t="s">
        <v>6</v>
      </c>
      <c r="I2" s="1" t="s">
        <v>1780</v>
      </c>
      <c r="J2" s="1" t="s">
        <v>8</v>
      </c>
      <c r="K2" s="1" t="s">
        <v>3998</v>
      </c>
      <c r="L2" s="1" t="s">
        <v>10</v>
      </c>
      <c r="M2" s="1480" t="s">
        <v>11</v>
      </c>
      <c r="N2" s="1480"/>
      <c r="O2" s="1480"/>
      <c r="P2" s="1480"/>
    </row>
    <row r="3" spans="1:17" hidden="1" x14ac:dyDescent="0.25">
      <c r="A3" t="s">
        <v>298</v>
      </c>
      <c r="B3" t="s">
        <v>67</v>
      </c>
      <c r="C3" s="122">
        <v>44442</v>
      </c>
      <c r="D3">
        <v>5</v>
      </c>
      <c r="E3" t="s">
        <v>236</v>
      </c>
      <c r="F3" t="s">
        <v>299</v>
      </c>
      <c r="G3" s="30" t="s">
        <v>764</v>
      </c>
      <c r="H3" s="3">
        <v>55879</v>
      </c>
      <c r="I3">
        <f>+H3*0.03</f>
        <v>1676.37</v>
      </c>
      <c r="J3" t="s">
        <v>17</v>
      </c>
      <c r="K3" s="122">
        <v>44484</v>
      </c>
      <c r="L3" s="3">
        <f>+H3-I3</f>
        <v>54202.63</v>
      </c>
      <c r="M3">
        <f>+H4*0.1*2</f>
        <v>11175.800000000001</v>
      </c>
      <c r="N3">
        <v>1676.37</v>
      </c>
      <c r="O3" s="3" t="s">
        <v>767</v>
      </c>
      <c r="P3" s="3"/>
    </row>
    <row r="4" spans="1:17" hidden="1" x14ac:dyDescent="0.25">
      <c r="A4" t="s">
        <v>298</v>
      </c>
      <c r="B4" t="s">
        <v>67</v>
      </c>
      <c r="C4" s="122">
        <v>44469</v>
      </c>
      <c r="D4">
        <v>5</v>
      </c>
      <c r="E4" t="s">
        <v>236</v>
      </c>
      <c r="F4" t="s">
        <v>300</v>
      </c>
      <c r="G4" s="30" t="s">
        <v>765</v>
      </c>
      <c r="H4" s="3">
        <v>55879</v>
      </c>
      <c r="I4">
        <f>+H4*0.03</f>
        <v>1676.37</v>
      </c>
      <c r="J4" t="s">
        <v>17</v>
      </c>
      <c r="K4" s="122">
        <v>44509</v>
      </c>
      <c r="L4" s="3"/>
      <c r="M4" s="3">
        <f>+H4*0.77</f>
        <v>43026.83</v>
      </c>
      <c r="N4">
        <v>1676.37</v>
      </c>
      <c r="O4" s="3" t="s">
        <v>767</v>
      </c>
      <c r="P4" s="3"/>
      <c r="Q4" s="3"/>
    </row>
    <row r="5" spans="1:17" hidden="1" x14ac:dyDescent="0.25">
      <c r="A5" t="s">
        <v>298</v>
      </c>
      <c r="B5" t="s">
        <v>67</v>
      </c>
      <c r="C5" s="122">
        <v>44476</v>
      </c>
      <c r="D5">
        <v>5</v>
      </c>
      <c r="E5" t="s">
        <v>236</v>
      </c>
      <c r="F5" t="s">
        <v>301</v>
      </c>
      <c r="G5" s="30" t="s">
        <v>766</v>
      </c>
      <c r="H5" s="3">
        <v>55879</v>
      </c>
      <c r="I5">
        <f>+H5*0.03</f>
        <v>1676.37</v>
      </c>
      <c r="J5" t="s">
        <v>17</v>
      </c>
      <c r="K5" s="122">
        <v>44509</v>
      </c>
      <c r="L5" s="3">
        <v>91641.56</v>
      </c>
      <c r="M5" s="3">
        <f>+H5*0.87</f>
        <v>48614.73</v>
      </c>
      <c r="N5">
        <v>1676.37</v>
      </c>
      <c r="O5" s="3" t="s">
        <v>767</v>
      </c>
      <c r="P5" s="3"/>
      <c r="Q5" s="29"/>
    </row>
    <row r="6" spans="1:17" hidden="1" x14ac:dyDescent="0.25">
      <c r="A6" t="s">
        <v>298</v>
      </c>
      <c r="B6" t="s">
        <v>67</v>
      </c>
      <c r="C6" s="122">
        <v>44505</v>
      </c>
      <c r="D6">
        <v>5</v>
      </c>
      <c r="E6" t="s">
        <v>236</v>
      </c>
      <c r="F6" t="s">
        <v>302</v>
      </c>
      <c r="G6" s="30" t="s">
        <v>412</v>
      </c>
      <c r="H6" s="3">
        <v>55879</v>
      </c>
      <c r="I6">
        <f>+H6*0.03</f>
        <v>1676.37</v>
      </c>
      <c r="J6" t="s">
        <v>17</v>
      </c>
      <c r="K6" s="122">
        <v>44575</v>
      </c>
      <c r="L6" s="3">
        <f>+H6-I6</f>
        <v>54202.63</v>
      </c>
      <c r="M6">
        <f>+H6*0.87</f>
        <v>48614.73</v>
      </c>
      <c r="N6">
        <v>1676.37</v>
      </c>
      <c r="P6" s="3"/>
      <c r="Q6" s="29"/>
    </row>
    <row r="7" spans="1:17" x14ac:dyDescent="0.25">
      <c r="C7" s="122"/>
      <c r="H7" s="3"/>
      <c r="I7" s="4"/>
      <c r="J7" s="13"/>
      <c r="K7" s="122"/>
      <c r="L7" s="4"/>
      <c r="M7" s="3"/>
      <c r="P7" s="3"/>
      <c r="Q7" s="29"/>
    </row>
    <row r="8" spans="1:17" hidden="1" x14ac:dyDescent="0.25">
      <c r="A8" t="s">
        <v>298</v>
      </c>
      <c r="B8" t="s">
        <v>67</v>
      </c>
      <c r="C8" s="122">
        <v>44531</v>
      </c>
      <c r="D8">
        <v>5</v>
      </c>
      <c r="E8" t="s">
        <v>236</v>
      </c>
      <c r="F8" t="s">
        <v>358</v>
      </c>
      <c r="G8" s="30" t="s">
        <v>737</v>
      </c>
      <c r="H8" s="3">
        <v>55879</v>
      </c>
      <c r="I8" s="4"/>
      <c r="J8" s="16" t="s">
        <v>17</v>
      </c>
      <c r="K8" s="122">
        <v>44663</v>
      </c>
      <c r="L8" t="s">
        <v>388</v>
      </c>
      <c r="M8">
        <f>+H8*0.88</f>
        <v>49173.52</v>
      </c>
    </row>
    <row r="9" spans="1:17" x14ac:dyDescent="0.25">
      <c r="C9" s="2"/>
      <c r="H9" s="3"/>
      <c r="I9" s="4"/>
      <c r="J9" s="13"/>
      <c r="K9" s="2"/>
    </row>
    <row r="10" spans="1:17" x14ac:dyDescent="0.25">
      <c r="G10" s="30" t="s">
        <v>359</v>
      </c>
      <c r="H10" s="9">
        <v>0</v>
      </c>
      <c r="P10" s="3"/>
    </row>
    <row r="11" spans="1:17" x14ac:dyDescent="0.25">
      <c r="L11" s="3"/>
    </row>
    <row r="12" spans="1:17" hidden="1" x14ac:dyDescent="0.25">
      <c r="A12" s="115">
        <v>22072022</v>
      </c>
      <c r="B12" s="169" t="s">
        <v>1040</v>
      </c>
      <c r="C12" s="21" t="s">
        <v>693</v>
      </c>
      <c r="D12" s="1577">
        <v>44764</v>
      </c>
      <c r="E12" s="1579" t="s">
        <v>236</v>
      </c>
      <c r="F12" s="163" t="s">
        <v>1262</v>
      </c>
      <c r="G12" s="368" t="s">
        <v>1084</v>
      </c>
      <c r="H12" s="159">
        <v>39800</v>
      </c>
      <c r="I12" s="159"/>
      <c r="J12" s="32" t="s">
        <v>297</v>
      </c>
      <c r="K12" s="122">
        <v>44785</v>
      </c>
      <c r="O12" s="163" t="s">
        <v>1042</v>
      </c>
      <c r="P12" s="14">
        <v>0.67291666666666661</v>
      </c>
    </row>
    <row r="13" spans="1:17" hidden="1" x14ac:dyDescent="0.25">
      <c r="A13" s="115"/>
      <c r="B13" s="169"/>
      <c r="C13" s="21"/>
      <c r="D13" s="1577"/>
      <c r="E13" s="1579"/>
      <c r="F13" s="163" t="s">
        <v>1132</v>
      </c>
      <c r="G13" s="368" t="s">
        <v>1105</v>
      </c>
      <c r="H13" s="159">
        <v>22740</v>
      </c>
      <c r="I13" s="159"/>
      <c r="J13" s="32" t="s">
        <v>297</v>
      </c>
      <c r="K13" s="122">
        <v>44813</v>
      </c>
      <c r="O13" s="163"/>
      <c r="P13" s="14"/>
    </row>
    <row r="14" spans="1:17" hidden="1" x14ac:dyDescent="0.25">
      <c r="A14" s="115"/>
      <c r="B14" s="169"/>
      <c r="C14" s="21"/>
      <c r="D14" s="1580">
        <v>44783</v>
      </c>
      <c r="E14" s="1579" t="s">
        <v>236</v>
      </c>
      <c r="F14" s="163" t="s">
        <v>1214</v>
      </c>
      <c r="G14" s="368" t="s">
        <v>1136</v>
      </c>
      <c r="H14" s="159">
        <v>39800</v>
      </c>
      <c r="I14" s="159"/>
      <c r="J14" s="32" t="s">
        <v>297</v>
      </c>
      <c r="K14" s="122">
        <v>44813</v>
      </c>
      <c r="O14" s="163"/>
      <c r="P14" s="14"/>
    </row>
    <row r="15" spans="1:17" s="21" customFormat="1" hidden="1" x14ac:dyDescent="0.25">
      <c r="A15" s="168" t="s">
        <v>1092</v>
      </c>
      <c r="B15" s="169" t="s">
        <v>1093</v>
      </c>
      <c r="C15" s="21" t="s">
        <v>693</v>
      </c>
      <c r="D15" s="1580"/>
      <c r="E15" s="1579"/>
      <c r="F15" s="163" t="s">
        <v>1131</v>
      </c>
      <c r="G15" s="368" t="s">
        <v>1137</v>
      </c>
      <c r="H15" s="159">
        <v>22740</v>
      </c>
      <c r="I15" s="159"/>
      <c r="J15" s="32" t="s">
        <v>297</v>
      </c>
      <c r="K15" s="122">
        <v>44813</v>
      </c>
      <c r="O15" s="163" t="s">
        <v>652</v>
      </c>
      <c r="P15" s="157">
        <v>0.31597222222222221</v>
      </c>
      <c r="Q15" s="157">
        <v>0.62013888888888891</v>
      </c>
    </row>
    <row r="16" spans="1:17" s="21" customFormat="1" hidden="1" x14ac:dyDescent="0.25">
      <c r="A16" s="168"/>
      <c r="B16" s="169"/>
      <c r="D16" s="1580">
        <v>44786</v>
      </c>
      <c r="E16" s="1579" t="s">
        <v>236</v>
      </c>
      <c r="F16" s="163" t="s">
        <v>1235</v>
      </c>
      <c r="G16" s="368" t="s">
        <v>1237</v>
      </c>
      <c r="H16" s="159">
        <v>39800</v>
      </c>
      <c r="I16"/>
      <c r="J16" s="181" t="s">
        <v>297</v>
      </c>
      <c r="K16" s="122">
        <v>44830</v>
      </c>
      <c r="O16" s="163"/>
      <c r="P16" s="157"/>
      <c r="Q16" s="157"/>
    </row>
    <row r="17" spans="1:22" hidden="1" x14ac:dyDescent="0.25">
      <c r="A17" s="116">
        <v>13082022</v>
      </c>
      <c r="B17" s="169" t="s">
        <v>1093</v>
      </c>
      <c r="C17" s="21" t="s">
        <v>410</v>
      </c>
      <c r="D17" s="1580"/>
      <c r="E17" s="1579"/>
      <c r="F17" s="163" t="s">
        <v>1236</v>
      </c>
      <c r="G17" s="368" t="s">
        <v>1238</v>
      </c>
      <c r="H17" s="159">
        <v>22740</v>
      </c>
      <c r="J17" s="181" t="s">
        <v>297</v>
      </c>
      <c r="K17" s="122">
        <v>44830</v>
      </c>
      <c r="O17" s="163" t="s">
        <v>651</v>
      </c>
      <c r="P17" s="157">
        <v>0.39930555555555558</v>
      </c>
      <c r="Q17" s="157">
        <v>0.68125000000000002</v>
      </c>
    </row>
    <row r="18" spans="1:22" hidden="1" x14ac:dyDescent="0.25">
      <c r="A18" s="115">
        <v>21092022</v>
      </c>
      <c r="B18" s="169" t="s">
        <v>1261</v>
      </c>
      <c r="C18" s="169" t="s">
        <v>693</v>
      </c>
      <c r="D18" s="1577">
        <v>44825</v>
      </c>
      <c r="E18" s="1579" t="s">
        <v>236</v>
      </c>
      <c r="F18" s="163" t="s">
        <v>1353</v>
      </c>
      <c r="G18" s="169" t="s">
        <v>1323</v>
      </c>
      <c r="H18" s="159">
        <v>39800</v>
      </c>
      <c r="J18" s="88" t="s">
        <v>297</v>
      </c>
      <c r="K18" s="122">
        <v>44852</v>
      </c>
      <c r="O18" s="21" t="s">
        <v>929</v>
      </c>
      <c r="P18" s="157"/>
      <c r="Q18" s="21"/>
    </row>
    <row r="19" spans="1:22" hidden="1" x14ac:dyDescent="0.25">
      <c r="A19" s="115"/>
      <c r="B19" s="169"/>
      <c r="C19" s="169"/>
      <c r="D19" s="1577"/>
      <c r="E19" s="1579"/>
      <c r="F19" s="163" t="s">
        <v>1311</v>
      </c>
      <c r="G19" s="169" t="s">
        <v>1312</v>
      </c>
      <c r="H19" s="159">
        <v>22740</v>
      </c>
      <c r="J19" s="88" t="s">
        <v>297</v>
      </c>
      <c r="K19" s="122">
        <v>44845</v>
      </c>
      <c r="O19" s="21"/>
      <c r="P19" s="157"/>
      <c r="Q19" s="21"/>
    </row>
    <row r="20" spans="1:22" hidden="1" x14ac:dyDescent="0.25">
      <c r="A20" s="115">
        <v>21092022</v>
      </c>
      <c r="B20" s="169" t="s">
        <v>1261</v>
      </c>
      <c r="C20" s="169" t="s">
        <v>410</v>
      </c>
      <c r="D20" s="1577">
        <v>44828</v>
      </c>
      <c r="E20" s="1579" t="s">
        <v>236</v>
      </c>
      <c r="F20" s="163" t="s">
        <v>1354</v>
      </c>
      <c r="G20" s="169" t="s">
        <v>1360</v>
      </c>
      <c r="H20" s="159">
        <v>39800</v>
      </c>
      <c r="J20" s="88" t="s">
        <v>297</v>
      </c>
      <c r="K20" s="122">
        <v>44853</v>
      </c>
      <c r="O20" s="21" t="s">
        <v>929</v>
      </c>
      <c r="P20" s="157"/>
      <c r="Q20" s="21"/>
    </row>
    <row r="21" spans="1:22" hidden="1" x14ac:dyDescent="0.25">
      <c r="A21" s="115"/>
      <c r="B21" s="169"/>
      <c r="C21" s="169"/>
      <c r="D21" s="1577"/>
      <c r="E21" s="1579"/>
      <c r="F21" s="163" t="s">
        <v>1355</v>
      </c>
      <c r="G21" s="169" t="s">
        <v>1361</v>
      </c>
      <c r="H21" s="159">
        <v>22740</v>
      </c>
      <c r="J21" s="88" t="s">
        <v>297</v>
      </c>
      <c r="K21" s="122">
        <v>44853</v>
      </c>
      <c r="O21" s="21"/>
      <c r="P21" s="157"/>
      <c r="Q21" s="21"/>
    </row>
    <row r="22" spans="1:22" hidden="1" x14ac:dyDescent="0.25">
      <c r="A22" s="116" t="s">
        <v>1318</v>
      </c>
      <c r="B22" s="169" t="s">
        <v>1335</v>
      </c>
      <c r="C22" s="169" t="s">
        <v>693</v>
      </c>
      <c r="D22" s="122">
        <v>44839</v>
      </c>
      <c r="E22" s="1579" t="s">
        <v>236</v>
      </c>
      <c r="F22" s="163" t="s">
        <v>1407</v>
      </c>
      <c r="G22" s="169" t="s">
        <v>1410</v>
      </c>
      <c r="H22" s="159">
        <v>39800</v>
      </c>
      <c r="J22" s="88" t="s">
        <v>297</v>
      </c>
      <c r="K22" s="122">
        <v>44862</v>
      </c>
      <c r="O22" s="21" t="s">
        <v>1029</v>
      </c>
      <c r="P22" s="157">
        <v>0.34236111111111112</v>
      </c>
      <c r="Q22" s="21"/>
    </row>
    <row r="23" spans="1:22" hidden="1" x14ac:dyDescent="0.25">
      <c r="A23" s="115"/>
      <c r="B23" s="169"/>
      <c r="C23" s="169"/>
      <c r="D23" s="122"/>
      <c r="E23" s="1579"/>
      <c r="F23" s="163" t="s">
        <v>1408</v>
      </c>
      <c r="G23" s="169" t="s">
        <v>1411</v>
      </c>
      <c r="H23" s="159">
        <v>22740</v>
      </c>
      <c r="J23" s="88" t="s">
        <v>297</v>
      </c>
      <c r="K23" s="122">
        <v>44862</v>
      </c>
      <c r="O23" s="21"/>
      <c r="P23" s="157"/>
      <c r="Q23" s="21"/>
    </row>
    <row r="24" spans="1:22" hidden="1" x14ac:dyDescent="0.25">
      <c r="A24" s="256">
        <v>16062023</v>
      </c>
      <c r="B24" t="s">
        <v>2129</v>
      </c>
      <c r="C24" t="s">
        <v>13</v>
      </c>
      <c r="D24" s="122">
        <v>45093</v>
      </c>
      <c r="E24" s="28" t="s">
        <v>236</v>
      </c>
      <c r="F24" s="30" t="s">
        <v>3124</v>
      </c>
      <c r="G24" s="169" t="s">
        <v>3421</v>
      </c>
      <c r="H24" s="159">
        <v>39600</v>
      </c>
      <c r="I24" s="61">
        <f t="shared" ref="I24:I39" si="0">+H24*0.88</f>
        <v>34848</v>
      </c>
      <c r="J24" s="88" t="s">
        <v>17</v>
      </c>
      <c r="K24" s="122">
        <v>45301</v>
      </c>
      <c r="L24" s="32"/>
      <c r="T24" t="s">
        <v>916</v>
      </c>
      <c r="U24" s="14">
        <v>0.7090277777777777</v>
      </c>
      <c r="V24" s="14">
        <v>0.51597222222222217</v>
      </c>
    </row>
    <row r="25" spans="1:22" hidden="1" x14ac:dyDescent="0.25">
      <c r="A25" s="256"/>
      <c r="D25" s="122"/>
      <c r="E25" s="28"/>
      <c r="F25" s="30" t="s">
        <v>2723</v>
      </c>
      <c r="G25" s="210" t="s">
        <v>2770</v>
      </c>
      <c r="H25" s="61">
        <v>22940</v>
      </c>
      <c r="I25" s="61">
        <f t="shared" si="0"/>
        <v>20187.2</v>
      </c>
      <c r="J25" s="88" t="s">
        <v>297</v>
      </c>
      <c r="K25" s="122">
        <v>45163</v>
      </c>
      <c r="L25" s="32"/>
      <c r="U25" s="14"/>
      <c r="V25" s="14"/>
    </row>
    <row r="26" spans="1:22" hidden="1" x14ac:dyDescent="0.25">
      <c r="A26" s="256" t="s">
        <v>2584</v>
      </c>
      <c r="B26" t="s">
        <v>2129</v>
      </c>
      <c r="C26" t="s">
        <v>13</v>
      </c>
      <c r="D26" s="122">
        <v>45109</v>
      </c>
      <c r="E26" s="28" t="s">
        <v>236</v>
      </c>
      <c r="F26" s="30" t="s">
        <v>2963</v>
      </c>
      <c r="G26" s="30" t="s">
        <v>2958</v>
      </c>
      <c r="H26" s="159">
        <v>39600</v>
      </c>
      <c r="I26" s="61">
        <f t="shared" si="0"/>
        <v>34848</v>
      </c>
      <c r="J26" s="88" t="s">
        <v>17</v>
      </c>
      <c r="K26" s="122">
        <v>45208</v>
      </c>
      <c r="L26" s="32"/>
      <c r="T26" s="14" t="s">
        <v>1816</v>
      </c>
      <c r="U26" s="14">
        <v>0.3298611111111111</v>
      </c>
      <c r="V26" s="14">
        <v>0.67361111111111116</v>
      </c>
    </row>
    <row r="27" spans="1:22" hidden="1" x14ac:dyDescent="0.25">
      <c r="A27" s="256"/>
      <c r="D27" s="122"/>
      <c r="E27" s="28"/>
      <c r="F27" s="30" t="s">
        <v>2962</v>
      </c>
      <c r="G27" s="30" t="s">
        <v>2959</v>
      </c>
      <c r="H27" s="61">
        <v>22940</v>
      </c>
      <c r="I27" s="61">
        <f t="shared" si="0"/>
        <v>20187.2</v>
      </c>
      <c r="J27" s="88" t="s">
        <v>17</v>
      </c>
      <c r="K27" s="122">
        <v>45208</v>
      </c>
      <c r="L27" s="32"/>
      <c r="T27" s="14"/>
      <c r="U27" s="14"/>
      <c r="V27" s="14"/>
    </row>
    <row r="28" spans="1:22" hidden="1" x14ac:dyDescent="0.25">
      <c r="A28" s="256">
        <v>13072023</v>
      </c>
      <c r="B28" t="s">
        <v>2129</v>
      </c>
      <c r="C28" t="s">
        <v>13</v>
      </c>
      <c r="D28" s="122">
        <v>45120</v>
      </c>
      <c r="E28" s="28" t="s">
        <v>236</v>
      </c>
      <c r="F28" s="30" t="s">
        <v>2964</v>
      </c>
      <c r="G28" s="30" t="s">
        <v>2960</v>
      </c>
      <c r="H28" s="159">
        <v>39600</v>
      </c>
      <c r="I28" s="61">
        <f t="shared" si="0"/>
        <v>34848</v>
      </c>
      <c r="J28" s="88" t="s">
        <v>17</v>
      </c>
      <c r="K28" s="122">
        <v>45208</v>
      </c>
      <c r="L28" s="32"/>
      <c r="T28" s="14" t="s">
        <v>916</v>
      </c>
      <c r="U28" s="14">
        <v>0.28888888888888892</v>
      </c>
      <c r="V28" s="14"/>
    </row>
    <row r="29" spans="1:22" hidden="1" x14ac:dyDescent="0.25">
      <c r="A29" s="256"/>
      <c r="D29" s="122"/>
      <c r="E29" s="28"/>
      <c r="F29" s="30" t="s">
        <v>2965</v>
      </c>
      <c r="G29" s="30" t="s">
        <v>2961</v>
      </c>
      <c r="H29" s="61">
        <v>22940</v>
      </c>
      <c r="I29" s="61">
        <f t="shared" si="0"/>
        <v>20187.2</v>
      </c>
      <c r="J29" s="88" t="s">
        <v>17</v>
      </c>
      <c r="K29" s="122">
        <v>45208</v>
      </c>
      <c r="L29" s="32"/>
      <c r="T29" s="14"/>
      <c r="U29" s="14"/>
      <c r="V29" s="14"/>
    </row>
    <row r="30" spans="1:22" hidden="1" x14ac:dyDescent="0.25">
      <c r="A30" s="256"/>
      <c r="D30" s="122"/>
      <c r="E30" s="28"/>
      <c r="F30" t="s">
        <v>2841</v>
      </c>
      <c r="G30" s="30" t="s">
        <v>2846</v>
      </c>
      <c r="H30" s="368">
        <v>39600</v>
      </c>
      <c r="I30" s="61">
        <f t="shared" si="0"/>
        <v>34848</v>
      </c>
      <c r="J30" s="122" t="s">
        <v>17</v>
      </c>
      <c r="K30" s="122">
        <v>45187</v>
      </c>
      <c r="L30" s="32" t="s">
        <v>388</v>
      </c>
      <c r="T30" s="14"/>
      <c r="U30" s="14"/>
      <c r="V30" s="14"/>
    </row>
    <row r="31" spans="1:22" hidden="1" x14ac:dyDescent="0.25">
      <c r="A31" s="95">
        <v>17072023</v>
      </c>
      <c r="B31" t="s">
        <v>2630</v>
      </c>
      <c r="C31" t="s">
        <v>13</v>
      </c>
      <c r="D31" s="122">
        <v>45124</v>
      </c>
      <c r="E31" s="28" t="s">
        <v>236</v>
      </c>
      <c r="F31" t="s">
        <v>2841</v>
      </c>
      <c r="G31" s="30" t="s">
        <v>2845</v>
      </c>
      <c r="H31" s="176">
        <v>22940</v>
      </c>
      <c r="I31" s="61">
        <f t="shared" si="0"/>
        <v>20187.2</v>
      </c>
      <c r="J31" s="122" t="s">
        <v>17</v>
      </c>
      <c r="K31" s="122">
        <v>45187</v>
      </c>
      <c r="L31" s="32" t="s">
        <v>388</v>
      </c>
      <c r="T31" s="14" t="s">
        <v>916</v>
      </c>
      <c r="U31" s="14">
        <v>0.88402777777777775</v>
      </c>
      <c r="V31" s="14">
        <v>0.18680555555555556</v>
      </c>
    </row>
    <row r="32" spans="1:22" hidden="1" x14ac:dyDescent="0.25">
      <c r="A32" s="95"/>
      <c r="D32" s="122"/>
      <c r="E32" s="28"/>
      <c r="F32" t="s">
        <v>2832</v>
      </c>
      <c r="G32" s="30" t="s">
        <v>3074</v>
      </c>
      <c r="H32" s="368">
        <v>39600</v>
      </c>
      <c r="I32" s="61">
        <f t="shared" si="0"/>
        <v>34848</v>
      </c>
      <c r="J32" s="122" t="s">
        <v>17</v>
      </c>
      <c r="K32" s="122">
        <v>45228</v>
      </c>
      <c r="L32" s="32"/>
      <c r="T32" s="14"/>
      <c r="U32" s="14"/>
      <c r="V32" s="14"/>
    </row>
    <row r="33" spans="1:22" hidden="1" x14ac:dyDescent="0.25">
      <c r="A33" s="256">
        <v>20082023</v>
      </c>
      <c r="B33" t="s">
        <v>2769</v>
      </c>
      <c r="C33" t="s">
        <v>13</v>
      </c>
      <c r="D33" s="122">
        <v>45158</v>
      </c>
      <c r="E33" s="28" t="s">
        <v>236</v>
      </c>
      <c r="F33" t="s">
        <v>2832</v>
      </c>
      <c r="G33" s="30" t="s">
        <v>3075</v>
      </c>
      <c r="H33" s="176">
        <v>22940</v>
      </c>
      <c r="I33" s="61">
        <f t="shared" si="0"/>
        <v>20187.2</v>
      </c>
      <c r="J33" s="122" t="s">
        <v>17</v>
      </c>
      <c r="K33" s="122">
        <v>45228</v>
      </c>
      <c r="L33" s="414"/>
      <c r="T33" s="14" t="s">
        <v>916</v>
      </c>
      <c r="U33" s="14">
        <v>0.42291666666666666</v>
      </c>
      <c r="V33" s="14">
        <v>0.7583333333333333</v>
      </c>
    </row>
    <row r="34" spans="1:22" hidden="1" x14ac:dyDescent="0.25">
      <c r="A34" s="256"/>
      <c r="D34" s="122"/>
      <c r="E34" s="28"/>
      <c r="F34" s="30" t="s">
        <v>3128</v>
      </c>
      <c r="G34" s="30" t="s">
        <v>3428</v>
      </c>
      <c r="H34" s="176">
        <v>39600</v>
      </c>
      <c r="I34" s="61">
        <f t="shared" si="0"/>
        <v>34848</v>
      </c>
      <c r="J34" s="88" t="s">
        <v>17</v>
      </c>
      <c r="K34" s="122">
        <v>45294</v>
      </c>
      <c r="L34" s="414"/>
      <c r="T34" s="14"/>
      <c r="U34" s="14"/>
      <c r="V34" s="14"/>
    </row>
    <row r="35" spans="1:22" hidden="1" x14ac:dyDescent="0.25">
      <c r="A35" s="30">
        <v>24082023</v>
      </c>
      <c r="B35" t="s">
        <v>1093</v>
      </c>
      <c r="C35" t="s">
        <v>13</v>
      </c>
      <c r="D35" s="122">
        <v>45162</v>
      </c>
      <c r="E35" s="28" t="s">
        <v>236</v>
      </c>
      <c r="F35" t="s">
        <v>3125</v>
      </c>
      <c r="G35" s="30" t="s">
        <v>3427</v>
      </c>
      <c r="H35" s="414">
        <v>22940</v>
      </c>
      <c r="I35" s="61">
        <f t="shared" si="0"/>
        <v>20187.2</v>
      </c>
      <c r="J35" s="88" t="s">
        <v>17</v>
      </c>
      <c r="K35" s="122">
        <v>45294</v>
      </c>
      <c r="L35" s="414"/>
      <c r="T35" s="14" t="s">
        <v>922</v>
      </c>
      <c r="U35" s="14">
        <v>0.59097222222222223</v>
      </c>
    </row>
    <row r="36" spans="1:22" hidden="1" x14ac:dyDescent="0.25">
      <c r="A36" s="30"/>
      <c r="D36" s="122"/>
      <c r="E36" s="28"/>
      <c r="F36" s="30" t="s">
        <v>3126</v>
      </c>
      <c r="G36" s="30" t="s">
        <v>3422</v>
      </c>
      <c r="H36" s="176">
        <v>39600</v>
      </c>
      <c r="I36" s="61">
        <f t="shared" si="0"/>
        <v>34848</v>
      </c>
      <c r="J36" s="88" t="s">
        <v>17</v>
      </c>
      <c r="K36" s="122">
        <v>45294</v>
      </c>
      <c r="L36" s="414"/>
      <c r="T36" s="14"/>
      <c r="U36" s="14"/>
    </row>
    <row r="37" spans="1:22" s="30" customFormat="1" hidden="1" x14ac:dyDescent="0.25">
      <c r="A37" s="30">
        <v>30082023</v>
      </c>
      <c r="B37" s="30" t="s">
        <v>2823</v>
      </c>
      <c r="C37" s="30" t="s">
        <v>13</v>
      </c>
      <c r="D37" s="374">
        <v>45168</v>
      </c>
      <c r="E37" s="28" t="s">
        <v>236</v>
      </c>
      <c r="F37" t="s">
        <v>3127</v>
      </c>
      <c r="G37" s="30" t="s">
        <v>3423</v>
      </c>
      <c r="H37" s="414">
        <v>22940</v>
      </c>
      <c r="I37" s="61">
        <f t="shared" si="0"/>
        <v>20187.2</v>
      </c>
      <c r="J37" s="88" t="s">
        <v>17</v>
      </c>
      <c r="K37" s="122">
        <v>45294</v>
      </c>
      <c r="L37" s="236"/>
      <c r="T37" s="360" t="s">
        <v>893</v>
      </c>
      <c r="U37" s="360">
        <v>0.41111111111111115</v>
      </c>
      <c r="V37" s="360">
        <v>0.70416666666666661</v>
      </c>
    </row>
    <row r="38" spans="1:22" s="30" customFormat="1" hidden="1" x14ac:dyDescent="0.25">
      <c r="D38" s="374"/>
      <c r="E38" s="28"/>
      <c r="F38" s="30" t="s">
        <v>3425</v>
      </c>
      <c r="G38" s="30" t="s">
        <v>3429</v>
      </c>
      <c r="H38" s="176">
        <v>39600</v>
      </c>
      <c r="I38" s="61">
        <f t="shared" si="0"/>
        <v>34848</v>
      </c>
      <c r="J38" s="88" t="s">
        <v>17</v>
      </c>
      <c r="K38" s="122">
        <v>45294</v>
      </c>
      <c r="L38" s="236"/>
      <c r="T38" s="360"/>
      <c r="U38" s="360"/>
      <c r="V38" s="360"/>
    </row>
    <row r="39" spans="1:22" hidden="1" x14ac:dyDescent="0.25">
      <c r="A39" s="256" t="s">
        <v>2851</v>
      </c>
      <c r="B39" t="s">
        <v>2849</v>
      </c>
      <c r="C39" t="s">
        <v>13</v>
      </c>
      <c r="D39" s="122">
        <v>45171</v>
      </c>
      <c r="E39" s="28" t="s">
        <v>236</v>
      </c>
      <c r="F39" t="s">
        <v>3426</v>
      </c>
      <c r="G39" s="30" t="s">
        <v>3424</v>
      </c>
      <c r="H39" s="414">
        <v>22940</v>
      </c>
      <c r="I39" s="61">
        <f t="shared" si="0"/>
        <v>20187.2</v>
      </c>
      <c r="J39" s="88" t="s">
        <v>17</v>
      </c>
      <c r="K39" s="122">
        <v>45294</v>
      </c>
      <c r="L39" s="88"/>
      <c r="T39" s="14" t="s">
        <v>2852</v>
      </c>
      <c r="U39" s="14">
        <v>0.27499999999999997</v>
      </c>
      <c r="V39" s="14">
        <v>0.5805555555555556</v>
      </c>
    </row>
    <row r="40" spans="1:22" hidden="1" x14ac:dyDescent="0.25">
      <c r="A40" s="256"/>
      <c r="D40" s="122"/>
      <c r="E40" s="28"/>
      <c r="F40" t="s">
        <v>4990</v>
      </c>
      <c r="G40" s="30" t="s">
        <v>4991</v>
      </c>
      <c r="H40" s="414">
        <v>39600</v>
      </c>
      <c r="I40" s="3">
        <f t="shared" ref="I40:I45" si="1">+H40-ROUND(H40*0.12,0)</f>
        <v>34848</v>
      </c>
      <c r="J40" s="88" t="s">
        <v>17</v>
      </c>
      <c r="K40" s="233">
        <v>45600</v>
      </c>
      <c r="L40" s="88"/>
      <c r="T40" s="14"/>
      <c r="U40" s="14"/>
      <c r="V40" s="14"/>
    </row>
    <row r="41" spans="1:22" hidden="1" x14ac:dyDescent="0.25">
      <c r="A41" s="483" t="s">
        <v>4903</v>
      </c>
      <c r="B41" t="s">
        <v>1335</v>
      </c>
      <c r="C41" s="28" t="s">
        <v>13</v>
      </c>
      <c r="D41" s="233">
        <v>45573</v>
      </c>
      <c r="E41" s="28" t="s">
        <v>236</v>
      </c>
      <c r="F41" s="30" t="s">
        <v>4989</v>
      </c>
      <c r="G41" s="30" t="s">
        <v>4992</v>
      </c>
      <c r="H41" s="313">
        <v>22940</v>
      </c>
      <c r="I41" s="3">
        <f t="shared" si="1"/>
        <v>20187</v>
      </c>
      <c r="J41" s="88" t="s">
        <v>17</v>
      </c>
      <c r="K41" s="233">
        <v>45600</v>
      </c>
      <c r="L41" s="313"/>
      <c r="T41" t="s">
        <v>4365</v>
      </c>
      <c r="U41" s="360">
        <v>0.71805555555555556</v>
      </c>
      <c r="V41" s="360">
        <v>0</v>
      </c>
    </row>
    <row r="42" spans="1:22" hidden="1" x14ac:dyDescent="0.25">
      <c r="A42" s="483"/>
      <c r="C42" s="28"/>
      <c r="D42" s="233"/>
      <c r="E42" s="28"/>
      <c r="F42" t="s">
        <v>5035</v>
      </c>
      <c r="G42" s="373" t="s">
        <v>5086</v>
      </c>
      <c r="H42" s="416">
        <v>39600</v>
      </c>
      <c r="I42" s="9">
        <f t="shared" si="1"/>
        <v>34848</v>
      </c>
      <c r="J42" s="89" t="s">
        <v>17</v>
      </c>
      <c r="K42" s="494">
        <v>45610</v>
      </c>
      <c r="L42" s="313"/>
      <c r="U42" s="360"/>
      <c r="V42" s="360"/>
    </row>
    <row r="43" spans="1:22" hidden="1" x14ac:dyDescent="0.25">
      <c r="A43" s="483" t="s">
        <v>4959</v>
      </c>
      <c r="B43" t="s">
        <v>2129</v>
      </c>
      <c r="C43" s="28" t="s">
        <v>410</v>
      </c>
      <c r="D43" s="233">
        <v>45581</v>
      </c>
      <c r="E43" s="28" t="s">
        <v>236</v>
      </c>
      <c r="F43" s="30" t="s">
        <v>5036</v>
      </c>
      <c r="G43" s="373" t="s">
        <v>5087</v>
      </c>
      <c r="H43" s="296">
        <v>22940</v>
      </c>
      <c r="I43" s="9">
        <f t="shared" si="1"/>
        <v>20187</v>
      </c>
      <c r="J43" s="89" t="s">
        <v>17</v>
      </c>
      <c r="K43" s="494">
        <v>45610</v>
      </c>
      <c r="L43" s="313"/>
      <c r="T43" t="s">
        <v>4396</v>
      </c>
      <c r="U43" s="360">
        <v>0.26250000000000001</v>
      </c>
      <c r="V43" s="360">
        <v>0.5493055555555556</v>
      </c>
    </row>
    <row r="44" spans="1:22" hidden="1" x14ac:dyDescent="0.25">
      <c r="A44" s="483"/>
      <c r="C44" s="28"/>
      <c r="D44" s="233"/>
      <c r="E44" s="28"/>
      <c r="F44" t="s">
        <v>5033</v>
      </c>
      <c r="G44" s="30" t="s">
        <v>5175</v>
      </c>
      <c r="H44" s="414">
        <v>39600</v>
      </c>
      <c r="I44" s="692">
        <f t="shared" si="1"/>
        <v>34848</v>
      </c>
      <c r="J44" t="s">
        <v>17</v>
      </c>
      <c r="K44" s="233">
        <v>45636</v>
      </c>
      <c r="L44" s="313"/>
      <c r="U44" s="360"/>
      <c r="V44" s="360"/>
    </row>
    <row r="45" spans="1:22" hidden="1" x14ac:dyDescent="0.25">
      <c r="A45" s="483">
        <v>31102024</v>
      </c>
      <c r="B45" t="s">
        <v>5031</v>
      </c>
      <c r="C45" s="28" t="s">
        <v>13</v>
      </c>
      <c r="D45" s="233">
        <v>45596</v>
      </c>
      <c r="E45" s="28" t="s">
        <v>236</v>
      </c>
      <c r="F45" s="30" t="s">
        <v>5034</v>
      </c>
      <c r="G45" s="30" t="s">
        <v>5176</v>
      </c>
      <c r="H45" s="313">
        <v>22940</v>
      </c>
      <c r="I45" s="692">
        <f t="shared" si="1"/>
        <v>20187</v>
      </c>
      <c r="J45" t="s">
        <v>17</v>
      </c>
      <c r="K45" s="233">
        <v>45636</v>
      </c>
      <c r="L45" s="313"/>
      <c r="T45" t="s">
        <v>5004</v>
      </c>
      <c r="U45" s="360">
        <v>0.50902777777777775</v>
      </c>
      <c r="V45" s="360">
        <v>0.79861111111111116</v>
      </c>
    </row>
    <row r="46" spans="1:22" hidden="1" x14ac:dyDescent="0.25">
      <c r="A46" s="483"/>
      <c r="C46" s="28"/>
      <c r="D46" s="233"/>
      <c r="E46" s="28"/>
      <c r="F46" t="s">
        <v>5312</v>
      </c>
      <c r="G46" s="30" t="s">
        <v>5313</v>
      </c>
      <c r="H46" s="414">
        <v>39600</v>
      </c>
      <c r="I46" s="3">
        <f t="shared" ref="I46:I70" si="2">+H46-ROUND(H46*0.12,0)</f>
        <v>34848</v>
      </c>
      <c r="J46" t="s">
        <v>17</v>
      </c>
      <c r="K46" s="233">
        <v>45639</v>
      </c>
      <c r="L46" s="313"/>
      <c r="U46" s="360"/>
      <c r="V46" s="360"/>
    </row>
    <row r="47" spans="1:22" hidden="1" x14ac:dyDescent="0.25">
      <c r="A47" s="483" t="s">
        <v>5082</v>
      </c>
      <c r="B47" t="s">
        <v>2129</v>
      </c>
      <c r="C47" s="233" t="s">
        <v>410</v>
      </c>
      <c r="D47" s="233">
        <v>45604</v>
      </c>
      <c r="E47" s="28" t="s">
        <v>236</v>
      </c>
      <c r="F47" s="30" t="s">
        <v>5177</v>
      </c>
      <c r="G47" s="30" t="s">
        <v>5314</v>
      </c>
      <c r="H47" s="313">
        <v>22940</v>
      </c>
      <c r="I47" s="3">
        <f t="shared" si="2"/>
        <v>20187</v>
      </c>
      <c r="J47" t="s">
        <v>17</v>
      </c>
      <c r="K47" s="233">
        <v>45642</v>
      </c>
      <c r="L47" s="313"/>
      <c r="T47" t="s">
        <v>5026</v>
      </c>
      <c r="U47" s="360">
        <v>0.90486111111111101</v>
      </c>
      <c r="V47" s="360">
        <v>0.17152777777777775</v>
      </c>
    </row>
    <row r="48" spans="1:22" hidden="1" x14ac:dyDescent="0.25">
      <c r="A48" s="483"/>
      <c r="C48" s="233"/>
      <c r="D48" s="233">
        <v>45624</v>
      </c>
      <c r="E48" s="28" t="s">
        <v>236</v>
      </c>
      <c r="F48" t="s">
        <v>5292</v>
      </c>
      <c r="G48" s="30" t="s">
        <v>5379</v>
      </c>
      <c r="H48" s="414">
        <v>31350</v>
      </c>
      <c r="I48" s="3">
        <f t="shared" si="2"/>
        <v>27588</v>
      </c>
      <c r="J48" s="88" t="s">
        <v>17</v>
      </c>
      <c r="K48" s="233">
        <v>45653</v>
      </c>
      <c r="L48" s="313"/>
      <c r="U48" s="360"/>
      <c r="V48" s="360"/>
    </row>
    <row r="49" spans="1:22" hidden="1" x14ac:dyDescent="0.25">
      <c r="A49" s="483"/>
      <c r="C49" s="233"/>
      <c r="D49" s="233">
        <v>45624</v>
      </c>
      <c r="E49" s="28" t="s">
        <v>236</v>
      </c>
      <c r="F49" s="30" t="s">
        <v>5293</v>
      </c>
      <c r="G49" s="30" t="s">
        <v>5426</v>
      </c>
      <c r="H49" s="416">
        <v>10397</v>
      </c>
      <c r="I49" s="9">
        <f t="shared" si="2"/>
        <v>9149</v>
      </c>
      <c r="J49" s="88" t="s">
        <v>17</v>
      </c>
      <c r="K49" s="233">
        <v>45663</v>
      </c>
      <c r="L49" s="313">
        <f>+H49-I49</f>
        <v>1248</v>
      </c>
      <c r="U49" s="360"/>
      <c r="V49" s="360"/>
    </row>
    <row r="50" spans="1:22" hidden="1" x14ac:dyDescent="0.25">
      <c r="A50" s="483"/>
      <c r="C50" s="233"/>
      <c r="D50" s="233">
        <v>45624</v>
      </c>
      <c r="E50" s="28" t="s">
        <v>236</v>
      </c>
      <c r="F50" s="30" t="s">
        <v>5293</v>
      </c>
      <c r="G50" s="30" t="s">
        <v>5427</v>
      </c>
      <c r="H50" s="416">
        <v>3627</v>
      </c>
      <c r="I50" s="9">
        <f t="shared" si="2"/>
        <v>3192</v>
      </c>
      <c r="J50" s="88" t="s">
        <v>17</v>
      </c>
      <c r="K50" s="233">
        <v>45663</v>
      </c>
      <c r="L50" s="313">
        <f t="shared" ref="L50:L68" si="3">+H50-I50</f>
        <v>435</v>
      </c>
      <c r="U50" s="360"/>
      <c r="V50" s="360"/>
    </row>
    <row r="51" spans="1:22" hidden="1" x14ac:dyDescent="0.25">
      <c r="A51" s="483"/>
      <c r="C51" s="233"/>
      <c r="D51" s="233">
        <v>45624</v>
      </c>
      <c r="E51" s="28" t="s">
        <v>236</v>
      </c>
      <c r="F51" s="30" t="s">
        <v>5293</v>
      </c>
      <c r="G51" s="30" t="s">
        <v>5428</v>
      </c>
      <c r="H51" s="416">
        <v>864.05</v>
      </c>
      <c r="I51" s="9">
        <f t="shared" si="2"/>
        <v>760.05</v>
      </c>
      <c r="J51" s="88" t="s">
        <v>17</v>
      </c>
      <c r="K51" s="233">
        <v>45663</v>
      </c>
      <c r="L51" s="313">
        <f t="shared" si="3"/>
        <v>104</v>
      </c>
      <c r="U51" s="360"/>
      <c r="V51" s="360"/>
    </row>
    <row r="52" spans="1:22" hidden="1" x14ac:dyDescent="0.25">
      <c r="A52" s="483"/>
      <c r="C52" s="233"/>
      <c r="D52" s="233">
        <v>45624</v>
      </c>
      <c r="E52" s="28" t="s">
        <v>236</v>
      </c>
      <c r="F52" s="30" t="s">
        <v>5293</v>
      </c>
      <c r="G52" s="30" t="s">
        <v>5429</v>
      </c>
      <c r="H52" s="416">
        <v>1910.89</v>
      </c>
      <c r="I52" s="9">
        <f t="shared" si="2"/>
        <v>1681.89</v>
      </c>
      <c r="J52" s="88" t="s">
        <v>17</v>
      </c>
      <c r="K52" s="233">
        <v>45663</v>
      </c>
      <c r="L52" s="313">
        <f t="shared" si="3"/>
        <v>229</v>
      </c>
      <c r="U52" s="360"/>
      <c r="V52" s="360"/>
    </row>
    <row r="53" spans="1:22" hidden="1" x14ac:dyDescent="0.25">
      <c r="A53" s="483"/>
      <c r="C53" s="233"/>
      <c r="D53" s="233">
        <v>45624</v>
      </c>
      <c r="E53" s="28" t="s">
        <v>236</v>
      </c>
      <c r="F53" s="30" t="s">
        <v>5293</v>
      </c>
      <c r="G53" s="30" t="s">
        <v>5430</v>
      </c>
      <c r="H53" s="416">
        <v>414.16</v>
      </c>
      <c r="I53" s="9">
        <f>+H53</f>
        <v>414.16</v>
      </c>
      <c r="J53" s="88" t="s">
        <v>17</v>
      </c>
      <c r="K53" s="233">
        <v>45663</v>
      </c>
      <c r="L53" s="313">
        <f t="shared" si="3"/>
        <v>0</v>
      </c>
      <c r="U53" s="360"/>
      <c r="V53" s="360"/>
    </row>
    <row r="54" spans="1:22" hidden="1" x14ac:dyDescent="0.25">
      <c r="A54" s="483"/>
      <c r="C54" s="233"/>
      <c r="D54" s="233">
        <v>45624</v>
      </c>
      <c r="E54" s="28" t="s">
        <v>236</v>
      </c>
      <c r="F54" s="30" t="s">
        <v>5293</v>
      </c>
      <c r="G54" s="30" t="s">
        <v>5431</v>
      </c>
      <c r="H54" s="789">
        <v>3762.76</v>
      </c>
      <c r="I54" s="745">
        <f t="shared" si="2"/>
        <v>3310.76</v>
      </c>
      <c r="J54" s="88" t="s">
        <v>17</v>
      </c>
      <c r="K54" s="233">
        <v>45659</v>
      </c>
      <c r="L54" s="313">
        <f t="shared" si="3"/>
        <v>452</v>
      </c>
      <c r="U54" s="360"/>
      <c r="V54" s="360"/>
    </row>
    <row r="55" spans="1:22" hidden="1" x14ac:dyDescent="0.25">
      <c r="A55" s="483"/>
      <c r="C55" s="233"/>
      <c r="D55" s="233">
        <v>45624</v>
      </c>
      <c r="E55" s="28" t="s">
        <v>236</v>
      </c>
      <c r="F55" s="30" t="s">
        <v>5293</v>
      </c>
      <c r="G55" s="30" t="s">
        <v>5432</v>
      </c>
      <c r="H55" s="416">
        <v>376</v>
      </c>
      <c r="I55" s="9">
        <f>+H55</f>
        <v>376</v>
      </c>
      <c r="J55" s="88" t="s">
        <v>17</v>
      </c>
      <c r="K55" s="233">
        <v>45663</v>
      </c>
      <c r="L55" s="313">
        <f t="shared" si="3"/>
        <v>0</v>
      </c>
      <c r="U55" s="360"/>
      <c r="V55" s="360"/>
    </row>
    <row r="56" spans="1:22" hidden="1" x14ac:dyDescent="0.25">
      <c r="A56" s="483"/>
      <c r="C56" s="233"/>
      <c r="D56" s="233">
        <v>45624</v>
      </c>
      <c r="E56" s="28" t="s">
        <v>236</v>
      </c>
      <c r="F56" s="30" t="s">
        <v>5293</v>
      </c>
      <c r="G56" s="30" t="s">
        <v>5433</v>
      </c>
      <c r="H56" s="416">
        <v>1586.13</v>
      </c>
      <c r="I56" s="9">
        <f t="shared" si="2"/>
        <v>1396.13</v>
      </c>
      <c r="J56" s="88" t="s">
        <v>17</v>
      </c>
      <c r="K56" s="233">
        <v>45663</v>
      </c>
      <c r="L56" s="313">
        <f t="shared" si="3"/>
        <v>190</v>
      </c>
      <c r="U56" s="360"/>
      <c r="V56" s="360"/>
    </row>
    <row r="57" spans="1:22" hidden="1" x14ac:dyDescent="0.25">
      <c r="A57" s="483"/>
      <c r="C57" s="233"/>
      <c r="D57" s="233">
        <v>45624</v>
      </c>
      <c r="E57" s="28" t="s">
        <v>236</v>
      </c>
      <c r="F57" s="30" t="s">
        <v>5293</v>
      </c>
      <c r="G57" s="30" t="s">
        <v>5434</v>
      </c>
      <c r="H57" s="416">
        <v>7170.92</v>
      </c>
      <c r="I57" s="9">
        <f t="shared" si="2"/>
        <v>6309.92</v>
      </c>
      <c r="J57" s="88" t="s">
        <v>17</v>
      </c>
      <c r="K57" s="233">
        <v>45663</v>
      </c>
      <c r="L57" s="313">
        <f t="shared" si="3"/>
        <v>861</v>
      </c>
      <c r="U57" s="360"/>
      <c r="V57" s="360"/>
    </row>
    <row r="58" spans="1:22" hidden="1" x14ac:dyDescent="0.25">
      <c r="A58" s="483"/>
      <c r="C58" s="233"/>
      <c r="D58" s="233">
        <v>45624</v>
      </c>
      <c r="E58" s="28" t="s">
        <v>236</v>
      </c>
      <c r="F58" s="30" t="s">
        <v>5293</v>
      </c>
      <c r="G58" s="30" t="s">
        <v>5435</v>
      </c>
      <c r="H58" s="416">
        <v>44</v>
      </c>
      <c r="I58" s="9">
        <f>+H58</f>
        <v>44</v>
      </c>
      <c r="J58" s="88" t="s">
        <v>17</v>
      </c>
      <c r="K58" s="233">
        <v>45663</v>
      </c>
      <c r="L58" s="313">
        <f t="shared" si="3"/>
        <v>0</v>
      </c>
      <c r="U58" s="360"/>
      <c r="V58" s="360"/>
    </row>
    <row r="59" spans="1:22" hidden="1" x14ac:dyDescent="0.25">
      <c r="A59" s="483"/>
      <c r="C59" s="233"/>
      <c r="D59" s="233">
        <v>45624</v>
      </c>
      <c r="E59" s="28" t="s">
        <v>236</v>
      </c>
      <c r="F59" s="30" t="s">
        <v>5293</v>
      </c>
      <c r="G59" s="30" t="s">
        <v>5436</v>
      </c>
      <c r="H59" s="416">
        <v>885.46</v>
      </c>
      <c r="I59" s="9">
        <f t="shared" si="2"/>
        <v>779.46</v>
      </c>
      <c r="J59" s="88" t="s">
        <v>17</v>
      </c>
      <c r="K59" s="233">
        <v>45663</v>
      </c>
      <c r="L59" s="313">
        <f t="shared" si="3"/>
        <v>106</v>
      </c>
      <c r="U59" s="360"/>
      <c r="V59" s="360"/>
    </row>
    <row r="60" spans="1:22" hidden="1" x14ac:dyDescent="0.25">
      <c r="A60" s="483">
        <v>28112024</v>
      </c>
      <c r="B60" t="s">
        <v>2129</v>
      </c>
      <c r="C60" s="233" t="s">
        <v>13</v>
      </c>
      <c r="D60" s="233">
        <v>45624</v>
      </c>
      <c r="E60" s="28" t="s">
        <v>236</v>
      </c>
      <c r="F60" s="30" t="s">
        <v>5293</v>
      </c>
      <c r="G60" s="30" t="s">
        <v>5437</v>
      </c>
      <c r="H60" s="416">
        <v>151.63</v>
      </c>
      <c r="I60" s="9">
        <f>+H60</f>
        <v>151.63</v>
      </c>
      <c r="J60" s="88" t="s">
        <v>17</v>
      </c>
      <c r="K60" s="233">
        <v>45663</v>
      </c>
      <c r="L60" s="313">
        <f t="shared" si="3"/>
        <v>0</v>
      </c>
      <c r="T60" t="s">
        <v>5004</v>
      </c>
      <c r="U60" s="360">
        <v>0.37986111111111115</v>
      </c>
      <c r="V60" s="360"/>
    </row>
    <row r="61" spans="1:22" hidden="1" x14ac:dyDescent="0.25">
      <c r="A61" s="483"/>
      <c r="C61" s="233"/>
      <c r="D61" s="233">
        <v>45627</v>
      </c>
      <c r="E61" s="28" t="s">
        <v>236</v>
      </c>
      <c r="F61" t="s">
        <v>5290</v>
      </c>
      <c r="G61" s="30" t="s">
        <v>5438</v>
      </c>
      <c r="H61" s="414">
        <v>475.5</v>
      </c>
      <c r="I61" s="9">
        <f>+H61</f>
        <v>475.5</v>
      </c>
      <c r="J61" s="88" t="s">
        <v>17</v>
      </c>
      <c r="K61" s="233">
        <v>45660</v>
      </c>
      <c r="L61" s="313">
        <f t="shared" si="3"/>
        <v>0</v>
      </c>
      <c r="U61" s="360"/>
      <c r="V61" s="360"/>
    </row>
    <row r="62" spans="1:22" hidden="1" x14ac:dyDescent="0.25">
      <c r="A62" s="483"/>
      <c r="C62" s="233"/>
      <c r="D62" s="233">
        <v>45627</v>
      </c>
      <c r="E62" s="28" t="s">
        <v>236</v>
      </c>
      <c r="F62" t="s">
        <v>5290</v>
      </c>
      <c r="G62" s="30" t="s">
        <v>5439</v>
      </c>
      <c r="H62" s="416">
        <v>11025</v>
      </c>
      <c r="I62" s="3">
        <f t="shared" si="2"/>
        <v>9702</v>
      </c>
      <c r="J62" s="88" t="s">
        <v>17</v>
      </c>
      <c r="K62" s="233">
        <v>45660</v>
      </c>
      <c r="L62" s="313">
        <f t="shared" si="3"/>
        <v>1323</v>
      </c>
      <c r="U62" s="360"/>
      <c r="V62" s="360"/>
    </row>
    <row r="63" spans="1:22" hidden="1" x14ac:dyDescent="0.25">
      <c r="A63" s="483"/>
      <c r="C63" s="233"/>
      <c r="D63" s="233">
        <v>45627</v>
      </c>
      <c r="E63" s="28" t="s">
        <v>236</v>
      </c>
      <c r="F63" t="s">
        <v>5290</v>
      </c>
      <c r="G63" s="30" t="s">
        <v>5440</v>
      </c>
      <c r="H63" s="416">
        <v>20114</v>
      </c>
      <c r="I63" s="3">
        <f t="shared" si="2"/>
        <v>17700</v>
      </c>
      <c r="J63" s="88" t="s">
        <v>17</v>
      </c>
      <c r="K63" s="233">
        <v>45660</v>
      </c>
      <c r="L63" s="313">
        <f t="shared" si="3"/>
        <v>2414</v>
      </c>
      <c r="U63" s="360"/>
      <c r="V63" s="360"/>
    </row>
    <row r="64" spans="1:22" hidden="1" x14ac:dyDescent="0.25">
      <c r="A64" s="483"/>
      <c r="C64" s="233"/>
      <c r="D64" s="233">
        <v>45627</v>
      </c>
      <c r="E64" s="28" t="s">
        <v>236</v>
      </c>
      <c r="F64" t="s">
        <v>5290</v>
      </c>
      <c r="G64" s="30" t="s">
        <v>5441</v>
      </c>
      <c r="H64" s="414">
        <v>51</v>
      </c>
      <c r="I64" s="9">
        <f>+H64</f>
        <v>51</v>
      </c>
      <c r="J64" s="88" t="s">
        <v>17</v>
      </c>
      <c r="K64" s="233">
        <v>45660</v>
      </c>
      <c r="L64" s="313">
        <f t="shared" si="3"/>
        <v>0</v>
      </c>
      <c r="U64" s="360"/>
      <c r="V64" s="360"/>
    </row>
    <row r="65" spans="1:23" hidden="1" x14ac:dyDescent="0.25">
      <c r="A65" s="483"/>
      <c r="C65" s="233"/>
      <c r="D65" s="233">
        <v>45627</v>
      </c>
      <c r="E65" s="28" t="s">
        <v>236</v>
      </c>
      <c r="F65" s="30" t="s">
        <v>5291</v>
      </c>
      <c r="G65" s="30" t="s">
        <v>5442</v>
      </c>
      <c r="H65" s="414">
        <v>11062</v>
      </c>
      <c r="I65" s="9">
        <f t="shared" si="2"/>
        <v>9735</v>
      </c>
      <c r="J65" s="88" t="s">
        <v>17</v>
      </c>
      <c r="K65" s="233">
        <v>45660</v>
      </c>
      <c r="L65" s="800">
        <f t="shared" si="3"/>
        <v>1327</v>
      </c>
      <c r="U65" s="360"/>
      <c r="V65" s="360"/>
    </row>
    <row r="66" spans="1:23" hidden="1" x14ac:dyDescent="0.25">
      <c r="A66" s="483"/>
      <c r="C66" s="233"/>
      <c r="D66" s="233">
        <v>45627</v>
      </c>
      <c r="E66" s="28" t="s">
        <v>236</v>
      </c>
      <c r="F66" s="30" t="s">
        <v>5291</v>
      </c>
      <c r="G66" s="30" t="s">
        <v>5443</v>
      </c>
      <c r="H66" s="414">
        <v>4152</v>
      </c>
      <c r="I66" s="9">
        <f t="shared" si="2"/>
        <v>3654</v>
      </c>
      <c r="J66" s="88" t="s">
        <v>17</v>
      </c>
      <c r="K66" s="233">
        <v>45660</v>
      </c>
      <c r="L66" s="800">
        <f t="shared" si="3"/>
        <v>498</v>
      </c>
      <c r="U66" s="360"/>
      <c r="V66" s="360"/>
    </row>
    <row r="67" spans="1:23" hidden="1" x14ac:dyDescent="0.25">
      <c r="A67" s="483"/>
      <c r="C67" s="233"/>
      <c r="D67" s="233">
        <v>45627</v>
      </c>
      <c r="E67" s="28" t="s">
        <v>236</v>
      </c>
      <c r="F67" s="30" t="s">
        <v>5291</v>
      </c>
      <c r="G67" s="30" t="s">
        <v>5444</v>
      </c>
      <c r="H67" s="414">
        <v>6036.95</v>
      </c>
      <c r="I67" s="9">
        <f t="shared" si="2"/>
        <v>5312.95</v>
      </c>
      <c r="J67" s="88" t="s">
        <v>17</v>
      </c>
      <c r="K67" s="233">
        <v>45660</v>
      </c>
      <c r="L67" s="800">
        <f t="shared" si="3"/>
        <v>724</v>
      </c>
      <c r="U67" s="360"/>
      <c r="V67" s="360"/>
    </row>
    <row r="68" spans="1:23" hidden="1" x14ac:dyDescent="0.25">
      <c r="A68" s="483">
        <v>1122024</v>
      </c>
      <c r="B68" t="s">
        <v>2129</v>
      </c>
      <c r="C68" s="233" t="s">
        <v>410</v>
      </c>
      <c r="D68" s="233">
        <v>45627</v>
      </c>
      <c r="E68" s="28" t="s">
        <v>236</v>
      </c>
      <c r="F68" s="30" t="s">
        <v>5291</v>
      </c>
      <c r="G68" s="30" t="s">
        <v>5445</v>
      </c>
      <c r="H68" s="313">
        <v>9623.5499999999993</v>
      </c>
      <c r="I68" s="9">
        <f t="shared" si="2"/>
        <v>8468.5499999999993</v>
      </c>
      <c r="J68" s="88" t="s">
        <v>17</v>
      </c>
      <c r="K68" s="233">
        <v>45660</v>
      </c>
      <c r="L68" s="800">
        <f t="shared" si="3"/>
        <v>1155</v>
      </c>
      <c r="T68" t="s">
        <v>5098</v>
      </c>
      <c r="U68" s="360">
        <v>0.63402777777777775</v>
      </c>
      <c r="V68" s="360">
        <v>0.92152777777777783</v>
      </c>
    </row>
    <row r="69" spans="1:23" hidden="1" x14ac:dyDescent="0.25">
      <c r="A69" s="483">
        <v>18012025</v>
      </c>
      <c r="B69" t="s">
        <v>2129</v>
      </c>
      <c r="C69" s="233" t="s">
        <v>410</v>
      </c>
      <c r="D69" s="233">
        <v>45675</v>
      </c>
      <c r="E69" s="28" t="s">
        <v>236</v>
      </c>
      <c r="F69" t="s">
        <v>5745</v>
      </c>
      <c r="G69" s="30" t="s">
        <v>5747</v>
      </c>
      <c r="H69" s="88">
        <v>42800</v>
      </c>
      <c r="I69" s="9">
        <f t="shared" si="2"/>
        <v>37664</v>
      </c>
      <c r="J69" s="88" t="s">
        <v>17</v>
      </c>
      <c r="K69" s="233">
        <v>45728</v>
      </c>
      <c r="L69" s="313"/>
      <c r="T69" t="s">
        <v>4983</v>
      </c>
      <c r="U69" s="360">
        <v>0.68402777777777779</v>
      </c>
      <c r="V69" s="360">
        <v>0.97222222222222221</v>
      </c>
    </row>
    <row r="70" spans="1:23" hidden="1" x14ac:dyDescent="0.25">
      <c r="A70" s="483">
        <v>18012025</v>
      </c>
      <c r="B70" t="s">
        <v>2129</v>
      </c>
      <c r="C70" s="233" t="s">
        <v>410</v>
      </c>
      <c r="D70" s="233">
        <v>45675</v>
      </c>
      <c r="E70" s="28" t="s">
        <v>236</v>
      </c>
      <c r="F70" t="s">
        <v>5746</v>
      </c>
      <c r="G70" s="30" t="s">
        <v>5748</v>
      </c>
      <c r="H70" s="88">
        <v>19740</v>
      </c>
      <c r="I70" s="9">
        <f t="shared" si="2"/>
        <v>17371</v>
      </c>
      <c r="J70" s="88" t="s">
        <v>17</v>
      </c>
      <c r="K70" s="233">
        <v>45728</v>
      </c>
      <c r="L70" s="313"/>
      <c r="T70" t="s">
        <v>4983</v>
      </c>
      <c r="U70" s="360">
        <v>0.68402777777777779</v>
      </c>
      <c r="V70" s="360">
        <v>0.97222222222222221</v>
      </c>
    </row>
    <row r="71" spans="1:23" x14ac:dyDescent="0.25">
      <c r="A71" s="483">
        <v>19102025</v>
      </c>
      <c r="B71" t="s">
        <v>2129</v>
      </c>
      <c r="C71" s="28" t="s">
        <v>4218</v>
      </c>
      <c r="D71" s="233">
        <v>45949</v>
      </c>
      <c r="E71" s="28" t="s">
        <v>236</v>
      </c>
      <c r="F71" s="1067" t="s">
        <v>7187</v>
      </c>
      <c r="G71" s="30" t="s">
        <v>7783</v>
      </c>
      <c r="H71" s="88">
        <v>42800</v>
      </c>
      <c r="I71" s="88">
        <f t="shared" ref="I71:I84" si="4">+H71-ROUND(H71*0.12,0)</f>
        <v>37664</v>
      </c>
      <c r="J71" s="1067"/>
      <c r="L71" s="88"/>
      <c r="M71" s="88"/>
      <c r="T71" t="s">
        <v>5989</v>
      </c>
      <c r="U71" s="360">
        <v>0.50486111111111109</v>
      </c>
      <c r="V71" s="360">
        <v>0.78055555555555556</v>
      </c>
    </row>
    <row r="72" spans="1:23" x14ac:dyDescent="0.25">
      <c r="A72" s="483">
        <v>19102025</v>
      </c>
      <c r="B72" t="s">
        <v>2129</v>
      </c>
      <c r="C72" s="28" t="s">
        <v>4218</v>
      </c>
      <c r="D72" s="233">
        <v>45949</v>
      </c>
      <c r="E72" s="28" t="s">
        <v>236</v>
      </c>
      <c r="F72" s="1067" t="s">
        <v>7187</v>
      </c>
      <c r="G72" s="30" t="s">
        <v>7784</v>
      </c>
      <c r="H72" s="88">
        <v>19740</v>
      </c>
      <c r="I72" s="88">
        <f t="shared" si="4"/>
        <v>17371</v>
      </c>
      <c r="J72" s="1067"/>
      <c r="L72" s="88"/>
      <c r="M72" s="88"/>
      <c r="T72" t="s">
        <v>5989</v>
      </c>
      <c r="U72" s="360">
        <v>0.50486111111111109</v>
      </c>
      <c r="V72" s="360">
        <v>0.78055555555555556</v>
      </c>
    </row>
    <row r="73" spans="1:23" hidden="1" x14ac:dyDescent="0.25">
      <c r="A73" s="483" t="s">
        <v>7505</v>
      </c>
      <c r="B73" t="s">
        <v>2769</v>
      </c>
      <c r="C73" s="233" t="s">
        <v>4218</v>
      </c>
      <c r="D73" s="233">
        <v>46029</v>
      </c>
      <c r="E73" s="28" t="s">
        <v>236</v>
      </c>
      <c r="F73" t="s">
        <v>7744</v>
      </c>
      <c r="G73" s="30" t="s">
        <v>7750</v>
      </c>
      <c r="H73" s="313">
        <v>42800</v>
      </c>
      <c r="I73" s="88">
        <f t="shared" si="4"/>
        <v>37664</v>
      </c>
      <c r="J73" s="1067" t="s">
        <v>17</v>
      </c>
      <c r="K73" s="233">
        <v>46086</v>
      </c>
      <c r="L73" s="88"/>
      <c r="T73" t="s">
        <v>6952</v>
      </c>
      <c r="U73" s="360">
        <v>0.26874999999999999</v>
      </c>
      <c r="V73" s="30"/>
    </row>
    <row r="74" spans="1:23" hidden="1" x14ac:dyDescent="0.25">
      <c r="A74" s="483" t="s">
        <v>7505</v>
      </c>
      <c r="B74" t="s">
        <v>2769</v>
      </c>
      <c r="C74" s="233" t="s">
        <v>4218</v>
      </c>
      <c r="D74" s="233">
        <v>46029</v>
      </c>
      <c r="E74" s="28" t="s">
        <v>236</v>
      </c>
      <c r="F74" t="s">
        <v>7748</v>
      </c>
      <c r="G74" s="30" t="s">
        <v>7751</v>
      </c>
      <c r="H74" s="313">
        <v>19740</v>
      </c>
      <c r="I74" s="88">
        <f t="shared" si="4"/>
        <v>17371</v>
      </c>
      <c r="J74" s="1067" t="s">
        <v>17</v>
      </c>
      <c r="K74" s="233">
        <v>46086</v>
      </c>
      <c r="L74" s="88"/>
      <c r="T74" t="s">
        <v>6952</v>
      </c>
      <c r="U74" s="360">
        <v>0.26874999999999999</v>
      </c>
      <c r="V74" s="30"/>
    </row>
    <row r="75" spans="1:23" hidden="1" x14ac:dyDescent="0.25">
      <c r="A75" s="483" t="s">
        <v>7627</v>
      </c>
      <c r="B75" t="s">
        <v>2129</v>
      </c>
      <c r="C75" s="28" t="s">
        <v>410</v>
      </c>
      <c r="D75" s="233">
        <v>46058</v>
      </c>
      <c r="E75" s="28" t="s">
        <v>236</v>
      </c>
      <c r="F75" s="1067" t="s">
        <v>7745</v>
      </c>
      <c r="G75" s="30" t="s">
        <v>7746</v>
      </c>
      <c r="H75" s="313">
        <v>42800</v>
      </c>
      <c r="I75" s="88">
        <f t="shared" si="4"/>
        <v>37664</v>
      </c>
      <c r="J75" s="1067" t="s">
        <v>17</v>
      </c>
      <c r="K75" s="233">
        <v>46086</v>
      </c>
      <c r="L75" s="447"/>
      <c r="M75" s="88"/>
      <c r="T75" t="s">
        <v>7335</v>
      </c>
      <c r="U75" s="360">
        <v>0.82152777777777775</v>
      </c>
      <c r="V75" s="360">
        <v>0.12152777777777778</v>
      </c>
    </row>
    <row r="76" spans="1:23" hidden="1" x14ac:dyDescent="0.25">
      <c r="A76" s="483" t="s">
        <v>7627</v>
      </c>
      <c r="B76" t="s">
        <v>2129</v>
      </c>
      <c r="C76" s="28" t="s">
        <v>410</v>
      </c>
      <c r="D76" s="233">
        <v>46058</v>
      </c>
      <c r="E76" s="28" t="s">
        <v>236</v>
      </c>
      <c r="F76" s="1067" t="s">
        <v>7749</v>
      </c>
      <c r="G76" s="30" t="s">
        <v>7747</v>
      </c>
      <c r="H76" s="313">
        <v>19740</v>
      </c>
      <c r="I76" s="88">
        <f t="shared" si="4"/>
        <v>17371</v>
      </c>
      <c r="J76" s="1067" t="s">
        <v>17</v>
      </c>
      <c r="K76" s="233">
        <v>46086</v>
      </c>
      <c r="L76" s="447"/>
      <c r="M76" s="88"/>
      <c r="T76" t="s">
        <v>7335</v>
      </c>
      <c r="U76" s="360">
        <v>0.82152777777777775</v>
      </c>
      <c r="V76" s="360">
        <v>0.12152777777777778</v>
      </c>
    </row>
    <row r="77" spans="1:23" hidden="1" x14ac:dyDescent="0.25">
      <c r="A77" s="483" t="s">
        <v>7798</v>
      </c>
      <c r="B77" t="s">
        <v>2129</v>
      </c>
      <c r="C77" s="28" t="s">
        <v>13</v>
      </c>
      <c r="D77" s="233">
        <v>46087</v>
      </c>
      <c r="E77" s="28" t="s">
        <v>236</v>
      </c>
      <c r="F77" s="1175" t="s">
        <v>7955</v>
      </c>
      <c r="G77" s="30" t="s">
        <v>7959</v>
      </c>
      <c r="H77" s="915">
        <v>42800</v>
      </c>
      <c r="I77" s="88">
        <f t="shared" si="4"/>
        <v>37664</v>
      </c>
      <c r="J77" s="1067" t="s">
        <v>17</v>
      </c>
      <c r="K77" s="233">
        <v>46129</v>
      </c>
      <c r="L77" s="558"/>
      <c r="M77" s="88"/>
      <c r="U77" s="360"/>
      <c r="V77" s="360"/>
    </row>
    <row r="78" spans="1:23" hidden="1" x14ac:dyDescent="0.25">
      <c r="A78" s="483" t="s">
        <v>7798</v>
      </c>
      <c r="B78" t="s">
        <v>2129</v>
      </c>
      <c r="C78" s="28" t="s">
        <v>13</v>
      </c>
      <c r="D78" s="233">
        <v>46087</v>
      </c>
      <c r="E78" s="28" t="s">
        <v>236</v>
      </c>
      <c r="F78" s="1175" t="s">
        <v>7956</v>
      </c>
      <c r="G78" s="30" t="s">
        <v>7961</v>
      </c>
      <c r="H78" s="911">
        <v>19740</v>
      </c>
      <c r="I78" s="1344">
        <f t="shared" ref="I78" si="5">+H78-ROUND(H78*0.12,0)</f>
        <v>17371</v>
      </c>
      <c r="J78" s="1067" t="s">
        <v>17</v>
      </c>
      <c r="K78" s="233">
        <v>46128</v>
      </c>
      <c r="L78" s="558"/>
      <c r="M78" s="88"/>
      <c r="U78" s="360"/>
      <c r="V78" s="360"/>
    </row>
    <row r="79" spans="1:23" s="21" customFormat="1" hidden="1" x14ac:dyDescent="0.25">
      <c r="A79" s="509" t="s">
        <v>7857</v>
      </c>
      <c r="B79" s="21" t="s">
        <v>1335</v>
      </c>
      <c r="C79" s="177" t="s">
        <v>13</v>
      </c>
      <c r="D79" s="510">
        <v>46100</v>
      </c>
      <c r="E79" s="177" t="s">
        <v>236</v>
      </c>
      <c r="F79" s="1067" t="s">
        <v>7953</v>
      </c>
      <c r="G79" s="30" t="s">
        <v>7962</v>
      </c>
      <c r="H79" s="915">
        <v>42800</v>
      </c>
      <c r="I79" s="88">
        <f t="shared" ref="I79" si="6">+H79-ROUND(H79*0.12,0)</f>
        <v>37664</v>
      </c>
      <c r="J79" s="1067" t="s">
        <v>17</v>
      </c>
      <c r="K79" s="233">
        <v>46129</v>
      </c>
      <c r="M79" s="1289"/>
      <c r="N79" s="181"/>
      <c r="U79" s="21" t="s">
        <v>7858</v>
      </c>
      <c r="V79" s="488">
        <v>0.31666666666666665</v>
      </c>
      <c r="W79" s="488"/>
    </row>
    <row r="80" spans="1:23" s="21" customFormat="1" hidden="1" x14ac:dyDescent="0.25">
      <c r="A80" s="509" t="s">
        <v>7857</v>
      </c>
      <c r="B80" s="21" t="s">
        <v>1335</v>
      </c>
      <c r="C80" s="177" t="s">
        <v>13</v>
      </c>
      <c r="D80" s="510">
        <v>46100</v>
      </c>
      <c r="E80" s="177" t="s">
        <v>236</v>
      </c>
      <c r="F80" s="1067" t="s">
        <v>7954</v>
      </c>
      <c r="G80" s="30" t="s">
        <v>7960</v>
      </c>
      <c r="H80" s="911">
        <v>21700</v>
      </c>
      <c r="I80" s="1344">
        <f t="shared" si="4"/>
        <v>19096</v>
      </c>
      <c r="J80" s="1067" t="s">
        <v>17</v>
      </c>
      <c r="K80" s="233">
        <v>46128</v>
      </c>
      <c r="M80" s="1289"/>
      <c r="N80" s="181"/>
      <c r="U80" s="21" t="s">
        <v>7858</v>
      </c>
      <c r="V80" s="488">
        <v>0.31666666666666665</v>
      </c>
      <c r="W80" s="488"/>
    </row>
    <row r="81" spans="1:24" hidden="1" x14ac:dyDescent="0.25">
      <c r="A81" s="483" t="s">
        <v>7881</v>
      </c>
      <c r="B81" s="21" t="s">
        <v>2129</v>
      </c>
      <c r="C81" s="28" t="s">
        <v>410</v>
      </c>
      <c r="D81" s="233">
        <v>46108</v>
      </c>
      <c r="E81" s="28" t="s">
        <v>236</v>
      </c>
      <c r="F81" s="1175" t="s">
        <v>7957</v>
      </c>
      <c r="G81" s="30" t="s">
        <v>7963</v>
      </c>
      <c r="H81" s="915">
        <v>42800</v>
      </c>
      <c r="I81" s="88">
        <f t="shared" ref="I81" si="7">+H81-ROUND(H81*0.12,0)</f>
        <v>37664</v>
      </c>
      <c r="J81" s="1067" t="s">
        <v>17</v>
      </c>
      <c r="K81" s="233">
        <v>46129</v>
      </c>
      <c r="M81" s="558"/>
      <c r="N81" s="88"/>
      <c r="U81" t="s">
        <v>7092</v>
      </c>
      <c r="V81" s="360"/>
      <c r="W81" s="360"/>
    </row>
    <row r="82" spans="1:24" hidden="1" x14ac:dyDescent="0.25">
      <c r="A82" s="483" t="s">
        <v>7881</v>
      </c>
      <c r="B82" s="21" t="s">
        <v>2129</v>
      </c>
      <c r="C82" s="28" t="s">
        <v>410</v>
      </c>
      <c r="D82" s="233">
        <v>46108</v>
      </c>
      <c r="E82" s="28" t="s">
        <v>236</v>
      </c>
      <c r="F82" s="1175" t="s">
        <v>7958</v>
      </c>
      <c r="G82" s="30" t="s">
        <v>7964</v>
      </c>
      <c r="H82" s="911">
        <v>21700</v>
      </c>
      <c r="I82" s="1344">
        <f t="shared" si="4"/>
        <v>19096</v>
      </c>
      <c r="J82" s="1067" t="s">
        <v>17</v>
      </c>
      <c r="K82" s="233">
        <v>46128</v>
      </c>
      <c r="M82" s="558"/>
      <c r="N82" s="88"/>
      <c r="U82" t="s">
        <v>7092</v>
      </c>
      <c r="V82" s="360"/>
      <c r="W82" s="360"/>
    </row>
    <row r="83" spans="1:24" hidden="1" x14ac:dyDescent="0.25">
      <c r="A83" s="483" t="s">
        <v>7943</v>
      </c>
      <c r="B83" t="s">
        <v>2129</v>
      </c>
      <c r="C83" s="28" t="s">
        <v>4218</v>
      </c>
      <c r="D83" s="233">
        <v>46121</v>
      </c>
      <c r="E83" s="28" t="s">
        <v>236</v>
      </c>
      <c r="F83" s="236" t="s">
        <v>8200</v>
      </c>
      <c r="G83" s="465" t="s">
        <v>8002</v>
      </c>
      <c r="H83" s="798">
        <v>42800</v>
      </c>
      <c r="I83" s="88">
        <f t="shared" ref="I83" si="8">+H83-ROUND(H83*0.12,0)</f>
        <v>37664</v>
      </c>
      <c r="J83" s="1067" t="s">
        <v>17</v>
      </c>
      <c r="K83" s="233">
        <v>46136</v>
      </c>
      <c r="M83" s="798"/>
      <c r="U83" t="s">
        <v>7858</v>
      </c>
      <c r="V83" s="360">
        <v>0.29652777777777778</v>
      </c>
      <c r="W83" s="360"/>
    </row>
    <row r="84" spans="1:24" hidden="1" x14ac:dyDescent="0.25">
      <c r="A84" s="483" t="s">
        <v>7943</v>
      </c>
      <c r="B84" t="s">
        <v>2129</v>
      </c>
      <c r="C84" s="28" t="s">
        <v>4218</v>
      </c>
      <c r="D84" s="233">
        <v>46121</v>
      </c>
      <c r="E84" s="28" t="s">
        <v>236</v>
      </c>
      <c r="F84" s="236" t="s">
        <v>8201</v>
      </c>
      <c r="G84" s="465" t="s">
        <v>8209</v>
      </c>
      <c r="H84" s="798">
        <v>23500</v>
      </c>
      <c r="I84" s="88">
        <f t="shared" si="4"/>
        <v>20680</v>
      </c>
      <c r="J84" s="1067" t="s">
        <v>17</v>
      </c>
      <c r="K84" s="233">
        <v>46190</v>
      </c>
      <c r="M84" s="798"/>
      <c r="U84" t="s">
        <v>7858</v>
      </c>
      <c r="V84" s="360">
        <v>0.29652777777777778</v>
      </c>
      <c r="W84" s="360"/>
    </row>
    <row r="85" spans="1:24" hidden="1" x14ac:dyDescent="0.25">
      <c r="A85" s="483" t="s">
        <v>7965</v>
      </c>
      <c r="B85" t="s">
        <v>2129</v>
      </c>
      <c r="C85" s="28" t="s">
        <v>410</v>
      </c>
      <c r="D85" s="233">
        <v>46123</v>
      </c>
      <c r="E85" s="28" t="s">
        <v>236</v>
      </c>
      <c r="F85" s="236" t="s">
        <v>8202</v>
      </c>
      <c r="G85" s="465" t="s">
        <v>8003</v>
      </c>
      <c r="H85" s="798">
        <v>42800</v>
      </c>
      <c r="I85" s="88">
        <f t="shared" ref="I85:I91" si="9">+H85-ROUND(H85*0.12,0)</f>
        <v>37664</v>
      </c>
      <c r="J85" s="1067" t="s">
        <v>17</v>
      </c>
      <c r="K85" s="233">
        <v>46136</v>
      </c>
      <c r="M85" s="798"/>
      <c r="U85" t="s">
        <v>4297</v>
      </c>
      <c r="V85" s="360">
        <v>0.44236111111111115</v>
      </c>
      <c r="W85" s="360">
        <v>0.72638888888888886</v>
      </c>
    </row>
    <row r="86" spans="1:24" hidden="1" x14ac:dyDescent="0.25">
      <c r="A86" s="483" t="s">
        <v>7965</v>
      </c>
      <c r="B86" t="s">
        <v>2129</v>
      </c>
      <c r="C86" s="28" t="s">
        <v>410</v>
      </c>
      <c r="D86" s="233">
        <v>46123</v>
      </c>
      <c r="E86" s="28" t="s">
        <v>236</v>
      </c>
      <c r="F86" s="236" t="s">
        <v>8203</v>
      </c>
      <c r="G86" s="236" t="s">
        <v>8208</v>
      </c>
      <c r="H86" s="798">
        <v>23500</v>
      </c>
      <c r="I86" s="88">
        <f t="shared" si="9"/>
        <v>20680</v>
      </c>
      <c r="J86" s="1067" t="s">
        <v>17</v>
      </c>
      <c r="K86" s="233">
        <v>46190</v>
      </c>
      <c r="M86" s="798"/>
      <c r="U86" t="s">
        <v>4297</v>
      </c>
      <c r="V86" s="360">
        <v>0.44236111111111115</v>
      </c>
      <c r="W86" s="360">
        <v>0.72638888888888886</v>
      </c>
    </row>
    <row r="87" spans="1:24" hidden="1" x14ac:dyDescent="0.25">
      <c r="A87" s="483" t="s">
        <v>8057</v>
      </c>
      <c r="B87" t="s">
        <v>2129</v>
      </c>
      <c r="C87" s="28" t="s">
        <v>410</v>
      </c>
      <c r="D87" s="233">
        <v>46146</v>
      </c>
      <c r="E87" s="28" t="s">
        <v>236</v>
      </c>
      <c r="F87" s="88" t="s">
        <v>8204</v>
      </c>
      <c r="G87" s="465" t="s">
        <v>8211</v>
      </c>
      <c r="H87" s="798">
        <v>42800</v>
      </c>
      <c r="I87" s="88">
        <f t="shared" si="9"/>
        <v>37664</v>
      </c>
      <c r="J87" s="1067" t="s">
        <v>17</v>
      </c>
      <c r="K87" s="233">
        <v>46190</v>
      </c>
      <c r="L87" s="1331"/>
      <c r="N87" s="798"/>
      <c r="V87" t="s">
        <v>8044</v>
      </c>
      <c r="W87" s="360">
        <v>0.47986111111111113</v>
      </c>
      <c r="X87" s="360">
        <v>0.74513888888888891</v>
      </c>
    </row>
    <row r="88" spans="1:24" hidden="1" x14ac:dyDescent="0.25">
      <c r="A88" s="483" t="s">
        <v>8057</v>
      </c>
      <c r="B88" t="s">
        <v>2129</v>
      </c>
      <c r="C88" s="28" t="s">
        <v>410</v>
      </c>
      <c r="D88" s="233">
        <v>46146</v>
      </c>
      <c r="E88" s="28" t="s">
        <v>236</v>
      </c>
      <c r="F88" s="88" t="s">
        <v>8205</v>
      </c>
      <c r="G88" s="465" t="s">
        <v>8210</v>
      </c>
      <c r="H88" s="798">
        <v>23500</v>
      </c>
      <c r="I88" s="88">
        <f t="shared" si="9"/>
        <v>20680</v>
      </c>
      <c r="J88" s="1067" t="s">
        <v>17</v>
      </c>
      <c r="K88" s="233">
        <v>46190</v>
      </c>
      <c r="L88" s="1331"/>
      <c r="N88" s="798"/>
      <c r="V88" t="s">
        <v>8044</v>
      </c>
      <c r="W88" s="360">
        <v>0.47986111111111113</v>
      </c>
      <c r="X88" s="360">
        <v>0.74513888888888891</v>
      </c>
    </row>
    <row r="89" spans="1:24" hidden="1" x14ac:dyDescent="0.25">
      <c r="A89" s="483">
        <v>12062026</v>
      </c>
      <c r="B89" s="21" t="s">
        <v>2769</v>
      </c>
      <c r="C89" s="31" t="s">
        <v>4218</v>
      </c>
      <c r="D89" s="233">
        <v>46185</v>
      </c>
      <c r="E89" s="28" t="s">
        <v>236</v>
      </c>
      <c r="F89" s="88" t="s">
        <v>8206</v>
      </c>
      <c r="G89" s="465" t="s">
        <v>8213</v>
      </c>
      <c r="H89" s="798">
        <v>42800</v>
      </c>
      <c r="I89" s="88">
        <f t="shared" si="9"/>
        <v>37664</v>
      </c>
      <c r="J89" s="1441" t="s">
        <v>17</v>
      </c>
      <c r="K89" s="233">
        <v>46196</v>
      </c>
      <c r="L89" s="1331"/>
      <c r="N89" s="798"/>
      <c r="V89" s="21" t="s">
        <v>6678</v>
      </c>
      <c r="W89" s="360">
        <v>0.39374999999999999</v>
      </c>
      <c r="X89" s="360">
        <v>0.65972222222222221</v>
      </c>
    </row>
    <row r="90" spans="1:24" hidden="1" x14ac:dyDescent="0.25">
      <c r="A90" s="483">
        <v>12062026</v>
      </c>
      <c r="B90" s="21" t="s">
        <v>2769</v>
      </c>
      <c r="C90" s="31" t="s">
        <v>4218</v>
      </c>
      <c r="D90" s="233">
        <v>46185</v>
      </c>
      <c r="E90" s="28" t="s">
        <v>236</v>
      </c>
      <c r="F90" s="88" t="s">
        <v>8207</v>
      </c>
      <c r="G90" s="465" t="s">
        <v>8212</v>
      </c>
      <c r="H90" s="798">
        <v>23500</v>
      </c>
      <c r="I90" s="88">
        <f t="shared" si="9"/>
        <v>20680</v>
      </c>
      <c r="J90" s="1067" t="s">
        <v>17</v>
      </c>
      <c r="K90" s="233">
        <v>46196</v>
      </c>
      <c r="L90" s="1331"/>
      <c r="N90" s="798"/>
      <c r="V90" s="21" t="s">
        <v>6678</v>
      </c>
      <c r="W90" s="360">
        <v>0.39374999999999999</v>
      </c>
      <c r="X90" s="360">
        <v>0.65972222222222221</v>
      </c>
    </row>
    <row r="91" spans="1:24" x14ac:dyDescent="0.25">
      <c r="A91" s="1448" t="s">
        <v>8678</v>
      </c>
      <c r="B91" s="21" t="s">
        <v>298</v>
      </c>
      <c r="C91" s="31" t="s">
        <v>13</v>
      </c>
      <c r="D91" s="233">
        <v>46291</v>
      </c>
      <c r="E91" s="313" t="s">
        <v>236</v>
      </c>
      <c r="F91" t="s">
        <v>8684</v>
      </c>
      <c r="G91"/>
      <c r="H91" s="915">
        <v>62735</v>
      </c>
      <c r="I91" s="88">
        <f t="shared" si="9"/>
        <v>55207</v>
      </c>
      <c r="N91" s="558"/>
      <c r="O91" s="88"/>
      <c r="V91" t="s">
        <v>8610</v>
      </c>
      <c r="W91" s="360">
        <v>0.28402777777777777</v>
      </c>
      <c r="X91" s="360">
        <v>0.48680555555555555</v>
      </c>
    </row>
    <row r="92" spans="1:24" x14ac:dyDescent="0.25">
      <c r="G92" s="236"/>
      <c r="J92" s="88" t="s">
        <v>1716</v>
      </c>
      <c r="K92" s="233"/>
    </row>
    <row r="93" spans="1:24" x14ac:dyDescent="0.25">
      <c r="A93" s="115"/>
      <c r="B93" s="169"/>
      <c r="C93" s="169"/>
      <c r="D93" s="122"/>
      <c r="E93" s="209"/>
      <c r="F93" s="163"/>
      <c r="G93" s="169"/>
      <c r="J93" s="160"/>
      <c r="K93" s="233"/>
      <c r="O93" s="21"/>
      <c r="P93" s="157"/>
      <c r="Q93" s="21"/>
    </row>
    <row r="94" spans="1:24" x14ac:dyDescent="0.25">
      <c r="E94" s="163"/>
      <c r="F94" s="163"/>
      <c r="G94" s="30" t="s">
        <v>351</v>
      </c>
      <c r="H94" s="24">
        <f>SUBTOTAL(9,H12:H91)</f>
        <v>125275</v>
      </c>
      <c r="K94" s="233"/>
    </row>
    <row r="95" spans="1:24" x14ac:dyDescent="0.25">
      <c r="K95" s="233"/>
    </row>
    <row r="96" spans="1:24" x14ac:dyDescent="0.25">
      <c r="K96" s="233"/>
    </row>
    <row r="97" spans="1:22" x14ac:dyDescent="0.25">
      <c r="K97" s="233"/>
    </row>
    <row r="99" spans="1:22" x14ac:dyDescent="0.25">
      <c r="H99" s="3"/>
    </row>
    <row r="100" spans="1:22" ht="15.75" thickBot="1" x14ac:dyDescent="0.3"/>
    <row r="101" spans="1:22" ht="15.75" thickBot="1" x14ac:dyDescent="0.3">
      <c r="A101" s="1487" t="s">
        <v>1636</v>
      </c>
      <c r="B101" s="1488"/>
      <c r="C101" s="1488"/>
      <c r="D101" s="1488"/>
      <c r="E101" s="1488"/>
      <c r="F101" s="1488"/>
      <c r="G101" s="1488"/>
      <c r="H101" s="1488"/>
      <c r="I101" s="1489"/>
    </row>
    <row r="102" spans="1:22" hidden="1" x14ac:dyDescent="0.25">
      <c r="A102" s="115">
        <v>24122022</v>
      </c>
      <c r="B102" t="s">
        <v>1335</v>
      </c>
      <c r="C102" s="169" t="s">
        <v>693</v>
      </c>
      <c r="D102" s="122">
        <v>44919</v>
      </c>
      <c r="E102" t="s">
        <v>742</v>
      </c>
      <c r="F102" s="21" t="s">
        <v>1640</v>
      </c>
      <c r="G102" s="169" t="s">
        <v>1660</v>
      </c>
      <c r="H102" s="160">
        <v>62540</v>
      </c>
      <c r="I102">
        <f t="shared" ref="I102:I108" si="10">+H102*0.88</f>
        <v>55035.199999999997</v>
      </c>
      <c r="J102" s="88" t="s">
        <v>17</v>
      </c>
      <c r="K102" s="374">
        <v>44939</v>
      </c>
      <c r="S102" s="2" t="s">
        <v>1029</v>
      </c>
      <c r="T102" s="157">
        <v>0.63194444444444442</v>
      </c>
      <c r="U102" s="157">
        <v>0.4375</v>
      </c>
    </row>
    <row r="103" spans="1:22" hidden="1" x14ac:dyDescent="0.25">
      <c r="A103" s="246">
        <v>30012023</v>
      </c>
      <c r="B103" t="s">
        <v>1335</v>
      </c>
      <c r="C103" t="s">
        <v>809</v>
      </c>
      <c r="D103" s="122">
        <v>44956</v>
      </c>
      <c r="E103" t="s">
        <v>742</v>
      </c>
      <c r="F103" t="s">
        <v>1940</v>
      </c>
      <c r="G103" s="30" t="s">
        <v>1948</v>
      </c>
      <c r="H103" s="32">
        <v>62540</v>
      </c>
      <c r="I103">
        <f t="shared" si="10"/>
        <v>55035.199999999997</v>
      </c>
      <c r="J103" s="88" t="s">
        <v>17</v>
      </c>
      <c r="K103" s="374">
        <v>44993</v>
      </c>
      <c r="S103" t="s">
        <v>1178</v>
      </c>
      <c r="T103" s="14">
        <v>0.60972222222222217</v>
      </c>
      <c r="U103" s="14">
        <v>0.72986111111111107</v>
      </c>
    </row>
    <row r="104" spans="1:22" hidden="1" x14ac:dyDescent="0.25">
      <c r="A104" s="95" t="s">
        <v>1844</v>
      </c>
      <c r="B104" t="s">
        <v>1845</v>
      </c>
      <c r="C104" t="s">
        <v>13</v>
      </c>
      <c r="D104" s="122">
        <v>44961</v>
      </c>
      <c r="E104" t="s">
        <v>742</v>
      </c>
      <c r="F104" t="s">
        <v>1951</v>
      </c>
      <c r="G104" s="30" t="s">
        <v>1952</v>
      </c>
      <c r="H104" s="32">
        <v>62540</v>
      </c>
      <c r="I104">
        <f t="shared" si="10"/>
        <v>55035.199999999997</v>
      </c>
      <c r="J104" s="88" t="s">
        <v>17</v>
      </c>
      <c r="K104" s="374">
        <v>44996</v>
      </c>
      <c r="S104" t="s">
        <v>922</v>
      </c>
      <c r="T104" s="14">
        <v>0.3034722222222222</v>
      </c>
      <c r="U104" s="14">
        <v>0.64861111111111114</v>
      </c>
    </row>
    <row r="105" spans="1:22" hidden="1" x14ac:dyDescent="0.25">
      <c r="A105" s="256">
        <v>18032023</v>
      </c>
      <c r="B105" t="s">
        <v>2035</v>
      </c>
      <c r="C105" t="s">
        <v>693</v>
      </c>
      <c r="D105" s="122">
        <v>45003</v>
      </c>
      <c r="E105" t="s">
        <v>742</v>
      </c>
      <c r="F105" t="s">
        <v>2120</v>
      </c>
      <c r="G105" s="30" t="s">
        <v>2119</v>
      </c>
      <c r="H105" s="88">
        <v>62540</v>
      </c>
      <c r="I105">
        <f t="shared" si="10"/>
        <v>55035.199999999997</v>
      </c>
      <c r="J105" s="88" t="s">
        <v>17</v>
      </c>
      <c r="K105" s="374">
        <v>45012</v>
      </c>
      <c r="S105" t="s">
        <v>893</v>
      </c>
      <c r="T105" s="14">
        <v>0.26805555555555555</v>
      </c>
      <c r="U105" s="14">
        <v>0.55902777777777779</v>
      </c>
    </row>
    <row r="106" spans="1:22" hidden="1" x14ac:dyDescent="0.25">
      <c r="A106" s="256">
        <v>29032023</v>
      </c>
      <c r="B106" t="s">
        <v>2129</v>
      </c>
      <c r="C106" t="s">
        <v>693</v>
      </c>
      <c r="D106" s="122">
        <v>45014</v>
      </c>
      <c r="E106" t="s">
        <v>236</v>
      </c>
      <c r="F106" t="s">
        <v>2169</v>
      </c>
      <c r="G106" s="30" t="s">
        <v>2170</v>
      </c>
      <c r="H106" s="88">
        <v>62540</v>
      </c>
      <c r="I106">
        <f t="shared" si="10"/>
        <v>55035.199999999997</v>
      </c>
      <c r="J106" t="s">
        <v>17</v>
      </c>
      <c r="K106" s="374">
        <v>45026</v>
      </c>
      <c r="L106" s="88"/>
      <c r="T106" t="s">
        <v>1506</v>
      </c>
      <c r="U106" s="14">
        <v>0.27083333333333331</v>
      </c>
      <c r="V106" s="14">
        <v>0.68263888888888891</v>
      </c>
    </row>
    <row r="107" spans="1:22" hidden="1" x14ac:dyDescent="0.25">
      <c r="A107" s="256">
        <v>28042023</v>
      </c>
      <c r="B107" t="s">
        <v>2129</v>
      </c>
      <c r="C107" t="s">
        <v>410</v>
      </c>
      <c r="D107" s="122">
        <v>45044</v>
      </c>
      <c r="E107" t="s">
        <v>236</v>
      </c>
      <c r="F107" s="30" t="s">
        <v>2554</v>
      </c>
      <c r="G107" s="30" t="s">
        <v>2464</v>
      </c>
      <c r="H107" s="313">
        <v>62540</v>
      </c>
      <c r="I107">
        <f t="shared" si="10"/>
        <v>55035.199999999997</v>
      </c>
      <c r="J107" s="122" t="s">
        <v>17</v>
      </c>
      <c r="K107" s="374">
        <v>45089</v>
      </c>
      <c r="L107" s="88"/>
      <c r="T107" t="s">
        <v>1506</v>
      </c>
    </row>
    <row r="108" spans="1:22" s="30" customFormat="1" hidden="1" x14ac:dyDescent="0.25">
      <c r="A108" s="256" t="s">
        <v>2466</v>
      </c>
      <c r="B108" s="30" t="s">
        <v>2129</v>
      </c>
      <c r="C108" s="30" t="s">
        <v>693</v>
      </c>
      <c r="D108" s="374">
        <v>45083</v>
      </c>
      <c r="E108" t="s">
        <v>236</v>
      </c>
      <c r="F108" s="30" t="s">
        <v>2553</v>
      </c>
      <c r="G108" s="30" t="s">
        <v>2566</v>
      </c>
      <c r="H108" s="236">
        <v>62540</v>
      </c>
      <c r="I108">
        <f t="shared" si="10"/>
        <v>55035.199999999997</v>
      </c>
      <c r="J108" s="30" t="s">
        <v>17</v>
      </c>
      <c r="K108" s="374">
        <v>45104</v>
      </c>
      <c r="L108" s="236"/>
      <c r="T108" s="30" t="s">
        <v>1042</v>
      </c>
      <c r="U108" s="360">
        <v>0.64583333333333337</v>
      </c>
    </row>
    <row r="109" spans="1:22" s="30" customFormat="1" x14ac:dyDescent="0.25">
      <c r="A109" s="256"/>
      <c r="D109" s="359"/>
      <c r="H109" s="236"/>
      <c r="L109" s="236"/>
      <c r="T109" s="360"/>
      <c r="U109" s="360"/>
      <c r="V109" s="360"/>
    </row>
    <row r="110" spans="1:22" x14ac:dyDescent="0.25">
      <c r="A110" s="256"/>
      <c r="D110" s="122"/>
      <c r="E110" s="28"/>
      <c r="F110" s="30"/>
      <c r="H110" s="368"/>
      <c r="L110" s="32"/>
      <c r="T110" s="14"/>
      <c r="U110" s="14"/>
      <c r="V110" s="14"/>
    </row>
    <row r="112" spans="1:22" x14ac:dyDescent="0.25">
      <c r="A112" s="115"/>
      <c r="C112" s="169"/>
      <c r="D112" s="122"/>
      <c r="F112" s="21"/>
      <c r="G112" s="169"/>
      <c r="H112" s="160"/>
      <c r="J112" s="160"/>
      <c r="K112" s="122"/>
      <c r="S112" s="2"/>
      <c r="T112" s="157"/>
      <c r="U112" s="157"/>
    </row>
    <row r="113" spans="1:22" x14ac:dyDescent="0.25">
      <c r="G113" s="30" t="s">
        <v>1637</v>
      </c>
      <c r="H113" s="138">
        <f>SUBTOTAL(9,H102:H112)</f>
        <v>0</v>
      </c>
      <c r="K113" s="122"/>
    </row>
    <row r="114" spans="1:22" ht="15.75" thickBot="1" x14ac:dyDescent="0.3">
      <c r="H114" s="17"/>
      <c r="K114" s="122"/>
    </row>
    <row r="115" spans="1:22" ht="15.75" thickBot="1" x14ac:dyDescent="0.3">
      <c r="A115" s="1487" t="s">
        <v>3029</v>
      </c>
      <c r="B115" s="1488"/>
      <c r="C115" s="1488"/>
      <c r="D115" s="1488"/>
      <c r="E115" s="1488"/>
      <c r="F115" s="1488"/>
      <c r="G115" s="1488"/>
      <c r="H115" s="1488"/>
      <c r="I115" s="1489"/>
      <c r="K115" s="122"/>
    </row>
    <row r="116" spans="1:22" hidden="1" x14ac:dyDescent="0.25">
      <c r="A116">
        <v>17102023</v>
      </c>
      <c r="B116" t="s">
        <v>3060</v>
      </c>
      <c r="C116" t="s">
        <v>410</v>
      </c>
      <c r="D116" s="233">
        <v>45216</v>
      </c>
      <c r="E116" s="28" t="s">
        <v>236</v>
      </c>
      <c r="F116" t="s">
        <v>3122</v>
      </c>
      <c r="G116" s="30" t="s">
        <v>3665</v>
      </c>
      <c r="H116" s="17">
        <v>62540</v>
      </c>
      <c r="I116" s="61">
        <f>+H116*0.88</f>
        <v>55035.199999999997</v>
      </c>
      <c r="J116" t="s">
        <v>17</v>
      </c>
      <c r="K116" s="122">
        <v>45232</v>
      </c>
      <c r="T116" t="s">
        <v>2050</v>
      </c>
      <c r="U116">
        <v>0.61041666666666672</v>
      </c>
      <c r="V116">
        <v>0.95694444444444438</v>
      </c>
    </row>
    <row r="117" spans="1:22" hidden="1" x14ac:dyDescent="0.25">
      <c r="A117" s="430" t="s">
        <v>3403</v>
      </c>
      <c r="B117" t="s">
        <v>3404</v>
      </c>
      <c r="C117" t="s">
        <v>13</v>
      </c>
      <c r="D117" s="233">
        <v>45289</v>
      </c>
      <c r="E117" s="28" t="s">
        <v>236</v>
      </c>
      <c r="F117" s="30" t="s">
        <v>3469</v>
      </c>
      <c r="G117" s="30" t="s">
        <v>3616</v>
      </c>
      <c r="H117" s="61">
        <v>62540</v>
      </c>
      <c r="I117" s="61">
        <f>+H117*0.88</f>
        <v>55035.199999999997</v>
      </c>
      <c r="J117" t="s">
        <v>17</v>
      </c>
      <c r="K117" s="374">
        <v>45308</v>
      </c>
      <c r="L117" s="32"/>
      <c r="T117" s="14" t="s">
        <v>2037</v>
      </c>
      <c r="U117" s="14">
        <v>0.29722222222222222</v>
      </c>
      <c r="V117" s="14">
        <v>0.58124999999999993</v>
      </c>
    </row>
    <row r="118" spans="1:22" hidden="1" x14ac:dyDescent="0.25">
      <c r="A118" s="483" t="s">
        <v>3454</v>
      </c>
      <c r="B118" s="28" t="s">
        <v>2129</v>
      </c>
      <c r="C118" s="28" t="s">
        <v>410</v>
      </c>
      <c r="D118" s="233">
        <v>45295</v>
      </c>
      <c r="E118" s="28" t="s">
        <v>236</v>
      </c>
      <c r="F118" s="30" t="s">
        <v>3470</v>
      </c>
      <c r="G118" s="30" t="s">
        <v>3788</v>
      </c>
      <c r="H118" s="61">
        <v>62540</v>
      </c>
      <c r="I118" s="61">
        <f t="shared" ref="I118:I124" si="11">+H118*0.88</f>
        <v>55035.199999999997</v>
      </c>
      <c r="J118" t="s">
        <v>17</v>
      </c>
      <c r="K118" s="233">
        <v>45356</v>
      </c>
      <c r="L118" s="88"/>
      <c r="T118" s="14" t="s">
        <v>2050</v>
      </c>
      <c r="U118" s="360">
        <v>0.72291666666666676</v>
      </c>
      <c r="V118" s="360">
        <v>3.4722222222222224E-2</v>
      </c>
    </row>
    <row r="119" spans="1:22" hidden="1" x14ac:dyDescent="0.25">
      <c r="A119" s="509" t="s">
        <v>3661</v>
      </c>
      <c r="B119" s="30" t="s">
        <v>1093</v>
      </c>
      <c r="C119" s="28" t="s">
        <v>3414</v>
      </c>
      <c r="D119" s="233">
        <v>45324</v>
      </c>
      <c r="E119" s="28" t="s">
        <v>236</v>
      </c>
      <c r="F119" s="30" t="s">
        <v>3796</v>
      </c>
      <c r="G119" s="30" t="s">
        <v>3789</v>
      </c>
      <c r="H119" s="251">
        <v>62540</v>
      </c>
      <c r="I119" s="61">
        <f t="shared" si="11"/>
        <v>55035.199999999997</v>
      </c>
      <c r="J119" t="s">
        <v>17</v>
      </c>
      <c r="K119" s="233">
        <v>45356</v>
      </c>
      <c r="L119" s="88"/>
      <c r="T119" s="14" t="s">
        <v>916</v>
      </c>
      <c r="U119" s="360">
        <v>0.26041666666666669</v>
      </c>
      <c r="V119" s="360"/>
    </row>
    <row r="120" spans="1:22" hidden="1" x14ac:dyDescent="0.25">
      <c r="A120" s="509">
        <v>26022024</v>
      </c>
      <c r="B120" s="30" t="s">
        <v>2129</v>
      </c>
      <c r="C120" s="28" t="s">
        <v>13</v>
      </c>
      <c r="D120" s="233">
        <v>45348</v>
      </c>
      <c r="E120" s="28" t="s">
        <v>236</v>
      </c>
      <c r="F120" s="30" t="s">
        <v>3797</v>
      </c>
      <c r="G120" s="30" t="s">
        <v>3798</v>
      </c>
      <c r="H120" s="251">
        <v>62540</v>
      </c>
      <c r="I120" s="61">
        <f t="shared" si="11"/>
        <v>55035.199999999997</v>
      </c>
      <c r="J120" t="s">
        <v>17</v>
      </c>
      <c r="K120" s="233">
        <v>45357</v>
      </c>
      <c r="L120" s="88"/>
      <c r="T120" s="14" t="s">
        <v>989</v>
      </c>
      <c r="U120" s="360">
        <v>0.39305555555555555</v>
      </c>
      <c r="V120" s="360">
        <v>0.18888888888888888</v>
      </c>
    </row>
    <row r="121" spans="1:22" hidden="1" x14ac:dyDescent="0.25">
      <c r="A121" s="509" t="s">
        <v>3957</v>
      </c>
      <c r="B121" s="30" t="s">
        <v>1335</v>
      </c>
      <c r="C121" s="28" t="s">
        <v>410</v>
      </c>
      <c r="D121" s="233">
        <v>45384</v>
      </c>
      <c r="E121" s="28" t="s">
        <v>236</v>
      </c>
      <c r="F121" s="30" t="s">
        <v>3987</v>
      </c>
      <c r="G121" s="30" t="s">
        <v>3988</v>
      </c>
      <c r="H121" s="237">
        <v>62540</v>
      </c>
      <c r="I121" s="61">
        <f t="shared" si="11"/>
        <v>55035.199999999997</v>
      </c>
      <c r="J121" t="s">
        <v>17</v>
      </c>
      <c r="K121" s="233">
        <v>45398</v>
      </c>
      <c r="L121" s="251"/>
      <c r="T121" s="14" t="s">
        <v>795</v>
      </c>
      <c r="U121" s="360">
        <v>0.57361111111111118</v>
      </c>
      <c r="V121" s="360"/>
    </row>
    <row r="122" spans="1:22" hidden="1" x14ac:dyDescent="0.25">
      <c r="A122" s="483">
        <v>15042024</v>
      </c>
      <c r="B122" t="s">
        <v>2769</v>
      </c>
      <c r="C122" s="28" t="s">
        <v>410</v>
      </c>
      <c r="D122" s="233">
        <v>45397</v>
      </c>
      <c r="E122" s="28" t="s">
        <v>236</v>
      </c>
      <c r="F122" s="30" t="s">
        <v>4051</v>
      </c>
      <c r="G122" s="30" t="s">
        <v>4052</v>
      </c>
      <c r="H122" s="236">
        <v>62540</v>
      </c>
      <c r="I122" s="61">
        <f t="shared" si="11"/>
        <v>55035.199999999997</v>
      </c>
      <c r="J122" t="s">
        <v>17</v>
      </c>
      <c r="K122" s="233">
        <v>45405</v>
      </c>
      <c r="L122" s="313"/>
      <c r="T122" s="14" t="s">
        <v>2050</v>
      </c>
      <c r="U122" s="360">
        <v>0.77569444444444446</v>
      </c>
      <c r="V122" s="360">
        <v>0.16874999999999998</v>
      </c>
    </row>
    <row r="123" spans="1:22" hidden="1" x14ac:dyDescent="0.25">
      <c r="A123" s="483">
        <v>25042024</v>
      </c>
      <c r="B123" t="s">
        <v>2849</v>
      </c>
      <c r="C123" s="28" t="s">
        <v>410</v>
      </c>
      <c r="D123" s="233">
        <v>45407</v>
      </c>
      <c r="E123" s="28" t="s">
        <v>236</v>
      </c>
      <c r="F123" s="30" t="s">
        <v>4092</v>
      </c>
      <c r="G123" s="30" t="s">
        <v>4093</v>
      </c>
      <c r="H123" s="237">
        <v>62540</v>
      </c>
      <c r="I123" s="61">
        <f t="shared" si="11"/>
        <v>55035.199999999997</v>
      </c>
      <c r="J123" t="s">
        <v>17</v>
      </c>
      <c r="K123" s="233">
        <v>45418</v>
      </c>
      <c r="L123" s="251"/>
      <c r="T123" s="14"/>
      <c r="U123" s="360"/>
      <c r="V123" s="360"/>
    </row>
    <row r="124" spans="1:22" hidden="1" x14ac:dyDescent="0.25">
      <c r="A124" s="509" t="s">
        <v>4256</v>
      </c>
      <c r="B124" t="s">
        <v>2769</v>
      </c>
      <c r="C124" s="28" t="s">
        <v>410</v>
      </c>
      <c r="D124" s="233">
        <v>45448</v>
      </c>
      <c r="E124" s="28" t="s">
        <v>236</v>
      </c>
      <c r="F124" s="30" t="s">
        <v>4273</v>
      </c>
      <c r="G124" s="30" t="s">
        <v>4274</v>
      </c>
      <c r="H124" s="237">
        <v>62540</v>
      </c>
      <c r="I124" s="61">
        <f t="shared" si="11"/>
        <v>55035.199999999997</v>
      </c>
      <c r="J124" t="s">
        <v>17</v>
      </c>
      <c r="K124" s="233">
        <v>45460</v>
      </c>
      <c r="L124" s="251"/>
      <c r="T124" s="14" t="s">
        <v>4071</v>
      </c>
      <c r="U124" s="360">
        <v>0.78263888888888899</v>
      </c>
      <c r="V124" s="360">
        <v>6.6666666666666666E-2</v>
      </c>
    </row>
    <row r="125" spans="1:22" hidden="1" x14ac:dyDescent="0.25">
      <c r="A125" s="509">
        <v>23062024</v>
      </c>
      <c r="B125" t="s">
        <v>2129</v>
      </c>
      <c r="C125" s="28" t="s">
        <v>410</v>
      </c>
      <c r="D125" s="233">
        <v>45466</v>
      </c>
      <c r="E125" s="28" t="s">
        <v>236</v>
      </c>
      <c r="F125" s="30" t="s">
        <v>4425</v>
      </c>
      <c r="G125" s="30" t="s">
        <v>4426</v>
      </c>
      <c r="H125" s="237">
        <v>62540</v>
      </c>
      <c r="I125" s="61">
        <f t="shared" ref="I125:I130" si="12">+H125*0.88</f>
        <v>55035.199999999997</v>
      </c>
      <c r="J125" t="s">
        <v>17</v>
      </c>
      <c r="K125" s="233">
        <v>45478</v>
      </c>
      <c r="L125" s="251"/>
      <c r="T125" s="14" t="s">
        <v>2146</v>
      </c>
      <c r="U125" s="360">
        <v>0.68611111111111101</v>
      </c>
      <c r="V125" s="360">
        <v>4.4444444444444446E-2</v>
      </c>
    </row>
    <row r="126" spans="1:22" hidden="1" x14ac:dyDescent="0.25">
      <c r="A126" s="95" t="s">
        <v>4576</v>
      </c>
      <c r="B126" t="s">
        <v>1335</v>
      </c>
      <c r="C126" s="28" t="s">
        <v>13</v>
      </c>
      <c r="D126" s="233">
        <v>45505</v>
      </c>
      <c r="E126" s="28" t="s">
        <v>236</v>
      </c>
      <c r="F126" s="30" t="s">
        <v>4606</v>
      </c>
      <c r="G126" s="30" t="s">
        <v>4605</v>
      </c>
      <c r="H126" s="237">
        <v>62540</v>
      </c>
      <c r="I126" s="61">
        <f t="shared" si="12"/>
        <v>55035.199999999997</v>
      </c>
      <c r="J126" t="s">
        <v>17</v>
      </c>
      <c r="K126" s="233">
        <v>45516</v>
      </c>
      <c r="L126" s="32"/>
      <c r="T126" t="s">
        <v>4365</v>
      </c>
      <c r="U126" s="360">
        <v>0.74861111111111101</v>
      </c>
      <c r="V126" s="360">
        <v>4.027777777777778E-2</v>
      </c>
    </row>
    <row r="127" spans="1:22" hidden="1" x14ac:dyDescent="0.25">
      <c r="A127" s="95">
        <v>21082024</v>
      </c>
      <c r="B127" t="s">
        <v>2849</v>
      </c>
      <c r="C127" s="28" t="s">
        <v>410</v>
      </c>
      <c r="D127" s="233">
        <v>45525</v>
      </c>
      <c r="E127" s="28" t="s">
        <v>236</v>
      </c>
      <c r="F127" s="30" t="s">
        <v>4721</v>
      </c>
      <c r="G127" s="30" t="s">
        <v>4722</v>
      </c>
      <c r="H127" s="313">
        <v>62540</v>
      </c>
      <c r="I127" s="61">
        <f t="shared" si="12"/>
        <v>55035.199999999997</v>
      </c>
      <c r="J127" t="s">
        <v>17</v>
      </c>
      <c r="K127" s="233">
        <v>45541</v>
      </c>
      <c r="L127" s="88"/>
      <c r="T127" t="s">
        <v>4509</v>
      </c>
      <c r="U127" s="360">
        <v>0.82986111111111116</v>
      </c>
      <c r="V127" s="360">
        <v>0.37152777777777773</v>
      </c>
    </row>
    <row r="128" spans="1:22" hidden="1" x14ac:dyDescent="0.25">
      <c r="A128" s="95">
        <v>10092024</v>
      </c>
      <c r="B128" t="s">
        <v>2129</v>
      </c>
      <c r="C128" s="28" t="s">
        <v>13</v>
      </c>
      <c r="D128" s="233">
        <v>45545</v>
      </c>
      <c r="E128" s="28" t="s">
        <v>236</v>
      </c>
      <c r="F128" s="30" t="s">
        <v>4835</v>
      </c>
      <c r="G128" s="30" t="s">
        <v>4836</v>
      </c>
      <c r="H128" s="61">
        <v>62540</v>
      </c>
      <c r="I128" s="61">
        <f t="shared" si="12"/>
        <v>55035.199999999997</v>
      </c>
      <c r="J128" t="s">
        <v>17</v>
      </c>
      <c r="K128" s="233">
        <v>45565</v>
      </c>
      <c r="L128" s="61"/>
      <c r="T128" t="s">
        <v>4022</v>
      </c>
      <c r="U128" s="360">
        <v>0.4201388888888889</v>
      </c>
      <c r="V128" s="360">
        <v>0.70833333333333337</v>
      </c>
    </row>
    <row r="129" spans="1:16380" hidden="1" x14ac:dyDescent="0.25">
      <c r="A129" s="95">
        <v>11092024</v>
      </c>
      <c r="B129" t="s">
        <v>4748</v>
      </c>
      <c r="C129" s="28" t="s">
        <v>410</v>
      </c>
      <c r="D129" s="233">
        <v>45546</v>
      </c>
      <c r="E129" s="28" t="s">
        <v>236</v>
      </c>
      <c r="F129" s="30" t="s">
        <v>4789</v>
      </c>
      <c r="G129" s="30" t="s">
        <v>4837</v>
      </c>
      <c r="H129" s="61">
        <v>62540</v>
      </c>
      <c r="I129" s="61">
        <f t="shared" si="12"/>
        <v>55035.199999999997</v>
      </c>
      <c r="J129" t="s">
        <v>17</v>
      </c>
      <c r="K129" s="233">
        <v>45566</v>
      </c>
      <c r="L129" s="61"/>
      <c r="T129" t="s">
        <v>1506</v>
      </c>
      <c r="U129" s="360">
        <v>0.31041666666666667</v>
      </c>
      <c r="V129" s="360">
        <v>0.60763888888888895</v>
      </c>
    </row>
    <row r="130" spans="1:16380" hidden="1" x14ac:dyDescent="0.25">
      <c r="A130" s="483" t="s">
        <v>4868</v>
      </c>
      <c r="B130" t="s">
        <v>2769</v>
      </c>
      <c r="C130" s="28" t="s">
        <v>410</v>
      </c>
      <c r="D130" s="233">
        <v>45567</v>
      </c>
      <c r="E130" s="28" t="s">
        <v>236</v>
      </c>
      <c r="F130" s="30" t="s">
        <v>4900</v>
      </c>
      <c r="G130" s="30" t="s">
        <v>4963</v>
      </c>
      <c r="H130" s="313">
        <v>62540</v>
      </c>
      <c r="I130" s="313">
        <f t="shared" si="12"/>
        <v>55035.199999999997</v>
      </c>
      <c r="J130" t="s">
        <v>17</v>
      </c>
      <c r="K130" s="233">
        <v>45579</v>
      </c>
      <c r="L130" s="313"/>
      <c r="T130" t="s">
        <v>4867</v>
      </c>
      <c r="U130" s="360">
        <v>0.72222222222222221</v>
      </c>
      <c r="V130" s="360">
        <v>1.6666666666666666E-2</v>
      </c>
    </row>
    <row r="132" spans="1:16380" x14ac:dyDescent="0.25">
      <c r="M132" s="149"/>
    </row>
    <row r="133" spans="1:16380" x14ac:dyDescent="0.25">
      <c r="A133" s="483"/>
      <c r="C133" s="28"/>
      <c r="D133" s="233"/>
      <c r="E133" s="28"/>
      <c r="F133" s="30"/>
      <c r="H133" s="237"/>
      <c r="I133" s="61"/>
      <c r="K133" s="233"/>
      <c r="L133" s="251"/>
      <c r="T133" s="14"/>
      <c r="U133" s="360"/>
      <c r="V133" s="360"/>
    </row>
    <row r="134" spans="1:16380" x14ac:dyDescent="0.25">
      <c r="H134" s="17"/>
      <c r="K134" s="233"/>
    </row>
    <row r="135" spans="1:16380" x14ac:dyDescent="0.25">
      <c r="H135" s="17"/>
      <c r="K135" s="233"/>
    </row>
    <row r="136" spans="1:16380" x14ac:dyDescent="0.25">
      <c r="D136" s="233"/>
      <c r="H136" s="138">
        <f>SUBTOTAL(9,H116:H135)</f>
        <v>0</v>
      </c>
      <c r="K136" s="122"/>
    </row>
    <row r="137" spans="1:16380" x14ac:dyDescent="0.25">
      <c r="D137" s="233"/>
      <c r="H137" s="17"/>
      <c r="K137" s="88"/>
    </row>
    <row r="138" spans="1:16380" ht="15.75" thickBot="1" x14ac:dyDescent="0.3">
      <c r="D138" s="233"/>
      <c r="K138" s="122"/>
    </row>
    <row r="139" spans="1:16380" ht="15.75" thickBot="1" x14ac:dyDescent="0.3">
      <c r="A139" s="1487" t="s">
        <v>5636</v>
      </c>
      <c r="B139" s="1488"/>
      <c r="C139" s="1488"/>
      <c r="D139" s="1488"/>
      <c r="E139" s="1488"/>
      <c r="F139" s="1488"/>
      <c r="G139" s="1488"/>
      <c r="H139" s="1488"/>
      <c r="I139" s="1489"/>
      <c r="K139" s="122"/>
    </row>
    <row r="140" spans="1:16380" s="19" customFormat="1" hidden="1" x14ac:dyDescent="0.25">
      <c r="A140" s="483">
        <v>24022025</v>
      </c>
      <c r="B140" t="s">
        <v>2129</v>
      </c>
      <c r="C140" s="28" t="s">
        <v>410</v>
      </c>
      <c r="D140" s="233">
        <v>45712</v>
      </c>
      <c r="E140" s="28" t="s">
        <v>236</v>
      </c>
      <c r="F140" s="30" t="s">
        <v>5799</v>
      </c>
      <c r="G140" s="30" t="s">
        <v>5801</v>
      </c>
      <c r="H140" s="313">
        <v>62540</v>
      </c>
      <c r="I140" s="61">
        <f t="shared" ref="I140:I145" si="13">+H140*0.88</f>
        <v>55035.199999999997</v>
      </c>
      <c r="J140" s="88" t="s">
        <v>17</v>
      </c>
      <c r="K140" s="233">
        <v>45736</v>
      </c>
      <c r="L140"/>
      <c r="M140"/>
      <c r="N140"/>
      <c r="O140"/>
      <c r="P140" t="s">
        <v>4345</v>
      </c>
      <c r="Q140" s="360">
        <v>0.62708333333333333</v>
      </c>
      <c r="R140" s="360">
        <v>6.7361111111111108E-2</v>
      </c>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c r="KT140"/>
      <c r="KU140"/>
      <c r="KV140"/>
      <c r="KW140"/>
      <c r="KX140"/>
      <c r="KY140"/>
      <c r="KZ140"/>
      <c r="LA140"/>
      <c r="LB140"/>
      <c r="LC140"/>
      <c r="LD140"/>
      <c r="LE140"/>
      <c r="LF140"/>
      <c r="LG140"/>
      <c r="LH140"/>
      <c r="LI140"/>
      <c r="LJ140"/>
      <c r="LK140"/>
      <c r="LL140"/>
      <c r="LM140"/>
      <c r="LN140"/>
      <c r="LO140"/>
      <c r="LP140"/>
      <c r="LQ140"/>
      <c r="LR140"/>
      <c r="LS140"/>
      <c r="LT140"/>
      <c r="LU140"/>
      <c r="LV140"/>
      <c r="LW140"/>
      <c r="LX140"/>
      <c r="LY140"/>
      <c r="LZ140"/>
      <c r="MA140"/>
      <c r="MB140"/>
      <c r="MC140"/>
      <c r="MD140"/>
      <c r="ME140"/>
      <c r="MF140"/>
      <c r="MG140"/>
      <c r="MH140"/>
      <c r="MI140"/>
      <c r="MJ140"/>
      <c r="MK140"/>
      <c r="ML140"/>
      <c r="MM140"/>
      <c r="MN140"/>
      <c r="MO140"/>
      <c r="MP140"/>
      <c r="MQ140"/>
      <c r="MR140"/>
      <c r="MS140"/>
      <c r="MT140"/>
      <c r="MU140"/>
      <c r="MV140"/>
      <c r="MW140"/>
      <c r="MX140"/>
      <c r="MY140"/>
      <c r="MZ140"/>
      <c r="NA140"/>
      <c r="NB140"/>
      <c r="NC140"/>
      <c r="ND140"/>
      <c r="NE140"/>
      <c r="NF140"/>
      <c r="NG140"/>
      <c r="NH140"/>
      <c r="NI140"/>
      <c r="NJ140"/>
      <c r="NK140"/>
      <c r="NL140"/>
      <c r="NM140"/>
      <c r="NN140"/>
      <c r="NO140"/>
      <c r="NP140"/>
      <c r="NQ140"/>
      <c r="NR140"/>
      <c r="NS140"/>
      <c r="NT140"/>
      <c r="NU140"/>
      <c r="NV140"/>
      <c r="NW140"/>
      <c r="NX140"/>
      <c r="NY140"/>
      <c r="NZ140"/>
      <c r="OA140"/>
      <c r="OB140"/>
      <c r="OC140"/>
      <c r="OD140"/>
      <c r="OE140"/>
      <c r="OF140"/>
      <c r="OG140"/>
      <c r="OH140"/>
      <c r="OI140"/>
      <c r="OJ140"/>
      <c r="OK140"/>
      <c r="OL140"/>
      <c r="OM140"/>
      <c r="ON140"/>
      <c r="OO140"/>
      <c r="OP140"/>
      <c r="OQ140"/>
      <c r="OR140"/>
      <c r="OS140"/>
      <c r="OT140"/>
      <c r="OU140"/>
      <c r="OV140"/>
      <c r="OW140"/>
      <c r="OX140"/>
      <c r="OY140"/>
      <c r="OZ140"/>
      <c r="PA140"/>
      <c r="PB140"/>
      <c r="PC140"/>
      <c r="PD140"/>
      <c r="PE140"/>
      <c r="PF140"/>
      <c r="PG140"/>
      <c r="PH140"/>
      <c r="PI140"/>
      <c r="PJ140"/>
      <c r="PK140"/>
      <c r="PL140"/>
      <c r="PM140"/>
      <c r="PN140"/>
      <c r="PO140"/>
      <c r="PP140"/>
      <c r="PQ140"/>
      <c r="PR140"/>
      <c r="PS140"/>
      <c r="PT140"/>
      <c r="PU140"/>
      <c r="PV140"/>
      <c r="PW140"/>
      <c r="PX140"/>
      <c r="PY140"/>
      <c r="PZ140"/>
      <c r="QA140"/>
      <c r="QB140"/>
      <c r="QC140"/>
      <c r="QD140"/>
      <c r="QE140"/>
      <c r="QF140"/>
      <c r="QG140"/>
      <c r="QH140"/>
      <c r="QI140"/>
      <c r="QJ140"/>
      <c r="QK140"/>
      <c r="QL140"/>
      <c r="QM140"/>
      <c r="QN140"/>
      <c r="QO140"/>
      <c r="QP140"/>
      <c r="QQ140"/>
      <c r="QR140"/>
      <c r="QS140"/>
      <c r="QT140"/>
      <c r="QU140"/>
      <c r="QV140"/>
      <c r="QW140"/>
      <c r="QX140"/>
      <c r="QY140"/>
      <c r="QZ140"/>
      <c r="RA140"/>
      <c r="RB140"/>
      <c r="RC140"/>
      <c r="RD140"/>
      <c r="RE140"/>
      <c r="RF140"/>
      <c r="RG140"/>
      <c r="RH140"/>
      <c r="RI140"/>
      <c r="RJ140"/>
      <c r="RK140"/>
      <c r="RL140"/>
      <c r="RM140"/>
      <c r="RN140"/>
      <c r="RO140"/>
      <c r="RP140"/>
      <c r="RQ140"/>
      <c r="RR140"/>
      <c r="RS140"/>
      <c r="RT140"/>
      <c r="RU140"/>
      <c r="RV140"/>
      <c r="RW140"/>
      <c r="RX140"/>
      <c r="RY140"/>
      <c r="RZ140"/>
      <c r="SA140"/>
      <c r="SB140"/>
      <c r="SC140"/>
      <c r="SD140"/>
      <c r="SE140"/>
      <c r="SF140"/>
      <c r="SG140"/>
      <c r="SH140"/>
      <c r="SI140"/>
      <c r="SJ140"/>
      <c r="SK140"/>
      <c r="SL140"/>
      <c r="SM140"/>
      <c r="SN140"/>
      <c r="SO140"/>
      <c r="SP140"/>
      <c r="SQ140"/>
      <c r="SR140"/>
      <c r="SS140"/>
      <c r="ST140"/>
      <c r="SU140"/>
      <c r="SV140"/>
      <c r="SW140"/>
      <c r="SX140"/>
      <c r="SY140"/>
      <c r="SZ140"/>
      <c r="TA140"/>
      <c r="TB140"/>
      <c r="TC140"/>
      <c r="TD140"/>
      <c r="TE140"/>
      <c r="TF140"/>
      <c r="TG140"/>
      <c r="TH140"/>
      <c r="TI140"/>
      <c r="TJ140"/>
      <c r="TK140"/>
      <c r="TL140"/>
      <c r="TM140"/>
      <c r="TN140"/>
      <c r="TO140"/>
      <c r="TP140"/>
      <c r="TQ140"/>
      <c r="TR140"/>
      <c r="TS140"/>
      <c r="TT140"/>
      <c r="TU140"/>
      <c r="TV140"/>
      <c r="TW140"/>
      <c r="TX140"/>
      <c r="TY140"/>
      <c r="TZ140"/>
      <c r="UA140"/>
      <c r="UB140"/>
      <c r="UC140"/>
      <c r="UD140"/>
      <c r="UE140"/>
      <c r="UF140"/>
      <c r="UG140"/>
      <c r="UH140"/>
      <c r="UI140"/>
      <c r="UJ140"/>
      <c r="UK140"/>
      <c r="UL140"/>
      <c r="UM140"/>
      <c r="UN140"/>
      <c r="UO140"/>
      <c r="UP140"/>
      <c r="UQ140"/>
      <c r="UR140"/>
      <c r="US140"/>
      <c r="UT140"/>
      <c r="UU140"/>
      <c r="UV140"/>
      <c r="UW140"/>
      <c r="UX140"/>
      <c r="UY140"/>
      <c r="UZ140"/>
      <c r="VA140"/>
      <c r="VB140"/>
      <c r="VC140"/>
      <c r="VD140"/>
      <c r="VE140"/>
      <c r="VF140"/>
      <c r="VG140"/>
      <c r="VH140"/>
      <c r="VI140"/>
      <c r="VJ140"/>
      <c r="VK140"/>
      <c r="VL140"/>
      <c r="VM140"/>
      <c r="VN140"/>
      <c r="VO140"/>
      <c r="VP140"/>
      <c r="VQ140"/>
      <c r="VR140"/>
      <c r="VS140"/>
      <c r="VT140"/>
      <c r="VU140"/>
      <c r="VV140"/>
      <c r="VW140"/>
      <c r="VX140"/>
      <c r="VY140"/>
      <c r="VZ140"/>
      <c r="WA140"/>
      <c r="WB140"/>
      <c r="WC140"/>
      <c r="WD140"/>
      <c r="WE140"/>
      <c r="WF140"/>
      <c r="WG140"/>
      <c r="WH140"/>
      <c r="WI140"/>
      <c r="WJ140"/>
      <c r="WK140"/>
      <c r="WL140"/>
      <c r="WM140"/>
      <c r="WN140"/>
      <c r="WO140"/>
      <c r="WP140"/>
      <c r="WQ140"/>
      <c r="WR140"/>
      <c r="WS140"/>
      <c r="WT140"/>
      <c r="WU140"/>
      <c r="WV140"/>
      <c r="WW140"/>
      <c r="WX140"/>
      <c r="WY140"/>
      <c r="WZ140"/>
      <c r="XA140"/>
      <c r="XB140"/>
      <c r="XC140"/>
      <c r="XD140"/>
      <c r="XE140"/>
      <c r="XF140"/>
      <c r="XG140"/>
      <c r="XH140"/>
      <c r="XI140"/>
      <c r="XJ140"/>
      <c r="XK140"/>
      <c r="XL140"/>
      <c r="XM140"/>
      <c r="XN140"/>
      <c r="XO140"/>
      <c r="XP140"/>
      <c r="XQ140"/>
      <c r="XR140"/>
      <c r="XS140"/>
      <c r="XT140"/>
      <c r="XU140"/>
      <c r="XV140"/>
      <c r="XW140"/>
      <c r="XX140"/>
      <c r="XY140"/>
      <c r="XZ140"/>
      <c r="YA140"/>
      <c r="YB140"/>
      <c r="YC140"/>
      <c r="YD140"/>
      <c r="YE140"/>
      <c r="YF140"/>
      <c r="YG140"/>
      <c r="YH140"/>
      <c r="YI140"/>
      <c r="YJ140"/>
      <c r="YK140"/>
      <c r="YL140"/>
      <c r="YM140"/>
      <c r="YN140"/>
      <c r="YO140"/>
      <c r="YP140"/>
      <c r="YQ140"/>
      <c r="YR140"/>
      <c r="YS140"/>
      <c r="YT140"/>
      <c r="YU140"/>
      <c r="YV140"/>
      <c r="YW140"/>
      <c r="YX140"/>
      <c r="YY140"/>
      <c r="YZ140"/>
      <c r="ZA140"/>
      <c r="ZB140"/>
      <c r="ZC140"/>
      <c r="ZD140"/>
      <c r="ZE140"/>
      <c r="ZF140"/>
      <c r="ZG140"/>
      <c r="ZH140"/>
      <c r="ZI140"/>
      <c r="ZJ140"/>
      <c r="ZK140"/>
      <c r="ZL140"/>
      <c r="ZM140"/>
      <c r="ZN140"/>
      <c r="ZO140"/>
      <c r="ZP140"/>
      <c r="ZQ140"/>
      <c r="ZR140"/>
      <c r="ZS140"/>
      <c r="ZT140"/>
      <c r="ZU140"/>
      <c r="ZV140"/>
      <c r="ZW140"/>
      <c r="ZX140"/>
      <c r="ZY140"/>
      <c r="ZZ140"/>
      <c r="AAA140"/>
      <c r="AAB140"/>
      <c r="AAC140"/>
      <c r="AAD140"/>
      <c r="AAE140"/>
      <c r="AAF140"/>
      <c r="AAG140"/>
      <c r="AAH140"/>
      <c r="AAI140"/>
      <c r="AAJ140"/>
      <c r="AAK140"/>
      <c r="AAL140"/>
      <c r="AAM140"/>
      <c r="AAN140"/>
      <c r="AAO140"/>
      <c r="AAP140"/>
      <c r="AAQ140"/>
      <c r="AAR140"/>
      <c r="AAS140"/>
      <c r="AAT140"/>
      <c r="AAU140"/>
      <c r="AAV140"/>
      <c r="AAW140"/>
      <c r="AAX140"/>
      <c r="AAY140"/>
      <c r="AAZ140"/>
      <c r="ABA140"/>
      <c r="ABB140"/>
      <c r="ABC140"/>
      <c r="ABD140"/>
      <c r="ABE140"/>
      <c r="ABF140"/>
      <c r="ABG140"/>
      <c r="ABH140"/>
      <c r="ABI140"/>
      <c r="ABJ140"/>
      <c r="ABK140"/>
      <c r="ABL140"/>
      <c r="ABM140"/>
      <c r="ABN140"/>
      <c r="ABO140"/>
      <c r="ABP140"/>
      <c r="ABQ140"/>
      <c r="ABR140"/>
      <c r="ABS140"/>
      <c r="ABT140"/>
      <c r="ABU140"/>
      <c r="ABV140"/>
      <c r="ABW140"/>
      <c r="ABX140"/>
      <c r="ABY140"/>
      <c r="ABZ140"/>
      <c r="ACA140"/>
      <c r="ACB140"/>
      <c r="ACC140"/>
      <c r="ACD140"/>
      <c r="ACE140"/>
      <c r="ACF140"/>
      <c r="ACG140"/>
      <c r="ACH140"/>
      <c r="ACI140"/>
      <c r="ACJ140"/>
      <c r="ACK140"/>
      <c r="ACL140"/>
      <c r="ACM140"/>
      <c r="ACN140"/>
      <c r="ACO140"/>
      <c r="ACP140"/>
      <c r="ACQ140"/>
      <c r="ACR140"/>
      <c r="ACS140"/>
      <c r="ACT140"/>
      <c r="ACU140"/>
      <c r="ACV140"/>
      <c r="ACW140"/>
      <c r="ACX140"/>
      <c r="ACY140"/>
      <c r="ACZ140"/>
      <c r="ADA140"/>
      <c r="ADB140"/>
      <c r="ADC140"/>
      <c r="ADD140"/>
      <c r="ADE140"/>
      <c r="ADF140"/>
      <c r="ADG140"/>
      <c r="ADH140"/>
      <c r="ADI140"/>
      <c r="ADJ140"/>
      <c r="ADK140"/>
      <c r="ADL140"/>
      <c r="ADM140"/>
      <c r="ADN140"/>
      <c r="ADO140"/>
      <c r="ADP140"/>
      <c r="ADQ140"/>
      <c r="ADR140"/>
      <c r="ADS140"/>
      <c r="ADT140"/>
      <c r="ADU140"/>
      <c r="ADV140"/>
      <c r="ADW140"/>
      <c r="ADX140"/>
      <c r="ADY140"/>
      <c r="ADZ140"/>
      <c r="AEA140"/>
      <c r="AEB140"/>
      <c r="AEC140"/>
      <c r="AED140"/>
      <c r="AEE140"/>
      <c r="AEF140"/>
      <c r="AEG140"/>
      <c r="AEH140"/>
      <c r="AEI140"/>
      <c r="AEJ140"/>
      <c r="AEK140"/>
      <c r="AEL140"/>
      <c r="AEM140"/>
      <c r="AEN140"/>
      <c r="AEO140"/>
      <c r="AEP140"/>
      <c r="AEQ140"/>
      <c r="AER140"/>
      <c r="AES140"/>
      <c r="AET140"/>
      <c r="AEU140"/>
      <c r="AEV140"/>
      <c r="AEW140"/>
      <c r="AEX140"/>
      <c r="AEY140"/>
      <c r="AEZ140"/>
      <c r="AFA140"/>
      <c r="AFB140"/>
      <c r="AFC140"/>
      <c r="AFD140"/>
      <c r="AFE140"/>
      <c r="AFF140"/>
      <c r="AFG140"/>
      <c r="AFH140"/>
      <c r="AFI140"/>
      <c r="AFJ140"/>
      <c r="AFK140"/>
      <c r="AFL140"/>
      <c r="AFM140"/>
      <c r="AFN140"/>
      <c r="AFO140"/>
      <c r="AFP140"/>
      <c r="AFQ140"/>
      <c r="AFR140"/>
      <c r="AFS140"/>
      <c r="AFT140"/>
      <c r="AFU140"/>
      <c r="AFV140"/>
      <c r="AFW140"/>
      <c r="AFX140"/>
      <c r="AFY140"/>
      <c r="AFZ140"/>
      <c r="AGA140"/>
      <c r="AGB140"/>
      <c r="AGC140"/>
      <c r="AGD140"/>
      <c r="AGE140"/>
      <c r="AGF140"/>
      <c r="AGG140"/>
      <c r="AGH140"/>
      <c r="AGI140"/>
      <c r="AGJ140"/>
      <c r="AGK140"/>
      <c r="AGL140"/>
      <c r="AGM140"/>
      <c r="AGN140"/>
      <c r="AGO140"/>
      <c r="AGP140"/>
      <c r="AGQ140"/>
      <c r="AGR140"/>
      <c r="AGS140"/>
      <c r="AGT140"/>
      <c r="AGU140"/>
      <c r="AGV140"/>
      <c r="AGW140"/>
      <c r="AGX140"/>
      <c r="AGY140"/>
      <c r="AGZ140"/>
      <c r="AHA140"/>
      <c r="AHB140"/>
      <c r="AHC140"/>
      <c r="AHD140"/>
      <c r="AHE140"/>
      <c r="AHF140"/>
      <c r="AHG140"/>
      <c r="AHH140"/>
      <c r="AHI140"/>
      <c r="AHJ140"/>
      <c r="AHK140"/>
      <c r="AHL140"/>
      <c r="AHM140"/>
      <c r="AHN140"/>
      <c r="AHO140"/>
      <c r="AHP140"/>
      <c r="AHQ140"/>
      <c r="AHR140"/>
      <c r="AHS140"/>
      <c r="AHT140"/>
      <c r="AHU140"/>
      <c r="AHV140"/>
      <c r="AHW140"/>
      <c r="AHX140"/>
      <c r="AHY140"/>
      <c r="AHZ140"/>
      <c r="AIA140"/>
      <c r="AIB140"/>
      <c r="AIC140"/>
      <c r="AID140"/>
      <c r="AIE140"/>
      <c r="AIF140"/>
      <c r="AIG140"/>
      <c r="AIH140"/>
      <c r="AII140"/>
      <c r="AIJ140"/>
      <c r="AIK140"/>
      <c r="AIL140"/>
      <c r="AIM140"/>
      <c r="AIN140"/>
      <c r="AIO140"/>
      <c r="AIP140"/>
      <c r="AIQ140"/>
      <c r="AIR140"/>
      <c r="AIS140"/>
      <c r="AIT140"/>
      <c r="AIU140"/>
      <c r="AIV140"/>
      <c r="AIW140"/>
      <c r="AIX140"/>
      <c r="AIY140"/>
      <c r="AIZ140"/>
      <c r="AJA140"/>
      <c r="AJB140"/>
      <c r="AJC140"/>
      <c r="AJD140"/>
      <c r="AJE140"/>
      <c r="AJF140"/>
      <c r="AJG140"/>
      <c r="AJH140"/>
      <c r="AJI140"/>
      <c r="AJJ140"/>
      <c r="AJK140"/>
      <c r="AJL140"/>
      <c r="AJM140"/>
      <c r="AJN140"/>
      <c r="AJO140"/>
      <c r="AJP140"/>
      <c r="AJQ140"/>
      <c r="AJR140"/>
      <c r="AJS140"/>
      <c r="AJT140"/>
      <c r="AJU140"/>
      <c r="AJV140"/>
      <c r="AJW140"/>
      <c r="AJX140"/>
      <c r="AJY140"/>
      <c r="AJZ140"/>
      <c r="AKA140"/>
      <c r="AKB140"/>
      <c r="AKC140"/>
      <c r="AKD140"/>
      <c r="AKE140"/>
      <c r="AKF140"/>
      <c r="AKG140"/>
      <c r="AKH140"/>
      <c r="AKI140"/>
      <c r="AKJ140"/>
      <c r="AKK140"/>
      <c r="AKL140"/>
      <c r="AKM140"/>
      <c r="AKN140"/>
      <c r="AKO140"/>
      <c r="AKP140"/>
      <c r="AKQ140"/>
      <c r="AKR140"/>
      <c r="AKS140"/>
      <c r="AKT140"/>
      <c r="AKU140"/>
      <c r="AKV140"/>
      <c r="AKW140"/>
      <c r="AKX140"/>
      <c r="AKY140"/>
      <c r="AKZ140"/>
      <c r="ALA140"/>
      <c r="ALB140"/>
      <c r="ALC140"/>
      <c r="ALD140"/>
      <c r="ALE140"/>
      <c r="ALF140"/>
      <c r="ALG140"/>
      <c r="ALH140"/>
      <c r="ALI140"/>
      <c r="ALJ140"/>
      <c r="ALK140"/>
      <c r="ALL140"/>
      <c r="ALM140"/>
      <c r="ALN140"/>
      <c r="ALO140"/>
      <c r="ALP140"/>
      <c r="ALQ140"/>
      <c r="ALR140"/>
      <c r="ALS140"/>
      <c r="ALT140"/>
      <c r="ALU140"/>
      <c r="ALV140"/>
      <c r="ALW140"/>
      <c r="ALX140"/>
      <c r="ALY140"/>
      <c r="ALZ140"/>
      <c r="AMA140"/>
      <c r="AMB140"/>
      <c r="AMC140"/>
      <c r="AMD140"/>
      <c r="AME140"/>
      <c r="AMF140"/>
      <c r="AMG140"/>
      <c r="AMH140"/>
      <c r="AMI140"/>
      <c r="AMJ140"/>
      <c r="AMK140"/>
      <c r="AML140"/>
      <c r="AMM140"/>
      <c r="AMN140"/>
      <c r="AMO140"/>
      <c r="AMP140"/>
      <c r="AMQ140"/>
      <c r="AMR140"/>
      <c r="AMS140"/>
      <c r="AMT140"/>
      <c r="AMU140"/>
      <c r="AMV140"/>
      <c r="AMW140"/>
      <c r="AMX140"/>
      <c r="AMY140"/>
      <c r="AMZ140"/>
      <c r="ANA140"/>
      <c r="ANB140"/>
      <c r="ANC140"/>
      <c r="AND140"/>
      <c r="ANE140"/>
      <c r="ANF140"/>
      <c r="ANG140"/>
      <c r="ANH140"/>
      <c r="ANI140"/>
      <c r="ANJ140"/>
      <c r="ANK140"/>
      <c r="ANL140"/>
      <c r="ANM140"/>
      <c r="ANN140"/>
      <c r="ANO140"/>
      <c r="ANP140"/>
      <c r="ANQ140"/>
      <c r="ANR140"/>
      <c r="ANS140"/>
      <c r="ANT140"/>
      <c r="ANU140"/>
      <c r="ANV140"/>
      <c r="ANW140"/>
      <c r="ANX140"/>
      <c r="ANY140"/>
      <c r="ANZ140"/>
      <c r="AOA140"/>
      <c r="AOB140"/>
      <c r="AOC140"/>
      <c r="AOD140"/>
      <c r="AOE140"/>
      <c r="AOF140"/>
      <c r="AOG140"/>
      <c r="AOH140"/>
      <c r="AOI140"/>
      <c r="AOJ140"/>
      <c r="AOK140"/>
      <c r="AOL140"/>
      <c r="AOM140"/>
      <c r="AON140"/>
      <c r="AOO140"/>
      <c r="AOP140"/>
      <c r="AOQ140"/>
      <c r="AOR140"/>
      <c r="AOS140"/>
      <c r="AOT140"/>
      <c r="AOU140"/>
      <c r="AOV140"/>
      <c r="AOW140"/>
      <c r="AOX140"/>
      <c r="AOY140"/>
      <c r="AOZ140"/>
      <c r="APA140"/>
      <c r="APB140"/>
      <c r="APC140"/>
      <c r="APD140"/>
      <c r="APE140"/>
      <c r="APF140"/>
      <c r="APG140"/>
      <c r="APH140"/>
      <c r="API140"/>
      <c r="APJ140"/>
      <c r="APK140"/>
      <c r="APL140"/>
      <c r="APM140"/>
      <c r="APN140"/>
      <c r="APO140"/>
      <c r="APP140"/>
      <c r="APQ140"/>
      <c r="APR140"/>
      <c r="APS140"/>
      <c r="APT140"/>
      <c r="APU140"/>
      <c r="APV140"/>
      <c r="APW140"/>
      <c r="APX140"/>
      <c r="APY140"/>
      <c r="APZ140"/>
      <c r="AQA140"/>
      <c r="AQB140"/>
      <c r="AQC140"/>
      <c r="AQD140"/>
      <c r="AQE140"/>
      <c r="AQF140"/>
      <c r="AQG140"/>
      <c r="AQH140"/>
      <c r="AQI140"/>
      <c r="AQJ140"/>
      <c r="AQK140"/>
      <c r="AQL140"/>
      <c r="AQM140"/>
      <c r="AQN140"/>
      <c r="AQO140"/>
      <c r="AQP140"/>
      <c r="AQQ140"/>
      <c r="AQR140"/>
      <c r="AQS140"/>
      <c r="AQT140"/>
      <c r="AQU140"/>
      <c r="AQV140"/>
      <c r="AQW140"/>
      <c r="AQX140"/>
      <c r="AQY140"/>
      <c r="AQZ140"/>
      <c r="ARA140"/>
      <c r="ARB140"/>
      <c r="ARC140"/>
      <c r="ARD140"/>
      <c r="ARE140"/>
      <c r="ARF140"/>
      <c r="ARG140"/>
      <c r="ARH140"/>
      <c r="ARI140"/>
      <c r="ARJ140"/>
      <c r="ARK140"/>
      <c r="ARL140"/>
      <c r="ARM140"/>
      <c r="ARN140"/>
      <c r="ARO140"/>
      <c r="ARP140"/>
      <c r="ARQ140"/>
      <c r="ARR140"/>
      <c r="ARS140"/>
      <c r="ART140"/>
      <c r="ARU140"/>
      <c r="ARV140"/>
      <c r="ARW140"/>
      <c r="ARX140"/>
      <c r="ARY140"/>
      <c r="ARZ140"/>
      <c r="ASA140"/>
      <c r="ASB140"/>
      <c r="ASC140"/>
      <c r="ASD140"/>
      <c r="ASE140"/>
      <c r="ASF140"/>
      <c r="ASG140"/>
      <c r="ASH140"/>
      <c r="ASI140"/>
      <c r="ASJ140"/>
      <c r="ASK140"/>
      <c r="ASL140"/>
      <c r="ASM140"/>
      <c r="ASN140"/>
      <c r="ASO140"/>
      <c r="ASP140"/>
      <c r="ASQ140"/>
      <c r="ASR140"/>
      <c r="ASS140"/>
      <c r="AST140"/>
      <c r="ASU140"/>
      <c r="ASV140"/>
      <c r="ASW140"/>
      <c r="ASX140"/>
      <c r="ASY140"/>
      <c r="ASZ140"/>
      <c r="ATA140"/>
      <c r="ATB140"/>
      <c r="ATC140"/>
      <c r="ATD140"/>
      <c r="ATE140"/>
      <c r="ATF140"/>
      <c r="ATG140"/>
      <c r="ATH140"/>
      <c r="ATI140"/>
      <c r="ATJ140"/>
      <c r="ATK140"/>
      <c r="ATL140"/>
      <c r="ATM140"/>
      <c r="ATN140"/>
      <c r="ATO140"/>
      <c r="ATP140"/>
      <c r="ATQ140"/>
      <c r="ATR140"/>
      <c r="ATS140"/>
      <c r="ATT140"/>
      <c r="ATU140"/>
      <c r="ATV140"/>
      <c r="ATW140"/>
      <c r="ATX140"/>
      <c r="ATY140"/>
      <c r="ATZ140"/>
      <c r="AUA140"/>
      <c r="AUB140"/>
      <c r="AUC140"/>
      <c r="AUD140"/>
      <c r="AUE140"/>
      <c r="AUF140"/>
      <c r="AUG140"/>
      <c r="AUH140"/>
      <c r="AUI140"/>
      <c r="AUJ140"/>
      <c r="AUK140"/>
      <c r="AUL140"/>
      <c r="AUM140"/>
      <c r="AUN140"/>
      <c r="AUO140"/>
      <c r="AUP140"/>
      <c r="AUQ140"/>
      <c r="AUR140"/>
      <c r="AUS140"/>
      <c r="AUT140"/>
      <c r="AUU140"/>
      <c r="AUV140"/>
      <c r="AUW140"/>
      <c r="AUX140"/>
      <c r="AUY140"/>
      <c r="AUZ140"/>
      <c r="AVA140"/>
      <c r="AVB140"/>
      <c r="AVC140"/>
      <c r="AVD140"/>
      <c r="AVE140"/>
      <c r="AVF140"/>
      <c r="AVG140"/>
      <c r="AVH140"/>
      <c r="AVI140"/>
      <c r="AVJ140"/>
      <c r="AVK140"/>
      <c r="AVL140"/>
      <c r="AVM140"/>
      <c r="AVN140"/>
      <c r="AVO140"/>
      <c r="AVP140"/>
      <c r="AVQ140"/>
      <c r="AVR140"/>
      <c r="AVS140"/>
      <c r="AVT140"/>
      <c r="AVU140"/>
      <c r="AVV140"/>
      <c r="AVW140"/>
      <c r="AVX140"/>
      <c r="AVY140"/>
      <c r="AVZ140"/>
      <c r="AWA140"/>
      <c r="AWB140"/>
      <c r="AWC140"/>
      <c r="AWD140"/>
      <c r="AWE140"/>
      <c r="AWF140"/>
      <c r="AWG140"/>
      <c r="AWH140"/>
      <c r="AWI140"/>
      <c r="AWJ140"/>
      <c r="AWK140"/>
      <c r="AWL140"/>
      <c r="AWM140"/>
      <c r="AWN140"/>
      <c r="AWO140"/>
      <c r="AWP140"/>
      <c r="AWQ140"/>
      <c r="AWR140"/>
      <c r="AWS140"/>
      <c r="AWT140"/>
      <c r="AWU140"/>
      <c r="AWV140"/>
      <c r="AWW140"/>
      <c r="AWX140"/>
      <c r="AWY140"/>
      <c r="AWZ140"/>
      <c r="AXA140"/>
      <c r="AXB140"/>
      <c r="AXC140"/>
      <c r="AXD140"/>
      <c r="AXE140"/>
      <c r="AXF140"/>
      <c r="AXG140"/>
      <c r="AXH140"/>
      <c r="AXI140"/>
      <c r="AXJ140"/>
      <c r="AXK140"/>
      <c r="AXL140"/>
      <c r="AXM140"/>
      <c r="AXN140"/>
      <c r="AXO140"/>
      <c r="AXP140"/>
      <c r="AXQ140"/>
      <c r="AXR140"/>
      <c r="AXS140"/>
      <c r="AXT140"/>
      <c r="AXU140"/>
      <c r="AXV140"/>
      <c r="AXW140"/>
      <c r="AXX140"/>
      <c r="AXY140"/>
      <c r="AXZ140"/>
      <c r="AYA140"/>
      <c r="AYB140"/>
      <c r="AYC140"/>
      <c r="AYD140"/>
      <c r="AYE140"/>
      <c r="AYF140"/>
      <c r="AYG140"/>
      <c r="AYH140"/>
      <c r="AYI140"/>
      <c r="AYJ140"/>
      <c r="AYK140"/>
      <c r="AYL140"/>
      <c r="AYM140"/>
      <c r="AYN140"/>
      <c r="AYO140"/>
      <c r="AYP140"/>
      <c r="AYQ140"/>
      <c r="AYR140"/>
      <c r="AYS140"/>
      <c r="AYT140"/>
      <c r="AYU140"/>
      <c r="AYV140"/>
      <c r="AYW140"/>
      <c r="AYX140"/>
      <c r="AYY140"/>
      <c r="AYZ140"/>
      <c r="AZA140"/>
      <c r="AZB140"/>
      <c r="AZC140"/>
      <c r="AZD140"/>
      <c r="AZE140"/>
      <c r="AZF140"/>
      <c r="AZG140"/>
      <c r="AZH140"/>
      <c r="AZI140"/>
      <c r="AZJ140"/>
      <c r="AZK140"/>
      <c r="AZL140"/>
      <c r="AZM140"/>
      <c r="AZN140"/>
      <c r="AZO140"/>
      <c r="AZP140"/>
      <c r="AZQ140"/>
      <c r="AZR140"/>
      <c r="AZS140"/>
      <c r="AZT140"/>
      <c r="AZU140"/>
      <c r="AZV140"/>
      <c r="AZW140"/>
      <c r="AZX140"/>
      <c r="AZY140"/>
      <c r="AZZ140"/>
      <c r="BAA140"/>
      <c r="BAB140"/>
      <c r="BAC140"/>
      <c r="BAD140"/>
      <c r="BAE140"/>
      <c r="BAF140"/>
      <c r="BAG140"/>
      <c r="BAH140"/>
      <c r="BAI140"/>
      <c r="BAJ140"/>
      <c r="BAK140"/>
      <c r="BAL140"/>
      <c r="BAM140"/>
      <c r="BAN140"/>
      <c r="BAO140"/>
      <c r="BAP140"/>
      <c r="BAQ140"/>
      <c r="BAR140"/>
      <c r="BAS140"/>
      <c r="BAT140"/>
      <c r="BAU140"/>
      <c r="BAV140"/>
      <c r="BAW140"/>
      <c r="BAX140"/>
      <c r="BAY140"/>
      <c r="BAZ140"/>
      <c r="BBA140"/>
      <c r="BBB140"/>
      <c r="BBC140"/>
      <c r="BBD140"/>
      <c r="BBE140"/>
      <c r="BBF140"/>
      <c r="BBG140"/>
      <c r="BBH140"/>
      <c r="BBI140"/>
      <c r="BBJ140"/>
      <c r="BBK140"/>
      <c r="BBL140"/>
      <c r="BBM140"/>
      <c r="BBN140"/>
      <c r="BBO140"/>
      <c r="BBP140"/>
      <c r="BBQ140"/>
      <c r="BBR140"/>
      <c r="BBS140"/>
      <c r="BBT140"/>
      <c r="BBU140"/>
      <c r="BBV140"/>
      <c r="BBW140"/>
      <c r="BBX140"/>
      <c r="BBY140"/>
      <c r="BBZ140"/>
      <c r="BCA140"/>
      <c r="BCB140"/>
      <c r="BCC140"/>
      <c r="BCD140"/>
      <c r="BCE140"/>
      <c r="BCF140"/>
      <c r="BCG140"/>
      <c r="BCH140"/>
      <c r="BCI140"/>
      <c r="BCJ140"/>
      <c r="BCK140"/>
      <c r="BCL140"/>
      <c r="BCM140"/>
      <c r="BCN140"/>
      <c r="BCO140"/>
      <c r="BCP140"/>
      <c r="BCQ140"/>
      <c r="BCR140"/>
      <c r="BCS140"/>
      <c r="BCT140"/>
      <c r="BCU140"/>
      <c r="BCV140"/>
      <c r="BCW140"/>
      <c r="BCX140"/>
      <c r="BCY140"/>
      <c r="BCZ140"/>
      <c r="BDA140"/>
      <c r="BDB140"/>
      <c r="BDC140"/>
      <c r="BDD140"/>
      <c r="BDE140"/>
      <c r="BDF140"/>
      <c r="BDG140"/>
      <c r="BDH140"/>
      <c r="BDI140"/>
      <c r="BDJ140"/>
      <c r="BDK140"/>
      <c r="BDL140"/>
      <c r="BDM140"/>
      <c r="BDN140"/>
      <c r="BDO140"/>
      <c r="BDP140"/>
      <c r="BDQ140"/>
      <c r="BDR140"/>
      <c r="BDS140"/>
      <c r="BDT140"/>
      <c r="BDU140"/>
      <c r="BDV140"/>
      <c r="BDW140"/>
      <c r="BDX140"/>
      <c r="BDY140"/>
      <c r="BDZ140"/>
      <c r="BEA140"/>
      <c r="BEB140"/>
      <c r="BEC140"/>
      <c r="BED140"/>
      <c r="BEE140"/>
      <c r="BEF140"/>
      <c r="BEG140"/>
      <c r="BEH140"/>
      <c r="BEI140"/>
      <c r="BEJ140"/>
      <c r="BEK140"/>
      <c r="BEL140"/>
      <c r="BEM140"/>
      <c r="BEN140"/>
      <c r="BEO140"/>
      <c r="BEP140"/>
      <c r="BEQ140"/>
      <c r="BER140"/>
      <c r="BES140"/>
      <c r="BET140"/>
      <c r="BEU140"/>
      <c r="BEV140"/>
      <c r="BEW140"/>
      <c r="BEX140"/>
      <c r="BEY140"/>
      <c r="BEZ140"/>
      <c r="BFA140"/>
      <c r="BFB140"/>
      <c r="BFC140"/>
      <c r="BFD140"/>
      <c r="BFE140"/>
      <c r="BFF140"/>
      <c r="BFG140"/>
      <c r="BFH140"/>
      <c r="BFI140"/>
      <c r="BFJ140"/>
      <c r="BFK140"/>
      <c r="BFL140"/>
      <c r="BFM140"/>
      <c r="BFN140"/>
      <c r="BFO140"/>
      <c r="BFP140"/>
      <c r="BFQ140"/>
      <c r="BFR140"/>
      <c r="BFS140"/>
      <c r="BFT140"/>
      <c r="BFU140"/>
      <c r="BFV140"/>
      <c r="BFW140"/>
      <c r="BFX140"/>
      <c r="BFY140"/>
      <c r="BFZ140"/>
      <c r="BGA140"/>
      <c r="BGB140"/>
      <c r="BGC140"/>
      <c r="BGD140"/>
      <c r="BGE140"/>
      <c r="BGF140"/>
      <c r="BGG140"/>
      <c r="BGH140"/>
      <c r="BGI140"/>
      <c r="BGJ140"/>
      <c r="BGK140"/>
      <c r="BGL140"/>
      <c r="BGM140"/>
      <c r="BGN140"/>
      <c r="BGO140"/>
      <c r="BGP140"/>
      <c r="BGQ140"/>
      <c r="BGR140"/>
      <c r="BGS140"/>
      <c r="BGT140"/>
      <c r="BGU140"/>
      <c r="BGV140"/>
      <c r="BGW140"/>
      <c r="BGX140"/>
      <c r="BGY140"/>
      <c r="BGZ140"/>
      <c r="BHA140"/>
      <c r="BHB140"/>
      <c r="BHC140"/>
      <c r="BHD140"/>
      <c r="BHE140"/>
      <c r="BHF140"/>
      <c r="BHG140"/>
      <c r="BHH140"/>
      <c r="BHI140"/>
      <c r="BHJ140"/>
      <c r="BHK140"/>
      <c r="BHL140"/>
      <c r="BHM140"/>
      <c r="BHN140"/>
      <c r="BHO140"/>
      <c r="BHP140"/>
      <c r="BHQ140"/>
      <c r="BHR140"/>
      <c r="BHS140"/>
      <c r="BHT140"/>
      <c r="BHU140"/>
      <c r="BHV140"/>
      <c r="BHW140"/>
      <c r="BHX140"/>
      <c r="BHY140"/>
      <c r="BHZ140"/>
      <c r="BIA140"/>
      <c r="BIB140"/>
      <c r="BIC140"/>
      <c r="BID140"/>
      <c r="BIE140"/>
      <c r="BIF140"/>
      <c r="BIG140"/>
      <c r="BIH140"/>
      <c r="BII140"/>
      <c r="BIJ140"/>
      <c r="BIK140"/>
      <c r="BIL140"/>
      <c r="BIM140"/>
      <c r="BIN140"/>
      <c r="BIO140"/>
      <c r="BIP140"/>
      <c r="BIQ140"/>
      <c r="BIR140"/>
      <c r="BIS140"/>
      <c r="BIT140"/>
      <c r="BIU140"/>
      <c r="BIV140"/>
      <c r="BIW140"/>
      <c r="BIX140"/>
      <c r="BIY140"/>
      <c r="BIZ140"/>
      <c r="BJA140"/>
      <c r="BJB140"/>
      <c r="BJC140"/>
      <c r="BJD140"/>
      <c r="BJE140"/>
      <c r="BJF140"/>
      <c r="BJG140"/>
      <c r="BJH140"/>
      <c r="BJI140"/>
      <c r="BJJ140"/>
      <c r="BJK140"/>
      <c r="BJL140"/>
      <c r="BJM140"/>
      <c r="BJN140"/>
      <c r="BJO140"/>
      <c r="BJP140"/>
      <c r="BJQ140"/>
      <c r="BJR140"/>
      <c r="BJS140"/>
      <c r="BJT140"/>
      <c r="BJU140"/>
      <c r="BJV140"/>
      <c r="BJW140"/>
      <c r="BJX140"/>
      <c r="BJY140"/>
      <c r="BJZ140"/>
      <c r="BKA140"/>
      <c r="BKB140"/>
      <c r="BKC140"/>
      <c r="BKD140"/>
      <c r="BKE140"/>
      <c r="BKF140"/>
      <c r="BKG140"/>
      <c r="BKH140"/>
      <c r="BKI140"/>
      <c r="BKJ140"/>
      <c r="BKK140"/>
      <c r="BKL140"/>
      <c r="BKM140"/>
      <c r="BKN140"/>
      <c r="BKO140"/>
      <c r="BKP140"/>
      <c r="BKQ140"/>
      <c r="BKR140"/>
      <c r="BKS140"/>
      <c r="BKT140"/>
      <c r="BKU140"/>
      <c r="BKV140"/>
      <c r="BKW140"/>
      <c r="BKX140"/>
      <c r="BKY140"/>
      <c r="BKZ140"/>
      <c r="BLA140"/>
      <c r="BLB140"/>
      <c r="BLC140"/>
      <c r="BLD140"/>
      <c r="BLE140"/>
      <c r="BLF140"/>
      <c r="BLG140"/>
      <c r="BLH140"/>
      <c r="BLI140"/>
      <c r="BLJ140"/>
      <c r="BLK140"/>
      <c r="BLL140"/>
      <c r="BLM140"/>
      <c r="BLN140"/>
      <c r="BLO140"/>
      <c r="BLP140"/>
      <c r="BLQ140"/>
      <c r="BLR140"/>
      <c r="BLS140"/>
      <c r="BLT140"/>
      <c r="BLU140"/>
      <c r="BLV140"/>
      <c r="BLW140"/>
      <c r="BLX140"/>
      <c r="BLY140"/>
      <c r="BLZ140"/>
      <c r="BMA140"/>
      <c r="BMB140"/>
      <c r="BMC140"/>
      <c r="BMD140"/>
      <c r="BME140"/>
      <c r="BMF140"/>
      <c r="BMG140"/>
      <c r="BMH140"/>
      <c r="BMI140"/>
      <c r="BMJ140"/>
      <c r="BMK140"/>
      <c r="BML140"/>
      <c r="BMM140"/>
      <c r="BMN140"/>
      <c r="BMO140"/>
      <c r="BMP140"/>
      <c r="BMQ140"/>
      <c r="BMR140"/>
      <c r="BMS140"/>
      <c r="BMT140"/>
      <c r="BMU140"/>
      <c r="BMV140"/>
      <c r="BMW140"/>
      <c r="BMX140"/>
      <c r="BMY140"/>
      <c r="BMZ140"/>
      <c r="BNA140"/>
      <c r="BNB140"/>
      <c r="BNC140"/>
      <c r="BND140"/>
      <c r="BNE140"/>
      <c r="BNF140"/>
      <c r="BNG140"/>
      <c r="BNH140"/>
      <c r="BNI140"/>
      <c r="BNJ140"/>
      <c r="BNK140"/>
      <c r="BNL140"/>
      <c r="BNM140"/>
      <c r="BNN140"/>
      <c r="BNO140"/>
      <c r="BNP140"/>
      <c r="BNQ140"/>
      <c r="BNR140"/>
      <c r="BNS140"/>
      <c r="BNT140"/>
      <c r="BNU140"/>
      <c r="BNV140"/>
      <c r="BNW140"/>
      <c r="BNX140"/>
      <c r="BNY140"/>
      <c r="BNZ140"/>
      <c r="BOA140"/>
      <c r="BOB140"/>
      <c r="BOC140"/>
      <c r="BOD140"/>
      <c r="BOE140"/>
      <c r="BOF140"/>
      <c r="BOG140"/>
      <c r="BOH140"/>
      <c r="BOI140"/>
      <c r="BOJ140"/>
      <c r="BOK140"/>
      <c r="BOL140"/>
      <c r="BOM140"/>
      <c r="BON140"/>
      <c r="BOO140"/>
      <c r="BOP140"/>
      <c r="BOQ140"/>
      <c r="BOR140"/>
      <c r="BOS140"/>
      <c r="BOT140"/>
      <c r="BOU140"/>
      <c r="BOV140"/>
      <c r="BOW140"/>
      <c r="BOX140"/>
      <c r="BOY140"/>
      <c r="BOZ140"/>
      <c r="BPA140"/>
      <c r="BPB140"/>
      <c r="BPC140"/>
      <c r="BPD140"/>
      <c r="BPE140"/>
      <c r="BPF140"/>
      <c r="BPG140"/>
      <c r="BPH140"/>
      <c r="BPI140"/>
      <c r="BPJ140"/>
      <c r="BPK140"/>
      <c r="BPL140"/>
      <c r="BPM140"/>
      <c r="BPN140"/>
      <c r="BPO140"/>
      <c r="BPP140"/>
      <c r="BPQ140"/>
      <c r="BPR140"/>
      <c r="BPS140"/>
      <c r="BPT140"/>
      <c r="BPU140"/>
      <c r="BPV140"/>
      <c r="BPW140"/>
      <c r="BPX140"/>
      <c r="BPY140"/>
      <c r="BPZ140"/>
      <c r="BQA140"/>
      <c r="BQB140"/>
      <c r="BQC140"/>
      <c r="BQD140"/>
      <c r="BQE140"/>
      <c r="BQF140"/>
      <c r="BQG140"/>
      <c r="BQH140"/>
      <c r="BQI140"/>
      <c r="BQJ140"/>
      <c r="BQK140"/>
      <c r="BQL140"/>
      <c r="BQM140"/>
      <c r="BQN140"/>
      <c r="BQO140"/>
      <c r="BQP140"/>
      <c r="BQQ140"/>
      <c r="BQR140"/>
      <c r="BQS140"/>
      <c r="BQT140"/>
      <c r="BQU140"/>
      <c r="BQV140"/>
      <c r="BQW140"/>
      <c r="BQX140"/>
      <c r="BQY140"/>
      <c r="BQZ140"/>
      <c r="BRA140"/>
      <c r="BRB140"/>
      <c r="BRC140"/>
      <c r="BRD140"/>
      <c r="BRE140"/>
      <c r="BRF140"/>
      <c r="BRG140"/>
      <c r="BRH140"/>
      <c r="BRI140"/>
      <c r="BRJ140"/>
      <c r="BRK140"/>
      <c r="BRL140"/>
      <c r="BRM140"/>
      <c r="BRN140"/>
      <c r="BRO140"/>
      <c r="BRP140"/>
      <c r="BRQ140"/>
      <c r="BRR140"/>
      <c r="BRS140"/>
      <c r="BRT140"/>
      <c r="BRU140"/>
      <c r="BRV140"/>
      <c r="BRW140"/>
      <c r="BRX140"/>
      <c r="BRY140"/>
      <c r="BRZ140"/>
      <c r="BSA140"/>
      <c r="BSB140"/>
      <c r="BSC140"/>
      <c r="BSD140"/>
      <c r="BSE140"/>
      <c r="BSF140"/>
      <c r="BSG140"/>
      <c r="BSH140"/>
      <c r="BSI140"/>
      <c r="BSJ140"/>
      <c r="BSK140"/>
      <c r="BSL140"/>
      <c r="BSM140"/>
      <c r="BSN140"/>
      <c r="BSO140"/>
      <c r="BSP140"/>
      <c r="BSQ140"/>
      <c r="BSR140"/>
      <c r="BSS140"/>
      <c r="BST140"/>
      <c r="BSU140"/>
      <c r="BSV140"/>
      <c r="BSW140"/>
      <c r="BSX140"/>
      <c r="BSY140"/>
      <c r="BSZ140"/>
      <c r="BTA140"/>
      <c r="BTB140"/>
      <c r="BTC140"/>
      <c r="BTD140"/>
      <c r="BTE140"/>
      <c r="BTF140"/>
      <c r="BTG140"/>
      <c r="BTH140"/>
      <c r="BTI140"/>
      <c r="BTJ140"/>
      <c r="BTK140"/>
      <c r="BTL140"/>
      <c r="BTM140"/>
      <c r="BTN140"/>
      <c r="BTO140"/>
      <c r="BTP140"/>
      <c r="BTQ140"/>
      <c r="BTR140"/>
      <c r="BTS140"/>
      <c r="BTT140"/>
      <c r="BTU140"/>
      <c r="BTV140"/>
      <c r="BTW140"/>
      <c r="BTX140"/>
      <c r="BTY140"/>
      <c r="BTZ140"/>
      <c r="BUA140"/>
      <c r="BUB140"/>
      <c r="BUC140"/>
      <c r="BUD140"/>
      <c r="BUE140"/>
      <c r="BUF140"/>
      <c r="BUG140"/>
      <c r="BUH140"/>
      <c r="BUI140"/>
      <c r="BUJ140"/>
      <c r="BUK140"/>
      <c r="BUL140"/>
      <c r="BUM140"/>
      <c r="BUN140"/>
      <c r="BUO140"/>
      <c r="BUP140"/>
      <c r="BUQ140"/>
      <c r="BUR140"/>
      <c r="BUS140"/>
      <c r="BUT140"/>
      <c r="BUU140"/>
      <c r="BUV140"/>
      <c r="BUW140"/>
      <c r="BUX140"/>
      <c r="BUY140"/>
      <c r="BUZ140"/>
      <c r="BVA140"/>
      <c r="BVB140"/>
      <c r="BVC140"/>
      <c r="BVD140"/>
      <c r="BVE140"/>
      <c r="BVF140"/>
      <c r="BVG140"/>
      <c r="BVH140"/>
      <c r="BVI140"/>
      <c r="BVJ140"/>
      <c r="BVK140"/>
      <c r="BVL140"/>
      <c r="BVM140"/>
      <c r="BVN140"/>
      <c r="BVO140"/>
      <c r="BVP140"/>
      <c r="BVQ140"/>
      <c r="BVR140"/>
      <c r="BVS140"/>
      <c r="BVT140"/>
      <c r="BVU140"/>
      <c r="BVV140"/>
      <c r="BVW140"/>
      <c r="BVX140"/>
      <c r="BVY140"/>
      <c r="BVZ140"/>
      <c r="BWA140"/>
      <c r="BWB140"/>
      <c r="BWC140"/>
      <c r="BWD140"/>
      <c r="BWE140"/>
      <c r="BWF140"/>
      <c r="BWG140"/>
      <c r="BWH140"/>
      <c r="BWI140"/>
      <c r="BWJ140"/>
      <c r="BWK140"/>
      <c r="BWL140"/>
      <c r="BWM140"/>
      <c r="BWN140"/>
      <c r="BWO140"/>
      <c r="BWP140"/>
      <c r="BWQ140"/>
      <c r="BWR140"/>
      <c r="BWS140"/>
      <c r="BWT140"/>
      <c r="BWU140"/>
      <c r="BWV140"/>
      <c r="BWW140"/>
      <c r="BWX140"/>
      <c r="BWY140"/>
      <c r="BWZ140"/>
      <c r="BXA140"/>
      <c r="BXB140"/>
      <c r="BXC140"/>
      <c r="BXD140"/>
      <c r="BXE140"/>
      <c r="BXF140"/>
      <c r="BXG140"/>
      <c r="BXH140"/>
      <c r="BXI140"/>
      <c r="BXJ140"/>
      <c r="BXK140"/>
      <c r="BXL140"/>
      <c r="BXM140"/>
      <c r="BXN140"/>
      <c r="BXO140"/>
      <c r="BXP140"/>
      <c r="BXQ140"/>
      <c r="BXR140"/>
      <c r="BXS140"/>
      <c r="BXT140"/>
      <c r="BXU140"/>
      <c r="BXV140"/>
      <c r="BXW140"/>
      <c r="BXX140"/>
      <c r="BXY140"/>
      <c r="BXZ140"/>
      <c r="BYA140"/>
      <c r="BYB140"/>
      <c r="BYC140"/>
      <c r="BYD140"/>
      <c r="BYE140"/>
      <c r="BYF140"/>
      <c r="BYG140"/>
      <c r="BYH140"/>
      <c r="BYI140"/>
      <c r="BYJ140"/>
      <c r="BYK140"/>
      <c r="BYL140"/>
      <c r="BYM140"/>
      <c r="BYN140"/>
      <c r="BYO140"/>
      <c r="BYP140"/>
      <c r="BYQ140"/>
      <c r="BYR140"/>
      <c r="BYS140"/>
      <c r="BYT140"/>
      <c r="BYU140"/>
      <c r="BYV140"/>
      <c r="BYW140"/>
      <c r="BYX140"/>
      <c r="BYY140"/>
      <c r="BYZ140"/>
      <c r="BZA140"/>
      <c r="BZB140"/>
      <c r="BZC140"/>
      <c r="BZD140"/>
      <c r="BZE140"/>
      <c r="BZF140"/>
      <c r="BZG140"/>
      <c r="BZH140"/>
      <c r="BZI140"/>
      <c r="BZJ140"/>
      <c r="BZK140"/>
      <c r="BZL140"/>
      <c r="BZM140"/>
      <c r="BZN140"/>
      <c r="BZO140"/>
      <c r="BZP140"/>
      <c r="BZQ140"/>
      <c r="BZR140"/>
      <c r="BZS140"/>
      <c r="BZT140"/>
      <c r="BZU140"/>
      <c r="BZV140"/>
      <c r="BZW140"/>
      <c r="BZX140"/>
      <c r="BZY140"/>
      <c r="BZZ140"/>
      <c r="CAA140"/>
      <c r="CAB140"/>
      <c r="CAC140"/>
      <c r="CAD140"/>
      <c r="CAE140"/>
      <c r="CAF140"/>
      <c r="CAG140"/>
      <c r="CAH140"/>
      <c r="CAI140"/>
      <c r="CAJ140"/>
      <c r="CAK140"/>
      <c r="CAL140"/>
      <c r="CAM140"/>
      <c r="CAN140"/>
      <c r="CAO140"/>
      <c r="CAP140"/>
      <c r="CAQ140"/>
      <c r="CAR140"/>
      <c r="CAS140"/>
      <c r="CAT140"/>
      <c r="CAU140"/>
      <c r="CAV140"/>
      <c r="CAW140"/>
      <c r="CAX140"/>
      <c r="CAY140"/>
      <c r="CAZ140"/>
      <c r="CBA140"/>
      <c r="CBB140"/>
      <c r="CBC140"/>
      <c r="CBD140"/>
      <c r="CBE140"/>
      <c r="CBF140"/>
      <c r="CBG140"/>
      <c r="CBH140"/>
      <c r="CBI140"/>
      <c r="CBJ140"/>
      <c r="CBK140"/>
      <c r="CBL140"/>
      <c r="CBM140"/>
      <c r="CBN140"/>
      <c r="CBO140"/>
      <c r="CBP140"/>
      <c r="CBQ140"/>
      <c r="CBR140"/>
      <c r="CBS140"/>
      <c r="CBT140"/>
      <c r="CBU140"/>
      <c r="CBV140"/>
      <c r="CBW140"/>
      <c r="CBX140"/>
      <c r="CBY140"/>
      <c r="CBZ140"/>
      <c r="CCA140"/>
      <c r="CCB140"/>
      <c r="CCC140"/>
      <c r="CCD140"/>
      <c r="CCE140"/>
      <c r="CCF140"/>
      <c r="CCG140"/>
      <c r="CCH140"/>
      <c r="CCI140"/>
      <c r="CCJ140"/>
      <c r="CCK140"/>
      <c r="CCL140"/>
      <c r="CCM140"/>
      <c r="CCN140"/>
      <c r="CCO140"/>
      <c r="CCP140"/>
      <c r="CCQ140"/>
      <c r="CCR140"/>
      <c r="CCS140"/>
      <c r="CCT140"/>
      <c r="CCU140"/>
      <c r="CCV140"/>
      <c r="CCW140"/>
      <c r="CCX140"/>
      <c r="CCY140"/>
      <c r="CCZ140"/>
      <c r="CDA140"/>
      <c r="CDB140"/>
      <c r="CDC140"/>
      <c r="CDD140"/>
      <c r="CDE140"/>
      <c r="CDF140"/>
      <c r="CDG140"/>
      <c r="CDH140"/>
      <c r="CDI140"/>
      <c r="CDJ140"/>
      <c r="CDK140"/>
      <c r="CDL140"/>
      <c r="CDM140"/>
      <c r="CDN140"/>
      <c r="CDO140"/>
      <c r="CDP140"/>
      <c r="CDQ140"/>
      <c r="CDR140"/>
      <c r="CDS140"/>
      <c r="CDT140"/>
      <c r="CDU140"/>
      <c r="CDV140"/>
      <c r="CDW140"/>
      <c r="CDX140"/>
      <c r="CDY140"/>
      <c r="CDZ140"/>
      <c r="CEA140"/>
      <c r="CEB140"/>
      <c r="CEC140"/>
      <c r="CED140"/>
      <c r="CEE140"/>
      <c r="CEF140"/>
      <c r="CEG140"/>
      <c r="CEH140"/>
      <c r="CEI140"/>
      <c r="CEJ140"/>
      <c r="CEK140"/>
      <c r="CEL140"/>
      <c r="CEM140"/>
      <c r="CEN140"/>
      <c r="CEO140"/>
      <c r="CEP140"/>
      <c r="CEQ140"/>
      <c r="CER140"/>
      <c r="CES140"/>
      <c r="CET140"/>
      <c r="CEU140"/>
      <c r="CEV140"/>
      <c r="CEW140"/>
      <c r="CEX140"/>
      <c r="CEY140"/>
      <c r="CEZ140"/>
      <c r="CFA140"/>
      <c r="CFB140"/>
      <c r="CFC140"/>
      <c r="CFD140"/>
      <c r="CFE140"/>
      <c r="CFF140"/>
      <c r="CFG140"/>
      <c r="CFH140"/>
      <c r="CFI140"/>
      <c r="CFJ140"/>
      <c r="CFK140"/>
      <c r="CFL140"/>
      <c r="CFM140"/>
      <c r="CFN140"/>
      <c r="CFO140"/>
      <c r="CFP140"/>
      <c r="CFQ140"/>
      <c r="CFR140"/>
      <c r="CFS140"/>
      <c r="CFT140"/>
      <c r="CFU140"/>
      <c r="CFV140"/>
      <c r="CFW140"/>
      <c r="CFX140"/>
      <c r="CFY140"/>
      <c r="CFZ140"/>
      <c r="CGA140"/>
      <c r="CGB140"/>
      <c r="CGC140"/>
      <c r="CGD140"/>
      <c r="CGE140"/>
      <c r="CGF140"/>
      <c r="CGG140"/>
      <c r="CGH140"/>
      <c r="CGI140"/>
      <c r="CGJ140"/>
      <c r="CGK140"/>
      <c r="CGL140"/>
      <c r="CGM140"/>
      <c r="CGN140"/>
      <c r="CGO140"/>
      <c r="CGP140"/>
      <c r="CGQ140"/>
      <c r="CGR140"/>
      <c r="CGS140"/>
      <c r="CGT140"/>
      <c r="CGU140"/>
      <c r="CGV140"/>
      <c r="CGW140"/>
      <c r="CGX140"/>
      <c r="CGY140"/>
      <c r="CGZ140"/>
      <c r="CHA140"/>
      <c r="CHB140"/>
      <c r="CHC140"/>
      <c r="CHD140"/>
      <c r="CHE140"/>
      <c r="CHF140"/>
      <c r="CHG140"/>
      <c r="CHH140"/>
      <c r="CHI140"/>
      <c r="CHJ140"/>
      <c r="CHK140"/>
      <c r="CHL140"/>
      <c r="CHM140"/>
      <c r="CHN140"/>
      <c r="CHO140"/>
      <c r="CHP140"/>
      <c r="CHQ140"/>
      <c r="CHR140"/>
      <c r="CHS140"/>
      <c r="CHT140"/>
      <c r="CHU140"/>
      <c r="CHV140"/>
      <c r="CHW140"/>
      <c r="CHX140"/>
      <c r="CHY140"/>
      <c r="CHZ140"/>
      <c r="CIA140"/>
      <c r="CIB140"/>
      <c r="CIC140"/>
      <c r="CID140"/>
      <c r="CIE140"/>
      <c r="CIF140"/>
      <c r="CIG140"/>
      <c r="CIH140"/>
      <c r="CII140"/>
      <c r="CIJ140"/>
      <c r="CIK140"/>
      <c r="CIL140"/>
      <c r="CIM140"/>
      <c r="CIN140"/>
      <c r="CIO140"/>
      <c r="CIP140"/>
      <c r="CIQ140"/>
      <c r="CIR140"/>
      <c r="CIS140"/>
      <c r="CIT140"/>
      <c r="CIU140"/>
      <c r="CIV140"/>
      <c r="CIW140"/>
      <c r="CIX140"/>
      <c r="CIY140"/>
      <c r="CIZ140"/>
      <c r="CJA140"/>
      <c r="CJB140"/>
      <c r="CJC140"/>
      <c r="CJD140"/>
      <c r="CJE140"/>
      <c r="CJF140"/>
      <c r="CJG140"/>
      <c r="CJH140"/>
      <c r="CJI140"/>
      <c r="CJJ140"/>
      <c r="CJK140"/>
      <c r="CJL140"/>
      <c r="CJM140"/>
      <c r="CJN140"/>
      <c r="CJO140"/>
      <c r="CJP140"/>
      <c r="CJQ140"/>
      <c r="CJR140"/>
      <c r="CJS140"/>
      <c r="CJT140"/>
      <c r="CJU140"/>
      <c r="CJV140"/>
      <c r="CJW140"/>
      <c r="CJX140"/>
      <c r="CJY140"/>
      <c r="CJZ140"/>
      <c r="CKA140"/>
      <c r="CKB140"/>
      <c r="CKC140"/>
      <c r="CKD140"/>
      <c r="CKE140"/>
      <c r="CKF140"/>
      <c r="CKG140"/>
      <c r="CKH140"/>
      <c r="CKI140"/>
      <c r="CKJ140"/>
      <c r="CKK140"/>
      <c r="CKL140"/>
      <c r="CKM140"/>
      <c r="CKN140"/>
      <c r="CKO140"/>
      <c r="CKP140"/>
      <c r="CKQ140"/>
      <c r="CKR140"/>
      <c r="CKS140"/>
      <c r="CKT140"/>
      <c r="CKU140"/>
      <c r="CKV140"/>
      <c r="CKW140"/>
      <c r="CKX140"/>
      <c r="CKY140"/>
      <c r="CKZ140"/>
      <c r="CLA140"/>
      <c r="CLB140"/>
      <c r="CLC140"/>
      <c r="CLD140"/>
      <c r="CLE140"/>
      <c r="CLF140"/>
      <c r="CLG140"/>
      <c r="CLH140"/>
      <c r="CLI140"/>
      <c r="CLJ140"/>
      <c r="CLK140"/>
      <c r="CLL140"/>
      <c r="CLM140"/>
      <c r="CLN140"/>
      <c r="CLO140"/>
      <c r="CLP140"/>
      <c r="CLQ140"/>
      <c r="CLR140"/>
      <c r="CLS140"/>
      <c r="CLT140"/>
      <c r="CLU140"/>
      <c r="CLV140"/>
      <c r="CLW140"/>
      <c r="CLX140"/>
      <c r="CLY140"/>
      <c r="CLZ140"/>
      <c r="CMA140"/>
      <c r="CMB140"/>
      <c r="CMC140"/>
      <c r="CMD140"/>
      <c r="CME140"/>
      <c r="CMF140"/>
      <c r="CMG140"/>
      <c r="CMH140"/>
      <c r="CMI140"/>
      <c r="CMJ140"/>
      <c r="CMK140"/>
      <c r="CML140"/>
      <c r="CMM140"/>
      <c r="CMN140"/>
      <c r="CMO140"/>
      <c r="CMP140"/>
      <c r="CMQ140"/>
      <c r="CMR140"/>
      <c r="CMS140"/>
      <c r="CMT140"/>
      <c r="CMU140"/>
      <c r="CMV140"/>
      <c r="CMW140"/>
      <c r="CMX140"/>
      <c r="CMY140"/>
      <c r="CMZ140"/>
      <c r="CNA140"/>
      <c r="CNB140"/>
      <c r="CNC140"/>
      <c r="CND140"/>
      <c r="CNE140"/>
      <c r="CNF140"/>
      <c r="CNG140"/>
      <c r="CNH140"/>
      <c r="CNI140"/>
      <c r="CNJ140"/>
      <c r="CNK140"/>
      <c r="CNL140"/>
      <c r="CNM140"/>
      <c r="CNN140"/>
      <c r="CNO140"/>
      <c r="CNP140"/>
      <c r="CNQ140"/>
      <c r="CNR140"/>
      <c r="CNS140"/>
      <c r="CNT140"/>
      <c r="CNU140"/>
      <c r="CNV140"/>
      <c r="CNW140"/>
      <c r="CNX140"/>
      <c r="CNY140"/>
      <c r="CNZ140"/>
      <c r="COA140"/>
      <c r="COB140"/>
      <c r="COC140"/>
      <c r="COD140"/>
      <c r="COE140"/>
      <c r="COF140"/>
      <c r="COG140"/>
      <c r="COH140"/>
      <c r="COI140"/>
      <c r="COJ140"/>
      <c r="COK140"/>
      <c r="COL140"/>
      <c r="COM140"/>
      <c r="CON140"/>
      <c r="COO140"/>
      <c r="COP140"/>
      <c r="COQ140"/>
      <c r="COR140"/>
      <c r="COS140"/>
      <c r="COT140"/>
      <c r="COU140"/>
      <c r="COV140"/>
      <c r="COW140"/>
      <c r="COX140"/>
      <c r="COY140"/>
      <c r="COZ140"/>
      <c r="CPA140"/>
      <c r="CPB140"/>
      <c r="CPC140"/>
      <c r="CPD140"/>
      <c r="CPE140"/>
      <c r="CPF140"/>
      <c r="CPG140"/>
      <c r="CPH140"/>
      <c r="CPI140"/>
      <c r="CPJ140"/>
      <c r="CPK140"/>
      <c r="CPL140"/>
      <c r="CPM140"/>
      <c r="CPN140"/>
      <c r="CPO140"/>
      <c r="CPP140"/>
      <c r="CPQ140"/>
      <c r="CPR140"/>
      <c r="CPS140"/>
      <c r="CPT140"/>
      <c r="CPU140"/>
      <c r="CPV140"/>
      <c r="CPW140"/>
      <c r="CPX140"/>
      <c r="CPY140"/>
      <c r="CPZ140"/>
      <c r="CQA140"/>
      <c r="CQB140"/>
      <c r="CQC140"/>
      <c r="CQD140"/>
      <c r="CQE140"/>
      <c r="CQF140"/>
      <c r="CQG140"/>
      <c r="CQH140"/>
      <c r="CQI140"/>
      <c r="CQJ140"/>
      <c r="CQK140"/>
      <c r="CQL140"/>
      <c r="CQM140"/>
      <c r="CQN140"/>
      <c r="CQO140"/>
      <c r="CQP140"/>
      <c r="CQQ140"/>
      <c r="CQR140"/>
      <c r="CQS140"/>
      <c r="CQT140"/>
      <c r="CQU140"/>
      <c r="CQV140"/>
      <c r="CQW140"/>
      <c r="CQX140"/>
      <c r="CQY140"/>
      <c r="CQZ140"/>
      <c r="CRA140"/>
      <c r="CRB140"/>
      <c r="CRC140"/>
      <c r="CRD140"/>
      <c r="CRE140"/>
      <c r="CRF140"/>
      <c r="CRG140"/>
      <c r="CRH140"/>
      <c r="CRI140"/>
      <c r="CRJ140"/>
      <c r="CRK140"/>
      <c r="CRL140"/>
      <c r="CRM140"/>
      <c r="CRN140"/>
      <c r="CRO140"/>
      <c r="CRP140"/>
      <c r="CRQ140"/>
      <c r="CRR140"/>
      <c r="CRS140"/>
      <c r="CRT140"/>
      <c r="CRU140"/>
      <c r="CRV140"/>
      <c r="CRW140"/>
      <c r="CRX140"/>
      <c r="CRY140"/>
      <c r="CRZ140"/>
      <c r="CSA140"/>
      <c r="CSB140"/>
      <c r="CSC140"/>
      <c r="CSD140"/>
      <c r="CSE140"/>
      <c r="CSF140"/>
      <c r="CSG140"/>
      <c r="CSH140"/>
      <c r="CSI140"/>
      <c r="CSJ140"/>
      <c r="CSK140"/>
      <c r="CSL140"/>
      <c r="CSM140"/>
      <c r="CSN140"/>
      <c r="CSO140"/>
      <c r="CSP140"/>
      <c r="CSQ140"/>
      <c r="CSR140"/>
      <c r="CSS140"/>
      <c r="CST140"/>
      <c r="CSU140"/>
      <c r="CSV140"/>
      <c r="CSW140"/>
      <c r="CSX140"/>
      <c r="CSY140"/>
      <c r="CSZ140"/>
      <c r="CTA140"/>
      <c r="CTB140"/>
      <c r="CTC140"/>
      <c r="CTD140"/>
      <c r="CTE140"/>
      <c r="CTF140"/>
      <c r="CTG140"/>
      <c r="CTH140"/>
      <c r="CTI140"/>
      <c r="CTJ140"/>
      <c r="CTK140"/>
      <c r="CTL140"/>
      <c r="CTM140"/>
      <c r="CTN140"/>
      <c r="CTO140"/>
      <c r="CTP140"/>
      <c r="CTQ140"/>
      <c r="CTR140"/>
      <c r="CTS140"/>
      <c r="CTT140"/>
      <c r="CTU140"/>
      <c r="CTV140"/>
      <c r="CTW140"/>
      <c r="CTX140"/>
      <c r="CTY140"/>
      <c r="CTZ140"/>
      <c r="CUA140"/>
      <c r="CUB140"/>
      <c r="CUC140"/>
      <c r="CUD140"/>
      <c r="CUE140"/>
      <c r="CUF140"/>
      <c r="CUG140"/>
      <c r="CUH140"/>
      <c r="CUI140"/>
      <c r="CUJ140"/>
      <c r="CUK140"/>
      <c r="CUL140"/>
      <c r="CUM140"/>
      <c r="CUN140"/>
      <c r="CUO140"/>
      <c r="CUP140"/>
      <c r="CUQ140"/>
      <c r="CUR140"/>
      <c r="CUS140"/>
      <c r="CUT140"/>
      <c r="CUU140"/>
      <c r="CUV140"/>
      <c r="CUW140"/>
      <c r="CUX140"/>
      <c r="CUY140"/>
      <c r="CUZ140"/>
      <c r="CVA140"/>
      <c r="CVB140"/>
      <c r="CVC140"/>
      <c r="CVD140"/>
      <c r="CVE140"/>
      <c r="CVF140"/>
      <c r="CVG140"/>
      <c r="CVH140"/>
      <c r="CVI140"/>
      <c r="CVJ140"/>
      <c r="CVK140"/>
      <c r="CVL140"/>
      <c r="CVM140"/>
      <c r="CVN140"/>
      <c r="CVO140"/>
      <c r="CVP140"/>
      <c r="CVQ140"/>
      <c r="CVR140"/>
      <c r="CVS140"/>
      <c r="CVT140"/>
      <c r="CVU140"/>
      <c r="CVV140"/>
      <c r="CVW140"/>
      <c r="CVX140"/>
      <c r="CVY140"/>
      <c r="CVZ140"/>
      <c r="CWA140"/>
      <c r="CWB140"/>
      <c r="CWC140"/>
      <c r="CWD140"/>
      <c r="CWE140"/>
      <c r="CWF140"/>
      <c r="CWG140"/>
      <c r="CWH140"/>
      <c r="CWI140"/>
      <c r="CWJ140"/>
      <c r="CWK140"/>
      <c r="CWL140"/>
      <c r="CWM140"/>
      <c r="CWN140"/>
      <c r="CWO140"/>
      <c r="CWP140"/>
      <c r="CWQ140"/>
      <c r="CWR140"/>
      <c r="CWS140"/>
      <c r="CWT140"/>
      <c r="CWU140"/>
      <c r="CWV140"/>
      <c r="CWW140"/>
      <c r="CWX140"/>
      <c r="CWY140"/>
      <c r="CWZ140"/>
      <c r="CXA140"/>
      <c r="CXB140"/>
      <c r="CXC140"/>
      <c r="CXD140"/>
      <c r="CXE140"/>
      <c r="CXF140"/>
      <c r="CXG140"/>
      <c r="CXH140"/>
      <c r="CXI140"/>
      <c r="CXJ140"/>
      <c r="CXK140"/>
      <c r="CXL140"/>
      <c r="CXM140"/>
      <c r="CXN140"/>
      <c r="CXO140"/>
      <c r="CXP140"/>
      <c r="CXQ140"/>
      <c r="CXR140"/>
      <c r="CXS140"/>
      <c r="CXT140"/>
      <c r="CXU140"/>
      <c r="CXV140"/>
      <c r="CXW140"/>
      <c r="CXX140"/>
      <c r="CXY140"/>
      <c r="CXZ140"/>
      <c r="CYA140"/>
      <c r="CYB140"/>
      <c r="CYC140"/>
      <c r="CYD140"/>
      <c r="CYE140"/>
      <c r="CYF140"/>
      <c r="CYG140"/>
      <c r="CYH140"/>
      <c r="CYI140"/>
      <c r="CYJ140"/>
      <c r="CYK140"/>
      <c r="CYL140"/>
      <c r="CYM140"/>
      <c r="CYN140"/>
      <c r="CYO140"/>
      <c r="CYP140"/>
      <c r="CYQ140"/>
      <c r="CYR140"/>
      <c r="CYS140"/>
      <c r="CYT140"/>
      <c r="CYU140"/>
      <c r="CYV140"/>
      <c r="CYW140"/>
      <c r="CYX140"/>
      <c r="CYY140"/>
      <c r="CYZ140"/>
      <c r="CZA140"/>
      <c r="CZB140"/>
      <c r="CZC140"/>
      <c r="CZD140"/>
      <c r="CZE140"/>
      <c r="CZF140"/>
      <c r="CZG140"/>
      <c r="CZH140"/>
      <c r="CZI140"/>
      <c r="CZJ140"/>
      <c r="CZK140"/>
      <c r="CZL140"/>
      <c r="CZM140"/>
      <c r="CZN140"/>
      <c r="CZO140"/>
      <c r="CZP140"/>
      <c r="CZQ140"/>
      <c r="CZR140"/>
      <c r="CZS140"/>
      <c r="CZT140"/>
      <c r="CZU140"/>
      <c r="CZV140"/>
      <c r="CZW140"/>
      <c r="CZX140"/>
      <c r="CZY140"/>
      <c r="CZZ140"/>
      <c r="DAA140"/>
      <c r="DAB140"/>
      <c r="DAC140"/>
      <c r="DAD140"/>
      <c r="DAE140"/>
      <c r="DAF140"/>
      <c r="DAG140"/>
      <c r="DAH140"/>
      <c r="DAI140"/>
      <c r="DAJ140"/>
      <c r="DAK140"/>
      <c r="DAL140"/>
      <c r="DAM140"/>
      <c r="DAN140"/>
      <c r="DAO140"/>
      <c r="DAP140"/>
      <c r="DAQ140"/>
      <c r="DAR140"/>
      <c r="DAS140"/>
      <c r="DAT140"/>
      <c r="DAU140"/>
      <c r="DAV140"/>
      <c r="DAW140"/>
      <c r="DAX140"/>
      <c r="DAY140"/>
      <c r="DAZ140"/>
      <c r="DBA140"/>
      <c r="DBB140"/>
      <c r="DBC140"/>
      <c r="DBD140"/>
      <c r="DBE140"/>
      <c r="DBF140"/>
      <c r="DBG140"/>
      <c r="DBH140"/>
      <c r="DBI140"/>
      <c r="DBJ140"/>
      <c r="DBK140"/>
      <c r="DBL140"/>
      <c r="DBM140"/>
      <c r="DBN140"/>
      <c r="DBO140"/>
      <c r="DBP140"/>
      <c r="DBQ140"/>
      <c r="DBR140"/>
      <c r="DBS140"/>
      <c r="DBT140"/>
      <c r="DBU140"/>
      <c r="DBV140"/>
      <c r="DBW140"/>
      <c r="DBX140"/>
      <c r="DBY140"/>
      <c r="DBZ140"/>
      <c r="DCA140"/>
      <c r="DCB140"/>
      <c r="DCC140"/>
      <c r="DCD140"/>
      <c r="DCE140"/>
      <c r="DCF140"/>
      <c r="DCG140"/>
      <c r="DCH140"/>
      <c r="DCI140"/>
      <c r="DCJ140"/>
      <c r="DCK140"/>
      <c r="DCL140"/>
      <c r="DCM140"/>
      <c r="DCN140"/>
      <c r="DCO140"/>
      <c r="DCP140"/>
      <c r="DCQ140"/>
      <c r="DCR140"/>
      <c r="DCS140"/>
      <c r="DCT140"/>
      <c r="DCU140"/>
      <c r="DCV140"/>
      <c r="DCW140"/>
      <c r="DCX140"/>
      <c r="DCY140"/>
      <c r="DCZ140"/>
      <c r="DDA140"/>
      <c r="DDB140"/>
      <c r="DDC140"/>
      <c r="DDD140"/>
      <c r="DDE140"/>
      <c r="DDF140"/>
      <c r="DDG140"/>
      <c r="DDH140"/>
      <c r="DDI140"/>
      <c r="DDJ140"/>
      <c r="DDK140"/>
      <c r="DDL140"/>
      <c r="DDM140"/>
      <c r="DDN140"/>
      <c r="DDO140"/>
      <c r="DDP140"/>
      <c r="DDQ140"/>
      <c r="DDR140"/>
      <c r="DDS140"/>
      <c r="DDT140"/>
      <c r="DDU140"/>
      <c r="DDV140"/>
      <c r="DDW140"/>
      <c r="DDX140"/>
      <c r="DDY140"/>
      <c r="DDZ140"/>
      <c r="DEA140"/>
      <c r="DEB140"/>
      <c r="DEC140"/>
      <c r="DED140"/>
      <c r="DEE140"/>
      <c r="DEF140"/>
      <c r="DEG140"/>
      <c r="DEH140"/>
      <c r="DEI140"/>
      <c r="DEJ140"/>
      <c r="DEK140"/>
      <c r="DEL140"/>
      <c r="DEM140"/>
      <c r="DEN140"/>
      <c r="DEO140"/>
      <c r="DEP140"/>
      <c r="DEQ140"/>
      <c r="DER140"/>
      <c r="DES140"/>
      <c r="DET140"/>
      <c r="DEU140"/>
      <c r="DEV140"/>
      <c r="DEW140"/>
      <c r="DEX140"/>
      <c r="DEY140"/>
      <c r="DEZ140"/>
      <c r="DFA140"/>
      <c r="DFB140"/>
      <c r="DFC140"/>
      <c r="DFD140"/>
      <c r="DFE140"/>
      <c r="DFF140"/>
      <c r="DFG140"/>
      <c r="DFH140"/>
      <c r="DFI140"/>
      <c r="DFJ140"/>
      <c r="DFK140"/>
      <c r="DFL140"/>
      <c r="DFM140"/>
      <c r="DFN140"/>
      <c r="DFO140"/>
      <c r="DFP140"/>
      <c r="DFQ140"/>
      <c r="DFR140"/>
      <c r="DFS140"/>
      <c r="DFT140"/>
      <c r="DFU140"/>
      <c r="DFV140"/>
      <c r="DFW140"/>
      <c r="DFX140"/>
      <c r="DFY140"/>
      <c r="DFZ140"/>
      <c r="DGA140"/>
      <c r="DGB140"/>
      <c r="DGC140"/>
      <c r="DGD140"/>
      <c r="DGE140"/>
      <c r="DGF140"/>
      <c r="DGG140"/>
      <c r="DGH140"/>
      <c r="DGI140"/>
      <c r="DGJ140"/>
      <c r="DGK140"/>
      <c r="DGL140"/>
      <c r="DGM140"/>
      <c r="DGN140"/>
      <c r="DGO140"/>
      <c r="DGP140"/>
      <c r="DGQ140"/>
      <c r="DGR140"/>
      <c r="DGS140"/>
      <c r="DGT140"/>
      <c r="DGU140"/>
      <c r="DGV140"/>
      <c r="DGW140"/>
      <c r="DGX140"/>
      <c r="DGY140"/>
      <c r="DGZ140"/>
      <c r="DHA140"/>
      <c r="DHB140"/>
      <c r="DHC140"/>
      <c r="DHD140"/>
      <c r="DHE140"/>
      <c r="DHF140"/>
      <c r="DHG140"/>
      <c r="DHH140"/>
      <c r="DHI140"/>
      <c r="DHJ140"/>
      <c r="DHK140"/>
      <c r="DHL140"/>
      <c r="DHM140"/>
      <c r="DHN140"/>
      <c r="DHO140"/>
      <c r="DHP140"/>
      <c r="DHQ140"/>
      <c r="DHR140"/>
      <c r="DHS140"/>
      <c r="DHT140"/>
      <c r="DHU140"/>
      <c r="DHV140"/>
      <c r="DHW140"/>
      <c r="DHX140"/>
      <c r="DHY140"/>
      <c r="DHZ140"/>
      <c r="DIA140"/>
      <c r="DIB140"/>
      <c r="DIC140"/>
      <c r="DID140"/>
      <c r="DIE140"/>
      <c r="DIF140"/>
      <c r="DIG140"/>
      <c r="DIH140"/>
      <c r="DII140"/>
      <c r="DIJ140"/>
      <c r="DIK140"/>
      <c r="DIL140"/>
      <c r="DIM140"/>
      <c r="DIN140"/>
      <c r="DIO140"/>
      <c r="DIP140"/>
      <c r="DIQ140"/>
      <c r="DIR140"/>
      <c r="DIS140"/>
      <c r="DIT140"/>
      <c r="DIU140"/>
      <c r="DIV140"/>
      <c r="DIW140"/>
      <c r="DIX140"/>
      <c r="DIY140"/>
      <c r="DIZ140"/>
      <c r="DJA140"/>
      <c r="DJB140"/>
      <c r="DJC140"/>
      <c r="DJD140"/>
      <c r="DJE140"/>
      <c r="DJF140"/>
      <c r="DJG140"/>
      <c r="DJH140"/>
      <c r="DJI140"/>
      <c r="DJJ140"/>
      <c r="DJK140"/>
      <c r="DJL140"/>
      <c r="DJM140"/>
      <c r="DJN140"/>
      <c r="DJO140"/>
      <c r="DJP140"/>
      <c r="DJQ140"/>
      <c r="DJR140"/>
      <c r="DJS140"/>
      <c r="DJT140"/>
      <c r="DJU140"/>
      <c r="DJV140"/>
      <c r="DJW140"/>
      <c r="DJX140"/>
      <c r="DJY140"/>
      <c r="DJZ140"/>
      <c r="DKA140"/>
      <c r="DKB140"/>
      <c r="DKC140"/>
      <c r="DKD140"/>
      <c r="DKE140"/>
      <c r="DKF140"/>
      <c r="DKG140"/>
      <c r="DKH140"/>
      <c r="DKI140"/>
      <c r="DKJ140"/>
      <c r="DKK140"/>
      <c r="DKL140"/>
      <c r="DKM140"/>
      <c r="DKN140"/>
      <c r="DKO140"/>
      <c r="DKP140"/>
      <c r="DKQ140"/>
      <c r="DKR140"/>
      <c r="DKS140"/>
      <c r="DKT140"/>
      <c r="DKU140"/>
      <c r="DKV140"/>
      <c r="DKW140"/>
      <c r="DKX140"/>
      <c r="DKY140"/>
      <c r="DKZ140"/>
      <c r="DLA140"/>
      <c r="DLB140"/>
      <c r="DLC140"/>
      <c r="DLD140"/>
      <c r="DLE140"/>
      <c r="DLF140"/>
      <c r="DLG140"/>
      <c r="DLH140"/>
      <c r="DLI140"/>
      <c r="DLJ140"/>
      <c r="DLK140"/>
      <c r="DLL140"/>
      <c r="DLM140"/>
      <c r="DLN140"/>
      <c r="DLO140"/>
      <c r="DLP140"/>
      <c r="DLQ140"/>
      <c r="DLR140"/>
      <c r="DLS140"/>
      <c r="DLT140"/>
      <c r="DLU140"/>
      <c r="DLV140"/>
      <c r="DLW140"/>
      <c r="DLX140"/>
      <c r="DLY140"/>
      <c r="DLZ140"/>
      <c r="DMA140"/>
      <c r="DMB140"/>
      <c r="DMC140"/>
      <c r="DMD140"/>
      <c r="DME140"/>
      <c r="DMF140"/>
      <c r="DMG140"/>
      <c r="DMH140"/>
      <c r="DMI140"/>
      <c r="DMJ140"/>
      <c r="DMK140"/>
      <c r="DML140"/>
      <c r="DMM140"/>
      <c r="DMN140"/>
      <c r="DMO140"/>
      <c r="DMP140"/>
      <c r="DMQ140"/>
      <c r="DMR140"/>
      <c r="DMS140"/>
      <c r="DMT140"/>
      <c r="DMU140"/>
      <c r="DMV140"/>
      <c r="DMW140"/>
      <c r="DMX140"/>
      <c r="DMY140"/>
      <c r="DMZ140"/>
      <c r="DNA140"/>
      <c r="DNB140"/>
      <c r="DNC140"/>
      <c r="DND140"/>
      <c r="DNE140"/>
      <c r="DNF140"/>
      <c r="DNG140"/>
      <c r="DNH140"/>
      <c r="DNI140"/>
      <c r="DNJ140"/>
      <c r="DNK140"/>
      <c r="DNL140"/>
      <c r="DNM140"/>
      <c r="DNN140"/>
      <c r="DNO140"/>
      <c r="DNP140"/>
      <c r="DNQ140"/>
      <c r="DNR140"/>
      <c r="DNS140"/>
      <c r="DNT140"/>
      <c r="DNU140"/>
      <c r="DNV140"/>
      <c r="DNW140"/>
      <c r="DNX140"/>
      <c r="DNY140"/>
      <c r="DNZ140"/>
      <c r="DOA140"/>
      <c r="DOB140"/>
      <c r="DOC140"/>
      <c r="DOD140"/>
      <c r="DOE140"/>
      <c r="DOF140"/>
      <c r="DOG140"/>
      <c r="DOH140"/>
      <c r="DOI140"/>
      <c r="DOJ140"/>
      <c r="DOK140"/>
      <c r="DOL140"/>
      <c r="DOM140"/>
      <c r="DON140"/>
      <c r="DOO140"/>
      <c r="DOP140"/>
      <c r="DOQ140"/>
      <c r="DOR140"/>
      <c r="DOS140"/>
      <c r="DOT140"/>
      <c r="DOU140"/>
      <c r="DOV140"/>
      <c r="DOW140"/>
      <c r="DOX140"/>
      <c r="DOY140"/>
      <c r="DOZ140"/>
      <c r="DPA140"/>
      <c r="DPB140"/>
      <c r="DPC140"/>
      <c r="DPD140"/>
      <c r="DPE140"/>
      <c r="DPF140"/>
      <c r="DPG140"/>
      <c r="DPH140"/>
      <c r="DPI140"/>
      <c r="DPJ140"/>
      <c r="DPK140"/>
      <c r="DPL140"/>
      <c r="DPM140"/>
      <c r="DPN140"/>
      <c r="DPO140"/>
      <c r="DPP140"/>
      <c r="DPQ140"/>
      <c r="DPR140"/>
      <c r="DPS140"/>
      <c r="DPT140"/>
      <c r="DPU140"/>
      <c r="DPV140"/>
      <c r="DPW140"/>
      <c r="DPX140"/>
      <c r="DPY140"/>
      <c r="DPZ140"/>
      <c r="DQA140"/>
      <c r="DQB140"/>
      <c r="DQC140"/>
      <c r="DQD140"/>
      <c r="DQE140"/>
      <c r="DQF140"/>
      <c r="DQG140"/>
      <c r="DQH140"/>
      <c r="DQI140"/>
      <c r="DQJ140"/>
      <c r="DQK140"/>
      <c r="DQL140"/>
      <c r="DQM140"/>
      <c r="DQN140"/>
      <c r="DQO140"/>
      <c r="DQP140"/>
      <c r="DQQ140"/>
      <c r="DQR140"/>
      <c r="DQS140"/>
      <c r="DQT140"/>
      <c r="DQU140"/>
      <c r="DQV140"/>
      <c r="DQW140"/>
      <c r="DQX140"/>
      <c r="DQY140"/>
      <c r="DQZ140"/>
      <c r="DRA140"/>
      <c r="DRB140"/>
      <c r="DRC140"/>
      <c r="DRD140"/>
      <c r="DRE140"/>
      <c r="DRF140"/>
      <c r="DRG140"/>
      <c r="DRH140"/>
      <c r="DRI140"/>
      <c r="DRJ140"/>
      <c r="DRK140"/>
      <c r="DRL140"/>
      <c r="DRM140"/>
      <c r="DRN140"/>
      <c r="DRO140"/>
      <c r="DRP140"/>
      <c r="DRQ140"/>
      <c r="DRR140"/>
      <c r="DRS140"/>
      <c r="DRT140"/>
      <c r="DRU140"/>
      <c r="DRV140"/>
      <c r="DRW140"/>
      <c r="DRX140"/>
      <c r="DRY140"/>
      <c r="DRZ140"/>
      <c r="DSA140"/>
      <c r="DSB140"/>
      <c r="DSC140"/>
      <c r="DSD140"/>
      <c r="DSE140"/>
      <c r="DSF140"/>
      <c r="DSG140"/>
      <c r="DSH140"/>
      <c r="DSI140"/>
      <c r="DSJ140"/>
      <c r="DSK140"/>
      <c r="DSL140"/>
      <c r="DSM140"/>
      <c r="DSN140"/>
      <c r="DSO140"/>
      <c r="DSP140"/>
      <c r="DSQ140"/>
      <c r="DSR140"/>
      <c r="DSS140"/>
      <c r="DST140"/>
      <c r="DSU140"/>
      <c r="DSV140"/>
      <c r="DSW140"/>
      <c r="DSX140"/>
      <c r="DSY140"/>
      <c r="DSZ140"/>
      <c r="DTA140"/>
      <c r="DTB140"/>
      <c r="DTC140"/>
      <c r="DTD140"/>
      <c r="DTE140"/>
      <c r="DTF140"/>
      <c r="DTG140"/>
      <c r="DTH140"/>
      <c r="DTI140"/>
      <c r="DTJ140"/>
      <c r="DTK140"/>
      <c r="DTL140"/>
      <c r="DTM140"/>
      <c r="DTN140"/>
      <c r="DTO140"/>
      <c r="DTP140"/>
      <c r="DTQ140"/>
      <c r="DTR140"/>
      <c r="DTS140"/>
      <c r="DTT140"/>
      <c r="DTU140"/>
      <c r="DTV140"/>
      <c r="DTW140"/>
      <c r="DTX140"/>
      <c r="DTY140"/>
      <c r="DTZ140"/>
      <c r="DUA140"/>
      <c r="DUB140"/>
      <c r="DUC140"/>
      <c r="DUD140"/>
      <c r="DUE140"/>
      <c r="DUF140"/>
      <c r="DUG140"/>
      <c r="DUH140"/>
      <c r="DUI140"/>
      <c r="DUJ140"/>
      <c r="DUK140"/>
      <c r="DUL140"/>
      <c r="DUM140"/>
      <c r="DUN140"/>
      <c r="DUO140"/>
      <c r="DUP140"/>
      <c r="DUQ140"/>
      <c r="DUR140"/>
      <c r="DUS140"/>
      <c r="DUT140"/>
      <c r="DUU140"/>
      <c r="DUV140"/>
      <c r="DUW140"/>
      <c r="DUX140"/>
      <c r="DUY140"/>
      <c r="DUZ140"/>
      <c r="DVA140"/>
      <c r="DVB140"/>
      <c r="DVC140"/>
      <c r="DVD140"/>
      <c r="DVE140"/>
      <c r="DVF140"/>
      <c r="DVG140"/>
      <c r="DVH140"/>
      <c r="DVI140"/>
      <c r="DVJ140"/>
      <c r="DVK140"/>
      <c r="DVL140"/>
      <c r="DVM140"/>
      <c r="DVN140"/>
      <c r="DVO140"/>
      <c r="DVP140"/>
      <c r="DVQ140"/>
      <c r="DVR140"/>
      <c r="DVS140"/>
      <c r="DVT140"/>
      <c r="DVU140"/>
      <c r="DVV140"/>
      <c r="DVW140"/>
      <c r="DVX140"/>
      <c r="DVY140"/>
      <c r="DVZ140"/>
      <c r="DWA140"/>
      <c r="DWB140"/>
      <c r="DWC140"/>
      <c r="DWD140"/>
      <c r="DWE140"/>
      <c r="DWF140"/>
      <c r="DWG140"/>
      <c r="DWH140"/>
      <c r="DWI140"/>
      <c r="DWJ140"/>
      <c r="DWK140"/>
      <c r="DWL140"/>
      <c r="DWM140"/>
      <c r="DWN140"/>
      <c r="DWO140"/>
      <c r="DWP140"/>
      <c r="DWQ140"/>
      <c r="DWR140"/>
      <c r="DWS140"/>
      <c r="DWT140"/>
      <c r="DWU140"/>
      <c r="DWV140"/>
      <c r="DWW140"/>
      <c r="DWX140"/>
      <c r="DWY140"/>
      <c r="DWZ140"/>
      <c r="DXA140"/>
      <c r="DXB140"/>
      <c r="DXC140"/>
      <c r="DXD140"/>
      <c r="DXE140"/>
      <c r="DXF140"/>
      <c r="DXG140"/>
      <c r="DXH140"/>
      <c r="DXI140"/>
      <c r="DXJ140"/>
      <c r="DXK140"/>
      <c r="DXL140"/>
      <c r="DXM140"/>
      <c r="DXN140"/>
      <c r="DXO140"/>
      <c r="DXP140"/>
      <c r="DXQ140"/>
      <c r="DXR140"/>
      <c r="DXS140"/>
      <c r="DXT140"/>
      <c r="DXU140"/>
      <c r="DXV140"/>
      <c r="DXW140"/>
      <c r="DXX140"/>
      <c r="DXY140"/>
      <c r="DXZ140"/>
      <c r="DYA140"/>
      <c r="DYB140"/>
      <c r="DYC140"/>
      <c r="DYD140"/>
      <c r="DYE140"/>
      <c r="DYF140"/>
      <c r="DYG140"/>
      <c r="DYH140"/>
      <c r="DYI140"/>
      <c r="DYJ140"/>
      <c r="DYK140"/>
      <c r="DYL140"/>
      <c r="DYM140"/>
      <c r="DYN140"/>
      <c r="DYO140"/>
      <c r="DYP140"/>
      <c r="DYQ140"/>
      <c r="DYR140"/>
      <c r="DYS140"/>
      <c r="DYT140"/>
      <c r="DYU140"/>
      <c r="DYV140"/>
      <c r="DYW140"/>
      <c r="DYX140"/>
      <c r="DYY140"/>
      <c r="DYZ140"/>
      <c r="DZA140"/>
      <c r="DZB140"/>
      <c r="DZC140"/>
      <c r="DZD140"/>
      <c r="DZE140"/>
      <c r="DZF140"/>
      <c r="DZG140"/>
      <c r="DZH140"/>
      <c r="DZI140"/>
      <c r="DZJ140"/>
      <c r="DZK140"/>
      <c r="DZL140"/>
      <c r="DZM140"/>
      <c r="DZN140"/>
      <c r="DZO140"/>
      <c r="DZP140"/>
      <c r="DZQ140"/>
      <c r="DZR140"/>
      <c r="DZS140"/>
      <c r="DZT140"/>
      <c r="DZU140"/>
      <c r="DZV140"/>
      <c r="DZW140"/>
      <c r="DZX140"/>
      <c r="DZY140"/>
      <c r="DZZ140"/>
      <c r="EAA140"/>
      <c r="EAB140"/>
      <c r="EAC140"/>
      <c r="EAD140"/>
      <c r="EAE140"/>
      <c r="EAF140"/>
      <c r="EAG140"/>
      <c r="EAH140"/>
      <c r="EAI140"/>
      <c r="EAJ140"/>
      <c r="EAK140"/>
      <c r="EAL140"/>
      <c r="EAM140"/>
      <c r="EAN140"/>
      <c r="EAO140"/>
      <c r="EAP140"/>
      <c r="EAQ140"/>
      <c r="EAR140"/>
      <c r="EAS140"/>
      <c r="EAT140"/>
      <c r="EAU140"/>
      <c r="EAV140"/>
      <c r="EAW140"/>
      <c r="EAX140"/>
      <c r="EAY140"/>
      <c r="EAZ140"/>
      <c r="EBA140"/>
      <c r="EBB140"/>
      <c r="EBC140"/>
      <c r="EBD140"/>
      <c r="EBE140"/>
      <c r="EBF140"/>
      <c r="EBG140"/>
      <c r="EBH140"/>
      <c r="EBI140"/>
      <c r="EBJ140"/>
      <c r="EBK140"/>
      <c r="EBL140"/>
      <c r="EBM140"/>
      <c r="EBN140"/>
      <c r="EBO140"/>
      <c r="EBP140"/>
      <c r="EBQ140"/>
      <c r="EBR140"/>
      <c r="EBS140"/>
      <c r="EBT140"/>
      <c r="EBU140"/>
      <c r="EBV140"/>
      <c r="EBW140"/>
      <c r="EBX140"/>
      <c r="EBY140"/>
      <c r="EBZ140"/>
      <c r="ECA140"/>
      <c r="ECB140"/>
      <c r="ECC140"/>
      <c r="ECD140"/>
      <c r="ECE140"/>
      <c r="ECF140"/>
      <c r="ECG140"/>
      <c r="ECH140"/>
      <c r="ECI140"/>
      <c r="ECJ140"/>
      <c r="ECK140"/>
      <c r="ECL140"/>
      <c r="ECM140"/>
      <c r="ECN140"/>
      <c r="ECO140"/>
      <c r="ECP140"/>
      <c r="ECQ140"/>
      <c r="ECR140"/>
      <c r="ECS140"/>
      <c r="ECT140"/>
      <c r="ECU140"/>
      <c r="ECV140"/>
      <c r="ECW140"/>
      <c r="ECX140"/>
      <c r="ECY140"/>
      <c r="ECZ140"/>
      <c r="EDA140"/>
      <c r="EDB140"/>
      <c r="EDC140"/>
      <c r="EDD140"/>
      <c r="EDE140"/>
      <c r="EDF140"/>
      <c r="EDG140"/>
      <c r="EDH140"/>
      <c r="EDI140"/>
      <c r="EDJ140"/>
      <c r="EDK140"/>
      <c r="EDL140"/>
      <c r="EDM140"/>
      <c r="EDN140"/>
      <c r="EDO140"/>
      <c r="EDP140"/>
      <c r="EDQ140"/>
      <c r="EDR140"/>
      <c r="EDS140"/>
      <c r="EDT140"/>
      <c r="EDU140"/>
      <c r="EDV140"/>
      <c r="EDW140"/>
      <c r="EDX140"/>
      <c r="EDY140"/>
      <c r="EDZ140"/>
      <c r="EEA140"/>
      <c r="EEB140"/>
      <c r="EEC140"/>
      <c r="EED140"/>
      <c r="EEE140"/>
      <c r="EEF140"/>
      <c r="EEG140"/>
      <c r="EEH140"/>
      <c r="EEI140"/>
      <c r="EEJ140"/>
      <c r="EEK140"/>
      <c r="EEL140"/>
      <c r="EEM140"/>
      <c r="EEN140"/>
      <c r="EEO140"/>
      <c r="EEP140"/>
      <c r="EEQ140"/>
      <c r="EER140"/>
      <c r="EES140"/>
      <c r="EET140"/>
      <c r="EEU140"/>
      <c r="EEV140"/>
      <c r="EEW140"/>
      <c r="EEX140"/>
      <c r="EEY140"/>
      <c r="EEZ140"/>
      <c r="EFA140"/>
      <c r="EFB140"/>
      <c r="EFC140"/>
      <c r="EFD140"/>
      <c r="EFE140"/>
      <c r="EFF140"/>
      <c r="EFG140"/>
      <c r="EFH140"/>
      <c r="EFI140"/>
      <c r="EFJ140"/>
      <c r="EFK140"/>
      <c r="EFL140"/>
      <c r="EFM140"/>
      <c r="EFN140"/>
      <c r="EFO140"/>
      <c r="EFP140"/>
      <c r="EFQ140"/>
      <c r="EFR140"/>
      <c r="EFS140"/>
      <c r="EFT140"/>
      <c r="EFU140"/>
      <c r="EFV140"/>
      <c r="EFW140"/>
      <c r="EFX140"/>
      <c r="EFY140"/>
      <c r="EFZ140"/>
      <c r="EGA140"/>
      <c r="EGB140"/>
      <c r="EGC140"/>
      <c r="EGD140"/>
      <c r="EGE140"/>
      <c r="EGF140"/>
      <c r="EGG140"/>
      <c r="EGH140"/>
      <c r="EGI140"/>
      <c r="EGJ140"/>
      <c r="EGK140"/>
      <c r="EGL140"/>
      <c r="EGM140"/>
      <c r="EGN140"/>
      <c r="EGO140"/>
      <c r="EGP140"/>
      <c r="EGQ140"/>
      <c r="EGR140"/>
      <c r="EGS140"/>
      <c r="EGT140"/>
      <c r="EGU140"/>
      <c r="EGV140"/>
      <c r="EGW140"/>
      <c r="EGX140"/>
      <c r="EGY140"/>
      <c r="EGZ140"/>
      <c r="EHA140"/>
      <c r="EHB140"/>
      <c r="EHC140"/>
      <c r="EHD140"/>
      <c r="EHE140"/>
      <c r="EHF140"/>
      <c r="EHG140"/>
      <c r="EHH140"/>
      <c r="EHI140"/>
      <c r="EHJ140"/>
      <c r="EHK140"/>
      <c r="EHL140"/>
      <c r="EHM140"/>
      <c r="EHN140"/>
      <c r="EHO140"/>
      <c r="EHP140"/>
      <c r="EHQ140"/>
      <c r="EHR140"/>
      <c r="EHS140"/>
      <c r="EHT140"/>
      <c r="EHU140"/>
      <c r="EHV140"/>
      <c r="EHW140"/>
      <c r="EHX140"/>
      <c r="EHY140"/>
      <c r="EHZ140"/>
      <c r="EIA140"/>
      <c r="EIB140"/>
      <c r="EIC140"/>
      <c r="EID140"/>
      <c r="EIE140"/>
      <c r="EIF140"/>
      <c r="EIG140"/>
      <c r="EIH140"/>
      <c r="EII140"/>
      <c r="EIJ140"/>
      <c r="EIK140"/>
      <c r="EIL140"/>
      <c r="EIM140"/>
      <c r="EIN140"/>
      <c r="EIO140"/>
      <c r="EIP140"/>
      <c r="EIQ140"/>
      <c r="EIR140"/>
      <c r="EIS140"/>
      <c r="EIT140"/>
      <c r="EIU140"/>
      <c r="EIV140"/>
      <c r="EIW140"/>
      <c r="EIX140"/>
      <c r="EIY140"/>
      <c r="EIZ140"/>
      <c r="EJA140"/>
      <c r="EJB140"/>
      <c r="EJC140"/>
      <c r="EJD140"/>
      <c r="EJE140"/>
      <c r="EJF140"/>
      <c r="EJG140"/>
      <c r="EJH140"/>
      <c r="EJI140"/>
      <c r="EJJ140"/>
      <c r="EJK140"/>
      <c r="EJL140"/>
      <c r="EJM140"/>
      <c r="EJN140"/>
      <c r="EJO140"/>
      <c r="EJP140"/>
      <c r="EJQ140"/>
      <c r="EJR140"/>
      <c r="EJS140"/>
      <c r="EJT140"/>
      <c r="EJU140"/>
      <c r="EJV140"/>
      <c r="EJW140"/>
      <c r="EJX140"/>
      <c r="EJY140"/>
      <c r="EJZ140"/>
      <c r="EKA140"/>
      <c r="EKB140"/>
      <c r="EKC140"/>
      <c r="EKD140"/>
      <c r="EKE140"/>
      <c r="EKF140"/>
      <c r="EKG140"/>
      <c r="EKH140"/>
      <c r="EKI140"/>
      <c r="EKJ140"/>
      <c r="EKK140"/>
      <c r="EKL140"/>
      <c r="EKM140"/>
      <c r="EKN140"/>
      <c r="EKO140"/>
      <c r="EKP140"/>
      <c r="EKQ140"/>
      <c r="EKR140"/>
      <c r="EKS140"/>
      <c r="EKT140"/>
      <c r="EKU140"/>
      <c r="EKV140"/>
      <c r="EKW140"/>
      <c r="EKX140"/>
      <c r="EKY140"/>
      <c r="EKZ140"/>
      <c r="ELA140"/>
      <c r="ELB140"/>
      <c r="ELC140"/>
      <c r="ELD140"/>
      <c r="ELE140"/>
      <c r="ELF140"/>
      <c r="ELG140"/>
      <c r="ELH140"/>
      <c r="ELI140"/>
      <c r="ELJ140"/>
      <c r="ELK140"/>
      <c r="ELL140"/>
      <c r="ELM140"/>
      <c r="ELN140"/>
      <c r="ELO140"/>
      <c r="ELP140"/>
      <c r="ELQ140"/>
      <c r="ELR140"/>
      <c r="ELS140"/>
      <c r="ELT140"/>
      <c r="ELU140"/>
      <c r="ELV140"/>
      <c r="ELW140"/>
      <c r="ELX140"/>
      <c r="ELY140"/>
      <c r="ELZ140"/>
      <c r="EMA140"/>
      <c r="EMB140"/>
      <c r="EMC140"/>
      <c r="EMD140"/>
      <c r="EME140"/>
      <c r="EMF140"/>
      <c r="EMG140"/>
      <c r="EMH140"/>
      <c r="EMI140"/>
      <c r="EMJ140"/>
      <c r="EMK140"/>
      <c r="EML140"/>
      <c r="EMM140"/>
      <c r="EMN140"/>
      <c r="EMO140"/>
      <c r="EMP140"/>
      <c r="EMQ140"/>
      <c r="EMR140"/>
      <c r="EMS140"/>
      <c r="EMT140"/>
      <c r="EMU140"/>
      <c r="EMV140"/>
      <c r="EMW140"/>
      <c r="EMX140"/>
      <c r="EMY140"/>
      <c r="EMZ140"/>
      <c r="ENA140"/>
      <c r="ENB140"/>
      <c r="ENC140"/>
      <c r="END140"/>
      <c r="ENE140"/>
      <c r="ENF140"/>
      <c r="ENG140"/>
      <c r="ENH140"/>
      <c r="ENI140"/>
      <c r="ENJ140"/>
      <c r="ENK140"/>
      <c r="ENL140"/>
      <c r="ENM140"/>
      <c r="ENN140"/>
      <c r="ENO140"/>
      <c r="ENP140"/>
      <c r="ENQ140"/>
      <c r="ENR140"/>
      <c r="ENS140"/>
      <c r="ENT140"/>
      <c r="ENU140"/>
      <c r="ENV140"/>
      <c r="ENW140"/>
      <c r="ENX140"/>
      <c r="ENY140"/>
      <c r="ENZ140"/>
      <c r="EOA140"/>
      <c r="EOB140"/>
      <c r="EOC140"/>
      <c r="EOD140"/>
      <c r="EOE140"/>
      <c r="EOF140"/>
      <c r="EOG140"/>
      <c r="EOH140"/>
      <c r="EOI140"/>
      <c r="EOJ140"/>
      <c r="EOK140"/>
      <c r="EOL140"/>
      <c r="EOM140"/>
      <c r="EON140"/>
      <c r="EOO140"/>
      <c r="EOP140"/>
      <c r="EOQ140"/>
      <c r="EOR140"/>
      <c r="EOS140"/>
      <c r="EOT140"/>
      <c r="EOU140"/>
      <c r="EOV140"/>
      <c r="EOW140"/>
      <c r="EOX140"/>
      <c r="EOY140"/>
      <c r="EOZ140"/>
      <c r="EPA140"/>
      <c r="EPB140"/>
      <c r="EPC140"/>
      <c r="EPD140"/>
      <c r="EPE140"/>
      <c r="EPF140"/>
      <c r="EPG140"/>
      <c r="EPH140"/>
      <c r="EPI140"/>
      <c r="EPJ140"/>
      <c r="EPK140"/>
      <c r="EPL140"/>
      <c r="EPM140"/>
      <c r="EPN140"/>
      <c r="EPO140"/>
      <c r="EPP140"/>
      <c r="EPQ140"/>
      <c r="EPR140"/>
      <c r="EPS140"/>
      <c r="EPT140"/>
      <c r="EPU140"/>
      <c r="EPV140"/>
      <c r="EPW140"/>
      <c r="EPX140"/>
      <c r="EPY140"/>
      <c r="EPZ140"/>
      <c r="EQA140"/>
      <c r="EQB140"/>
      <c r="EQC140"/>
      <c r="EQD140"/>
      <c r="EQE140"/>
      <c r="EQF140"/>
      <c r="EQG140"/>
      <c r="EQH140"/>
      <c r="EQI140"/>
      <c r="EQJ140"/>
      <c r="EQK140"/>
      <c r="EQL140"/>
      <c r="EQM140"/>
      <c r="EQN140"/>
      <c r="EQO140"/>
      <c r="EQP140"/>
      <c r="EQQ140"/>
      <c r="EQR140"/>
      <c r="EQS140"/>
      <c r="EQT140"/>
      <c r="EQU140"/>
      <c r="EQV140"/>
      <c r="EQW140"/>
      <c r="EQX140"/>
      <c r="EQY140"/>
      <c r="EQZ140"/>
      <c r="ERA140"/>
      <c r="ERB140"/>
      <c r="ERC140"/>
      <c r="ERD140"/>
      <c r="ERE140"/>
      <c r="ERF140"/>
      <c r="ERG140"/>
      <c r="ERH140"/>
      <c r="ERI140"/>
      <c r="ERJ140"/>
      <c r="ERK140"/>
      <c r="ERL140"/>
      <c r="ERM140"/>
      <c r="ERN140"/>
      <c r="ERO140"/>
      <c r="ERP140"/>
      <c r="ERQ140"/>
      <c r="ERR140"/>
      <c r="ERS140"/>
      <c r="ERT140"/>
      <c r="ERU140"/>
      <c r="ERV140"/>
      <c r="ERW140"/>
      <c r="ERX140"/>
      <c r="ERY140"/>
      <c r="ERZ140"/>
      <c r="ESA140"/>
      <c r="ESB140"/>
      <c r="ESC140"/>
      <c r="ESD140"/>
      <c r="ESE140"/>
      <c r="ESF140"/>
      <c r="ESG140"/>
      <c r="ESH140"/>
      <c r="ESI140"/>
      <c r="ESJ140"/>
      <c r="ESK140"/>
      <c r="ESL140"/>
      <c r="ESM140"/>
      <c r="ESN140"/>
      <c r="ESO140"/>
      <c r="ESP140"/>
      <c r="ESQ140"/>
      <c r="ESR140"/>
      <c r="ESS140"/>
      <c r="EST140"/>
      <c r="ESU140"/>
      <c r="ESV140"/>
      <c r="ESW140"/>
      <c r="ESX140"/>
      <c r="ESY140"/>
      <c r="ESZ140"/>
      <c r="ETA140"/>
      <c r="ETB140"/>
      <c r="ETC140"/>
      <c r="ETD140"/>
      <c r="ETE140"/>
      <c r="ETF140"/>
      <c r="ETG140"/>
      <c r="ETH140"/>
      <c r="ETI140"/>
      <c r="ETJ140"/>
      <c r="ETK140"/>
      <c r="ETL140"/>
      <c r="ETM140"/>
      <c r="ETN140"/>
      <c r="ETO140"/>
      <c r="ETP140"/>
      <c r="ETQ140"/>
      <c r="ETR140"/>
      <c r="ETS140"/>
      <c r="ETT140"/>
      <c r="ETU140"/>
      <c r="ETV140"/>
      <c r="ETW140"/>
      <c r="ETX140"/>
      <c r="ETY140"/>
      <c r="ETZ140"/>
      <c r="EUA140"/>
      <c r="EUB140"/>
      <c r="EUC140"/>
      <c r="EUD140"/>
      <c r="EUE140"/>
      <c r="EUF140"/>
      <c r="EUG140"/>
      <c r="EUH140"/>
      <c r="EUI140"/>
      <c r="EUJ140"/>
      <c r="EUK140"/>
      <c r="EUL140"/>
      <c r="EUM140"/>
      <c r="EUN140"/>
      <c r="EUO140"/>
      <c r="EUP140"/>
      <c r="EUQ140"/>
      <c r="EUR140"/>
      <c r="EUS140"/>
      <c r="EUT140"/>
      <c r="EUU140"/>
      <c r="EUV140"/>
      <c r="EUW140"/>
      <c r="EUX140"/>
      <c r="EUY140"/>
      <c r="EUZ140"/>
      <c r="EVA140"/>
      <c r="EVB140"/>
      <c r="EVC140"/>
      <c r="EVD140"/>
      <c r="EVE140"/>
      <c r="EVF140"/>
      <c r="EVG140"/>
      <c r="EVH140"/>
      <c r="EVI140"/>
      <c r="EVJ140"/>
      <c r="EVK140"/>
      <c r="EVL140"/>
      <c r="EVM140"/>
      <c r="EVN140"/>
      <c r="EVO140"/>
      <c r="EVP140"/>
      <c r="EVQ140"/>
      <c r="EVR140"/>
      <c r="EVS140"/>
      <c r="EVT140"/>
      <c r="EVU140"/>
      <c r="EVV140"/>
      <c r="EVW140"/>
      <c r="EVX140"/>
      <c r="EVY140"/>
      <c r="EVZ140"/>
      <c r="EWA140"/>
      <c r="EWB140"/>
      <c r="EWC140"/>
      <c r="EWD140"/>
      <c r="EWE140"/>
      <c r="EWF140"/>
      <c r="EWG140"/>
      <c r="EWH140"/>
      <c r="EWI140"/>
      <c r="EWJ140"/>
      <c r="EWK140"/>
      <c r="EWL140"/>
      <c r="EWM140"/>
      <c r="EWN140"/>
      <c r="EWO140"/>
      <c r="EWP140"/>
      <c r="EWQ140"/>
      <c r="EWR140"/>
      <c r="EWS140"/>
      <c r="EWT140"/>
      <c r="EWU140"/>
      <c r="EWV140"/>
      <c r="EWW140"/>
      <c r="EWX140"/>
      <c r="EWY140"/>
      <c r="EWZ140"/>
      <c r="EXA140"/>
      <c r="EXB140"/>
      <c r="EXC140"/>
      <c r="EXD140"/>
      <c r="EXE140"/>
      <c r="EXF140"/>
      <c r="EXG140"/>
      <c r="EXH140"/>
      <c r="EXI140"/>
      <c r="EXJ140"/>
      <c r="EXK140"/>
      <c r="EXL140"/>
      <c r="EXM140"/>
      <c r="EXN140"/>
      <c r="EXO140"/>
      <c r="EXP140"/>
      <c r="EXQ140"/>
      <c r="EXR140"/>
      <c r="EXS140"/>
      <c r="EXT140"/>
      <c r="EXU140"/>
      <c r="EXV140"/>
      <c r="EXW140"/>
      <c r="EXX140"/>
      <c r="EXY140"/>
      <c r="EXZ140"/>
      <c r="EYA140"/>
      <c r="EYB140"/>
      <c r="EYC140"/>
      <c r="EYD140"/>
      <c r="EYE140"/>
      <c r="EYF140"/>
      <c r="EYG140"/>
      <c r="EYH140"/>
      <c r="EYI140"/>
      <c r="EYJ140"/>
      <c r="EYK140"/>
      <c r="EYL140"/>
      <c r="EYM140"/>
      <c r="EYN140"/>
      <c r="EYO140"/>
      <c r="EYP140"/>
      <c r="EYQ140"/>
      <c r="EYR140"/>
      <c r="EYS140"/>
      <c r="EYT140"/>
      <c r="EYU140"/>
      <c r="EYV140"/>
      <c r="EYW140"/>
      <c r="EYX140"/>
      <c r="EYY140"/>
      <c r="EYZ140"/>
      <c r="EZA140"/>
      <c r="EZB140"/>
      <c r="EZC140"/>
      <c r="EZD140"/>
      <c r="EZE140"/>
      <c r="EZF140"/>
      <c r="EZG140"/>
      <c r="EZH140"/>
      <c r="EZI140"/>
      <c r="EZJ140"/>
      <c r="EZK140"/>
      <c r="EZL140"/>
      <c r="EZM140"/>
      <c r="EZN140"/>
      <c r="EZO140"/>
      <c r="EZP140"/>
      <c r="EZQ140"/>
      <c r="EZR140"/>
      <c r="EZS140"/>
      <c r="EZT140"/>
      <c r="EZU140"/>
      <c r="EZV140"/>
      <c r="EZW140"/>
      <c r="EZX140"/>
      <c r="EZY140"/>
      <c r="EZZ140"/>
      <c r="FAA140"/>
      <c r="FAB140"/>
      <c r="FAC140"/>
      <c r="FAD140"/>
      <c r="FAE140"/>
      <c r="FAF140"/>
      <c r="FAG140"/>
      <c r="FAH140"/>
      <c r="FAI140"/>
      <c r="FAJ140"/>
      <c r="FAK140"/>
      <c r="FAL140"/>
      <c r="FAM140"/>
      <c r="FAN140"/>
      <c r="FAO140"/>
      <c r="FAP140"/>
      <c r="FAQ140"/>
      <c r="FAR140"/>
      <c r="FAS140"/>
      <c r="FAT140"/>
      <c r="FAU140"/>
      <c r="FAV140"/>
      <c r="FAW140"/>
      <c r="FAX140"/>
      <c r="FAY140"/>
      <c r="FAZ140"/>
      <c r="FBA140"/>
      <c r="FBB140"/>
      <c r="FBC140"/>
      <c r="FBD140"/>
      <c r="FBE140"/>
      <c r="FBF140"/>
      <c r="FBG140"/>
      <c r="FBH140"/>
      <c r="FBI140"/>
      <c r="FBJ140"/>
      <c r="FBK140"/>
      <c r="FBL140"/>
      <c r="FBM140"/>
      <c r="FBN140"/>
      <c r="FBO140"/>
      <c r="FBP140"/>
      <c r="FBQ140"/>
      <c r="FBR140"/>
      <c r="FBS140"/>
      <c r="FBT140"/>
      <c r="FBU140"/>
      <c r="FBV140"/>
      <c r="FBW140"/>
      <c r="FBX140"/>
      <c r="FBY140"/>
      <c r="FBZ140"/>
      <c r="FCA140"/>
      <c r="FCB140"/>
      <c r="FCC140"/>
      <c r="FCD140"/>
      <c r="FCE140"/>
      <c r="FCF140"/>
      <c r="FCG140"/>
      <c r="FCH140"/>
      <c r="FCI140"/>
      <c r="FCJ140"/>
      <c r="FCK140"/>
      <c r="FCL140"/>
      <c r="FCM140"/>
      <c r="FCN140"/>
      <c r="FCO140"/>
      <c r="FCP140"/>
      <c r="FCQ140"/>
      <c r="FCR140"/>
      <c r="FCS140"/>
      <c r="FCT140"/>
      <c r="FCU140"/>
      <c r="FCV140"/>
      <c r="FCW140"/>
      <c r="FCX140"/>
      <c r="FCY140"/>
      <c r="FCZ140"/>
      <c r="FDA140"/>
      <c r="FDB140"/>
      <c r="FDC140"/>
      <c r="FDD140"/>
      <c r="FDE140"/>
      <c r="FDF140"/>
      <c r="FDG140"/>
      <c r="FDH140"/>
      <c r="FDI140"/>
      <c r="FDJ140"/>
      <c r="FDK140"/>
      <c r="FDL140"/>
      <c r="FDM140"/>
      <c r="FDN140"/>
      <c r="FDO140"/>
      <c r="FDP140"/>
      <c r="FDQ140"/>
      <c r="FDR140"/>
      <c r="FDS140"/>
      <c r="FDT140"/>
      <c r="FDU140"/>
      <c r="FDV140"/>
      <c r="FDW140"/>
      <c r="FDX140"/>
      <c r="FDY140"/>
      <c r="FDZ140"/>
      <c r="FEA140"/>
      <c r="FEB140"/>
      <c r="FEC140"/>
      <c r="FED140"/>
      <c r="FEE140"/>
      <c r="FEF140"/>
      <c r="FEG140"/>
      <c r="FEH140"/>
      <c r="FEI140"/>
      <c r="FEJ140"/>
      <c r="FEK140"/>
      <c r="FEL140"/>
      <c r="FEM140"/>
      <c r="FEN140"/>
      <c r="FEO140"/>
      <c r="FEP140"/>
      <c r="FEQ140"/>
      <c r="FER140"/>
      <c r="FES140"/>
      <c r="FET140"/>
      <c r="FEU140"/>
      <c r="FEV140"/>
      <c r="FEW140"/>
      <c r="FEX140"/>
      <c r="FEY140"/>
      <c r="FEZ140"/>
      <c r="FFA140"/>
      <c r="FFB140"/>
      <c r="FFC140"/>
      <c r="FFD140"/>
      <c r="FFE140"/>
      <c r="FFF140"/>
      <c r="FFG140"/>
      <c r="FFH140"/>
      <c r="FFI140"/>
      <c r="FFJ140"/>
      <c r="FFK140"/>
      <c r="FFL140"/>
      <c r="FFM140"/>
      <c r="FFN140"/>
      <c r="FFO140"/>
      <c r="FFP140"/>
      <c r="FFQ140"/>
      <c r="FFR140"/>
      <c r="FFS140"/>
      <c r="FFT140"/>
      <c r="FFU140"/>
      <c r="FFV140"/>
      <c r="FFW140"/>
      <c r="FFX140"/>
      <c r="FFY140"/>
      <c r="FFZ140"/>
      <c r="FGA140"/>
      <c r="FGB140"/>
      <c r="FGC140"/>
      <c r="FGD140"/>
      <c r="FGE140"/>
      <c r="FGF140"/>
      <c r="FGG140"/>
      <c r="FGH140"/>
      <c r="FGI140"/>
      <c r="FGJ140"/>
      <c r="FGK140"/>
      <c r="FGL140"/>
      <c r="FGM140"/>
      <c r="FGN140"/>
      <c r="FGO140"/>
      <c r="FGP140"/>
      <c r="FGQ140"/>
      <c r="FGR140"/>
      <c r="FGS140"/>
      <c r="FGT140"/>
      <c r="FGU140"/>
      <c r="FGV140"/>
      <c r="FGW140"/>
      <c r="FGX140"/>
      <c r="FGY140"/>
      <c r="FGZ140"/>
      <c r="FHA140"/>
      <c r="FHB140"/>
      <c r="FHC140"/>
      <c r="FHD140"/>
      <c r="FHE140"/>
      <c r="FHF140"/>
      <c r="FHG140"/>
      <c r="FHH140"/>
      <c r="FHI140"/>
      <c r="FHJ140"/>
      <c r="FHK140"/>
      <c r="FHL140"/>
      <c r="FHM140"/>
      <c r="FHN140"/>
      <c r="FHO140"/>
      <c r="FHP140"/>
      <c r="FHQ140"/>
      <c r="FHR140"/>
      <c r="FHS140"/>
      <c r="FHT140"/>
      <c r="FHU140"/>
      <c r="FHV140"/>
      <c r="FHW140"/>
      <c r="FHX140"/>
      <c r="FHY140"/>
      <c r="FHZ140"/>
      <c r="FIA140"/>
      <c r="FIB140"/>
      <c r="FIC140"/>
      <c r="FID140"/>
      <c r="FIE140"/>
      <c r="FIF140"/>
      <c r="FIG140"/>
      <c r="FIH140"/>
      <c r="FII140"/>
      <c r="FIJ140"/>
      <c r="FIK140"/>
      <c r="FIL140"/>
      <c r="FIM140"/>
      <c r="FIN140"/>
      <c r="FIO140"/>
      <c r="FIP140"/>
      <c r="FIQ140"/>
      <c r="FIR140"/>
      <c r="FIS140"/>
      <c r="FIT140"/>
      <c r="FIU140"/>
      <c r="FIV140"/>
      <c r="FIW140"/>
      <c r="FIX140"/>
      <c r="FIY140"/>
      <c r="FIZ140"/>
      <c r="FJA140"/>
      <c r="FJB140"/>
      <c r="FJC140"/>
      <c r="FJD140"/>
      <c r="FJE140"/>
      <c r="FJF140"/>
      <c r="FJG140"/>
      <c r="FJH140"/>
      <c r="FJI140"/>
      <c r="FJJ140"/>
      <c r="FJK140"/>
      <c r="FJL140"/>
      <c r="FJM140"/>
      <c r="FJN140"/>
      <c r="FJO140"/>
      <c r="FJP140"/>
      <c r="FJQ140"/>
      <c r="FJR140"/>
      <c r="FJS140"/>
      <c r="FJT140"/>
      <c r="FJU140"/>
      <c r="FJV140"/>
      <c r="FJW140"/>
      <c r="FJX140"/>
      <c r="FJY140"/>
      <c r="FJZ140"/>
      <c r="FKA140"/>
      <c r="FKB140"/>
      <c r="FKC140"/>
      <c r="FKD140"/>
      <c r="FKE140"/>
      <c r="FKF140"/>
      <c r="FKG140"/>
      <c r="FKH140"/>
      <c r="FKI140"/>
      <c r="FKJ140"/>
      <c r="FKK140"/>
      <c r="FKL140"/>
      <c r="FKM140"/>
      <c r="FKN140"/>
      <c r="FKO140"/>
      <c r="FKP140"/>
      <c r="FKQ140"/>
      <c r="FKR140"/>
      <c r="FKS140"/>
      <c r="FKT140"/>
      <c r="FKU140"/>
      <c r="FKV140"/>
      <c r="FKW140"/>
      <c r="FKX140"/>
      <c r="FKY140"/>
      <c r="FKZ140"/>
      <c r="FLA140"/>
      <c r="FLB140"/>
      <c r="FLC140"/>
      <c r="FLD140"/>
      <c r="FLE140"/>
      <c r="FLF140"/>
      <c r="FLG140"/>
      <c r="FLH140"/>
      <c r="FLI140"/>
      <c r="FLJ140"/>
      <c r="FLK140"/>
      <c r="FLL140"/>
      <c r="FLM140"/>
      <c r="FLN140"/>
      <c r="FLO140"/>
      <c r="FLP140"/>
      <c r="FLQ140"/>
      <c r="FLR140"/>
      <c r="FLS140"/>
      <c r="FLT140"/>
      <c r="FLU140"/>
      <c r="FLV140"/>
      <c r="FLW140"/>
      <c r="FLX140"/>
      <c r="FLY140"/>
      <c r="FLZ140"/>
      <c r="FMA140"/>
      <c r="FMB140"/>
      <c r="FMC140"/>
      <c r="FMD140"/>
      <c r="FME140"/>
      <c r="FMF140"/>
      <c r="FMG140"/>
      <c r="FMH140"/>
      <c r="FMI140"/>
      <c r="FMJ140"/>
      <c r="FMK140"/>
      <c r="FML140"/>
      <c r="FMM140"/>
      <c r="FMN140"/>
      <c r="FMO140"/>
      <c r="FMP140"/>
      <c r="FMQ140"/>
      <c r="FMR140"/>
      <c r="FMS140"/>
      <c r="FMT140"/>
      <c r="FMU140"/>
      <c r="FMV140"/>
      <c r="FMW140"/>
      <c r="FMX140"/>
      <c r="FMY140"/>
      <c r="FMZ140"/>
      <c r="FNA140"/>
      <c r="FNB140"/>
      <c r="FNC140"/>
      <c r="FND140"/>
      <c r="FNE140"/>
      <c r="FNF140"/>
      <c r="FNG140"/>
      <c r="FNH140"/>
      <c r="FNI140"/>
      <c r="FNJ140"/>
      <c r="FNK140"/>
      <c r="FNL140"/>
      <c r="FNM140"/>
      <c r="FNN140"/>
      <c r="FNO140"/>
      <c r="FNP140"/>
      <c r="FNQ140"/>
      <c r="FNR140"/>
      <c r="FNS140"/>
      <c r="FNT140"/>
      <c r="FNU140"/>
      <c r="FNV140"/>
      <c r="FNW140"/>
      <c r="FNX140"/>
      <c r="FNY140"/>
      <c r="FNZ140"/>
      <c r="FOA140"/>
      <c r="FOB140"/>
      <c r="FOC140"/>
      <c r="FOD140"/>
      <c r="FOE140"/>
      <c r="FOF140"/>
      <c r="FOG140"/>
      <c r="FOH140"/>
      <c r="FOI140"/>
      <c r="FOJ140"/>
      <c r="FOK140"/>
      <c r="FOL140"/>
      <c r="FOM140"/>
      <c r="FON140"/>
      <c r="FOO140"/>
      <c r="FOP140"/>
      <c r="FOQ140"/>
      <c r="FOR140"/>
      <c r="FOS140"/>
      <c r="FOT140"/>
      <c r="FOU140"/>
      <c r="FOV140"/>
      <c r="FOW140"/>
      <c r="FOX140"/>
      <c r="FOY140"/>
      <c r="FOZ140"/>
      <c r="FPA140"/>
      <c r="FPB140"/>
      <c r="FPC140"/>
      <c r="FPD140"/>
      <c r="FPE140"/>
      <c r="FPF140"/>
      <c r="FPG140"/>
      <c r="FPH140"/>
      <c r="FPI140"/>
      <c r="FPJ140"/>
      <c r="FPK140"/>
      <c r="FPL140"/>
      <c r="FPM140"/>
      <c r="FPN140"/>
      <c r="FPO140"/>
      <c r="FPP140"/>
      <c r="FPQ140"/>
      <c r="FPR140"/>
      <c r="FPS140"/>
      <c r="FPT140"/>
      <c r="FPU140"/>
      <c r="FPV140"/>
      <c r="FPW140"/>
      <c r="FPX140"/>
      <c r="FPY140"/>
      <c r="FPZ140"/>
      <c r="FQA140"/>
      <c r="FQB140"/>
      <c r="FQC140"/>
      <c r="FQD140"/>
      <c r="FQE140"/>
      <c r="FQF140"/>
      <c r="FQG140"/>
      <c r="FQH140"/>
      <c r="FQI140"/>
      <c r="FQJ140"/>
      <c r="FQK140"/>
      <c r="FQL140"/>
      <c r="FQM140"/>
      <c r="FQN140"/>
      <c r="FQO140"/>
      <c r="FQP140"/>
      <c r="FQQ140"/>
      <c r="FQR140"/>
      <c r="FQS140"/>
      <c r="FQT140"/>
      <c r="FQU140"/>
      <c r="FQV140"/>
      <c r="FQW140"/>
      <c r="FQX140"/>
      <c r="FQY140"/>
      <c r="FQZ140"/>
      <c r="FRA140"/>
      <c r="FRB140"/>
      <c r="FRC140"/>
      <c r="FRD140"/>
      <c r="FRE140"/>
      <c r="FRF140"/>
      <c r="FRG140"/>
      <c r="FRH140"/>
      <c r="FRI140"/>
      <c r="FRJ140"/>
      <c r="FRK140"/>
      <c r="FRL140"/>
      <c r="FRM140"/>
      <c r="FRN140"/>
      <c r="FRO140"/>
      <c r="FRP140"/>
      <c r="FRQ140"/>
      <c r="FRR140"/>
      <c r="FRS140"/>
      <c r="FRT140"/>
      <c r="FRU140"/>
      <c r="FRV140"/>
      <c r="FRW140"/>
      <c r="FRX140"/>
      <c r="FRY140"/>
      <c r="FRZ140"/>
      <c r="FSA140"/>
      <c r="FSB140"/>
      <c r="FSC140"/>
      <c r="FSD140"/>
      <c r="FSE140"/>
      <c r="FSF140"/>
      <c r="FSG140"/>
      <c r="FSH140"/>
      <c r="FSI140"/>
      <c r="FSJ140"/>
      <c r="FSK140"/>
      <c r="FSL140"/>
      <c r="FSM140"/>
      <c r="FSN140"/>
      <c r="FSO140"/>
      <c r="FSP140"/>
      <c r="FSQ140"/>
      <c r="FSR140"/>
      <c r="FSS140"/>
      <c r="FST140"/>
      <c r="FSU140"/>
      <c r="FSV140"/>
      <c r="FSW140"/>
      <c r="FSX140"/>
      <c r="FSY140"/>
      <c r="FSZ140"/>
      <c r="FTA140"/>
      <c r="FTB140"/>
      <c r="FTC140"/>
      <c r="FTD140"/>
      <c r="FTE140"/>
      <c r="FTF140"/>
      <c r="FTG140"/>
      <c r="FTH140"/>
      <c r="FTI140"/>
      <c r="FTJ140"/>
      <c r="FTK140"/>
      <c r="FTL140"/>
      <c r="FTM140"/>
      <c r="FTN140"/>
      <c r="FTO140"/>
      <c r="FTP140"/>
      <c r="FTQ140"/>
      <c r="FTR140"/>
      <c r="FTS140"/>
      <c r="FTT140"/>
      <c r="FTU140"/>
      <c r="FTV140"/>
      <c r="FTW140"/>
      <c r="FTX140"/>
      <c r="FTY140"/>
      <c r="FTZ140"/>
      <c r="FUA140"/>
      <c r="FUB140"/>
      <c r="FUC140"/>
      <c r="FUD140"/>
      <c r="FUE140"/>
      <c r="FUF140"/>
      <c r="FUG140"/>
      <c r="FUH140"/>
      <c r="FUI140"/>
      <c r="FUJ140"/>
      <c r="FUK140"/>
      <c r="FUL140"/>
      <c r="FUM140"/>
      <c r="FUN140"/>
      <c r="FUO140"/>
      <c r="FUP140"/>
      <c r="FUQ140"/>
      <c r="FUR140"/>
      <c r="FUS140"/>
      <c r="FUT140"/>
      <c r="FUU140"/>
      <c r="FUV140"/>
      <c r="FUW140"/>
      <c r="FUX140"/>
      <c r="FUY140"/>
      <c r="FUZ140"/>
      <c r="FVA140"/>
      <c r="FVB140"/>
      <c r="FVC140"/>
      <c r="FVD140"/>
      <c r="FVE140"/>
      <c r="FVF140"/>
      <c r="FVG140"/>
      <c r="FVH140"/>
      <c r="FVI140"/>
      <c r="FVJ140"/>
      <c r="FVK140"/>
      <c r="FVL140"/>
      <c r="FVM140"/>
      <c r="FVN140"/>
      <c r="FVO140"/>
      <c r="FVP140"/>
      <c r="FVQ140"/>
      <c r="FVR140"/>
      <c r="FVS140"/>
      <c r="FVT140"/>
      <c r="FVU140"/>
      <c r="FVV140"/>
      <c r="FVW140"/>
      <c r="FVX140"/>
      <c r="FVY140"/>
      <c r="FVZ140"/>
      <c r="FWA140"/>
      <c r="FWB140"/>
      <c r="FWC140"/>
      <c r="FWD140"/>
      <c r="FWE140"/>
      <c r="FWF140"/>
      <c r="FWG140"/>
      <c r="FWH140"/>
      <c r="FWI140"/>
      <c r="FWJ140"/>
      <c r="FWK140"/>
      <c r="FWL140"/>
      <c r="FWM140"/>
      <c r="FWN140"/>
      <c r="FWO140"/>
      <c r="FWP140"/>
      <c r="FWQ140"/>
      <c r="FWR140"/>
      <c r="FWS140"/>
      <c r="FWT140"/>
      <c r="FWU140"/>
      <c r="FWV140"/>
      <c r="FWW140"/>
      <c r="FWX140"/>
      <c r="FWY140"/>
      <c r="FWZ140"/>
      <c r="FXA140"/>
      <c r="FXB140"/>
      <c r="FXC140"/>
      <c r="FXD140"/>
      <c r="FXE140"/>
      <c r="FXF140"/>
      <c r="FXG140"/>
      <c r="FXH140"/>
      <c r="FXI140"/>
      <c r="FXJ140"/>
      <c r="FXK140"/>
      <c r="FXL140"/>
      <c r="FXM140"/>
      <c r="FXN140"/>
      <c r="FXO140"/>
      <c r="FXP140"/>
      <c r="FXQ140"/>
      <c r="FXR140"/>
      <c r="FXS140"/>
      <c r="FXT140"/>
      <c r="FXU140"/>
      <c r="FXV140"/>
      <c r="FXW140"/>
      <c r="FXX140"/>
      <c r="FXY140"/>
      <c r="FXZ140"/>
      <c r="FYA140"/>
      <c r="FYB140"/>
      <c r="FYC140"/>
      <c r="FYD140"/>
      <c r="FYE140"/>
      <c r="FYF140"/>
      <c r="FYG140"/>
      <c r="FYH140"/>
      <c r="FYI140"/>
      <c r="FYJ140"/>
      <c r="FYK140"/>
      <c r="FYL140"/>
      <c r="FYM140"/>
      <c r="FYN140"/>
      <c r="FYO140"/>
      <c r="FYP140"/>
      <c r="FYQ140"/>
      <c r="FYR140"/>
      <c r="FYS140"/>
      <c r="FYT140"/>
      <c r="FYU140"/>
      <c r="FYV140"/>
      <c r="FYW140"/>
      <c r="FYX140"/>
      <c r="FYY140"/>
      <c r="FYZ140"/>
      <c r="FZA140"/>
      <c r="FZB140"/>
      <c r="FZC140"/>
      <c r="FZD140"/>
      <c r="FZE140"/>
      <c r="FZF140"/>
      <c r="FZG140"/>
      <c r="FZH140"/>
      <c r="FZI140"/>
      <c r="FZJ140"/>
      <c r="FZK140"/>
      <c r="FZL140"/>
      <c r="FZM140"/>
      <c r="FZN140"/>
      <c r="FZO140"/>
      <c r="FZP140"/>
      <c r="FZQ140"/>
      <c r="FZR140"/>
      <c r="FZS140"/>
      <c r="FZT140"/>
      <c r="FZU140"/>
      <c r="FZV140"/>
      <c r="FZW140"/>
      <c r="FZX140"/>
      <c r="FZY140"/>
      <c r="FZZ140"/>
      <c r="GAA140"/>
      <c r="GAB140"/>
      <c r="GAC140"/>
      <c r="GAD140"/>
      <c r="GAE140"/>
      <c r="GAF140"/>
      <c r="GAG140"/>
      <c r="GAH140"/>
      <c r="GAI140"/>
      <c r="GAJ140"/>
      <c r="GAK140"/>
      <c r="GAL140"/>
      <c r="GAM140"/>
      <c r="GAN140"/>
      <c r="GAO140"/>
      <c r="GAP140"/>
      <c r="GAQ140"/>
      <c r="GAR140"/>
      <c r="GAS140"/>
      <c r="GAT140"/>
      <c r="GAU140"/>
      <c r="GAV140"/>
      <c r="GAW140"/>
      <c r="GAX140"/>
      <c r="GAY140"/>
      <c r="GAZ140"/>
      <c r="GBA140"/>
      <c r="GBB140"/>
      <c r="GBC140"/>
      <c r="GBD140"/>
      <c r="GBE140"/>
      <c r="GBF140"/>
      <c r="GBG140"/>
      <c r="GBH140"/>
      <c r="GBI140"/>
      <c r="GBJ140"/>
      <c r="GBK140"/>
      <c r="GBL140"/>
      <c r="GBM140"/>
      <c r="GBN140"/>
      <c r="GBO140"/>
      <c r="GBP140"/>
      <c r="GBQ140"/>
      <c r="GBR140"/>
      <c r="GBS140"/>
      <c r="GBT140"/>
      <c r="GBU140"/>
      <c r="GBV140"/>
      <c r="GBW140"/>
      <c r="GBX140"/>
      <c r="GBY140"/>
      <c r="GBZ140"/>
      <c r="GCA140"/>
      <c r="GCB140"/>
      <c r="GCC140"/>
      <c r="GCD140"/>
      <c r="GCE140"/>
      <c r="GCF140"/>
      <c r="GCG140"/>
      <c r="GCH140"/>
      <c r="GCI140"/>
      <c r="GCJ140"/>
      <c r="GCK140"/>
      <c r="GCL140"/>
      <c r="GCM140"/>
      <c r="GCN140"/>
      <c r="GCO140"/>
      <c r="GCP140"/>
      <c r="GCQ140"/>
      <c r="GCR140"/>
      <c r="GCS140"/>
      <c r="GCT140"/>
      <c r="GCU140"/>
      <c r="GCV140"/>
      <c r="GCW140"/>
      <c r="GCX140"/>
      <c r="GCY140"/>
      <c r="GCZ140"/>
      <c r="GDA140"/>
      <c r="GDB140"/>
      <c r="GDC140"/>
      <c r="GDD140"/>
      <c r="GDE140"/>
      <c r="GDF140"/>
      <c r="GDG140"/>
      <c r="GDH140"/>
      <c r="GDI140"/>
      <c r="GDJ140"/>
      <c r="GDK140"/>
      <c r="GDL140"/>
      <c r="GDM140"/>
      <c r="GDN140"/>
      <c r="GDO140"/>
      <c r="GDP140"/>
      <c r="GDQ140"/>
      <c r="GDR140"/>
      <c r="GDS140"/>
      <c r="GDT140"/>
      <c r="GDU140"/>
      <c r="GDV140"/>
      <c r="GDW140"/>
      <c r="GDX140"/>
      <c r="GDY140"/>
      <c r="GDZ140"/>
      <c r="GEA140"/>
      <c r="GEB140"/>
      <c r="GEC140"/>
      <c r="GED140"/>
      <c r="GEE140"/>
      <c r="GEF140"/>
      <c r="GEG140"/>
      <c r="GEH140"/>
      <c r="GEI140"/>
      <c r="GEJ140"/>
      <c r="GEK140"/>
      <c r="GEL140"/>
      <c r="GEM140"/>
      <c r="GEN140"/>
      <c r="GEO140"/>
      <c r="GEP140"/>
      <c r="GEQ140"/>
      <c r="GER140"/>
      <c r="GES140"/>
      <c r="GET140"/>
      <c r="GEU140"/>
      <c r="GEV140"/>
      <c r="GEW140"/>
      <c r="GEX140"/>
      <c r="GEY140"/>
      <c r="GEZ140"/>
      <c r="GFA140"/>
      <c r="GFB140"/>
      <c r="GFC140"/>
      <c r="GFD140"/>
      <c r="GFE140"/>
      <c r="GFF140"/>
      <c r="GFG140"/>
      <c r="GFH140"/>
      <c r="GFI140"/>
      <c r="GFJ140"/>
      <c r="GFK140"/>
      <c r="GFL140"/>
      <c r="GFM140"/>
      <c r="GFN140"/>
      <c r="GFO140"/>
      <c r="GFP140"/>
      <c r="GFQ140"/>
      <c r="GFR140"/>
      <c r="GFS140"/>
      <c r="GFT140"/>
      <c r="GFU140"/>
      <c r="GFV140"/>
      <c r="GFW140"/>
      <c r="GFX140"/>
      <c r="GFY140"/>
      <c r="GFZ140"/>
      <c r="GGA140"/>
      <c r="GGB140"/>
      <c r="GGC140"/>
      <c r="GGD140"/>
      <c r="GGE140"/>
      <c r="GGF140"/>
      <c r="GGG140"/>
      <c r="GGH140"/>
      <c r="GGI140"/>
      <c r="GGJ140"/>
      <c r="GGK140"/>
      <c r="GGL140"/>
      <c r="GGM140"/>
      <c r="GGN140"/>
      <c r="GGO140"/>
      <c r="GGP140"/>
      <c r="GGQ140"/>
      <c r="GGR140"/>
      <c r="GGS140"/>
      <c r="GGT140"/>
      <c r="GGU140"/>
      <c r="GGV140"/>
      <c r="GGW140"/>
      <c r="GGX140"/>
      <c r="GGY140"/>
      <c r="GGZ140"/>
      <c r="GHA140"/>
      <c r="GHB140"/>
      <c r="GHC140"/>
      <c r="GHD140"/>
      <c r="GHE140"/>
      <c r="GHF140"/>
      <c r="GHG140"/>
      <c r="GHH140"/>
      <c r="GHI140"/>
      <c r="GHJ140"/>
      <c r="GHK140"/>
      <c r="GHL140"/>
      <c r="GHM140"/>
      <c r="GHN140"/>
      <c r="GHO140"/>
      <c r="GHP140"/>
      <c r="GHQ140"/>
      <c r="GHR140"/>
      <c r="GHS140"/>
      <c r="GHT140"/>
      <c r="GHU140"/>
      <c r="GHV140"/>
      <c r="GHW140"/>
      <c r="GHX140"/>
      <c r="GHY140"/>
      <c r="GHZ140"/>
      <c r="GIA140"/>
      <c r="GIB140"/>
      <c r="GIC140"/>
      <c r="GID140"/>
      <c r="GIE140"/>
      <c r="GIF140"/>
      <c r="GIG140"/>
      <c r="GIH140"/>
      <c r="GII140"/>
      <c r="GIJ140"/>
      <c r="GIK140"/>
      <c r="GIL140"/>
      <c r="GIM140"/>
      <c r="GIN140"/>
      <c r="GIO140"/>
      <c r="GIP140"/>
      <c r="GIQ140"/>
      <c r="GIR140"/>
      <c r="GIS140"/>
      <c r="GIT140"/>
      <c r="GIU140"/>
      <c r="GIV140"/>
      <c r="GIW140"/>
      <c r="GIX140"/>
      <c r="GIY140"/>
      <c r="GIZ140"/>
      <c r="GJA140"/>
      <c r="GJB140"/>
      <c r="GJC140"/>
      <c r="GJD140"/>
      <c r="GJE140"/>
      <c r="GJF140"/>
      <c r="GJG140"/>
      <c r="GJH140"/>
      <c r="GJI140"/>
      <c r="GJJ140"/>
      <c r="GJK140"/>
      <c r="GJL140"/>
      <c r="GJM140"/>
      <c r="GJN140"/>
      <c r="GJO140"/>
      <c r="GJP140"/>
      <c r="GJQ140"/>
      <c r="GJR140"/>
      <c r="GJS140"/>
      <c r="GJT140"/>
      <c r="GJU140"/>
      <c r="GJV140"/>
      <c r="GJW140"/>
      <c r="GJX140"/>
      <c r="GJY140"/>
      <c r="GJZ140"/>
      <c r="GKA140"/>
      <c r="GKB140"/>
      <c r="GKC140"/>
      <c r="GKD140"/>
      <c r="GKE140"/>
      <c r="GKF140"/>
      <c r="GKG140"/>
      <c r="GKH140"/>
      <c r="GKI140"/>
      <c r="GKJ140"/>
      <c r="GKK140"/>
      <c r="GKL140"/>
      <c r="GKM140"/>
      <c r="GKN140"/>
      <c r="GKO140"/>
      <c r="GKP140"/>
      <c r="GKQ140"/>
      <c r="GKR140"/>
      <c r="GKS140"/>
      <c r="GKT140"/>
      <c r="GKU140"/>
      <c r="GKV140"/>
      <c r="GKW140"/>
      <c r="GKX140"/>
      <c r="GKY140"/>
      <c r="GKZ140"/>
      <c r="GLA140"/>
      <c r="GLB140"/>
      <c r="GLC140"/>
      <c r="GLD140"/>
      <c r="GLE140"/>
      <c r="GLF140"/>
      <c r="GLG140"/>
      <c r="GLH140"/>
      <c r="GLI140"/>
      <c r="GLJ140"/>
      <c r="GLK140"/>
      <c r="GLL140"/>
      <c r="GLM140"/>
      <c r="GLN140"/>
      <c r="GLO140"/>
      <c r="GLP140"/>
      <c r="GLQ140"/>
      <c r="GLR140"/>
      <c r="GLS140"/>
      <c r="GLT140"/>
      <c r="GLU140"/>
      <c r="GLV140"/>
      <c r="GLW140"/>
      <c r="GLX140"/>
      <c r="GLY140"/>
      <c r="GLZ140"/>
      <c r="GMA140"/>
      <c r="GMB140"/>
      <c r="GMC140"/>
      <c r="GMD140"/>
      <c r="GME140"/>
      <c r="GMF140"/>
      <c r="GMG140"/>
      <c r="GMH140"/>
      <c r="GMI140"/>
      <c r="GMJ140"/>
      <c r="GMK140"/>
      <c r="GML140"/>
      <c r="GMM140"/>
      <c r="GMN140"/>
      <c r="GMO140"/>
      <c r="GMP140"/>
      <c r="GMQ140"/>
      <c r="GMR140"/>
      <c r="GMS140"/>
      <c r="GMT140"/>
      <c r="GMU140"/>
      <c r="GMV140"/>
      <c r="GMW140"/>
      <c r="GMX140"/>
      <c r="GMY140"/>
      <c r="GMZ140"/>
      <c r="GNA140"/>
      <c r="GNB140"/>
      <c r="GNC140"/>
      <c r="GND140"/>
      <c r="GNE140"/>
      <c r="GNF140"/>
      <c r="GNG140"/>
      <c r="GNH140"/>
      <c r="GNI140"/>
      <c r="GNJ140"/>
      <c r="GNK140"/>
      <c r="GNL140"/>
      <c r="GNM140"/>
      <c r="GNN140"/>
      <c r="GNO140"/>
      <c r="GNP140"/>
      <c r="GNQ140"/>
      <c r="GNR140"/>
      <c r="GNS140"/>
      <c r="GNT140"/>
      <c r="GNU140"/>
      <c r="GNV140"/>
      <c r="GNW140"/>
      <c r="GNX140"/>
      <c r="GNY140"/>
      <c r="GNZ140"/>
      <c r="GOA140"/>
      <c r="GOB140"/>
      <c r="GOC140"/>
      <c r="GOD140"/>
      <c r="GOE140"/>
      <c r="GOF140"/>
      <c r="GOG140"/>
      <c r="GOH140"/>
      <c r="GOI140"/>
      <c r="GOJ140"/>
      <c r="GOK140"/>
      <c r="GOL140"/>
      <c r="GOM140"/>
      <c r="GON140"/>
      <c r="GOO140"/>
      <c r="GOP140"/>
      <c r="GOQ140"/>
      <c r="GOR140"/>
      <c r="GOS140"/>
      <c r="GOT140"/>
      <c r="GOU140"/>
      <c r="GOV140"/>
      <c r="GOW140"/>
      <c r="GOX140"/>
      <c r="GOY140"/>
      <c r="GOZ140"/>
      <c r="GPA140"/>
      <c r="GPB140"/>
      <c r="GPC140"/>
      <c r="GPD140"/>
      <c r="GPE140"/>
      <c r="GPF140"/>
      <c r="GPG140"/>
      <c r="GPH140"/>
      <c r="GPI140"/>
      <c r="GPJ140"/>
      <c r="GPK140"/>
      <c r="GPL140"/>
      <c r="GPM140"/>
      <c r="GPN140"/>
      <c r="GPO140"/>
      <c r="GPP140"/>
      <c r="GPQ140"/>
      <c r="GPR140"/>
      <c r="GPS140"/>
      <c r="GPT140"/>
      <c r="GPU140"/>
      <c r="GPV140"/>
      <c r="GPW140"/>
      <c r="GPX140"/>
      <c r="GPY140"/>
      <c r="GPZ140"/>
      <c r="GQA140"/>
      <c r="GQB140"/>
      <c r="GQC140"/>
      <c r="GQD140"/>
      <c r="GQE140"/>
      <c r="GQF140"/>
      <c r="GQG140"/>
      <c r="GQH140"/>
      <c r="GQI140"/>
      <c r="GQJ140"/>
      <c r="GQK140"/>
      <c r="GQL140"/>
      <c r="GQM140"/>
      <c r="GQN140"/>
      <c r="GQO140"/>
      <c r="GQP140"/>
      <c r="GQQ140"/>
      <c r="GQR140"/>
      <c r="GQS140"/>
      <c r="GQT140"/>
      <c r="GQU140"/>
      <c r="GQV140"/>
      <c r="GQW140"/>
      <c r="GQX140"/>
      <c r="GQY140"/>
      <c r="GQZ140"/>
      <c r="GRA140"/>
      <c r="GRB140"/>
      <c r="GRC140"/>
      <c r="GRD140"/>
      <c r="GRE140"/>
      <c r="GRF140"/>
      <c r="GRG140"/>
      <c r="GRH140"/>
      <c r="GRI140"/>
      <c r="GRJ140"/>
      <c r="GRK140"/>
      <c r="GRL140"/>
      <c r="GRM140"/>
      <c r="GRN140"/>
      <c r="GRO140"/>
      <c r="GRP140"/>
      <c r="GRQ140"/>
      <c r="GRR140"/>
      <c r="GRS140"/>
      <c r="GRT140"/>
      <c r="GRU140"/>
      <c r="GRV140"/>
      <c r="GRW140"/>
      <c r="GRX140"/>
      <c r="GRY140"/>
      <c r="GRZ140"/>
      <c r="GSA140"/>
      <c r="GSB140"/>
      <c r="GSC140"/>
      <c r="GSD140"/>
      <c r="GSE140"/>
      <c r="GSF140"/>
      <c r="GSG140"/>
      <c r="GSH140"/>
      <c r="GSI140"/>
      <c r="GSJ140"/>
      <c r="GSK140"/>
      <c r="GSL140"/>
      <c r="GSM140"/>
      <c r="GSN140"/>
      <c r="GSO140"/>
      <c r="GSP140"/>
      <c r="GSQ140"/>
      <c r="GSR140"/>
      <c r="GSS140"/>
      <c r="GST140"/>
      <c r="GSU140"/>
      <c r="GSV140"/>
      <c r="GSW140"/>
      <c r="GSX140"/>
      <c r="GSY140"/>
      <c r="GSZ140"/>
      <c r="GTA140"/>
      <c r="GTB140"/>
      <c r="GTC140"/>
      <c r="GTD140"/>
      <c r="GTE140"/>
      <c r="GTF140"/>
      <c r="GTG140"/>
      <c r="GTH140"/>
      <c r="GTI140"/>
      <c r="GTJ140"/>
      <c r="GTK140"/>
      <c r="GTL140"/>
      <c r="GTM140"/>
      <c r="GTN140"/>
      <c r="GTO140"/>
      <c r="GTP140"/>
      <c r="GTQ140"/>
      <c r="GTR140"/>
      <c r="GTS140"/>
      <c r="GTT140"/>
      <c r="GTU140"/>
      <c r="GTV140"/>
      <c r="GTW140"/>
      <c r="GTX140"/>
      <c r="GTY140"/>
      <c r="GTZ140"/>
      <c r="GUA140"/>
      <c r="GUB140"/>
      <c r="GUC140"/>
      <c r="GUD140"/>
      <c r="GUE140"/>
      <c r="GUF140"/>
      <c r="GUG140"/>
      <c r="GUH140"/>
      <c r="GUI140"/>
      <c r="GUJ140"/>
      <c r="GUK140"/>
      <c r="GUL140"/>
      <c r="GUM140"/>
      <c r="GUN140"/>
      <c r="GUO140"/>
      <c r="GUP140"/>
      <c r="GUQ140"/>
      <c r="GUR140"/>
      <c r="GUS140"/>
      <c r="GUT140"/>
      <c r="GUU140"/>
      <c r="GUV140"/>
      <c r="GUW140"/>
      <c r="GUX140"/>
      <c r="GUY140"/>
      <c r="GUZ140"/>
      <c r="GVA140"/>
      <c r="GVB140"/>
      <c r="GVC140"/>
      <c r="GVD140"/>
      <c r="GVE140"/>
      <c r="GVF140"/>
      <c r="GVG140"/>
      <c r="GVH140"/>
      <c r="GVI140"/>
      <c r="GVJ140"/>
      <c r="GVK140"/>
      <c r="GVL140"/>
      <c r="GVM140"/>
      <c r="GVN140"/>
      <c r="GVO140"/>
      <c r="GVP140"/>
      <c r="GVQ140"/>
      <c r="GVR140"/>
      <c r="GVS140"/>
      <c r="GVT140"/>
      <c r="GVU140"/>
      <c r="GVV140"/>
      <c r="GVW140"/>
      <c r="GVX140"/>
      <c r="GVY140"/>
      <c r="GVZ140"/>
      <c r="GWA140"/>
      <c r="GWB140"/>
      <c r="GWC140"/>
      <c r="GWD140"/>
      <c r="GWE140"/>
      <c r="GWF140"/>
      <c r="GWG140"/>
      <c r="GWH140"/>
      <c r="GWI140"/>
      <c r="GWJ140"/>
      <c r="GWK140"/>
      <c r="GWL140"/>
      <c r="GWM140"/>
      <c r="GWN140"/>
      <c r="GWO140"/>
      <c r="GWP140"/>
      <c r="GWQ140"/>
      <c r="GWR140"/>
      <c r="GWS140"/>
      <c r="GWT140"/>
      <c r="GWU140"/>
      <c r="GWV140"/>
      <c r="GWW140"/>
      <c r="GWX140"/>
      <c r="GWY140"/>
      <c r="GWZ140"/>
      <c r="GXA140"/>
      <c r="GXB140"/>
      <c r="GXC140"/>
      <c r="GXD140"/>
      <c r="GXE140"/>
      <c r="GXF140"/>
      <c r="GXG140"/>
      <c r="GXH140"/>
      <c r="GXI140"/>
      <c r="GXJ140"/>
      <c r="GXK140"/>
      <c r="GXL140"/>
      <c r="GXM140"/>
      <c r="GXN140"/>
      <c r="GXO140"/>
      <c r="GXP140"/>
      <c r="GXQ140"/>
      <c r="GXR140"/>
      <c r="GXS140"/>
      <c r="GXT140"/>
      <c r="GXU140"/>
      <c r="GXV140"/>
      <c r="GXW140"/>
      <c r="GXX140"/>
      <c r="GXY140"/>
      <c r="GXZ140"/>
      <c r="GYA140"/>
      <c r="GYB140"/>
      <c r="GYC140"/>
      <c r="GYD140"/>
      <c r="GYE140"/>
      <c r="GYF140"/>
      <c r="GYG140"/>
      <c r="GYH140"/>
      <c r="GYI140"/>
      <c r="GYJ140"/>
      <c r="GYK140"/>
      <c r="GYL140"/>
      <c r="GYM140"/>
      <c r="GYN140"/>
      <c r="GYO140"/>
      <c r="GYP140"/>
      <c r="GYQ140"/>
      <c r="GYR140"/>
      <c r="GYS140"/>
      <c r="GYT140"/>
      <c r="GYU140"/>
      <c r="GYV140"/>
      <c r="GYW140"/>
      <c r="GYX140"/>
      <c r="GYY140"/>
      <c r="GYZ140"/>
      <c r="GZA140"/>
      <c r="GZB140"/>
      <c r="GZC140"/>
      <c r="GZD140"/>
      <c r="GZE140"/>
      <c r="GZF140"/>
      <c r="GZG140"/>
      <c r="GZH140"/>
      <c r="GZI140"/>
      <c r="GZJ140"/>
      <c r="GZK140"/>
      <c r="GZL140"/>
      <c r="GZM140"/>
      <c r="GZN140"/>
      <c r="GZO140"/>
      <c r="GZP140"/>
      <c r="GZQ140"/>
      <c r="GZR140"/>
      <c r="GZS140"/>
      <c r="GZT140"/>
      <c r="GZU140"/>
      <c r="GZV140"/>
      <c r="GZW140"/>
      <c r="GZX140"/>
      <c r="GZY140"/>
      <c r="GZZ140"/>
      <c r="HAA140"/>
      <c r="HAB140"/>
      <c r="HAC140"/>
      <c r="HAD140"/>
      <c r="HAE140"/>
      <c r="HAF140"/>
      <c r="HAG140"/>
      <c r="HAH140"/>
      <c r="HAI140"/>
      <c r="HAJ140"/>
      <c r="HAK140"/>
      <c r="HAL140"/>
      <c r="HAM140"/>
      <c r="HAN140"/>
      <c r="HAO140"/>
      <c r="HAP140"/>
      <c r="HAQ140"/>
      <c r="HAR140"/>
      <c r="HAS140"/>
      <c r="HAT140"/>
      <c r="HAU140"/>
      <c r="HAV140"/>
      <c r="HAW140"/>
      <c r="HAX140"/>
      <c r="HAY140"/>
      <c r="HAZ140"/>
      <c r="HBA140"/>
      <c r="HBB140"/>
      <c r="HBC140"/>
      <c r="HBD140"/>
      <c r="HBE140"/>
      <c r="HBF140"/>
      <c r="HBG140"/>
      <c r="HBH140"/>
      <c r="HBI140"/>
      <c r="HBJ140"/>
      <c r="HBK140"/>
      <c r="HBL140"/>
      <c r="HBM140"/>
      <c r="HBN140"/>
      <c r="HBO140"/>
      <c r="HBP140"/>
      <c r="HBQ140"/>
      <c r="HBR140"/>
      <c r="HBS140"/>
      <c r="HBT140"/>
      <c r="HBU140"/>
      <c r="HBV140"/>
      <c r="HBW140"/>
      <c r="HBX140"/>
      <c r="HBY140"/>
      <c r="HBZ140"/>
      <c r="HCA140"/>
      <c r="HCB140"/>
      <c r="HCC140"/>
      <c r="HCD140"/>
      <c r="HCE140"/>
      <c r="HCF140"/>
      <c r="HCG140"/>
      <c r="HCH140"/>
      <c r="HCI140"/>
      <c r="HCJ140"/>
      <c r="HCK140"/>
      <c r="HCL140"/>
      <c r="HCM140"/>
      <c r="HCN140"/>
      <c r="HCO140"/>
      <c r="HCP140"/>
      <c r="HCQ140"/>
      <c r="HCR140"/>
      <c r="HCS140"/>
      <c r="HCT140"/>
      <c r="HCU140"/>
      <c r="HCV140"/>
      <c r="HCW140"/>
      <c r="HCX140"/>
      <c r="HCY140"/>
      <c r="HCZ140"/>
      <c r="HDA140"/>
      <c r="HDB140"/>
      <c r="HDC140"/>
      <c r="HDD140"/>
      <c r="HDE140"/>
      <c r="HDF140"/>
      <c r="HDG140"/>
      <c r="HDH140"/>
      <c r="HDI140"/>
      <c r="HDJ140"/>
      <c r="HDK140"/>
      <c r="HDL140"/>
      <c r="HDM140"/>
      <c r="HDN140"/>
      <c r="HDO140"/>
      <c r="HDP140"/>
      <c r="HDQ140"/>
      <c r="HDR140"/>
      <c r="HDS140"/>
      <c r="HDT140"/>
      <c r="HDU140"/>
      <c r="HDV140"/>
      <c r="HDW140"/>
      <c r="HDX140"/>
      <c r="HDY140"/>
      <c r="HDZ140"/>
      <c r="HEA140"/>
      <c r="HEB140"/>
      <c r="HEC140"/>
      <c r="HED140"/>
      <c r="HEE140"/>
      <c r="HEF140"/>
      <c r="HEG140"/>
      <c r="HEH140"/>
      <c r="HEI140"/>
      <c r="HEJ140"/>
      <c r="HEK140"/>
      <c r="HEL140"/>
      <c r="HEM140"/>
      <c r="HEN140"/>
      <c r="HEO140"/>
      <c r="HEP140"/>
      <c r="HEQ140"/>
      <c r="HER140"/>
      <c r="HES140"/>
      <c r="HET140"/>
      <c r="HEU140"/>
      <c r="HEV140"/>
      <c r="HEW140"/>
      <c r="HEX140"/>
      <c r="HEY140"/>
      <c r="HEZ140"/>
      <c r="HFA140"/>
      <c r="HFB140"/>
      <c r="HFC140"/>
      <c r="HFD140"/>
      <c r="HFE140"/>
      <c r="HFF140"/>
      <c r="HFG140"/>
      <c r="HFH140"/>
      <c r="HFI140"/>
      <c r="HFJ140"/>
      <c r="HFK140"/>
      <c r="HFL140"/>
      <c r="HFM140"/>
      <c r="HFN140"/>
      <c r="HFO140"/>
      <c r="HFP140"/>
      <c r="HFQ140"/>
      <c r="HFR140"/>
      <c r="HFS140"/>
      <c r="HFT140"/>
      <c r="HFU140"/>
      <c r="HFV140"/>
      <c r="HFW140"/>
      <c r="HFX140"/>
      <c r="HFY140"/>
      <c r="HFZ140"/>
      <c r="HGA140"/>
      <c r="HGB140"/>
      <c r="HGC140"/>
      <c r="HGD140"/>
      <c r="HGE140"/>
      <c r="HGF140"/>
      <c r="HGG140"/>
      <c r="HGH140"/>
      <c r="HGI140"/>
      <c r="HGJ140"/>
      <c r="HGK140"/>
      <c r="HGL140"/>
      <c r="HGM140"/>
      <c r="HGN140"/>
      <c r="HGO140"/>
      <c r="HGP140"/>
      <c r="HGQ140"/>
      <c r="HGR140"/>
      <c r="HGS140"/>
      <c r="HGT140"/>
      <c r="HGU140"/>
      <c r="HGV140"/>
      <c r="HGW140"/>
      <c r="HGX140"/>
      <c r="HGY140"/>
      <c r="HGZ140"/>
      <c r="HHA140"/>
      <c r="HHB140"/>
      <c r="HHC140"/>
      <c r="HHD140"/>
      <c r="HHE140"/>
      <c r="HHF140"/>
      <c r="HHG140"/>
      <c r="HHH140"/>
      <c r="HHI140"/>
      <c r="HHJ140"/>
      <c r="HHK140"/>
      <c r="HHL140"/>
      <c r="HHM140"/>
      <c r="HHN140"/>
      <c r="HHO140"/>
      <c r="HHP140"/>
      <c r="HHQ140"/>
      <c r="HHR140"/>
      <c r="HHS140"/>
      <c r="HHT140"/>
      <c r="HHU140"/>
      <c r="HHV140"/>
      <c r="HHW140"/>
      <c r="HHX140"/>
      <c r="HHY140"/>
      <c r="HHZ140"/>
      <c r="HIA140"/>
      <c r="HIB140"/>
      <c r="HIC140"/>
      <c r="HID140"/>
      <c r="HIE140"/>
      <c r="HIF140"/>
      <c r="HIG140"/>
      <c r="HIH140"/>
      <c r="HII140"/>
      <c r="HIJ140"/>
      <c r="HIK140"/>
      <c r="HIL140"/>
      <c r="HIM140"/>
      <c r="HIN140"/>
      <c r="HIO140"/>
      <c r="HIP140"/>
      <c r="HIQ140"/>
      <c r="HIR140"/>
      <c r="HIS140"/>
      <c r="HIT140"/>
      <c r="HIU140"/>
      <c r="HIV140"/>
      <c r="HIW140"/>
      <c r="HIX140"/>
      <c r="HIY140"/>
      <c r="HIZ140"/>
      <c r="HJA140"/>
      <c r="HJB140"/>
      <c r="HJC140"/>
      <c r="HJD140"/>
      <c r="HJE140"/>
      <c r="HJF140"/>
      <c r="HJG140"/>
      <c r="HJH140"/>
      <c r="HJI140"/>
      <c r="HJJ140"/>
      <c r="HJK140"/>
      <c r="HJL140"/>
      <c r="HJM140"/>
      <c r="HJN140"/>
      <c r="HJO140"/>
      <c r="HJP140"/>
      <c r="HJQ140"/>
      <c r="HJR140"/>
      <c r="HJS140"/>
      <c r="HJT140"/>
      <c r="HJU140"/>
      <c r="HJV140"/>
      <c r="HJW140"/>
      <c r="HJX140"/>
      <c r="HJY140"/>
      <c r="HJZ140"/>
      <c r="HKA140"/>
      <c r="HKB140"/>
      <c r="HKC140"/>
      <c r="HKD140"/>
      <c r="HKE140"/>
      <c r="HKF140"/>
      <c r="HKG140"/>
      <c r="HKH140"/>
      <c r="HKI140"/>
      <c r="HKJ140"/>
      <c r="HKK140"/>
      <c r="HKL140"/>
      <c r="HKM140"/>
      <c r="HKN140"/>
      <c r="HKO140"/>
      <c r="HKP140"/>
      <c r="HKQ140"/>
      <c r="HKR140"/>
      <c r="HKS140"/>
      <c r="HKT140"/>
      <c r="HKU140"/>
      <c r="HKV140"/>
      <c r="HKW140"/>
      <c r="HKX140"/>
      <c r="HKY140"/>
      <c r="HKZ140"/>
      <c r="HLA140"/>
      <c r="HLB140"/>
      <c r="HLC140"/>
      <c r="HLD140"/>
      <c r="HLE140"/>
      <c r="HLF140"/>
      <c r="HLG140"/>
      <c r="HLH140"/>
      <c r="HLI140"/>
      <c r="HLJ140"/>
      <c r="HLK140"/>
      <c r="HLL140"/>
      <c r="HLM140"/>
      <c r="HLN140"/>
      <c r="HLO140"/>
      <c r="HLP140"/>
      <c r="HLQ140"/>
      <c r="HLR140"/>
      <c r="HLS140"/>
      <c r="HLT140"/>
      <c r="HLU140"/>
      <c r="HLV140"/>
      <c r="HLW140"/>
      <c r="HLX140"/>
      <c r="HLY140"/>
      <c r="HLZ140"/>
      <c r="HMA140"/>
      <c r="HMB140"/>
      <c r="HMC140"/>
      <c r="HMD140"/>
      <c r="HME140"/>
      <c r="HMF140"/>
      <c r="HMG140"/>
      <c r="HMH140"/>
      <c r="HMI140"/>
      <c r="HMJ140"/>
      <c r="HMK140"/>
      <c r="HML140"/>
      <c r="HMM140"/>
      <c r="HMN140"/>
      <c r="HMO140"/>
      <c r="HMP140"/>
      <c r="HMQ140"/>
      <c r="HMR140"/>
      <c r="HMS140"/>
      <c r="HMT140"/>
      <c r="HMU140"/>
      <c r="HMV140"/>
      <c r="HMW140"/>
      <c r="HMX140"/>
      <c r="HMY140"/>
      <c r="HMZ140"/>
      <c r="HNA140"/>
      <c r="HNB140"/>
      <c r="HNC140"/>
      <c r="HND140"/>
      <c r="HNE140"/>
      <c r="HNF140"/>
      <c r="HNG140"/>
      <c r="HNH140"/>
      <c r="HNI140"/>
      <c r="HNJ140"/>
      <c r="HNK140"/>
      <c r="HNL140"/>
      <c r="HNM140"/>
      <c r="HNN140"/>
      <c r="HNO140"/>
      <c r="HNP140"/>
      <c r="HNQ140"/>
      <c r="HNR140"/>
      <c r="HNS140"/>
      <c r="HNT140"/>
      <c r="HNU140"/>
      <c r="HNV140"/>
      <c r="HNW140"/>
      <c r="HNX140"/>
      <c r="HNY140"/>
      <c r="HNZ140"/>
      <c r="HOA140"/>
      <c r="HOB140"/>
      <c r="HOC140"/>
      <c r="HOD140"/>
      <c r="HOE140"/>
      <c r="HOF140"/>
      <c r="HOG140"/>
      <c r="HOH140"/>
      <c r="HOI140"/>
      <c r="HOJ140"/>
      <c r="HOK140"/>
      <c r="HOL140"/>
      <c r="HOM140"/>
      <c r="HON140"/>
      <c r="HOO140"/>
      <c r="HOP140"/>
      <c r="HOQ140"/>
      <c r="HOR140"/>
      <c r="HOS140"/>
      <c r="HOT140"/>
      <c r="HOU140"/>
      <c r="HOV140"/>
      <c r="HOW140"/>
      <c r="HOX140"/>
      <c r="HOY140"/>
      <c r="HOZ140"/>
      <c r="HPA140"/>
      <c r="HPB140"/>
      <c r="HPC140"/>
      <c r="HPD140"/>
      <c r="HPE140"/>
      <c r="HPF140"/>
      <c r="HPG140"/>
      <c r="HPH140"/>
      <c r="HPI140"/>
      <c r="HPJ140"/>
      <c r="HPK140"/>
      <c r="HPL140"/>
      <c r="HPM140"/>
      <c r="HPN140"/>
      <c r="HPO140"/>
      <c r="HPP140"/>
      <c r="HPQ140"/>
      <c r="HPR140"/>
      <c r="HPS140"/>
      <c r="HPT140"/>
      <c r="HPU140"/>
      <c r="HPV140"/>
      <c r="HPW140"/>
      <c r="HPX140"/>
      <c r="HPY140"/>
      <c r="HPZ140"/>
      <c r="HQA140"/>
      <c r="HQB140"/>
      <c r="HQC140"/>
      <c r="HQD140"/>
      <c r="HQE140"/>
      <c r="HQF140"/>
      <c r="HQG140"/>
      <c r="HQH140"/>
      <c r="HQI140"/>
      <c r="HQJ140"/>
      <c r="HQK140"/>
      <c r="HQL140"/>
      <c r="HQM140"/>
      <c r="HQN140"/>
      <c r="HQO140"/>
      <c r="HQP140"/>
      <c r="HQQ140"/>
      <c r="HQR140"/>
      <c r="HQS140"/>
      <c r="HQT140"/>
      <c r="HQU140"/>
      <c r="HQV140"/>
      <c r="HQW140"/>
      <c r="HQX140"/>
      <c r="HQY140"/>
      <c r="HQZ140"/>
      <c r="HRA140"/>
      <c r="HRB140"/>
      <c r="HRC140"/>
      <c r="HRD140"/>
      <c r="HRE140"/>
      <c r="HRF140"/>
      <c r="HRG140"/>
      <c r="HRH140"/>
      <c r="HRI140"/>
      <c r="HRJ140"/>
      <c r="HRK140"/>
      <c r="HRL140"/>
      <c r="HRM140"/>
      <c r="HRN140"/>
      <c r="HRO140"/>
      <c r="HRP140"/>
      <c r="HRQ140"/>
      <c r="HRR140"/>
      <c r="HRS140"/>
      <c r="HRT140"/>
      <c r="HRU140"/>
      <c r="HRV140"/>
      <c r="HRW140"/>
      <c r="HRX140"/>
      <c r="HRY140"/>
      <c r="HRZ140"/>
      <c r="HSA140"/>
      <c r="HSB140"/>
      <c r="HSC140"/>
      <c r="HSD140"/>
      <c r="HSE140"/>
      <c r="HSF140"/>
      <c r="HSG140"/>
      <c r="HSH140"/>
      <c r="HSI140"/>
      <c r="HSJ140"/>
      <c r="HSK140"/>
      <c r="HSL140"/>
      <c r="HSM140"/>
      <c r="HSN140"/>
      <c r="HSO140"/>
      <c r="HSP140"/>
      <c r="HSQ140"/>
      <c r="HSR140"/>
      <c r="HSS140"/>
      <c r="HST140"/>
      <c r="HSU140"/>
      <c r="HSV140"/>
      <c r="HSW140"/>
      <c r="HSX140"/>
      <c r="HSY140"/>
      <c r="HSZ140"/>
      <c r="HTA140"/>
      <c r="HTB140"/>
      <c r="HTC140"/>
      <c r="HTD140"/>
      <c r="HTE140"/>
      <c r="HTF140"/>
      <c r="HTG140"/>
      <c r="HTH140"/>
      <c r="HTI140"/>
      <c r="HTJ140"/>
      <c r="HTK140"/>
      <c r="HTL140"/>
      <c r="HTM140"/>
      <c r="HTN140"/>
      <c r="HTO140"/>
      <c r="HTP140"/>
      <c r="HTQ140"/>
      <c r="HTR140"/>
      <c r="HTS140"/>
      <c r="HTT140"/>
      <c r="HTU140"/>
      <c r="HTV140"/>
      <c r="HTW140"/>
      <c r="HTX140"/>
      <c r="HTY140"/>
      <c r="HTZ140"/>
      <c r="HUA140"/>
      <c r="HUB140"/>
      <c r="HUC140"/>
      <c r="HUD140"/>
      <c r="HUE140"/>
      <c r="HUF140"/>
      <c r="HUG140"/>
      <c r="HUH140"/>
      <c r="HUI140"/>
      <c r="HUJ140"/>
      <c r="HUK140"/>
      <c r="HUL140"/>
      <c r="HUM140"/>
      <c r="HUN140"/>
      <c r="HUO140"/>
      <c r="HUP140"/>
      <c r="HUQ140"/>
      <c r="HUR140"/>
      <c r="HUS140"/>
      <c r="HUT140"/>
      <c r="HUU140"/>
      <c r="HUV140"/>
      <c r="HUW140"/>
      <c r="HUX140"/>
      <c r="HUY140"/>
      <c r="HUZ140"/>
      <c r="HVA140"/>
      <c r="HVB140"/>
      <c r="HVC140"/>
      <c r="HVD140"/>
      <c r="HVE140"/>
      <c r="HVF140"/>
      <c r="HVG140"/>
      <c r="HVH140"/>
      <c r="HVI140"/>
      <c r="HVJ140"/>
      <c r="HVK140"/>
      <c r="HVL140"/>
      <c r="HVM140"/>
      <c r="HVN140"/>
      <c r="HVO140"/>
      <c r="HVP140"/>
      <c r="HVQ140"/>
      <c r="HVR140"/>
      <c r="HVS140"/>
      <c r="HVT140"/>
      <c r="HVU140"/>
      <c r="HVV140"/>
      <c r="HVW140"/>
      <c r="HVX140"/>
      <c r="HVY140"/>
      <c r="HVZ140"/>
      <c r="HWA140"/>
      <c r="HWB140"/>
      <c r="HWC140"/>
      <c r="HWD140"/>
      <c r="HWE140"/>
      <c r="HWF140"/>
      <c r="HWG140"/>
      <c r="HWH140"/>
      <c r="HWI140"/>
      <c r="HWJ140"/>
      <c r="HWK140"/>
      <c r="HWL140"/>
      <c r="HWM140"/>
      <c r="HWN140"/>
      <c r="HWO140"/>
      <c r="HWP140"/>
      <c r="HWQ140"/>
      <c r="HWR140"/>
      <c r="HWS140"/>
      <c r="HWT140"/>
      <c r="HWU140"/>
      <c r="HWV140"/>
      <c r="HWW140"/>
      <c r="HWX140"/>
      <c r="HWY140"/>
      <c r="HWZ140"/>
      <c r="HXA140"/>
      <c r="HXB140"/>
      <c r="HXC140"/>
      <c r="HXD140"/>
      <c r="HXE140"/>
      <c r="HXF140"/>
      <c r="HXG140"/>
      <c r="HXH140"/>
      <c r="HXI140"/>
      <c r="HXJ140"/>
      <c r="HXK140"/>
      <c r="HXL140"/>
      <c r="HXM140"/>
      <c r="HXN140"/>
      <c r="HXO140"/>
      <c r="HXP140"/>
      <c r="HXQ140"/>
      <c r="HXR140"/>
      <c r="HXS140"/>
      <c r="HXT140"/>
      <c r="HXU140"/>
      <c r="HXV140"/>
      <c r="HXW140"/>
      <c r="HXX140"/>
      <c r="HXY140"/>
      <c r="HXZ140"/>
      <c r="HYA140"/>
      <c r="HYB140"/>
      <c r="HYC140"/>
      <c r="HYD140"/>
      <c r="HYE140"/>
      <c r="HYF140"/>
      <c r="HYG140"/>
      <c r="HYH140"/>
      <c r="HYI140"/>
      <c r="HYJ140"/>
      <c r="HYK140"/>
      <c r="HYL140"/>
      <c r="HYM140"/>
      <c r="HYN140"/>
      <c r="HYO140"/>
      <c r="HYP140"/>
      <c r="HYQ140"/>
      <c r="HYR140"/>
      <c r="HYS140"/>
      <c r="HYT140"/>
      <c r="HYU140"/>
      <c r="HYV140"/>
      <c r="HYW140"/>
      <c r="HYX140"/>
      <c r="HYY140"/>
      <c r="HYZ140"/>
      <c r="HZA140"/>
      <c r="HZB140"/>
      <c r="HZC140"/>
      <c r="HZD140"/>
      <c r="HZE140"/>
      <c r="HZF140"/>
      <c r="HZG140"/>
      <c r="HZH140"/>
      <c r="HZI140"/>
      <c r="HZJ140"/>
      <c r="HZK140"/>
      <c r="HZL140"/>
      <c r="HZM140"/>
      <c r="HZN140"/>
      <c r="HZO140"/>
      <c r="HZP140"/>
      <c r="HZQ140"/>
      <c r="HZR140"/>
      <c r="HZS140"/>
      <c r="HZT140"/>
      <c r="HZU140"/>
      <c r="HZV140"/>
      <c r="HZW140"/>
      <c r="HZX140"/>
      <c r="HZY140"/>
      <c r="HZZ140"/>
      <c r="IAA140"/>
      <c r="IAB140"/>
      <c r="IAC140"/>
      <c r="IAD140"/>
      <c r="IAE140"/>
      <c r="IAF140"/>
      <c r="IAG140"/>
      <c r="IAH140"/>
      <c r="IAI140"/>
      <c r="IAJ140"/>
      <c r="IAK140"/>
      <c r="IAL140"/>
      <c r="IAM140"/>
      <c r="IAN140"/>
      <c r="IAO140"/>
      <c r="IAP140"/>
      <c r="IAQ140"/>
      <c r="IAR140"/>
      <c r="IAS140"/>
      <c r="IAT140"/>
      <c r="IAU140"/>
      <c r="IAV140"/>
      <c r="IAW140"/>
      <c r="IAX140"/>
      <c r="IAY140"/>
      <c r="IAZ140"/>
      <c r="IBA140"/>
      <c r="IBB140"/>
      <c r="IBC140"/>
      <c r="IBD140"/>
      <c r="IBE140"/>
      <c r="IBF140"/>
      <c r="IBG140"/>
      <c r="IBH140"/>
      <c r="IBI140"/>
      <c r="IBJ140"/>
      <c r="IBK140"/>
      <c r="IBL140"/>
      <c r="IBM140"/>
      <c r="IBN140"/>
      <c r="IBO140"/>
      <c r="IBP140"/>
      <c r="IBQ140"/>
      <c r="IBR140"/>
      <c r="IBS140"/>
      <c r="IBT140"/>
      <c r="IBU140"/>
      <c r="IBV140"/>
      <c r="IBW140"/>
      <c r="IBX140"/>
      <c r="IBY140"/>
      <c r="IBZ140"/>
      <c r="ICA140"/>
      <c r="ICB140"/>
      <c r="ICC140"/>
      <c r="ICD140"/>
      <c r="ICE140"/>
      <c r="ICF140"/>
      <c r="ICG140"/>
      <c r="ICH140"/>
      <c r="ICI140"/>
      <c r="ICJ140"/>
      <c r="ICK140"/>
      <c r="ICL140"/>
      <c r="ICM140"/>
      <c r="ICN140"/>
      <c r="ICO140"/>
      <c r="ICP140"/>
      <c r="ICQ140"/>
      <c r="ICR140"/>
      <c r="ICS140"/>
      <c r="ICT140"/>
      <c r="ICU140"/>
      <c r="ICV140"/>
      <c r="ICW140"/>
      <c r="ICX140"/>
      <c r="ICY140"/>
      <c r="ICZ140"/>
      <c r="IDA140"/>
      <c r="IDB140"/>
      <c r="IDC140"/>
      <c r="IDD140"/>
      <c r="IDE140"/>
      <c r="IDF140"/>
      <c r="IDG140"/>
      <c r="IDH140"/>
      <c r="IDI140"/>
      <c r="IDJ140"/>
      <c r="IDK140"/>
      <c r="IDL140"/>
      <c r="IDM140"/>
      <c r="IDN140"/>
      <c r="IDO140"/>
      <c r="IDP140"/>
      <c r="IDQ140"/>
      <c r="IDR140"/>
      <c r="IDS140"/>
      <c r="IDT140"/>
      <c r="IDU140"/>
      <c r="IDV140"/>
      <c r="IDW140"/>
      <c r="IDX140"/>
      <c r="IDY140"/>
      <c r="IDZ140"/>
      <c r="IEA140"/>
      <c r="IEB140"/>
      <c r="IEC140"/>
      <c r="IED140"/>
      <c r="IEE140"/>
      <c r="IEF140"/>
      <c r="IEG140"/>
      <c r="IEH140"/>
      <c r="IEI140"/>
      <c r="IEJ140"/>
      <c r="IEK140"/>
      <c r="IEL140"/>
      <c r="IEM140"/>
      <c r="IEN140"/>
      <c r="IEO140"/>
      <c r="IEP140"/>
      <c r="IEQ140"/>
      <c r="IER140"/>
      <c r="IES140"/>
      <c r="IET140"/>
      <c r="IEU140"/>
      <c r="IEV140"/>
      <c r="IEW140"/>
      <c r="IEX140"/>
      <c r="IEY140"/>
      <c r="IEZ140"/>
      <c r="IFA140"/>
      <c r="IFB140"/>
      <c r="IFC140"/>
      <c r="IFD140"/>
      <c r="IFE140"/>
      <c r="IFF140"/>
      <c r="IFG140"/>
      <c r="IFH140"/>
      <c r="IFI140"/>
      <c r="IFJ140"/>
      <c r="IFK140"/>
      <c r="IFL140"/>
      <c r="IFM140"/>
      <c r="IFN140"/>
      <c r="IFO140"/>
      <c r="IFP140"/>
      <c r="IFQ140"/>
      <c r="IFR140"/>
      <c r="IFS140"/>
      <c r="IFT140"/>
      <c r="IFU140"/>
      <c r="IFV140"/>
      <c r="IFW140"/>
      <c r="IFX140"/>
      <c r="IFY140"/>
      <c r="IFZ140"/>
      <c r="IGA140"/>
      <c r="IGB140"/>
      <c r="IGC140"/>
      <c r="IGD140"/>
      <c r="IGE140"/>
      <c r="IGF140"/>
      <c r="IGG140"/>
      <c r="IGH140"/>
      <c r="IGI140"/>
      <c r="IGJ140"/>
      <c r="IGK140"/>
      <c r="IGL140"/>
      <c r="IGM140"/>
      <c r="IGN140"/>
      <c r="IGO140"/>
      <c r="IGP140"/>
      <c r="IGQ140"/>
      <c r="IGR140"/>
      <c r="IGS140"/>
      <c r="IGT140"/>
      <c r="IGU140"/>
      <c r="IGV140"/>
      <c r="IGW140"/>
      <c r="IGX140"/>
      <c r="IGY140"/>
      <c r="IGZ140"/>
      <c r="IHA140"/>
      <c r="IHB140"/>
      <c r="IHC140"/>
      <c r="IHD140"/>
      <c r="IHE140"/>
      <c r="IHF140"/>
      <c r="IHG140"/>
      <c r="IHH140"/>
      <c r="IHI140"/>
      <c r="IHJ140"/>
      <c r="IHK140"/>
      <c r="IHL140"/>
      <c r="IHM140"/>
      <c r="IHN140"/>
      <c r="IHO140"/>
      <c r="IHP140"/>
      <c r="IHQ140"/>
      <c r="IHR140"/>
      <c r="IHS140"/>
      <c r="IHT140"/>
      <c r="IHU140"/>
      <c r="IHV140"/>
      <c r="IHW140"/>
      <c r="IHX140"/>
      <c r="IHY140"/>
      <c r="IHZ140"/>
      <c r="IIA140"/>
      <c r="IIB140"/>
      <c r="IIC140"/>
      <c r="IID140"/>
      <c r="IIE140"/>
      <c r="IIF140"/>
      <c r="IIG140"/>
      <c r="IIH140"/>
      <c r="III140"/>
      <c r="IIJ140"/>
      <c r="IIK140"/>
      <c r="IIL140"/>
      <c r="IIM140"/>
      <c r="IIN140"/>
      <c r="IIO140"/>
      <c r="IIP140"/>
      <c r="IIQ140"/>
      <c r="IIR140"/>
      <c r="IIS140"/>
      <c r="IIT140"/>
      <c r="IIU140"/>
      <c r="IIV140"/>
      <c r="IIW140"/>
      <c r="IIX140"/>
      <c r="IIY140"/>
      <c r="IIZ140"/>
      <c r="IJA140"/>
      <c r="IJB140"/>
      <c r="IJC140"/>
      <c r="IJD140"/>
      <c r="IJE140"/>
      <c r="IJF140"/>
      <c r="IJG140"/>
      <c r="IJH140"/>
      <c r="IJI140"/>
      <c r="IJJ140"/>
      <c r="IJK140"/>
      <c r="IJL140"/>
      <c r="IJM140"/>
      <c r="IJN140"/>
      <c r="IJO140"/>
      <c r="IJP140"/>
      <c r="IJQ140"/>
      <c r="IJR140"/>
      <c r="IJS140"/>
      <c r="IJT140"/>
      <c r="IJU140"/>
      <c r="IJV140"/>
      <c r="IJW140"/>
      <c r="IJX140"/>
      <c r="IJY140"/>
      <c r="IJZ140"/>
      <c r="IKA140"/>
      <c r="IKB140"/>
      <c r="IKC140"/>
      <c r="IKD140"/>
      <c r="IKE140"/>
      <c r="IKF140"/>
      <c r="IKG140"/>
      <c r="IKH140"/>
      <c r="IKI140"/>
      <c r="IKJ140"/>
      <c r="IKK140"/>
      <c r="IKL140"/>
      <c r="IKM140"/>
      <c r="IKN140"/>
      <c r="IKO140"/>
      <c r="IKP140"/>
      <c r="IKQ140"/>
      <c r="IKR140"/>
      <c r="IKS140"/>
      <c r="IKT140"/>
      <c r="IKU140"/>
      <c r="IKV140"/>
      <c r="IKW140"/>
      <c r="IKX140"/>
      <c r="IKY140"/>
      <c r="IKZ140"/>
      <c r="ILA140"/>
      <c r="ILB140"/>
      <c r="ILC140"/>
      <c r="ILD140"/>
      <c r="ILE140"/>
      <c r="ILF140"/>
      <c r="ILG140"/>
      <c r="ILH140"/>
      <c r="ILI140"/>
      <c r="ILJ140"/>
      <c r="ILK140"/>
      <c r="ILL140"/>
      <c r="ILM140"/>
      <c r="ILN140"/>
      <c r="ILO140"/>
      <c r="ILP140"/>
      <c r="ILQ140"/>
      <c r="ILR140"/>
      <c r="ILS140"/>
      <c r="ILT140"/>
      <c r="ILU140"/>
      <c r="ILV140"/>
      <c r="ILW140"/>
      <c r="ILX140"/>
      <c r="ILY140"/>
      <c r="ILZ140"/>
      <c r="IMA140"/>
      <c r="IMB140"/>
      <c r="IMC140"/>
      <c r="IMD140"/>
      <c r="IME140"/>
      <c r="IMF140"/>
      <c r="IMG140"/>
      <c r="IMH140"/>
      <c r="IMI140"/>
      <c r="IMJ140"/>
      <c r="IMK140"/>
      <c r="IML140"/>
      <c r="IMM140"/>
      <c r="IMN140"/>
      <c r="IMO140"/>
      <c r="IMP140"/>
      <c r="IMQ140"/>
      <c r="IMR140"/>
      <c r="IMS140"/>
      <c r="IMT140"/>
      <c r="IMU140"/>
      <c r="IMV140"/>
      <c r="IMW140"/>
      <c r="IMX140"/>
      <c r="IMY140"/>
      <c r="IMZ140"/>
      <c r="INA140"/>
      <c r="INB140"/>
      <c r="INC140"/>
      <c r="IND140"/>
      <c r="INE140"/>
      <c r="INF140"/>
      <c r="ING140"/>
      <c r="INH140"/>
      <c r="INI140"/>
      <c r="INJ140"/>
      <c r="INK140"/>
      <c r="INL140"/>
      <c r="INM140"/>
      <c r="INN140"/>
      <c r="INO140"/>
      <c r="INP140"/>
      <c r="INQ140"/>
      <c r="INR140"/>
      <c r="INS140"/>
      <c r="INT140"/>
      <c r="INU140"/>
      <c r="INV140"/>
      <c r="INW140"/>
      <c r="INX140"/>
      <c r="INY140"/>
      <c r="INZ140"/>
      <c r="IOA140"/>
      <c r="IOB140"/>
      <c r="IOC140"/>
      <c r="IOD140"/>
      <c r="IOE140"/>
      <c r="IOF140"/>
      <c r="IOG140"/>
      <c r="IOH140"/>
      <c r="IOI140"/>
      <c r="IOJ140"/>
      <c r="IOK140"/>
      <c r="IOL140"/>
      <c r="IOM140"/>
      <c r="ION140"/>
      <c r="IOO140"/>
      <c r="IOP140"/>
      <c r="IOQ140"/>
      <c r="IOR140"/>
      <c r="IOS140"/>
      <c r="IOT140"/>
      <c r="IOU140"/>
      <c r="IOV140"/>
      <c r="IOW140"/>
      <c r="IOX140"/>
      <c r="IOY140"/>
      <c r="IOZ140"/>
      <c r="IPA140"/>
      <c r="IPB140"/>
      <c r="IPC140"/>
      <c r="IPD140"/>
      <c r="IPE140"/>
      <c r="IPF140"/>
      <c r="IPG140"/>
      <c r="IPH140"/>
      <c r="IPI140"/>
      <c r="IPJ140"/>
      <c r="IPK140"/>
      <c r="IPL140"/>
      <c r="IPM140"/>
      <c r="IPN140"/>
      <c r="IPO140"/>
      <c r="IPP140"/>
      <c r="IPQ140"/>
      <c r="IPR140"/>
      <c r="IPS140"/>
      <c r="IPT140"/>
      <c r="IPU140"/>
      <c r="IPV140"/>
      <c r="IPW140"/>
      <c r="IPX140"/>
      <c r="IPY140"/>
      <c r="IPZ140"/>
      <c r="IQA140"/>
      <c r="IQB140"/>
      <c r="IQC140"/>
      <c r="IQD140"/>
      <c r="IQE140"/>
      <c r="IQF140"/>
      <c r="IQG140"/>
      <c r="IQH140"/>
      <c r="IQI140"/>
      <c r="IQJ140"/>
      <c r="IQK140"/>
      <c r="IQL140"/>
      <c r="IQM140"/>
      <c r="IQN140"/>
      <c r="IQO140"/>
      <c r="IQP140"/>
      <c r="IQQ140"/>
      <c r="IQR140"/>
      <c r="IQS140"/>
      <c r="IQT140"/>
      <c r="IQU140"/>
      <c r="IQV140"/>
      <c r="IQW140"/>
      <c r="IQX140"/>
      <c r="IQY140"/>
      <c r="IQZ140"/>
      <c r="IRA140"/>
      <c r="IRB140"/>
      <c r="IRC140"/>
      <c r="IRD140"/>
      <c r="IRE140"/>
      <c r="IRF140"/>
      <c r="IRG140"/>
      <c r="IRH140"/>
      <c r="IRI140"/>
      <c r="IRJ140"/>
      <c r="IRK140"/>
      <c r="IRL140"/>
      <c r="IRM140"/>
      <c r="IRN140"/>
      <c r="IRO140"/>
      <c r="IRP140"/>
      <c r="IRQ140"/>
      <c r="IRR140"/>
      <c r="IRS140"/>
      <c r="IRT140"/>
      <c r="IRU140"/>
      <c r="IRV140"/>
      <c r="IRW140"/>
      <c r="IRX140"/>
      <c r="IRY140"/>
      <c r="IRZ140"/>
      <c r="ISA140"/>
      <c r="ISB140"/>
      <c r="ISC140"/>
      <c r="ISD140"/>
      <c r="ISE140"/>
      <c r="ISF140"/>
      <c r="ISG140"/>
      <c r="ISH140"/>
      <c r="ISI140"/>
      <c r="ISJ140"/>
      <c r="ISK140"/>
      <c r="ISL140"/>
      <c r="ISM140"/>
      <c r="ISN140"/>
      <c r="ISO140"/>
      <c r="ISP140"/>
      <c r="ISQ140"/>
      <c r="ISR140"/>
      <c r="ISS140"/>
      <c r="IST140"/>
      <c r="ISU140"/>
      <c r="ISV140"/>
      <c r="ISW140"/>
      <c r="ISX140"/>
      <c r="ISY140"/>
      <c r="ISZ140"/>
      <c r="ITA140"/>
      <c r="ITB140"/>
      <c r="ITC140"/>
      <c r="ITD140"/>
      <c r="ITE140"/>
      <c r="ITF140"/>
      <c r="ITG140"/>
      <c r="ITH140"/>
      <c r="ITI140"/>
      <c r="ITJ140"/>
      <c r="ITK140"/>
      <c r="ITL140"/>
      <c r="ITM140"/>
      <c r="ITN140"/>
      <c r="ITO140"/>
      <c r="ITP140"/>
      <c r="ITQ140"/>
      <c r="ITR140"/>
      <c r="ITS140"/>
      <c r="ITT140"/>
      <c r="ITU140"/>
      <c r="ITV140"/>
      <c r="ITW140"/>
      <c r="ITX140"/>
      <c r="ITY140"/>
      <c r="ITZ140"/>
      <c r="IUA140"/>
      <c r="IUB140"/>
      <c r="IUC140"/>
      <c r="IUD140"/>
      <c r="IUE140"/>
      <c r="IUF140"/>
      <c r="IUG140"/>
      <c r="IUH140"/>
      <c r="IUI140"/>
      <c r="IUJ140"/>
      <c r="IUK140"/>
      <c r="IUL140"/>
      <c r="IUM140"/>
      <c r="IUN140"/>
      <c r="IUO140"/>
      <c r="IUP140"/>
      <c r="IUQ140"/>
      <c r="IUR140"/>
      <c r="IUS140"/>
      <c r="IUT140"/>
      <c r="IUU140"/>
      <c r="IUV140"/>
      <c r="IUW140"/>
      <c r="IUX140"/>
      <c r="IUY140"/>
      <c r="IUZ140"/>
      <c r="IVA140"/>
      <c r="IVB140"/>
      <c r="IVC140"/>
      <c r="IVD140"/>
      <c r="IVE140"/>
      <c r="IVF140"/>
      <c r="IVG140"/>
      <c r="IVH140"/>
      <c r="IVI140"/>
      <c r="IVJ140"/>
      <c r="IVK140"/>
      <c r="IVL140"/>
      <c r="IVM140"/>
      <c r="IVN140"/>
      <c r="IVO140"/>
      <c r="IVP140"/>
      <c r="IVQ140"/>
      <c r="IVR140"/>
      <c r="IVS140"/>
      <c r="IVT140"/>
      <c r="IVU140"/>
      <c r="IVV140"/>
      <c r="IVW140"/>
      <c r="IVX140"/>
      <c r="IVY140"/>
      <c r="IVZ140"/>
      <c r="IWA140"/>
      <c r="IWB140"/>
      <c r="IWC140"/>
      <c r="IWD140"/>
      <c r="IWE140"/>
      <c r="IWF140"/>
      <c r="IWG140"/>
      <c r="IWH140"/>
      <c r="IWI140"/>
      <c r="IWJ140"/>
      <c r="IWK140"/>
      <c r="IWL140"/>
      <c r="IWM140"/>
      <c r="IWN140"/>
      <c r="IWO140"/>
      <c r="IWP140"/>
      <c r="IWQ140"/>
      <c r="IWR140"/>
      <c r="IWS140"/>
      <c r="IWT140"/>
      <c r="IWU140"/>
      <c r="IWV140"/>
      <c r="IWW140"/>
      <c r="IWX140"/>
      <c r="IWY140"/>
      <c r="IWZ140"/>
      <c r="IXA140"/>
      <c r="IXB140"/>
      <c r="IXC140"/>
      <c r="IXD140"/>
      <c r="IXE140"/>
      <c r="IXF140"/>
      <c r="IXG140"/>
      <c r="IXH140"/>
      <c r="IXI140"/>
      <c r="IXJ140"/>
      <c r="IXK140"/>
      <c r="IXL140"/>
      <c r="IXM140"/>
      <c r="IXN140"/>
      <c r="IXO140"/>
      <c r="IXP140"/>
      <c r="IXQ140"/>
      <c r="IXR140"/>
      <c r="IXS140"/>
      <c r="IXT140"/>
      <c r="IXU140"/>
      <c r="IXV140"/>
      <c r="IXW140"/>
      <c r="IXX140"/>
      <c r="IXY140"/>
      <c r="IXZ140"/>
      <c r="IYA140"/>
      <c r="IYB140"/>
      <c r="IYC140"/>
      <c r="IYD140"/>
      <c r="IYE140"/>
      <c r="IYF140"/>
      <c r="IYG140"/>
      <c r="IYH140"/>
      <c r="IYI140"/>
      <c r="IYJ140"/>
      <c r="IYK140"/>
      <c r="IYL140"/>
      <c r="IYM140"/>
      <c r="IYN140"/>
      <c r="IYO140"/>
      <c r="IYP140"/>
      <c r="IYQ140"/>
      <c r="IYR140"/>
      <c r="IYS140"/>
      <c r="IYT140"/>
      <c r="IYU140"/>
      <c r="IYV140"/>
      <c r="IYW140"/>
      <c r="IYX140"/>
      <c r="IYY140"/>
      <c r="IYZ140"/>
      <c r="IZA140"/>
      <c r="IZB140"/>
      <c r="IZC140"/>
      <c r="IZD140"/>
      <c r="IZE140"/>
      <c r="IZF140"/>
      <c r="IZG140"/>
      <c r="IZH140"/>
      <c r="IZI140"/>
      <c r="IZJ140"/>
      <c r="IZK140"/>
      <c r="IZL140"/>
      <c r="IZM140"/>
      <c r="IZN140"/>
      <c r="IZO140"/>
      <c r="IZP140"/>
      <c r="IZQ140"/>
      <c r="IZR140"/>
      <c r="IZS140"/>
      <c r="IZT140"/>
      <c r="IZU140"/>
      <c r="IZV140"/>
      <c r="IZW140"/>
      <c r="IZX140"/>
      <c r="IZY140"/>
      <c r="IZZ140"/>
      <c r="JAA140"/>
      <c r="JAB140"/>
      <c r="JAC140"/>
      <c r="JAD140"/>
      <c r="JAE140"/>
      <c r="JAF140"/>
      <c r="JAG140"/>
      <c r="JAH140"/>
      <c r="JAI140"/>
      <c r="JAJ140"/>
      <c r="JAK140"/>
      <c r="JAL140"/>
      <c r="JAM140"/>
      <c r="JAN140"/>
      <c r="JAO140"/>
      <c r="JAP140"/>
      <c r="JAQ140"/>
      <c r="JAR140"/>
      <c r="JAS140"/>
      <c r="JAT140"/>
      <c r="JAU140"/>
      <c r="JAV140"/>
      <c r="JAW140"/>
      <c r="JAX140"/>
      <c r="JAY140"/>
      <c r="JAZ140"/>
      <c r="JBA140"/>
      <c r="JBB140"/>
      <c r="JBC140"/>
      <c r="JBD140"/>
      <c r="JBE140"/>
      <c r="JBF140"/>
      <c r="JBG140"/>
      <c r="JBH140"/>
      <c r="JBI140"/>
      <c r="JBJ140"/>
      <c r="JBK140"/>
      <c r="JBL140"/>
      <c r="JBM140"/>
      <c r="JBN140"/>
      <c r="JBO140"/>
      <c r="JBP140"/>
      <c r="JBQ140"/>
      <c r="JBR140"/>
      <c r="JBS140"/>
      <c r="JBT140"/>
      <c r="JBU140"/>
      <c r="JBV140"/>
      <c r="JBW140"/>
      <c r="JBX140"/>
      <c r="JBY140"/>
      <c r="JBZ140"/>
      <c r="JCA140"/>
      <c r="JCB140"/>
      <c r="JCC140"/>
      <c r="JCD140"/>
      <c r="JCE140"/>
      <c r="JCF140"/>
      <c r="JCG140"/>
      <c r="JCH140"/>
      <c r="JCI140"/>
      <c r="JCJ140"/>
      <c r="JCK140"/>
      <c r="JCL140"/>
      <c r="JCM140"/>
      <c r="JCN140"/>
      <c r="JCO140"/>
      <c r="JCP140"/>
      <c r="JCQ140"/>
      <c r="JCR140"/>
      <c r="JCS140"/>
      <c r="JCT140"/>
      <c r="JCU140"/>
      <c r="JCV140"/>
      <c r="JCW140"/>
      <c r="JCX140"/>
      <c r="JCY140"/>
      <c r="JCZ140"/>
      <c r="JDA140"/>
      <c r="JDB140"/>
      <c r="JDC140"/>
      <c r="JDD140"/>
      <c r="JDE140"/>
      <c r="JDF140"/>
      <c r="JDG140"/>
      <c r="JDH140"/>
      <c r="JDI140"/>
      <c r="JDJ140"/>
      <c r="JDK140"/>
      <c r="JDL140"/>
      <c r="JDM140"/>
      <c r="JDN140"/>
      <c r="JDO140"/>
      <c r="JDP140"/>
      <c r="JDQ140"/>
      <c r="JDR140"/>
      <c r="JDS140"/>
      <c r="JDT140"/>
      <c r="JDU140"/>
      <c r="JDV140"/>
      <c r="JDW140"/>
      <c r="JDX140"/>
      <c r="JDY140"/>
      <c r="JDZ140"/>
      <c r="JEA140"/>
      <c r="JEB140"/>
      <c r="JEC140"/>
      <c r="JED140"/>
      <c r="JEE140"/>
      <c r="JEF140"/>
      <c r="JEG140"/>
      <c r="JEH140"/>
      <c r="JEI140"/>
      <c r="JEJ140"/>
      <c r="JEK140"/>
      <c r="JEL140"/>
      <c r="JEM140"/>
      <c r="JEN140"/>
      <c r="JEO140"/>
      <c r="JEP140"/>
      <c r="JEQ140"/>
      <c r="JER140"/>
      <c r="JES140"/>
      <c r="JET140"/>
      <c r="JEU140"/>
      <c r="JEV140"/>
      <c r="JEW140"/>
      <c r="JEX140"/>
      <c r="JEY140"/>
      <c r="JEZ140"/>
      <c r="JFA140"/>
      <c r="JFB140"/>
      <c r="JFC140"/>
      <c r="JFD140"/>
      <c r="JFE140"/>
      <c r="JFF140"/>
      <c r="JFG140"/>
      <c r="JFH140"/>
      <c r="JFI140"/>
      <c r="JFJ140"/>
      <c r="JFK140"/>
      <c r="JFL140"/>
      <c r="JFM140"/>
      <c r="JFN140"/>
      <c r="JFO140"/>
      <c r="JFP140"/>
      <c r="JFQ140"/>
      <c r="JFR140"/>
      <c r="JFS140"/>
      <c r="JFT140"/>
      <c r="JFU140"/>
      <c r="JFV140"/>
      <c r="JFW140"/>
      <c r="JFX140"/>
      <c r="JFY140"/>
      <c r="JFZ140"/>
      <c r="JGA140"/>
      <c r="JGB140"/>
      <c r="JGC140"/>
      <c r="JGD140"/>
      <c r="JGE140"/>
      <c r="JGF140"/>
      <c r="JGG140"/>
      <c r="JGH140"/>
      <c r="JGI140"/>
      <c r="JGJ140"/>
      <c r="JGK140"/>
      <c r="JGL140"/>
      <c r="JGM140"/>
      <c r="JGN140"/>
      <c r="JGO140"/>
      <c r="JGP140"/>
      <c r="JGQ140"/>
      <c r="JGR140"/>
      <c r="JGS140"/>
      <c r="JGT140"/>
      <c r="JGU140"/>
      <c r="JGV140"/>
      <c r="JGW140"/>
      <c r="JGX140"/>
      <c r="JGY140"/>
      <c r="JGZ140"/>
      <c r="JHA140"/>
      <c r="JHB140"/>
      <c r="JHC140"/>
      <c r="JHD140"/>
      <c r="JHE140"/>
      <c r="JHF140"/>
      <c r="JHG140"/>
      <c r="JHH140"/>
      <c r="JHI140"/>
      <c r="JHJ140"/>
      <c r="JHK140"/>
      <c r="JHL140"/>
      <c r="JHM140"/>
      <c r="JHN140"/>
      <c r="JHO140"/>
      <c r="JHP140"/>
      <c r="JHQ140"/>
      <c r="JHR140"/>
      <c r="JHS140"/>
      <c r="JHT140"/>
      <c r="JHU140"/>
      <c r="JHV140"/>
      <c r="JHW140"/>
      <c r="JHX140"/>
      <c r="JHY140"/>
      <c r="JHZ140"/>
      <c r="JIA140"/>
      <c r="JIB140"/>
      <c r="JIC140"/>
      <c r="JID140"/>
      <c r="JIE140"/>
      <c r="JIF140"/>
      <c r="JIG140"/>
      <c r="JIH140"/>
      <c r="JII140"/>
      <c r="JIJ140"/>
      <c r="JIK140"/>
      <c r="JIL140"/>
      <c r="JIM140"/>
      <c r="JIN140"/>
      <c r="JIO140"/>
      <c r="JIP140"/>
      <c r="JIQ140"/>
      <c r="JIR140"/>
      <c r="JIS140"/>
      <c r="JIT140"/>
      <c r="JIU140"/>
      <c r="JIV140"/>
      <c r="JIW140"/>
      <c r="JIX140"/>
      <c r="JIY140"/>
      <c r="JIZ140"/>
      <c r="JJA140"/>
      <c r="JJB140"/>
      <c r="JJC140"/>
      <c r="JJD140"/>
      <c r="JJE140"/>
      <c r="JJF140"/>
      <c r="JJG140"/>
      <c r="JJH140"/>
      <c r="JJI140"/>
      <c r="JJJ140"/>
      <c r="JJK140"/>
      <c r="JJL140"/>
      <c r="JJM140"/>
      <c r="JJN140"/>
      <c r="JJO140"/>
      <c r="JJP140"/>
      <c r="JJQ140"/>
      <c r="JJR140"/>
      <c r="JJS140"/>
      <c r="JJT140"/>
      <c r="JJU140"/>
      <c r="JJV140"/>
      <c r="JJW140"/>
      <c r="JJX140"/>
      <c r="JJY140"/>
      <c r="JJZ140"/>
      <c r="JKA140"/>
      <c r="JKB140"/>
      <c r="JKC140"/>
      <c r="JKD140"/>
      <c r="JKE140"/>
      <c r="JKF140"/>
      <c r="JKG140"/>
      <c r="JKH140"/>
      <c r="JKI140"/>
      <c r="JKJ140"/>
      <c r="JKK140"/>
      <c r="JKL140"/>
      <c r="JKM140"/>
      <c r="JKN140"/>
      <c r="JKO140"/>
      <c r="JKP140"/>
      <c r="JKQ140"/>
      <c r="JKR140"/>
      <c r="JKS140"/>
      <c r="JKT140"/>
      <c r="JKU140"/>
      <c r="JKV140"/>
      <c r="JKW140"/>
      <c r="JKX140"/>
      <c r="JKY140"/>
      <c r="JKZ140"/>
      <c r="JLA140"/>
      <c r="JLB140"/>
      <c r="JLC140"/>
      <c r="JLD140"/>
      <c r="JLE140"/>
      <c r="JLF140"/>
      <c r="JLG140"/>
      <c r="JLH140"/>
      <c r="JLI140"/>
      <c r="JLJ140"/>
      <c r="JLK140"/>
      <c r="JLL140"/>
      <c r="JLM140"/>
      <c r="JLN140"/>
      <c r="JLO140"/>
      <c r="JLP140"/>
      <c r="JLQ140"/>
      <c r="JLR140"/>
      <c r="JLS140"/>
      <c r="JLT140"/>
      <c r="JLU140"/>
      <c r="JLV140"/>
      <c r="JLW140"/>
      <c r="JLX140"/>
      <c r="JLY140"/>
      <c r="JLZ140"/>
      <c r="JMA140"/>
      <c r="JMB140"/>
      <c r="JMC140"/>
      <c r="JMD140"/>
      <c r="JME140"/>
      <c r="JMF140"/>
      <c r="JMG140"/>
      <c r="JMH140"/>
      <c r="JMI140"/>
      <c r="JMJ140"/>
      <c r="JMK140"/>
      <c r="JML140"/>
      <c r="JMM140"/>
      <c r="JMN140"/>
      <c r="JMO140"/>
      <c r="JMP140"/>
      <c r="JMQ140"/>
      <c r="JMR140"/>
      <c r="JMS140"/>
      <c r="JMT140"/>
      <c r="JMU140"/>
      <c r="JMV140"/>
      <c r="JMW140"/>
      <c r="JMX140"/>
      <c r="JMY140"/>
      <c r="JMZ140"/>
      <c r="JNA140"/>
      <c r="JNB140"/>
      <c r="JNC140"/>
      <c r="JND140"/>
      <c r="JNE140"/>
      <c r="JNF140"/>
      <c r="JNG140"/>
      <c r="JNH140"/>
      <c r="JNI140"/>
      <c r="JNJ140"/>
      <c r="JNK140"/>
      <c r="JNL140"/>
      <c r="JNM140"/>
      <c r="JNN140"/>
      <c r="JNO140"/>
      <c r="JNP140"/>
      <c r="JNQ140"/>
      <c r="JNR140"/>
      <c r="JNS140"/>
      <c r="JNT140"/>
      <c r="JNU140"/>
      <c r="JNV140"/>
      <c r="JNW140"/>
      <c r="JNX140"/>
      <c r="JNY140"/>
      <c r="JNZ140"/>
      <c r="JOA140"/>
      <c r="JOB140"/>
      <c r="JOC140"/>
      <c r="JOD140"/>
      <c r="JOE140"/>
      <c r="JOF140"/>
      <c r="JOG140"/>
      <c r="JOH140"/>
      <c r="JOI140"/>
      <c r="JOJ140"/>
      <c r="JOK140"/>
      <c r="JOL140"/>
      <c r="JOM140"/>
      <c r="JON140"/>
      <c r="JOO140"/>
      <c r="JOP140"/>
      <c r="JOQ140"/>
      <c r="JOR140"/>
      <c r="JOS140"/>
      <c r="JOT140"/>
      <c r="JOU140"/>
      <c r="JOV140"/>
      <c r="JOW140"/>
      <c r="JOX140"/>
      <c r="JOY140"/>
      <c r="JOZ140"/>
      <c r="JPA140"/>
      <c r="JPB140"/>
      <c r="JPC140"/>
      <c r="JPD140"/>
      <c r="JPE140"/>
      <c r="JPF140"/>
      <c r="JPG140"/>
      <c r="JPH140"/>
      <c r="JPI140"/>
      <c r="JPJ140"/>
      <c r="JPK140"/>
      <c r="JPL140"/>
      <c r="JPM140"/>
      <c r="JPN140"/>
      <c r="JPO140"/>
      <c r="JPP140"/>
      <c r="JPQ140"/>
      <c r="JPR140"/>
      <c r="JPS140"/>
      <c r="JPT140"/>
      <c r="JPU140"/>
      <c r="JPV140"/>
      <c r="JPW140"/>
      <c r="JPX140"/>
      <c r="JPY140"/>
      <c r="JPZ140"/>
      <c r="JQA140"/>
      <c r="JQB140"/>
      <c r="JQC140"/>
      <c r="JQD140"/>
      <c r="JQE140"/>
      <c r="JQF140"/>
      <c r="JQG140"/>
      <c r="JQH140"/>
      <c r="JQI140"/>
      <c r="JQJ140"/>
      <c r="JQK140"/>
      <c r="JQL140"/>
      <c r="JQM140"/>
      <c r="JQN140"/>
      <c r="JQO140"/>
      <c r="JQP140"/>
      <c r="JQQ140"/>
      <c r="JQR140"/>
      <c r="JQS140"/>
      <c r="JQT140"/>
      <c r="JQU140"/>
      <c r="JQV140"/>
      <c r="JQW140"/>
      <c r="JQX140"/>
      <c r="JQY140"/>
      <c r="JQZ140"/>
      <c r="JRA140"/>
      <c r="JRB140"/>
      <c r="JRC140"/>
      <c r="JRD140"/>
      <c r="JRE140"/>
      <c r="JRF140"/>
      <c r="JRG140"/>
      <c r="JRH140"/>
      <c r="JRI140"/>
      <c r="JRJ140"/>
      <c r="JRK140"/>
      <c r="JRL140"/>
      <c r="JRM140"/>
      <c r="JRN140"/>
      <c r="JRO140"/>
      <c r="JRP140"/>
      <c r="JRQ140"/>
      <c r="JRR140"/>
      <c r="JRS140"/>
      <c r="JRT140"/>
      <c r="JRU140"/>
      <c r="JRV140"/>
      <c r="JRW140"/>
      <c r="JRX140"/>
      <c r="JRY140"/>
      <c r="JRZ140"/>
      <c r="JSA140"/>
      <c r="JSB140"/>
      <c r="JSC140"/>
      <c r="JSD140"/>
      <c r="JSE140"/>
      <c r="JSF140"/>
      <c r="JSG140"/>
      <c r="JSH140"/>
      <c r="JSI140"/>
      <c r="JSJ140"/>
      <c r="JSK140"/>
      <c r="JSL140"/>
      <c r="JSM140"/>
      <c r="JSN140"/>
      <c r="JSO140"/>
      <c r="JSP140"/>
      <c r="JSQ140"/>
      <c r="JSR140"/>
      <c r="JSS140"/>
      <c r="JST140"/>
      <c r="JSU140"/>
      <c r="JSV140"/>
      <c r="JSW140"/>
      <c r="JSX140"/>
      <c r="JSY140"/>
      <c r="JSZ140"/>
      <c r="JTA140"/>
      <c r="JTB140"/>
      <c r="JTC140"/>
      <c r="JTD140"/>
      <c r="JTE140"/>
      <c r="JTF140"/>
      <c r="JTG140"/>
      <c r="JTH140"/>
      <c r="JTI140"/>
      <c r="JTJ140"/>
      <c r="JTK140"/>
      <c r="JTL140"/>
      <c r="JTM140"/>
      <c r="JTN140"/>
      <c r="JTO140"/>
      <c r="JTP140"/>
      <c r="JTQ140"/>
      <c r="JTR140"/>
      <c r="JTS140"/>
      <c r="JTT140"/>
      <c r="JTU140"/>
      <c r="JTV140"/>
      <c r="JTW140"/>
      <c r="JTX140"/>
      <c r="JTY140"/>
      <c r="JTZ140"/>
      <c r="JUA140"/>
      <c r="JUB140"/>
      <c r="JUC140"/>
      <c r="JUD140"/>
      <c r="JUE140"/>
      <c r="JUF140"/>
      <c r="JUG140"/>
      <c r="JUH140"/>
      <c r="JUI140"/>
      <c r="JUJ140"/>
      <c r="JUK140"/>
      <c r="JUL140"/>
      <c r="JUM140"/>
      <c r="JUN140"/>
      <c r="JUO140"/>
      <c r="JUP140"/>
      <c r="JUQ140"/>
      <c r="JUR140"/>
      <c r="JUS140"/>
      <c r="JUT140"/>
      <c r="JUU140"/>
      <c r="JUV140"/>
      <c r="JUW140"/>
      <c r="JUX140"/>
      <c r="JUY140"/>
      <c r="JUZ140"/>
      <c r="JVA140"/>
      <c r="JVB140"/>
      <c r="JVC140"/>
      <c r="JVD140"/>
      <c r="JVE140"/>
      <c r="JVF140"/>
      <c r="JVG140"/>
      <c r="JVH140"/>
      <c r="JVI140"/>
      <c r="JVJ140"/>
      <c r="JVK140"/>
      <c r="JVL140"/>
      <c r="JVM140"/>
      <c r="JVN140"/>
      <c r="JVO140"/>
      <c r="JVP140"/>
      <c r="JVQ140"/>
      <c r="JVR140"/>
      <c r="JVS140"/>
      <c r="JVT140"/>
      <c r="JVU140"/>
      <c r="JVV140"/>
      <c r="JVW140"/>
      <c r="JVX140"/>
      <c r="JVY140"/>
      <c r="JVZ140"/>
      <c r="JWA140"/>
      <c r="JWB140"/>
      <c r="JWC140"/>
      <c r="JWD140"/>
      <c r="JWE140"/>
      <c r="JWF140"/>
      <c r="JWG140"/>
      <c r="JWH140"/>
      <c r="JWI140"/>
      <c r="JWJ140"/>
      <c r="JWK140"/>
      <c r="JWL140"/>
      <c r="JWM140"/>
      <c r="JWN140"/>
      <c r="JWO140"/>
      <c r="JWP140"/>
      <c r="JWQ140"/>
      <c r="JWR140"/>
      <c r="JWS140"/>
      <c r="JWT140"/>
      <c r="JWU140"/>
      <c r="JWV140"/>
      <c r="JWW140"/>
      <c r="JWX140"/>
      <c r="JWY140"/>
      <c r="JWZ140"/>
      <c r="JXA140"/>
      <c r="JXB140"/>
      <c r="JXC140"/>
      <c r="JXD140"/>
      <c r="JXE140"/>
      <c r="JXF140"/>
      <c r="JXG140"/>
      <c r="JXH140"/>
      <c r="JXI140"/>
      <c r="JXJ140"/>
      <c r="JXK140"/>
      <c r="JXL140"/>
      <c r="JXM140"/>
      <c r="JXN140"/>
      <c r="JXO140"/>
      <c r="JXP140"/>
      <c r="JXQ140"/>
      <c r="JXR140"/>
      <c r="JXS140"/>
      <c r="JXT140"/>
      <c r="JXU140"/>
      <c r="JXV140"/>
      <c r="JXW140"/>
      <c r="JXX140"/>
      <c r="JXY140"/>
      <c r="JXZ140"/>
      <c r="JYA140"/>
      <c r="JYB140"/>
      <c r="JYC140"/>
      <c r="JYD140"/>
      <c r="JYE140"/>
      <c r="JYF140"/>
      <c r="JYG140"/>
      <c r="JYH140"/>
      <c r="JYI140"/>
      <c r="JYJ140"/>
      <c r="JYK140"/>
      <c r="JYL140"/>
      <c r="JYM140"/>
      <c r="JYN140"/>
      <c r="JYO140"/>
      <c r="JYP140"/>
      <c r="JYQ140"/>
      <c r="JYR140"/>
      <c r="JYS140"/>
      <c r="JYT140"/>
      <c r="JYU140"/>
      <c r="JYV140"/>
      <c r="JYW140"/>
      <c r="JYX140"/>
      <c r="JYY140"/>
      <c r="JYZ140"/>
      <c r="JZA140"/>
      <c r="JZB140"/>
      <c r="JZC140"/>
      <c r="JZD140"/>
      <c r="JZE140"/>
      <c r="JZF140"/>
      <c r="JZG140"/>
      <c r="JZH140"/>
      <c r="JZI140"/>
      <c r="JZJ140"/>
      <c r="JZK140"/>
      <c r="JZL140"/>
      <c r="JZM140"/>
      <c r="JZN140"/>
      <c r="JZO140"/>
      <c r="JZP140"/>
      <c r="JZQ140"/>
      <c r="JZR140"/>
      <c r="JZS140"/>
      <c r="JZT140"/>
      <c r="JZU140"/>
      <c r="JZV140"/>
      <c r="JZW140"/>
      <c r="JZX140"/>
      <c r="JZY140"/>
      <c r="JZZ140"/>
      <c r="KAA140"/>
      <c r="KAB140"/>
      <c r="KAC140"/>
      <c r="KAD140"/>
      <c r="KAE140"/>
      <c r="KAF140"/>
      <c r="KAG140"/>
      <c r="KAH140"/>
      <c r="KAI140"/>
      <c r="KAJ140"/>
      <c r="KAK140"/>
      <c r="KAL140"/>
      <c r="KAM140"/>
      <c r="KAN140"/>
      <c r="KAO140"/>
      <c r="KAP140"/>
      <c r="KAQ140"/>
      <c r="KAR140"/>
      <c r="KAS140"/>
      <c r="KAT140"/>
      <c r="KAU140"/>
      <c r="KAV140"/>
      <c r="KAW140"/>
      <c r="KAX140"/>
      <c r="KAY140"/>
      <c r="KAZ140"/>
      <c r="KBA140"/>
      <c r="KBB140"/>
      <c r="KBC140"/>
      <c r="KBD140"/>
      <c r="KBE140"/>
      <c r="KBF140"/>
      <c r="KBG140"/>
      <c r="KBH140"/>
      <c r="KBI140"/>
      <c r="KBJ140"/>
      <c r="KBK140"/>
      <c r="KBL140"/>
      <c r="KBM140"/>
      <c r="KBN140"/>
      <c r="KBO140"/>
      <c r="KBP140"/>
      <c r="KBQ140"/>
      <c r="KBR140"/>
      <c r="KBS140"/>
      <c r="KBT140"/>
      <c r="KBU140"/>
      <c r="KBV140"/>
      <c r="KBW140"/>
      <c r="KBX140"/>
      <c r="KBY140"/>
      <c r="KBZ140"/>
      <c r="KCA140"/>
      <c r="KCB140"/>
      <c r="KCC140"/>
      <c r="KCD140"/>
      <c r="KCE140"/>
      <c r="KCF140"/>
      <c r="KCG140"/>
      <c r="KCH140"/>
      <c r="KCI140"/>
      <c r="KCJ140"/>
      <c r="KCK140"/>
      <c r="KCL140"/>
      <c r="KCM140"/>
      <c r="KCN140"/>
      <c r="KCO140"/>
      <c r="KCP140"/>
      <c r="KCQ140"/>
      <c r="KCR140"/>
      <c r="KCS140"/>
      <c r="KCT140"/>
      <c r="KCU140"/>
      <c r="KCV140"/>
      <c r="KCW140"/>
      <c r="KCX140"/>
      <c r="KCY140"/>
      <c r="KCZ140"/>
      <c r="KDA140"/>
      <c r="KDB140"/>
      <c r="KDC140"/>
      <c r="KDD140"/>
      <c r="KDE140"/>
      <c r="KDF140"/>
      <c r="KDG140"/>
      <c r="KDH140"/>
      <c r="KDI140"/>
      <c r="KDJ140"/>
      <c r="KDK140"/>
      <c r="KDL140"/>
      <c r="KDM140"/>
      <c r="KDN140"/>
      <c r="KDO140"/>
      <c r="KDP140"/>
      <c r="KDQ140"/>
      <c r="KDR140"/>
      <c r="KDS140"/>
      <c r="KDT140"/>
      <c r="KDU140"/>
      <c r="KDV140"/>
      <c r="KDW140"/>
      <c r="KDX140"/>
      <c r="KDY140"/>
      <c r="KDZ140"/>
      <c r="KEA140"/>
      <c r="KEB140"/>
      <c r="KEC140"/>
      <c r="KED140"/>
      <c r="KEE140"/>
      <c r="KEF140"/>
      <c r="KEG140"/>
      <c r="KEH140"/>
      <c r="KEI140"/>
      <c r="KEJ140"/>
      <c r="KEK140"/>
      <c r="KEL140"/>
      <c r="KEM140"/>
      <c r="KEN140"/>
      <c r="KEO140"/>
      <c r="KEP140"/>
      <c r="KEQ140"/>
      <c r="KER140"/>
      <c r="KES140"/>
      <c r="KET140"/>
      <c r="KEU140"/>
      <c r="KEV140"/>
      <c r="KEW140"/>
      <c r="KEX140"/>
      <c r="KEY140"/>
      <c r="KEZ140"/>
      <c r="KFA140"/>
      <c r="KFB140"/>
      <c r="KFC140"/>
      <c r="KFD140"/>
      <c r="KFE140"/>
      <c r="KFF140"/>
      <c r="KFG140"/>
      <c r="KFH140"/>
      <c r="KFI140"/>
      <c r="KFJ140"/>
      <c r="KFK140"/>
      <c r="KFL140"/>
      <c r="KFM140"/>
      <c r="KFN140"/>
      <c r="KFO140"/>
      <c r="KFP140"/>
      <c r="KFQ140"/>
      <c r="KFR140"/>
      <c r="KFS140"/>
      <c r="KFT140"/>
      <c r="KFU140"/>
      <c r="KFV140"/>
      <c r="KFW140"/>
      <c r="KFX140"/>
      <c r="KFY140"/>
      <c r="KFZ140"/>
      <c r="KGA140"/>
      <c r="KGB140"/>
      <c r="KGC140"/>
      <c r="KGD140"/>
      <c r="KGE140"/>
      <c r="KGF140"/>
      <c r="KGG140"/>
      <c r="KGH140"/>
      <c r="KGI140"/>
      <c r="KGJ140"/>
      <c r="KGK140"/>
      <c r="KGL140"/>
      <c r="KGM140"/>
      <c r="KGN140"/>
      <c r="KGO140"/>
      <c r="KGP140"/>
      <c r="KGQ140"/>
      <c r="KGR140"/>
      <c r="KGS140"/>
      <c r="KGT140"/>
      <c r="KGU140"/>
      <c r="KGV140"/>
      <c r="KGW140"/>
      <c r="KGX140"/>
      <c r="KGY140"/>
      <c r="KGZ140"/>
      <c r="KHA140"/>
      <c r="KHB140"/>
      <c r="KHC140"/>
      <c r="KHD140"/>
      <c r="KHE140"/>
      <c r="KHF140"/>
      <c r="KHG140"/>
      <c r="KHH140"/>
      <c r="KHI140"/>
      <c r="KHJ140"/>
      <c r="KHK140"/>
      <c r="KHL140"/>
      <c r="KHM140"/>
      <c r="KHN140"/>
      <c r="KHO140"/>
      <c r="KHP140"/>
      <c r="KHQ140"/>
      <c r="KHR140"/>
      <c r="KHS140"/>
      <c r="KHT140"/>
      <c r="KHU140"/>
      <c r="KHV140"/>
      <c r="KHW140"/>
      <c r="KHX140"/>
      <c r="KHY140"/>
      <c r="KHZ140"/>
      <c r="KIA140"/>
      <c r="KIB140"/>
      <c r="KIC140"/>
      <c r="KID140"/>
      <c r="KIE140"/>
      <c r="KIF140"/>
      <c r="KIG140"/>
      <c r="KIH140"/>
      <c r="KII140"/>
      <c r="KIJ140"/>
      <c r="KIK140"/>
      <c r="KIL140"/>
      <c r="KIM140"/>
      <c r="KIN140"/>
      <c r="KIO140"/>
      <c r="KIP140"/>
      <c r="KIQ140"/>
      <c r="KIR140"/>
      <c r="KIS140"/>
      <c r="KIT140"/>
      <c r="KIU140"/>
      <c r="KIV140"/>
      <c r="KIW140"/>
      <c r="KIX140"/>
      <c r="KIY140"/>
      <c r="KIZ140"/>
      <c r="KJA140"/>
      <c r="KJB140"/>
      <c r="KJC140"/>
      <c r="KJD140"/>
      <c r="KJE140"/>
      <c r="KJF140"/>
      <c r="KJG140"/>
      <c r="KJH140"/>
      <c r="KJI140"/>
      <c r="KJJ140"/>
      <c r="KJK140"/>
      <c r="KJL140"/>
      <c r="KJM140"/>
      <c r="KJN140"/>
      <c r="KJO140"/>
      <c r="KJP140"/>
      <c r="KJQ140"/>
      <c r="KJR140"/>
      <c r="KJS140"/>
      <c r="KJT140"/>
      <c r="KJU140"/>
      <c r="KJV140"/>
      <c r="KJW140"/>
      <c r="KJX140"/>
      <c r="KJY140"/>
      <c r="KJZ140"/>
      <c r="KKA140"/>
      <c r="KKB140"/>
      <c r="KKC140"/>
      <c r="KKD140"/>
      <c r="KKE140"/>
      <c r="KKF140"/>
      <c r="KKG140"/>
      <c r="KKH140"/>
      <c r="KKI140"/>
      <c r="KKJ140"/>
      <c r="KKK140"/>
      <c r="KKL140"/>
      <c r="KKM140"/>
      <c r="KKN140"/>
      <c r="KKO140"/>
      <c r="KKP140"/>
      <c r="KKQ140"/>
      <c r="KKR140"/>
      <c r="KKS140"/>
      <c r="KKT140"/>
      <c r="KKU140"/>
      <c r="KKV140"/>
      <c r="KKW140"/>
      <c r="KKX140"/>
      <c r="KKY140"/>
      <c r="KKZ140"/>
      <c r="KLA140"/>
      <c r="KLB140"/>
      <c r="KLC140"/>
      <c r="KLD140"/>
      <c r="KLE140"/>
      <c r="KLF140"/>
      <c r="KLG140"/>
      <c r="KLH140"/>
      <c r="KLI140"/>
      <c r="KLJ140"/>
      <c r="KLK140"/>
      <c r="KLL140"/>
      <c r="KLM140"/>
      <c r="KLN140"/>
      <c r="KLO140"/>
      <c r="KLP140"/>
      <c r="KLQ140"/>
      <c r="KLR140"/>
      <c r="KLS140"/>
      <c r="KLT140"/>
      <c r="KLU140"/>
      <c r="KLV140"/>
      <c r="KLW140"/>
      <c r="KLX140"/>
      <c r="KLY140"/>
      <c r="KLZ140"/>
      <c r="KMA140"/>
      <c r="KMB140"/>
      <c r="KMC140"/>
      <c r="KMD140"/>
      <c r="KME140"/>
      <c r="KMF140"/>
      <c r="KMG140"/>
      <c r="KMH140"/>
      <c r="KMI140"/>
      <c r="KMJ140"/>
      <c r="KMK140"/>
      <c r="KML140"/>
      <c r="KMM140"/>
      <c r="KMN140"/>
      <c r="KMO140"/>
      <c r="KMP140"/>
      <c r="KMQ140"/>
      <c r="KMR140"/>
      <c r="KMS140"/>
      <c r="KMT140"/>
      <c r="KMU140"/>
      <c r="KMV140"/>
      <c r="KMW140"/>
      <c r="KMX140"/>
      <c r="KMY140"/>
      <c r="KMZ140"/>
      <c r="KNA140"/>
      <c r="KNB140"/>
      <c r="KNC140"/>
      <c r="KND140"/>
      <c r="KNE140"/>
      <c r="KNF140"/>
      <c r="KNG140"/>
      <c r="KNH140"/>
      <c r="KNI140"/>
      <c r="KNJ140"/>
      <c r="KNK140"/>
      <c r="KNL140"/>
      <c r="KNM140"/>
      <c r="KNN140"/>
      <c r="KNO140"/>
      <c r="KNP140"/>
      <c r="KNQ140"/>
      <c r="KNR140"/>
      <c r="KNS140"/>
      <c r="KNT140"/>
      <c r="KNU140"/>
      <c r="KNV140"/>
      <c r="KNW140"/>
      <c r="KNX140"/>
      <c r="KNY140"/>
      <c r="KNZ140"/>
      <c r="KOA140"/>
      <c r="KOB140"/>
      <c r="KOC140"/>
      <c r="KOD140"/>
      <c r="KOE140"/>
      <c r="KOF140"/>
      <c r="KOG140"/>
      <c r="KOH140"/>
      <c r="KOI140"/>
      <c r="KOJ140"/>
      <c r="KOK140"/>
      <c r="KOL140"/>
      <c r="KOM140"/>
      <c r="KON140"/>
      <c r="KOO140"/>
      <c r="KOP140"/>
      <c r="KOQ140"/>
      <c r="KOR140"/>
      <c r="KOS140"/>
      <c r="KOT140"/>
      <c r="KOU140"/>
      <c r="KOV140"/>
      <c r="KOW140"/>
      <c r="KOX140"/>
      <c r="KOY140"/>
      <c r="KOZ140"/>
      <c r="KPA140"/>
      <c r="KPB140"/>
      <c r="KPC140"/>
      <c r="KPD140"/>
      <c r="KPE140"/>
      <c r="KPF140"/>
      <c r="KPG140"/>
      <c r="KPH140"/>
      <c r="KPI140"/>
      <c r="KPJ140"/>
      <c r="KPK140"/>
      <c r="KPL140"/>
      <c r="KPM140"/>
      <c r="KPN140"/>
      <c r="KPO140"/>
      <c r="KPP140"/>
      <c r="KPQ140"/>
      <c r="KPR140"/>
      <c r="KPS140"/>
      <c r="KPT140"/>
      <c r="KPU140"/>
      <c r="KPV140"/>
      <c r="KPW140"/>
      <c r="KPX140"/>
      <c r="KPY140"/>
      <c r="KPZ140"/>
      <c r="KQA140"/>
      <c r="KQB140"/>
      <c r="KQC140"/>
      <c r="KQD140"/>
      <c r="KQE140"/>
      <c r="KQF140"/>
      <c r="KQG140"/>
      <c r="KQH140"/>
      <c r="KQI140"/>
      <c r="KQJ140"/>
      <c r="KQK140"/>
      <c r="KQL140"/>
      <c r="KQM140"/>
      <c r="KQN140"/>
      <c r="KQO140"/>
      <c r="KQP140"/>
      <c r="KQQ140"/>
      <c r="KQR140"/>
      <c r="KQS140"/>
      <c r="KQT140"/>
      <c r="KQU140"/>
      <c r="KQV140"/>
      <c r="KQW140"/>
      <c r="KQX140"/>
      <c r="KQY140"/>
      <c r="KQZ140"/>
      <c r="KRA140"/>
      <c r="KRB140"/>
      <c r="KRC140"/>
      <c r="KRD140"/>
      <c r="KRE140"/>
      <c r="KRF140"/>
      <c r="KRG140"/>
      <c r="KRH140"/>
      <c r="KRI140"/>
      <c r="KRJ140"/>
      <c r="KRK140"/>
      <c r="KRL140"/>
      <c r="KRM140"/>
      <c r="KRN140"/>
      <c r="KRO140"/>
      <c r="KRP140"/>
      <c r="KRQ140"/>
      <c r="KRR140"/>
      <c r="KRS140"/>
      <c r="KRT140"/>
      <c r="KRU140"/>
      <c r="KRV140"/>
      <c r="KRW140"/>
      <c r="KRX140"/>
      <c r="KRY140"/>
      <c r="KRZ140"/>
      <c r="KSA140"/>
      <c r="KSB140"/>
      <c r="KSC140"/>
      <c r="KSD140"/>
      <c r="KSE140"/>
      <c r="KSF140"/>
      <c r="KSG140"/>
      <c r="KSH140"/>
      <c r="KSI140"/>
      <c r="KSJ140"/>
      <c r="KSK140"/>
      <c r="KSL140"/>
      <c r="KSM140"/>
      <c r="KSN140"/>
      <c r="KSO140"/>
      <c r="KSP140"/>
      <c r="KSQ140"/>
      <c r="KSR140"/>
      <c r="KSS140"/>
      <c r="KST140"/>
      <c r="KSU140"/>
      <c r="KSV140"/>
      <c r="KSW140"/>
      <c r="KSX140"/>
      <c r="KSY140"/>
      <c r="KSZ140"/>
      <c r="KTA140"/>
      <c r="KTB140"/>
      <c r="KTC140"/>
      <c r="KTD140"/>
      <c r="KTE140"/>
      <c r="KTF140"/>
      <c r="KTG140"/>
      <c r="KTH140"/>
      <c r="KTI140"/>
      <c r="KTJ140"/>
      <c r="KTK140"/>
      <c r="KTL140"/>
      <c r="KTM140"/>
      <c r="KTN140"/>
      <c r="KTO140"/>
      <c r="KTP140"/>
      <c r="KTQ140"/>
      <c r="KTR140"/>
      <c r="KTS140"/>
      <c r="KTT140"/>
      <c r="KTU140"/>
      <c r="KTV140"/>
      <c r="KTW140"/>
      <c r="KTX140"/>
      <c r="KTY140"/>
      <c r="KTZ140"/>
      <c r="KUA140"/>
      <c r="KUB140"/>
      <c r="KUC140"/>
      <c r="KUD140"/>
      <c r="KUE140"/>
      <c r="KUF140"/>
      <c r="KUG140"/>
      <c r="KUH140"/>
      <c r="KUI140"/>
      <c r="KUJ140"/>
      <c r="KUK140"/>
      <c r="KUL140"/>
      <c r="KUM140"/>
      <c r="KUN140"/>
      <c r="KUO140"/>
      <c r="KUP140"/>
      <c r="KUQ140"/>
      <c r="KUR140"/>
      <c r="KUS140"/>
      <c r="KUT140"/>
      <c r="KUU140"/>
      <c r="KUV140"/>
      <c r="KUW140"/>
      <c r="KUX140"/>
      <c r="KUY140"/>
      <c r="KUZ140"/>
      <c r="KVA140"/>
      <c r="KVB140"/>
      <c r="KVC140"/>
      <c r="KVD140"/>
      <c r="KVE140"/>
      <c r="KVF140"/>
      <c r="KVG140"/>
      <c r="KVH140"/>
      <c r="KVI140"/>
      <c r="KVJ140"/>
      <c r="KVK140"/>
      <c r="KVL140"/>
      <c r="KVM140"/>
      <c r="KVN140"/>
      <c r="KVO140"/>
      <c r="KVP140"/>
      <c r="KVQ140"/>
      <c r="KVR140"/>
      <c r="KVS140"/>
      <c r="KVT140"/>
      <c r="KVU140"/>
      <c r="KVV140"/>
      <c r="KVW140"/>
      <c r="KVX140"/>
      <c r="KVY140"/>
      <c r="KVZ140"/>
      <c r="KWA140"/>
      <c r="KWB140"/>
      <c r="KWC140"/>
      <c r="KWD140"/>
      <c r="KWE140"/>
      <c r="KWF140"/>
      <c r="KWG140"/>
      <c r="KWH140"/>
      <c r="KWI140"/>
      <c r="KWJ140"/>
      <c r="KWK140"/>
      <c r="KWL140"/>
      <c r="KWM140"/>
      <c r="KWN140"/>
      <c r="KWO140"/>
      <c r="KWP140"/>
      <c r="KWQ140"/>
      <c r="KWR140"/>
      <c r="KWS140"/>
      <c r="KWT140"/>
      <c r="KWU140"/>
      <c r="KWV140"/>
      <c r="KWW140"/>
      <c r="KWX140"/>
      <c r="KWY140"/>
      <c r="KWZ140"/>
      <c r="KXA140"/>
      <c r="KXB140"/>
      <c r="KXC140"/>
      <c r="KXD140"/>
      <c r="KXE140"/>
      <c r="KXF140"/>
      <c r="KXG140"/>
      <c r="KXH140"/>
      <c r="KXI140"/>
      <c r="KXJ140"/>
      <c r="KXK140"/>
      <c r="KXL140"/>
      <c r="KXM140"/>
      <c r="KXN140"/>
      <c r="KXO140"/>
      <c r="KXP140"/>
      <c r="KXQ140"/>
      <c r="KXR140"/>
      <c r="KXS140"/>
      <c r="KXT140"/>
      <c r="KXU140"/>
      <c r="KXV140"/>
      <c r="KXW140"/>
      <c r="KXX140"/>
      <c r="KXY140"/>
      <c r="KXZ140"/>
      <c r="KYA140"/>
      <c r="KYB140"/>
      <c r="KYC140"/>
      <c r="KYD140"/>
      <c r="KYE140"/>
      <c r="KYF140"/>
      <c r="KYG140"/>
      <c r="KYH140"/>
      <c r="KYI140"/>
      <c r="KYJ140"/>
      <c r="KYK140"/>
      <c r="KYL140"/>
      <c r="KYM140"/>
      <c r="KYN140"/>
      <c r="KYO140"/>
      <c r="KYP140"/>
      <c r="KYQ140"/>
      <c r="KYR140"/>
      <c r="KYS140"/>
      <c r="KYT140"/>
      <c r="KYU140"/>
      <c r="KYV140"/>
      <c r="KYW140"/>
      <c r="KYX140"/>
      <c r="KYY140"/>
      <c r="KYZ140"/>
      <c r="KZA140"/>
      <c r="KZB140"/>
      <c r="KZC140"/>
      <c r="KZD140"/>
      <c r="KZE140"/>
      <c r="KZF140"/>
      <c r="KZG140"/>
      <c r="KZH140"/>
      <c r="KZI140"/>
      <c r="KZJ140"/>
      <c r="KZK140"/>
      <c r="KZL140"/>
      <c r="KZM140"/>
      <c r="KZN140"/>
      <c r="KZO140"/>
      <c r="KZP140"/>
      <c r="KZQ140"/>
      <c r="KZR140"/>
      <c r="KZS140"/>
      <c r="KZT140"/>
      <c r="KZU140"/>
      <c r="KZV140"/>
      <c r="KZW140"/>
      <c r="KZX140"/>
      <c r="KZY140"/>
      <c r="KZZ140"/>
      <c r="LAA140"/>
      <c r="LAB140"/>
      <c r="LAC140"/>
      <c r="LAD140"/>
      <c r="LAE140"/>
      <c r="LAF140"/>
      <c r="LAG140"/>
      <c r="LAH140"/>
      <c r="LAI140"/>
      <c r="LAJ140"/>
      <c r="LAK140"/>
      <c r="LAL140"/>
      <c r="LAM140"/>
      <c r="LAN140"/>
      <c r="LAO140"/>
      <c r="LAP140"/>
      <c r="LAQ140"/>
      <c r="LAR140"/>
      <c r="LAS140"/>
      <c r="LAT140"/>
      <c r="LAU140"/>
      <c r="LAV140"/>
      <c r="LAW140"/>
      <c r="LAX140"/>
      <c r="LAY140"/>
      <c r="LAZ140"/>
      <c r="LBA140"/>
      <c r="LBB140"/>
      <c r="LBC140"/>
      <c r="LBD140"/>
      <c r="LBE140"/>
      <c r="LBF140"/>
      <c r="LBG140"/>
      <c r="LBH140"/>
      <c r="LBI140"/>
      <c r="LBJ140"/>
      <c r="LBK140"/>
      <c r="LBL140"/>
      <c r="LBM140"/>
      <c r="LBN140"/>
      <c r="LBO140"/>
      <c r="LBP140"/>
      <c r="LBQ140"/>
      <c r="LBR140"/>
      <c r="LBS140"/>
      <c r="LBT140"/>
      <c r="LBU140"/>
      <c r="LBV140"/>
      <c r="LBW140"/>
      <c r="LBX140"/>
      <c r="LBY140"/>
      <c r="LBZ140"/>
      <c r="LCA140"/>
      <c r="LCB140"/>
      <c r="LCC140"/>
      <c r="LCD140"/>
      <c r="LCE140"/>
      <c r="LCF140"/>
      <c r="LCG140"/>
      <c r="LCH140"/>
      <c r="LCI140"/>
      <c r="LCJ140"/>
      <c r="LCK140"/>
      <c r="LCL140"/>
      <c r="LCM140"/>
      <c r="LCN140"/>
      <c r="LCO140"/>
      <c r="LCP140"/>
      <c r="LCQ140"/>
      <c r="LCR140"/>
      <c r="LCS140"/>
      <c r="LCT140"/>
      <c r="LCU140"/>
      <c r="LCV140"/>
      <c r="LCW140"/>
      <c r="LCX140"/>
      <c r="LCY140"/>
      <c r="LCZ140"/>
      <c r="LDA140"/>
      <c r="LDB140"/>
      <c r="LDC140"/>
      <c r="LDD140"/>
      <c r="LDE140"/>
      <c r="LDF140"/>
      <c r="LDG140"/>
      <c r="LDH140"/>
      <c r="LDI140"/>
      <c r="LDJ140"/>
      <c r="LDK140"/>
      <c r="LDL140"/>
      <c r="LDM140"/>
      <c r="LDN140"/>
      <c r="LDO140"/>
      <c r="LDP140"/>
      <c r="LDQ140"/>
      <c r="LDR140"/>
      <c r="LDS140"/>
      <c r="LDT140"/>
      <c r="LDU140"/>
      <c r="LDV140"/>
      <c r="LDW140"/>
      <c r="LDX140"/>
      <c r="LDY140"/>
      <c r="LDZ140"/>
      <c r="LEA140"/>
      <c r="LEB140"/>
      <c r="LEC140"/>
      <c r="LED140"/>
      <c r="LEE140"/>
      <c r="LEF140"/>
      <c r="LEG140"/>
      <c r="LEH140"/>
      <c r="LEI140"/>
      <c r="LEJ140"/>
      <c r="LEK140"/>
      <c r="LEL140"/>
      <c r="LEM140"/>
      <c r="LEN140"/>
      <c r="LEO140"/>
      <c r="LEP140"/>
      <c r="LEQ140"/>
      <c r="LER140"/>
      <c r="LES140"/>
      <c r="LET140"/>
      <c r="LEU140"/>
      <c r="LEV140"/>
      <c r="LEW140"/>
      <c r="LEX140"/>
      <c r="LEY140"/>
      <c r="LEZ140"/>
      <c r="LFA140"/>
      <c r="LFB140"/>
      <c r="LFC140"/>
      <c r="LFD140"/>
      <c r="LFE140"/>
      <c r="LFF140"/>
      <c r="LFG140"/>
      <c r="LFH140"/>
      <c r="LFI140"/>
      <c r="LFJ140"/>
      <c r="LFK140"/>
      <c r="LFL140"/>
      <c r="LFM140"/>
      <c r="LFN140"/>
      <c r="LFO140"/>
      <c r="LFP140"/>
      <c r="LFQ140"/>
      <c r="LFR140"/>
      <c r="LFS140"/>
      <c r="LFT140"/>
      <c r="LFU140"/>
      <c r="LFV140"/>
      <c r="LFW140"/>
      <c r="LFX140"/>
      <c r="LFY140"/>
      <c r="LFZ140"/>
      <c r="LGA140"/>
      <c r="LGB140"/>
      <c r="LGC140"/>
      <c r="LGD140"/>
      <c r="LGE140"/>
      <c r="LGF140"/>
      <c r="LGG140"/>
      <c r="LGH140"/>
      <c r="LGI140"/>
      <c r="LGJ140"/>
      <c r="LGK140"/>
      <c r="LGL140"/>
      <c r="LGM140"/>
      <c r="LGN140"/>
      <c r="LGO140"/>
      <c r="LGP140"/>
      <c r="LGQ140"/>
      <c r="LGR140"/>
      <c r="LGS140"/>
      <c r="LGT140"/>
      <c r="LGU140"/>
      <c r="LGV140"/>
      <c r="LGW140"/>
      <c r="LGX140"/>
      <c r="LGY140"/>
      <c r="LGZ140"/>
      <c r="LHA140"/>
      <c r="LHB140"/>
      <c r="LHC140"/>
      <c r="LHD140"/>
      <c r="LHE140"/>
      <c r="LHF140"/>
      <c r="LHG140"/>
      <c r="LHH140"/>
      <c r="LHI140"/>
      <c r="LHJ140"/>
      <c r="LHK140"/>
      <c r="LHL140"/>
      <c r="LHM140"/>
      <c r="LHN140"/>
      <c r="LHO140"/>
      <c r="LHP140"/>
      <c r="LHQ140"/>
      <c r="LHR140"/>
      <c r="LHS140"/>
      <c r="LHT140"/>
      <c r="LHU140"/>
      <c r="LHV140"/>
      <c r="LHW140"/>
      <c r="LHX140"/>
      <c r="LHY140"/>
      <c r="LHZ140"/>
      <c r="LIA140"/>
      <c r="LIB140"/>
      <c r="LIC140"/>
      <c r="LID140"/>
      <c r="LIE140"/>
      <c r="LIF140"/>
      <c r="LIG140"/>
      <c r="LIH140"/>
      <c r="LII140"/>
      <c r="LIJ140"/>
      <c r="LIK140"/>
      <c r="LIL140"/>
      <c r="LIM140"/>
      <c r="LIN140"/>
      <c r="LIO140"/>
      <c r="LIP140"/>
      <c r="LIQ140"/>
      <c r="LIR140"/>
      <c r="LIS140"/>
      <c r="LIT140"/>
      <c r="LIU140"/>
      <c r="LIV140"/>
      <c r="LIW140"/>
      <c r="LIX140"/>
      <c r="LIY140"/>
      <c r="LIZ140"/>
      <c r="LJA140"/>
      <c r="LJB140"/>
      <c r="LJC140"/>
      <c r="LJD140"/>
      <c r="LJE140"/>
      <c r="LJF140"/>
      <c r="LJG140"/>
      <c r="LJH140"/>
      <c r="LJI140"/>
      <c r="LJJ140"/>
      <c r="LJK140"/>
      <c r="LJL140"/>
      <c r="LJM140"/>
      <c r="LJN140"/>
      <c r="LJO140"/>
      <c r="LJP140"/>
      <c r="LJQ140"/>
      <c r="LJR140"/>
      <c r="LJS140"/>
      <c r="LJT140"/>
      <c r="LJU140"/>
      <c r="LJV140"/>
      <c r="LJW140"/>
      <c r="LJX140"/>
      <c r="LJY140"/>
      <c r="LJZ140"/>
      <c r="LKA140"/>
      <c r="LKB140"/>
      <c r="LKC140"/>
      <c r="LKD140"/>
      <c r="LKE140"/>
      <c r="LKF140"/>
      <c r="LKG140"/>
      <c r="LKH140"/>
      <c r="LKI140"/>
      <c r="LKJ140"/>
      <c r="LKK140"/>
      <c r="LKL140"/>
      <c r="LKM140"/>
      <c r="LKN140"/>
      <c r="LKO140"/>
      <c r="LKP140"/>
      <c r="LKQ140"/>
      <c r="LKR140"/>
      <c r="LKS140"/>
      <c r="LKT140"/>
      <c r="LKU140"/>
      <c r="LKV140"/>
      <c r="LKW140"/>
      <c r="LKX140"/>
      <c r="LKY140"/>
      <c r="LKZ140"/>
      <c r="LLA140"/>
      <c r="LLB140"/>
      <c r="LLC140"/>
      <c r="LLD140"/>
      <c r="LLE140"/>
      <c r="LLF140"/>
      <c r="LLG140"/>
      <c r="LLH140"/>
      <c r="LLI140"/>
      <c r="LLJ140"/>
      <c r="LLK140"/>
      <c r="LLL140"/>
      <c r="LLM140"/>
      <c r="LLN140"/>
      <c r="LLO140"/>
      <c r="LLP140"/>
      <c r="LLQ140"/>
      <c r="LLR140"/>
      <c r="LLS140"/>
      <c r="LLT140"/>
      <c r="LLU140"/>
      <c r="LLV140"/>
      <c r="LLW140"/>
      <c r="LLX140"/>
      <c r="LLY140"/>
      <c r="LLZ140"/>
      <c r="LMA140"/>
      <c r="LMB140"/>
      <c r="LMC140"/>
      <c r="LMD140"/>
      <c r="LME140"/>
      <c r="LMF140"/>
      <c r="LMG140"/>
      <c r="LMH140"/>
      <c r="LMI140"/>
      <c r="LMJ140"/>
      <c r="LMK140"/>
      <c r="LML140"/>
      <c r="LMM140"/>
      <c r="LMN140"/>
      <c r="LMO140"/>
      <c r="LMP140"/>
      <c r="LMQ140"/>
      <c r="LMR140"/>
      <c r="LMS140"/>
      <c r="LMT140"/>
      <c r="LMU140"/>
      <c r="LMV140"/>
      <c r="LMW140"/>
      <c r="LMX140"/>
      <c r="LMY140"/>
      <c r="LMZ140"/>
      <c r="LNA140"/>
      <c r="LNB140"/>
      <c r="LNC140"/>
      <c r="LND140"/>
      <c r="LNE140"/>
      <c r="LNF140"/>
      <c r="LNG140"/>
      <c r="LNH140"/>
      <c r="LNI140"/>
      <c r="LNJ140"/>
      <c r="LNK140"/>
      <c r="LNL140"/>
      <c r="LNM140"/>
      <c r="LNN140"/>
      <c r="LNO140"/>
      <c r="LNP140"/>
      <c r="LNQ140"/>
      <c r="LNR140"/>
      <c r="LNS140"/>
      <c r="LNT140"/>
      <c r="LNU140"/>
      <c r="LNV140"/>
      <c r="LNW140"/>
      <c r="LNX140"/>
      <c r="LNY140"/>
      <c r="LNZ140"/>
      <c r="LOA140"/>
      <c r="LOB140"/>
      <c r="LOC140"/>
      <c r="LOD140"/>
      <c r="LOE140"/>
      <c r="LOF140"/>
      <c r="LOG140"/>
      <c r="LOH140"/>
      <c r="LOI140"/>
      <c r="LOJ140"/>
      <c r="LOK140"/>
      <c r="LOL140"/>
      <c r="LOM140"/>
      <c r="LON140"/>
      <c r="LOO140"/>
      <c r="LOP140"/>
      <c r="LOQ140"/>
      <c r="LOR140"/>
      <c r="LOS140"/>
      <c r="LOT140"/>
      <c r="LOU140"/>
      <c r="LOV140"/>
      <c r="LOW140"/>
      <c r="LOX140"/>
      <c r="LOY140"/>
      <c r="LOZ140"/>
      <c r="LPA140"/>
      <c r="LPB140"/>
      <c r="LPC140"/>
      <c r="LPD140"/>
      <c r="LPE140"/>
      <c r="LPF140"/>
      <c r="LPG140"/>
      <c r="LPH140"/>
      <c r="LPI140"/>
      <c r="LPJ140"/>
      <c r="LPK140"/>
      <c r="LPL140"/>
      <c r="LPM140"/>
      <c r="LPN140"/>
      <c r="LPO140"/>
      <c r="LPP140"/>
      <c r="LPQ140"/>
      <c r="LPR140"/>
      <c r="LPS140"/>
      <c r="LPT140"/>
      <c r="LPU140"/>
      <c r="LPV140"/>
      <c r="LPW140"/>
      <c r="LPX140"/>
      <c r="LPY140"/>
      <c r="LPZ140"/>
      <c r="LQA140"/>
      <c r="LQB140"/>
      <c r="LQC140"/>
      <c r="LQD140"/>
      <c r="LQE140"/>
      <c r="LQF140"/>
      <c r="LQG140"/>
      <c r="LQH140"/>
      <c r="LQI140"/>
      <c r="LQJ140"/>
      <c r="LQK140"/>
      <c r="LQL140"/>
      <c r="LQM140"/>
      <c r="LQN140"/>
      <c r="LQO140"/>
      <c r="LQP140"/>
      <c r="LQQ140"/>
      <c r="LQR140"/>
      <c r="LQS140"/>
      <c r="LQT140"/>
      <c r="LQU140"/>
      <c r="LQV140"/>
      <c r="LQW140"/>
      <c r="LQX140"/>
      <c r="LQY140"/>
      <c r="LQZ140"/>
      <c r="LRA140"/>
      <c r="LRB140"/>
      <c r="LRC140"/>
      <c r="LRD140"/>
      <c r="LRE140"/>
      <c r="LRF140"/>
      <c r="LRG140"/>
      <c r="LRH140"/>
      <c r="LRI140"/>
      <c r="LRJ140"/>
      <c r="LRK140"/>
      <c r="LRL140"/>
      <c r="LRM140"/>
      <c r="LRN140"/>
      <c r="LRO140"/>
      <c r="LRP140"/>
      <c r="LRQ140"/>
      <c r="LRR140"/>
      <c r="LRS140"/>
      <c r="LRT140"/>
      <c r="LRU140"/>
      <c r="LRV140"/>
      <c r="LRW140"/>
      <c r="LRX140"/>
      <c r="LRY140"/>
      <c r="LRZ140"/>
      <c r="LSA140"/>
      <c r="LSB140"/>
      <c r="LSC140"/>
      <c r="LSD140"/>
      <c r="LSE140"/>
      <c r="LSF140"/>
      <c r="LSG140"/>
      <c r="LSH140"/>
      <c r="LSI140"/>
      <c r="LSJ140"/>
      <c r="LSK140"/>
      <c r="LSL140"/>
      <c r="LSM140"/>
      <c r="LSN140"/>
      <c r="LSO140"/>
      <c r="LSP140"/>
      <c r="LSQ140"/>
      <c r="LSR140"/>
      <c r="LSS140"/>
      <c r="LST140"/>
      <c r="LSU140"/>
      <c r="LSV140"/>
      <c r="LSW140"/>
      <c r="LSX140"/>
      <c r="LSY140"/>
      <c r="LSZ140"/>
      <c r="LTA140"/>
      <c r="LTB140"/>
      <c r="LTC140"/>
      <c r="LTD140"/>
      <c r="LTE140"/>
      <c r="LTF140"/>
      <c r="LTG140"/>
      <c r="LTH140"/>
      <c r="LTI140"/>
      <c r="LTJ140"/>
      <c r="LTK140"/>
      <c r="LTL140"/>
      <c r="LTM140"/>
      <c r="LTN140"/>
      <c r="LTO140"/>
      <c r="LTP140"/>
      <c r="LTQ140"/>
      <c r="LTR140"/>
      <c r="LTS140"/>
      <c r="LTT140"/>
      <c r="LTU140"/>
      <c r="LTV140"/>
      <c r="LTW140"/>
      <c r="LTX140"/>
      <c r="LTY140"/>
      <c r="LTZ140"/>
      <c r="LUA140"/>
      <c r="LUB140"/>
      <c r="LUC140"/>
      <c r="LUD140"/>
      <c r="LUE140"/>
      <c r="LUF140"/>
      <c r="LUG140"/>
      <c r="LUH140"/>
      <c r="LUI140"/>
      <c r="LUJ140"/>
      <c r="LUK140"/>
      <c r="LUL140"/>
      <c r="LUM140"/>
      <c r="LUN140"/>
      <c r="LUO140"/>
      <c r="LUP140"/>
      <c r="LUQ140"/>
      <c r="LUR140"/>
      <c r="LUS140"/>
      <c r="LUT140"/>
      <c r="LUU140"/>
      <c r="LUV140"/>
      <c r="LUW140"/>
      <c r="LUX140"/>
      <c r="LUY140"/>
      <c r="LUZ140"/>
      <c r="LVA140"/>
      <c r="LVB140"/>
      <c r="LVC140"/>
      <c r="LVD140"/>
      <c r="LVE140"/>
      <c r="LVF140"/>
      <c r="LVG140"/>
      <c r="LVH140"/>
      <c r="LVI140"/>
      <c r="LVJ140"/>
      <c r="LVK140"/>
      <c r="LVL140"/>
      <c r="LVM140"/>
      <c r="LVN140"/>
      <c r="LVO140"/>
      <c r="LVP140"/>
      <c r="LVQ140"/>
      <c r="LVR140"/>
      <c r="LVS140"/>
      <c r="LVT140"/>
      <c r="LVU140"/>
      <c r="LVV140"/>
      <c r="LVW140"/>
      <c r="LVX140"/>
      <c r="LVY140"/>
      <c r="LVZ140"/>
      <c r="LWA140"/>
      <c r="LWB140"/>
      <c r="LWC140"/>
      <c r="LWD140"/>
      <c r="LWE140"/>
      <c r="LWF140"/>
      <c r="LWG140"/>
      <c r="LWH140"/>
      <c r="LWI140"/>
      <c r="LWJ140"/>
      <c r="LWK140"/>
      <c r="LWL140"/>
      <c r="LWM140"/>
      <c r="LWN140"/>
      <c r="LWO140"/>
      <c r="LWP140"/>
      <c r="LWQ140"/>
      <c r="LWR140"/>
      <c r="LWS140"/>
      <c r="LWT140"/>
      <c r="LWU140"/>
      <c r="LWV140"/>
      <c r="LWW140"/>
      <c r="LWX140"/>
      <c r="LWY140"/>
      <c r="LWZ140"/>
      <c r="LXA140"/>
      <c r="LXB140"/>
      <c r="LXC140"/>
      <c r="LXD140"/>
      <c r="LXE140"/>
      <c r="LXF140"/>
      <c r="LXG140"/>
      <c r="LXH140"/>
      <c r="LXI140"/>
      <c r="LXJ140"/>
      <c r="LXK140"/>
      <c r="LXL140"/>
      <c r="LXM140"/>
      <c r="LXN140"/>
      <c r="LXO140"/>
      <c r="LXP140"/>
      <c r="LXQ140"/>
      <c r="LXR140"/>
      <c r="LXS140"/>
      <c r="LXT140"/>
      <c r="LXU140"/>
      <c r="LXV140"/>
      <c r="LXW140"/>
      <c r="LXX140"/>
      <c r="LXY140"/>
      <c r="LXZ140"/>
      <c r="LYA140"/>
      <c r="LYB140"/>
      <c r="LYC140"/>
      <c r="LYD140"/>
      <c r="LYE140"/>
      <c r="LYF140"/>
      <c r="LYG140"/>
      <c r="LYH140"/>
      <c r="LYI140"/>
      <c r="LYJ140"/>
      <c r="LYK140"/>
      <c r="LYL140"/>
      <c r="LYM140"/>
      <c r="LYN140"/>
      <c r="LYO140"/>
      <c r="LYP140"/>
      <c r="LYQ140"/>
      <c r="LYR140"/>
      <c r="LYS140"/>
      <c r="LYT140"/>
      <c r="LYU140"/>
      <c r="LYV140"/>
      <c r="LYW140"/>
      <c r="LYX140"/>
      <c r="LYY140"/>
      <c r="LYZ140"/>
      <c r="LZA140"/>
      <c r="LZB140"/>
      <c r="LZC140"/>
      <c r="LZD140"/>
      <c r="LZE140"/>
      <c r="LZF140"/>
      <c r="LZG140"/>
      <c r="LZH140"/>
      <c r="LZI140"/>
      <c r="LZJ140"/>
      <c r="LZK140"/>
      <c r="LZL140"/>
      <c r="LZM140"/>
      <c r="LZN140"/>
      <c r="LZO140"/>
      <c r="LZP140"/>
      <c r="LZQ140"/>
      <c r="LZR140"/>
      <c r="LZS140"/>
      <c r="LZT140"/>
      <c r="LZU140"/>
      <c r="LZV140"/>
      <c r="LZW140"/>
      <c r="LZX140"/>
      <c r="LZY140"/>
      <c r="LZZ140"/>
      <c r="MAA140"/>
      <c r="MAB140"/>
      <c r="MAC140"/>
      <c r="MAD140"/>
      <c r="MAE140"/>
      <c r="MAF140"/>
      <c r="MAG140"/>
      <c r="MAH140"/>
      <c r="MAI140"/>
      <c r="MAJ140"/>
      <c r="MAK140"/>
      <c r="MAL140"/>
      <c r="MAM140"/>
      <c r="MAN140"/>
      <c r="MAO140"/>
      <c r="MAP140"/>
      <c r="MAQ140"/>
      <c r="MAR140"/>
      <c r="MAS140"/>
      <c r="MAT140"/>
      <c r="MAU140"/>
      <c r="MAV140"/>
      <c r="MAW140"/>
      <c r="MAX140"/>
      <c r="MAY140"/>
      <c r="MAZ140"/>
      <c r="MBA140"/>
      <c r="MBB140"/>
      <c r="MBC140"/>
      <c r="MBD140"/>
      <c r="MBE140"/>
      <c r="MBF140"/>
      <c r="MBG140"/>
      <c r="MBH140"/>
      <c r="MBI140"/>
      <c r="MBJ140"/>
      <c r="MBK140"/>
      <c r="MBL140"/>
      <c r="MBM140"/>
      <c r="MBN140"/>
      <c r="MBO140"/>
      <c r="MBP140"/>
      <c r="MBQ140"/>
      <c r="MBR140"/>
      <c r="MBS140"/>
      <c r="MBT140"/>
      <c r="MBU140"/>
      <c r="MBV140"/>
      <c r="MBW140"/>
      <c r="MBX140"/>
      <c r="MBY140"/>
      <c r="MBZ140"/>
      <c r="MCA140"/>
      <c r="MCB140"/>
      <c r="MCC140"/>
      <c r="MCD140"/>
      <c r="MCE140"/>
      <c r="MCF140"/>
      <c r="MCG140"/>
      <c r="MCH140"/>
      <c r="MCI140"/>
      <c r="MCJ140"/>
      <c r="MCK140"/>
      <c r="MCL140"/>
      <c r="MCM140"/>
      <c r="MCN140"/>
      <c r="MCO140"/>
      <c r="MCP140"/>
      <c r="MCQ140"/>
      <c r="MCR140"/>
      <c r="MCS140"/>
      <c r="MCT140"/>
      <c r="MCU140"/>
      <c r="MCV140"/>
      <c r="MCW140"/>
      <c r="MCX140"/>
      <c r="MCY140"/>
      <c r="MCZ140"/>
      <c r="MDA140"/>
      <c r="MDB140"/>
      <c r="MDC140"/>
      <c r="MDD140"/>
      <c r="MDE140"/>
      <c r="MDF140"/>
      <c r="MDG140"/>
      <c r="MDH140"/>
      <c r="MDI140"/>
      <c r="MDJ140"/>
      <c r="MDK140"/>
      <c r="MDL140"/>
      <c r="MDM140"/>
      <c r="MDN140"/>
      <c r="MDO140"/>
      <c r="MDP140"/>
      <c r="MDQ140"/>
      <c r="MDR140"/>
      <c r="MDS140"/>
      <c r="MDT140"/>
      <c r="MDU140"/>
      <c r="MDV140"/>
      <c r="MDW140"/>
      <c r="MDX140"/>
      <c r="MDY140"/>
      <c r="MDZ140"/>
      <c r="MEA140"/>
      <c r="MEB140"/>
      <c r="MEC140"/>
      <c r="MED140"/>
      <c r="MEE140"/>
      <c r="MEF140"/>
      <c r="MEG140"/>
      <c r="MEH140"/>
      <c r="MEI140"/>
      <c r="MEJ140"/>
      <c r="MEK140"/>
      <c r="MEL140"/>
      <c r="MEM140"/>
      <c r="MEN140"/>
      <c r="MEO140"/>
      <c r="MEP140"/>
      <c r="MEQ140"/>
      <c r="MER140"/>
      <c r="MES140"/>
      <c r="MET140"/>
      <c r="MEU140"/>
      <c r="MEV140"/>
      <c r="MEW140"/>
      <c r="MEX140"/>
      <c r="MEY140"/>
      <c r="MEZ140"/>
      <c r="MFA140"/>
      <c r="MFB140"/>
      <c r="MFC140"/>
      <c r="MFD140"/>
      <c r="MFE140"/>
      <c r="MFF140"/>
      <c r="MFG140"/>
      <c r="MFH140"/>
      <c r="MFI140"/>
      <c r="MFJ140"/>
      <c r="MFK140"/>
      <c r="MFL140"/>
      <c r="MFM140"/>
      <c r="MFN140"/>
      <c r="MFO140"/>
      <c r="MFP140"/>
      <c r="MFQ140"/>
      <c r="MFR140"/>
      <c r="MFS140"/>
      <c r="MFT140"/>
      <c r="MFU140"/>
      <c r="MFV140"/>
      <c r="MFW140"/>
      <c r="MFX140"/>
      <c r="MFY140"/>
      <c r="MFZ140"/>
      <c r="MGA140"/>
      <c r="MGB140"/>
      <c r="MGC140"/>
      <c r="MGD140"/>
      <c r="MGE140"/>
      <c r="MGF140"/>
      <c r="MGG140"/>
      <c r="MGH140"/>
      <c r="MGI140"/>
      <c r="MGJ140"/>
      <c r="MGK140"/>
      <c r="MGL140"/>
      <c r="MGM140"/>
      <c r="MGN140"/>
      <c r="MGO140"/>
      <c r="MGP140"/>
      <c r="MGQ140"/>
      <c r="MGR140"/>
      <c r="MGS140"/>
      <c r="MGT140"/>
      <c r="MGU140"/>
      <c r="MGV140"/>
      <c r="MGW140"/>
      <c r="MGX140"/>
      <c r="MGY140"/>
      <c r="MGZ140"/>
      <c r="MHA140"/>
      <c r="MHB140"/>
      <c r="MHC140"/>
      <c r="MHD140"/>
      <c r="MHE140"/>
      <c r="MHF140"/>
      <c r="MHG140"/>
      <c r="MHH140"/>
      <c r="MHI140"/>
      <c r="MHJ140"/>
      <c r="MHK140"/>
      <c r="MHL140"/>
      <c r="MHM140"/>
      <c r="MHN140"/>
      <c r="MHO140"/>
      <c r="MHP140"/>
      <c r="MHQ140"/>
      <c r="MHR140"/>
      <c r="MHS140"/>
      <c r="MHT140"/>
      <c r="MHU140"/>
      <c r="MHV140"/>
      <c r="MHW140"/>
      <c r="MHX140"/>
      <c r="MHY140"/>
      <c r="MHZ140"/>
      <c r="MIA140"/>
      <c r="MIB140"/>
      <c r="MIC140"/>
      <c r="MID140"/>
      <c r="MIE140"/>
      <c r="MIF140"/>
      <c r="MIG140"/>
      <c r="MIH140"/>
      <c r="MII140"/>
      <c r="MIJ140"/>
      <c r="MIK140"/>
      <c r="MIL140"/>
      <c r="MIM140"/>
      <c r="MIN140"/>
      <c r="MIO140"/>
      <c r="MIP140"/>
      <c r="MIQ140"/>
      <c r="MIR140"/>
      <c r="MIS140"/>
      <c r="MIT140"/>
      <c r="MIU140"/>
      <c r="MIV140"/>
      <c r="MIW140"/>
      <c r="MIX140"/>
      <c r="MIY140"/>
      <c r="MIZ140"/>
      <c r="MJA140"/>
      <c r="MJB140"/>
      <c r="MJC140"/>
      <c r="MJD140"/>
      <c r="MJE140"/>
      <c r="MJF140"/>
      <c r="MJG140"/>
      <c r="MJH140"/>
      <c r="MJI140"/>
      <c r="MJJ140"/>
      <c r="MJK140"/>
      <c r="MJL140"/>
      <c r="MJM140"/>
      <c r="MJN140"/>
      <c r="MJO140"/>
      <c r="MJP140"/>
      <c r="MJQ140"/>
      <c r="MJR140"/>
      <c r="MJS140"/>
      <c r="MJT140"/>
      <c r="MJU140"/>
      <c r="MJV140"/>
      <c r="MJW140"/>
      <c r="MJX140"/>
      <c r="MJY140"/>
      <c r="MJZ140"/>
      <c r="MKA140"/>
      <c r="MKB140"/>
      <c r="MKC140"/>
      <c r="MKD140"/>
      <c r="MKE140"/>
      <c r="MKF140"/>
      <c r="MKG140"/>
      <c r="MKH140"/>
      <c r="MKI140"/>
      <c r="MKJ140"/>
      <c r="MKK140"/>
      <c r="MKL140"/>
      <c r="MKM140"/>
      <c r="MKN140"/>
      <c r="MKO140"/>
      <c r="MKP140"/>
      <c r="MKQ140"/>
      <c r="MKR140"/>
      <c r="MKS140"/>
      <c r="MKT140"/>
      <c r="MKU140"/>
      <c r="MKV140"/>
      <c r="MKW140"/>
      <c r="MKX140"/>
      <c r="MKY140"/>
      <c r="MKZ140"/>
      <c r="MLA140"/>
      <c r="MLB140"/>
      <c r="MLC140"/>
      <c r="MLD140"/>
      <c r="MLE140"/>
      <c r="MLF140"/>
      <c r="MLG140"/>
      <c r="MLH140"/>
      <c r="MLI140"/>
      <c r="MLJ140"/>
      <c r="MLK140"/>
      <c r="MLL140"/>
      <c r="MLM140"/>
      <c r="MLN140"/>
      <c r="MLO140"/>
      <c r="MLP140"/>
      <c r="MLQ140"/>
      <c r="MLR140"/>
      <c r="MLS140"/>
      <c r="MLT140"/>
      <c r="MLU140"/>
      <c r="MLV140"/>
      <c r="MLW140"/>
      <c r="MLX140"/>
      <c r="MLY140"/>
      <c r="MLZ140"/>
      <c r="MMA140"/>
      <c r="MMB140"/>
      <c r="MMC140"/>
      <c r="MMD140"/>
      <c r="MME140"/>
      <c r="MMF140"/>
      <c r="MMG140"/>
      <c r="MMH140"/>
      <c r="MMI140"/>
      <c r="MMJ140"/>
      <c r="MMK140"/>
      <c r="MML140"/>
      <c r="MMM140"/>
      <c r="MMN140"/>
      <c r="MMO140"/>
      <c r="MMP140"/>
      <c r="MMQ140"/>
      <c r="MMR140"/>
      <c r="MMS140"/>
      <c r="MMT140"/>
      <c r="MMU140"/>
      <c r="MMV140"/>
      <c r="MMW140"/>
      <c r="MMX140"/>
      <c r="MMY140"/>
      <c r="MMZ140"/>
      <c r="MNA140"/>
      <c r="MNB140"/>
      <c r="MNC140"/>
      <c r="MND140"/>
      <c r="MNE140"/>
      <c r="MNF140"/>
      <c r="MNG140"/>
      <c r="MNH140"/>
      <c r="MNI140"/>
      <c r="MNJ140"/>
      <c r="MNK140"/>
      <c r="MNL140"/>
      <c r="MNM140"/>
      <c r="MNN140"/>
      <c r="MNO140"/>
      <c r="MNP140"/>
      <c r="MNQ140"/>
      <c r="MNR140"/>
      <c r="MNS140"/>
      <c r="MNT140"/>
      <c r="MNU140"/>
      <c r="MNV140"/>
      <c r="MNW140"/>
      <c r="MNX140"/>
      <c r="MNY140"/>
      <c r="MNZ140"/>
      <c r="MOA140"/>
      <c r="MOB140"/>
      <c r="MOC140"/>
      <c r="MOD140"/>
      <c r="MOE140"/>
      <c r="MOF140"/>
      <c r="MOG140"/>
      <c r="MOH140"/>
      <c r="MOI140"/>
      <c r="MOJ140"/>
      <c r="MOK140"/>
      <c r="MOL140"/>
      <c r="MOM140"/>
      <c r="MON140"/>
      <c r="MOO140"/>
      <c r="MOP140"/>
      <c r="MOQ140"/>
      <c r="MOR140"/>
      <c r="MOS140"/>
      <c r="MOT140"/>
      <c r="MOU140"/>
      <c r="MOV140"/>
      <c r="MOW140"/>
      <c r="MOX140"/>
      <c r="MOY140"/>
      <c r="MOZ140"/>
      <c r="MPA140"/>
      <c r="MPB140"/>
      <c r="MPC140"/>
      <c r="MPD140"/>
      <c r="MPE140"/>
      <c r="MPF140"/>
      <c r="MPG140"/>
      <c r="MPH140"/>
      <c r="MPI140"/>
      <c r="MPJ140"/>
      <c r="MPK140"/>
      <c r="MPL140"/>
      <c r="MPM140"/>
      <c r="MPN140"/>
      <c r="MPO140"/>
      <c r="MPP140"/>
      <c r="MPQ140"/>
      <c r="MPR140"/>
      <c r="MPS140"/>
      <c r="MPT140"/>
      <c r="MPU140"/>
      <c r="MPV140"/>
      <c r="MPW140"/>
      <c r="MPX140"/>
      <c r="MPY140"/>
      <c r="MPZ140"/>
      <c r="MQA140"/>
      <c r="MQB140"/>
      <c r="MQC140"/>
      <c r="MQD140"/>
      <c r="MQE140"/>
      <c r="MQF140"/>
      <c r="MQG140"/>
      <c r="MQH140"/>
      <c r="MQI140"/>
      <c r="MQJ140"/>
      <c r="MQK140"/>
      <c r="MQL140"/>
      <c r="MQM140"/>
      <c r="MQN140"/>
      <c r="MQO140"/>
      <c r="MQP140"/>
      <c r="MQQ140"/>
      <c r="MQR140"/>
      <c r="MQS140"/>
      <c r="MQT140"/>
      <c r="MQU140"/>
      <c r="MQV140"/>
      <c r="MQW140"/>
      <c r="MQX140"/>
      <c r="MQY140"/>
      <c r="MQZ140"/>
      <c r="MRA140"/>
      <c r="MRB140"/>
      <c r="MRC140"/>
      <c r="MRD140"/>
      <c r="MRE140"/>
      <c r="MRF140"/>
      <c r="MRG140"/>
      <c r="MRH140"/>
      <c r="MRI140"/>
      <c r="MRJ140"/>
      <c r="MRK140"/>
      <c r="MRL140"/>
      <c r="MRM140"/>
      <c r="MRN140"/>
      <c r="MRO140"/>
      <c r="MRP140"/>
      <c r="MRQ140"/>
      <c r="MRR140"/>
      <c r="MRS140"/>
      <c r="MRT140"/>
      <c r="MRU140"/>
      <c r="MRV140"/>
      <c r="MRW140"/>
      <c r="MRX140"/>
      <c r="MRY140"/>
      <c r="MRZ140"/>
      <c r="MSA140"/>
      <c r="MSB140"/>
      <c r="MSC140"/>
      <c r="MSD140"/>
      <c r="MSE140"/>
      <c r="MSF140"/>
      <c r="MSG140"/>
      <c r="MSH140"/>
      <c r="MSI140"/>
      <c r="MSJ140"/>
      <c r="MSK140"/>
      <c r="MSL140"/>
      <c r="MSM140"/>
      <c r="MSN140"/>
      <c r="MSO140"/>
      <c r="MSP140"/>
      <c r="MSQ140"/>
      <c r="MSR140"/>
      <c r="MSS140"/>
      <c r="MST140"/>
      <c r="MSU140"/>
      <c r="MSV140"/>
      <c r="MSW140"/>
      <c r="MSX140"/>
      <c r="MSY140"/>
      <c r="MSZ140"/>
      <c r="MTA140"/>
      <c r="MTB140"/>
      <c r="MTC140"/>
      <c r="MTD140"/>
      <c r="MTE140"/>
      <c r="MTF140"/>
      <c r="MTG140"/>
      <c r="MTH140"/>
      <c r="MTI140"/>
      <c r="MTJ140"/>
      <c r="MTK140"/>
      <c r="MTL140"/>
      <c r="MTM140"/>
      <c r="MTN140"/>
      <c r="MTO140"/>
      <c r="MTP140"/>
      <c r="MTQ140"/>
      <c r="MTR140"/>
      <c r="MTS140"/>
      <c r="MTT140"/>
      <c r="MTU140"/>
      <c r="MTV140"/>
      <c r="MTW140"/>
      <c r="MTX140"/>
      <c r="MTY140"/>
      <c r="MTZ140"/>
      <c r="MUA140"/>
      <c r="MUB140"/>
      <c r="MUC140"/>
      <c r="MUD140"/>
      <c r="MUE140"/>
      <c r="MUF140"/>
      <c r="MUG140"/>
      <c r="MUH140"/>
      <c r="MUI140"/>
      <c r="MUJ140"/>
      <c r="MUK140"/>
      <c r="MUL140"/>
      <c r="MUM140"/>
      <c r="MUN140"/>
      <c r="MUO140"/>
      <c r="MUP140"/>
      <c r="MUQ140"/>
      <c r="MUR140"/>
      <c r="MUS140"/>
      <c r="MUT140"/>
      <c r="MUU140"/>
      <c r="MUV140"/>
      <c r="MUW140"/>
      <c r="MUX140"/>
      <c r="MUY140"/>
      <c r="MUZ140"/>
      <c r="MVA140"/>
      <c r="MVB140"/>
      <c r="MVC140"/>
      <c r="MVD140"/>
      <c r="MVE140"/>
      <c r="MVF140"/>
      <c r="MVG140"/>
      <c r="MVH140"/>
      <c r="MVI140"/>
      <c r="MVJ140"/>
      <c r="MVK140"/>
      <c r="MVL140"/>
      <c r="MVM140"/>
      <c r="MVN140"/>
      <c r="MVO140"/>
      <c r="MVP140"/>
      <c r="MVQ140"/>
      <c r="MVR140"/>
      <c r="MVS140"/>
      <c r="MVT140"/>
      <c r="MVU140"/>
      <c r="MVV140"/>
      <c r="MVW140"/>
      <c r="MVX140"/>
      <c r="MVY140"/>
      <c r="MVZ140"/>
      <c r="MWA140"/>
      <c r="MWB140"/>
      <c r="MWC140"/>
      <c r="MWD140"/>
      <c r="MWE140"/>
      <c r="MWF140"/>
      <c r="MWG140"/>
      <c r="MWH140"/>
      <c r="MWI140"/>
      <c r="MWJ140"/>
      <c r="MWK140"/>
      <c r="MWL140"/>
      <c r="MWM140"/>
      <c r="MWN140"/>
      <c r="MWO140"/>
      <c r="MWP140"/>
      <c r="MWQ140"/>
      <c r="MWR140"/>
      <c r="MWS140"/>
      <c r="MWT140"/>
      <c r="MWU140"/>
      <c r="MWV140"/>
      <c r="MWW140"/>
      <c r="MWX140"/>
      <c r="MWY140"/>
      <c r="MWZ140"/>
      <c r="MXA140"/>
      <c r="MXB140"/>
      <c r="MXC140"/>
      <c r="MXD140"/>
      <c r="MXE140"/>
      <c r="MXF140"/>
      <c r="MXG140"/>
      <c r="MXH140"/>
      <c r="MXI140"/>
      <c r="MXJ140"/>
      <c r="MXK140"/>
      <c r="MXL140"/>
      <c r="MXM140"/>
      <c r="MXN140"/>
      <c r="MXO140"/>
      <c r="MXP140"/>
      <c r="MXQ140"/>
      <c r="MXR140"/>
      <c r="MXS140"/>
      <c r="MXT140"/>
      <c r="MXU140"/>
      <c r="MXV140"/>
      <c r="MXW140"/>
      <c r="MXX140"/>
      <c r="MXY140"/>
      <c r="MXZ140"/>
      <c r="MYA140"/>
      <c r="MYB140"/>
      <c r="MYC140"/>
      <c r="MYD140"/>
      <c r="MYE140"/>
      <c r="MYF140"/>
      <c r="MYG140"/>
      <c r="MYH140"/>
      <c r="MYI140"/>
      <c r="MYJ140"/>
      <c r="MYK140"/>
      <c r="MYL140"/>
      <c r="MYM140"/>
      <c r="MYN140"/>
      <c r="MYO140"/>
      <c r="MYP140"/>
      <c r="MYQ140"/>
      <c r="MYR140"/>
      <c r="MYS140"/>
      <c r="MYT140"/>
      <c r="MYU140"/>
      <c r="MYV140"/>
      <c r="MYW140"/>
      <c r="MYX140"/>
      <c r="MYY140"/>
      <c r="MYZ140"/>
      <c r="MZA140"/>
      <c r="MZB140"/>
      <c r="MZC140"/>
      <c r="MZD140"/>
      <c r="MZE140"/>
      <c r="MZF140"/>
      <c r="MZG140"/>
      <c r="MZH140"/>
      <c r="MZI140"/>
      <c r="MZJ140"/>
      <c r="MZK140"/>
      <c r="MZL140"/>
      <c r="MZM140"/>
      <c r="MZN140"/>
      <c r="MZO140"/>
      <c r="MZP140"/>
      <c r="MZQ140"/>
      <c r="MZR140"/>
      <c r="MZS140"/>
      <c r="MZT140"/>
      <c r="MZU140"/>
      <c r="MZV140"/>
      <c r="MZW140"/>
      <c r="MZX140"/>
      <c r="MZY140"/>
      <c r="MZZ140"/>
      <c r="NAA140"/>
      <c r="NAB140"/>
      <c r="NAC140"/>
      <c r="NAD140"/>
      <c r="NAE140"/>
      <c r="NAF140"/>
      <c r="NAG140"/>
      <c r="NAH140"/>
      <c r="NAI140"/>
      <c r="NAJ140"/>
      <c r="NAK140"/>
      <c r="NAL140"/>
      <c r="NAM140"/>
      <c r="NAN140"/>
      <c r="NAO140"/>
      <c r="NAP140"/>
      <c r="NAQ140"/>
      <c r="NAR140"/>
      <c r="NAS140"/>
      <c r="NAT140"/>
      <c r="NAU140"/>
      <c r="NAV140"/>
      <c r="NAW140"/>
      <c r="NAX140"/>
      <c r="NAY140"/>
      <c r="NAZ140"/>
      <c r="NBA140"/>
      <c r="NBB140"/>
      <c r="NBC140"/>
      <c r="NBD140"/>
      <c r="NBE140"/>
      <c r="NBF140"/>
      <c r="NBG140"/>
      <c r="NBH140"/>
      <c r="NBI140"/>
      <c r="NBJ140"/>
      <c r="NBK140"/>
      <c r="NBL140"/>
      <c r="NBM140"/>
      <c r="NBN140"/>
      <c r="NBO140"/>
      <c r="NBP140"/>
      <c r="NBQ140"/>
      <c r="NBR140"/>
      <c r="NBS140"/>
      <c r="NBT140"/>
      <c r="NBU140"/>
      <c r="NBV140"/>
      <c r="NBW140"/>
      <c r="NBX140"/>
      <c r="NBY140"/>
      <c r="NBZ140"/>
      <c r="NCA140"/>
      <c r="NCB140"/>
      <c r="NCC140"/>
      <c r="NCD140"/>
      <c r="NCE140"/>
      <c r="NCF140"/>
      <c r="NCG140"/>
      <c r="NCH140"/>
      <c r="NCI140"/>
      <c r="NCJ140"/>
      <c r="NCK140"/>
      <c r="NCL140"/>
      <c r="NCM140"/>
      <c r="NCN140"/>
      <c r="NCO140"/>
      <c r="NCP140"/>
      <c r="NCQ140"/>
      <c r="NCR140"/>
      <c r="NCS140"/>
      <c r="NCT140"/>
      <c r="NCU140"/>
      <c r="NCV140"/>
      <c r="NCW140"/>
      <c r="NCX140"/>
      <c r="NCY140"/>
      <c r="NCZ140"/>
      <c r="NDA140"/>
      <c r="NDB140"/>
      <c r="NDC140"/>
      <c r="NDD140"/>
      <c r="NDE140"/>
      <c r="NDF140"/>
      <c r="NDG140"/>
      <c r="NDH140"/>
      <c r="NDI140"/>
      <c r="NDJ140"/>
      <c r="NDK140"/>
      <c r="NDL140"/>
      <c r="NDM140"/>
      <c r="NDN140"/>
      <c r="NDO140"/>
      <c r="NDP140"/>
      <c r="NDQ140"/>
      <c r="NDR140"/>
      <c r="NDS140"/>
      <c r="NDT140"/>
      <c r="NDU140"/>
      <c r="NDV140"/>
      <c r="NDW140"/>
      <c r="NDX140"/>
      <c r="NDY140"/>
      <c r="NDZ140"/>
      <c r="NEA140"/>
      <c r="NEB140"/>
      <c r="NEC140"/>
      <c r="NED140"/>
      <c r="NEE140"/>
      <c r="NEF140"/>
      <c r="NEG140"/>
      <c r="NEH140"/>
      <c r="NEI140"/>
      <c r="NEJ140"/>
      <c r="NEK140"/>
      <c r="NEL140"/>
      <c r="NEM140"/>
      <c r="NEN140"/>
      <c r="NEO140"/>
      <c r="NEP140"/>
      <c r="NEQ140"/>
      <c r="NER140"/>
      <c r="NES140"/>
      <c r="NET140"/>
      <c r="NEU140"/>
      <c r="NEV140"/>
      <c r="NEW140"/>
      <c r="NEX140"/>
      <c r="NEY140"/>
      <c r="NEZ140"/>
      <c r="NFA140"/>
      <c r="NFB140"/>
      <c r="NFC140"/>
      <c r="NFD140"/>
      <c r="NFE140"/>
      <c r="NFF140"/>
      <c r="NFG140"/>
      <c r="NFH140"/>
      <c r="NFI140"/>
      <c r="NFJ140"/>
      <c r="NFK140"/>
      <c r="NFL140"/>
      <c r="NFM140"/>
      <c r="NFN140"/>
      <c r="NFO140"/>
      <c r="NFP140"/>
      <c r="NFQ140"/>
      <c r="NFR140"/>
      <c r="NFS140"/>
      <c r="NFT140"/>
      <c r="NFU140"/>
      <c r="NFV140"/>
      <c r="NFW140"/>
      <c r="NFX140"/>
      <c r="NFY140"/>
      <c r="NFZ140"/>
      <c r="NGA140"/>
      <c r="NGB140"/>
      <c r="NGC140"/>
      <c r="NGD140"/>
      <c r="NGE140"/>
      <c r="NGF140"/>
      <c r="NGG140"/>
      <c r="NGH140"/>
      <c r="NGI140"/>
      <c r="NGJ140"/>
      <c r="NGK140"/>
      <c r="NGL140"/>
      <c r="NGM140"/>
      <c r="NGN140"/>
      <c r="NGO140"/>
      <c r="NGP140"/>
      <c r="NGQ140"/>
      <c r="NGR140"/>
      <c r="NGS140"/>
      <c r="NGT140"/>
      <c r="NGU140"/>
      <c r="NGV140"/>
      <c r="NGW140"/>
      <c r="NGX140"/>
      <c r="NGY140"/>
      <c r="NGZ140"/>
      <c r="NHA140"/>
      <c r="NHB140"/>
      <c r="NHC140"/>
      <c r="NHD140"/>
      <c r="NHE140"/>
      <c r="NHF140"/>
      <c r="NHG140"/>
      <c r="NHH140"/>
      <c r="NHI140"/>
      <c r="NHJ140"/>
      <c r="NHK140"/>
      <c r="NHL140"/>
      <c r="NHM140"/>
      <c r="NHN140"/>
      <c r="NHO140"/>
      <c r="NHP140"/>
      <c r="NHQ140"/>
      <c r="NHR140"/>
      <c r="NHS140"/>
      <c r="NHT140"/>
      <c r="NHU140"/>
      <c r="NHV140"/>
      <c r="NHW140"/>
      <c r="NHX140"/>
      <c r="NHY140"/>
      <c r="NHZ140"/>
      <c r="NIA140"/>
      <c r="NIB140"/>
      <c r="NIC140"/>
      <c r="NID140"/>
      <c r="NIE140"/>
      <c r="NIF140"/>
      <c r="NIG140"/>
      <c r="NIH140"/>
      <c r="NII140"/>
      <c r="NIJ140"/>
      <c r="NIK140"/>
      <c r="NIL140"/>
      <c r="NIM140"/>
      <c r="NIN140"/>
      <c r="NIO140"/>
      <c r="NIP140"/>
      <c r="NIQ140"/>
      <c r="NIR140"/>
      <c r="NIS140"/>
      <c r="NIT140"/>
      <c r="NIU140"/>
      <c r="NIV140"/>
      <c r="NIW140"/>
      <c r="NIX140"/>
      <c r="NIY140"/>
      <c r="NIZ140"/>
      <c r="NJA140"/>
      <c r="NJB140"/>
      <c r="NJC140"/>
      <c r="NJD140"/>
      <c r="NJE140"/>
      <c r="NJF140"/>
      <c r="NJG140"/>
      <c r="NJH140"/>
      <c r="NJI140"/>
      <c r="NJJ140"/>
      <c r="NJK140"/>
      <c r="NJL140"/>
      <c r="NJM140"/>
      <c r="NJN140"/>
      <c r="NJO140"/>
      <c r="NJP140"/>
      <c r="NJQ140"/>
      <c r="NJR140"/>
      <c r="NJS140"/>
      <c r="NJT140"/>
      <c r="NJU140"/>
      <c r="NJV140"/>
      <c r="NJW140"/>
      <c r="NJX140"/>
      <c r="NJY140"/>
      <c r="NJZ140"/>
      <c r="NKA140"/>
      <c r="NKB140"/>
      <c r="NKC140"/>
      <c r="NKD140"/>
      <c r="NKE140"/>
      <c r="NKF140"/>
      <c r="NKG140"/>
      <c r="NKH140"/>
      <c r="NKI140"/>
      <c r="NKJ140"/>
      <c r="NKK140"/>
      <c r="NKL140"/>
      <c r="NKM140"/>
      <c r="NKN140"/>
      <c r="NKO140"/>
      <c r="NKP140"/>
      <c r="NKQ140"/>
      <c r="NKR140"/>
      <c r="NKS140"/>
      <c r="NKT140"/>
      <c r="NKU140"/>
      <c r="NKV140"/>
      <c r="NKW140"/>
      <c r="NKX140"/>
      <c r="NKY140"/>
      <c r="NKZ140"/>
      <c r="NLA140"/>
      <c r="NLB140"/>
      <c r="NLC140"/>
      <c r="NLD140"/>
      <c r="NLE140"/>
      <c r="NLF140"/>
      <c r="NLG140"/>
      <c r="NLH140"/>
      <c r="NLI140"/>
      <c r="NLJ140"/>
      <c r="NLK140"/>
      <c r="NLL140"/>
      <c r="NLM140"/>
      <c r="NLN140"/>
      <c r="NLO140"/>
      <c r="NLP140"/>
      <c r="NLQ140"/>
      <c r="NLR140"/>
      <c r="NLS140"/>
      <c r="NLT140"/>
      <c r="NLU140"/>
      <c r="NLV140"/>
      <c r="NLW140"/>
      <c r="NLX140"/>
      <c r="NLY140"/>
      <c r="NLZ140"/>
      <c r="NMA140"/>
      <c r="NMB140"/>
      <c r="NMC140"/>
      <c r="NMD140"/>
      <c r="NME140"/>
      <c r="NMF140"/>
      <c r="NMG140"/>
      <c r="NMH140"/>
      <c r="NMI140"/>
      <c r="NMJ140"/>
      <c r="NMK140"/>
      <c r="NML140"/>
      <c r="NMM140"/>
      <c r="NMN140"/>
      <c r="NMO140"/>
      <c r="NMP140"/>
      <c r="NMQ140"/>
      <c r="NMR140"/>
      <c r="NMS140"/>
      <c r="NMT140"/>
      <c r="NMU140"/>
      <c r="NMV140"/>
      <c r="NMW140"/>
      <c r="NMX140"/>
      <c r="NMY140"/>
      <c r="NMZ140"/>
      <c r="NNA140"/>
      <c r="NNB140"/>
      <c r="NNC140"/>
      <c r="NND140"/>
      <c r="NNE140"/>
      <c r="NNF140"/>
      <c r="NNG140"/>
      <c r="NNH140"/>
      <c r="NNI140"/>
      <c r="NNJ140"/>
      <c r="NNK140"/>
      <c r="NNL140"/>
      <c r="NNM140"/>
      <c r="NNN140"/>
      <c r="NNO140"/>
      <c r="NNP140"/>
      <c r="NNQ140"/>
      <c r="NNR140"/>
      <c r="NNS140"/>
      <c r="NNT140"/>
      <c r="NNU140"/>
      <c r="NNV140"/>
      <c r="NNW140"/>
      <c r="NNX140"/>
      <c r="NNY140"/>
      <c r="NNZ140"/>
      <c r="NOA140"/>
      <c r="NOB140"/>
      <c r="NOC140"/>
      <c r="NOD140"/>
      <c r="NOE140"/>
      <c r="NOF140"/>
      <c r="NOG140"/>
      <c r="NOH140"/>
      <c r="NOI140"/>
      <c r="NOJ140"/>
      <c r="NOK140"/>
      <c r="NOL140"/>
      <c r="NOM140"/>
      <c r="NON140"/>
      <c r="NOO140"/>
      <c r="NOP140"/>
      <c r="NOQ140"/>
      <c r="NOR140"/>
      <c r="NOS140"/>
      <c r="NOT140"/>
      <c r="NOU140"/>
      <c r="NOV140"/>
      <c r="NOW140"/>
      <c r="NOX140"/>
      <c r="NOY140"/>
      <c r="NOZ140"/>
      <c r="NPA140"/>
      <c r="NPB140"/>
      <c r="NPC140"/>
      <c r="NPD140"/>
      <c r="NPE140"/>
      <c r="NPF140"/>
      <c r="NPG140"/>
      <c r="NPH140"/>
      <c r="NPI140"/>
      <c r="NPJ140"/>
      <c r="NPK140"/>
      <c r="NPL140"/>
      <c r="NPM140"/>
      <c r="NPN140"/>
      <c r="NPO140"/>
      <c r="NPP140"/>
      <c r="NPQ140"/>
      <c r="NPR140"/>
      <c r="NPS140"/>
      <c r="NPT140"/>
      <c r="NPU140"/>
      <c r="NPV140"/>
      <c r="NPW140"/>
      <c r="NPX140"/>
      <c r="NPY140"/>
      <c r="NPZ140"/>
      <c r="NQA140"/>
      <c r="NQB140"/>
      <c r="NQC140"/>
      <c r="NQD140"/>
      <c r="NQE140"/>
      <c r="NQF140"/>
      <c r="NQG140"/>
      <c r="NQH140"/>
      <c r="NQI140"/>
      <c r="NQJ140"/>
      <c r="NQK140"/>
      <c r="NQL140"/>
      <c r="NQM140"/>
      <c r="NQN140"/>
      <c r="NQO140"/>
      <c r="NQP140"/>
      <c r="NQQ140"/>
      <c r="NQR140"/>
      <c r="NQS140"/>
      <c r="NQT140"/>
      <c r="NQU140"/>
      <c r="NQV140"/>
      <c r="NQW140"/>
      <c r="NQX140"/>
      <c r="NQY140"/>
      <c r="NQZ140"/>
      <c r="NRA140"/>
      <c r="NRB140"/>
      <c r="NRC140"/>
      <c r="NRD140"/>
      <c r="NRE140"/>
      <c r="NRF140"/>
      <c r="NRG140"/>
      <c r="NRH140"/>
      <c r="NRI140"/>
      <c r="NRJ140"/>
      <c r="NRK140"/>
      <c r="NRL140"/>
      <c r="NRM140"/>
      <c r="NRN140"/>
      <c r="NRO140"/>
      <c r="NRP140"/>
      <c r="NRQ140"/>
      <c r="NRR140"/>
      <c r="NRS140"/>
      <c r="NRT140"/>
      <c r="NRU140"/>
      <c r="NRV140"/>
      <c r="NRW140"/>
      <c r="NRX140"/>
      <c r="NRY140"/>
      <c r="NRZ140"/>
      <c r="NSA140"/>
      <c r="NSB140"/>
      <c r="NSC140"/>
      <c r="NSD140"/>
      <c r="NSE140"/>
      <c r="NSF140"/>
      <c r="NSG140"/>
      <c r="NSH140"/>
      <c r="NSI140"/>
      <c r="NSJ140"/>
      <c r="NSK140"/>
      <c r="NSL140"/>
      <c r="NSM140"/>
      <c r="NSN140"/>
      <c r="NSO140"/>
      <c r="NSP140"/>
      <c r="NSQ140"/>
      <c r="NSR140"/>
      <c r="NSS140"/>
      <c r="NST140"/>
      <c r="NSU140"/>
      <c r="NSV140"/>
      <c r="NSW140"/>
      <c r="NSX140"/>
      <c r="NSY140"/>
      <c r="NSZ140"/>
      <c r="NTA140"/>
      <c r="NTB140"/>
      <c r="NTC140"/>
      <c r="NTD140"/>
      <c r="NTE140"/>
      <c r="NTF140"/>
      <c r="NTG140"/>
      <c r="NTH140"/>
      <c r="NTI140"/>
      <c r="NTJ140"/>
      <c r="NTK140"/>
      <c r="NTL140"/>
      <c r="NTM140"/>
      <c r="NTN140"/>
      <c r="NTO140"/>
      <c r="NTP140"/>
      <c r="NTQ140"/>
      <c r="NTR140"/>
      <c r="NTS140"/>
      <c r="NTT140"/>
      <c r="NTU140"/>
      <c r="NTV140"/>
      <c r="NTW140"/>
      <c r="NTX140"/>
      <c r="NTY140"/>
      <c r="NTZ140"/>
      <c r="NUA140"/>
      <c r="NUB140"/>
      <c r="NUC140"/>
      <c r="NUD140"/>
      <c r="NUE140"/>
      <c r="NUF140"/>
      <c r="NUG140"/>
      <c r="NUH140"/>
      <c r="NUI140"/>
      <c r="NUJ140"/>
      <c r="NUK140"/>
      <c r="NUL140"/>
      <c r="NUM140"/>
      <c r="NUN140"/>
      <c r="NUO140"/>
      <c r="NUP140"/>
      <c r="NUQ140"/>
      <c r="NUR140"/>
      <c r="NUS140"/>
      <c r="NUT140"/>
      <c r="NUU140"/>
      <c r="NUV140"/>
      <c r="NUW140"/>
      <c r="NUX140"/>
      <c r="NUY140"/>
      <c r="NUZ140"/>
      <c r="NVA140"/>
      <c r="NVB140"/>
      <c r="NVC140"/>
      <c r="NVD140"/>
      <c r="NVE140"/>
      <c r="NVF140"/>
      <c r="NVG140"/>
      <c r="NVH140"/>
      <c r="NVI140"/>
      <c r="NVJ140"/>
      <c r="NVK140"/>
      <c r="NVL140"/>
      <c r="NVM140"/>
      <c r="NVN140"/>
      <c r="NVO140"/>
      <c r="NVP140"/>
      <c r="NVQ140"/>
      <c r="NVR140"/>
      <c r="NVS140"/>
      <c r="NVT140"/>
      <c r="NVU140"/>
      <c r="NVV140"/>
      <c r="NVW140"/>
      <c r="NVX140"/>
      <c r="NVY140"/>
      <c r="NVZ140"/>
      <c r="NWA140"/>
      <c r="NWB140"/>
      <c r="NWC140"/>
      <c r="NWD140"/>
      <c r="NWE140"/>
      <c r="NWF140"/>
      <c r="NWG140"/>
      <c r="NWH140"/>
      <c r="NWI140"/>
      <c r="NWJ140"/>
      <c r="NWK140"/>
      <c r="NWL140"/>
      <c r="NWM140"/>
      <c r="NWN140"/>
      <c r="NWO140"/>
      <c r="NWP140"/>
      <c r="NWQ140"/>
      <c r="NWR140"/>
      <c r="NWS140"/>
      <c r="NWT140"/>
      <c r="NWU140"/>
      <c r="NWV140"/>
      <c r="NWW140"/>
      <c r="NWX140"/>
      <c r="NWY140"/>
      <c r="NWZ140"/>
      <c r="NXA140"/>
      <c r="NXB140"/>
      <c r="NXC140"/>
      <c r="NXD140"/>
      <c r="NXE140"/>
      <c r="NXF140"/>
      <c r="NXG140"/>
      <c r="NXH140"/>
      <c r="NXI140"/>
      <c r="NXJ140"/>
      <c r="NXK140"/>
      <c r="NXL140"/>
      <c r="NXM140"/>
      <c r="NXN140"/>
      <c r="NXO140"/>
      <c r="NXP140"/>
      <c r="NXQ140"/>
      <c r="NXR140"/>
      <c r="NXS140"/>
      <c r="NXT140"/>
      <c r="NXU140"/>
      <c r="NXV140"/>
      <c r="NXW140"/>
      <c r="NXX140"/>
      <c r="NXY140"/>
      <c r="NXZ140"/>
      <c r="NYA140"/>
      <c r="NYB140"/>
      <c r="NYC140"/>
      <c r="NYD140"/>
      <c r="NYE140"/>
      <c r="NYF140"/>
      <c r="NYG140"/>
      <c r="NYH140"/>
      <c r="NYI140"/>
      <c r="NYJ140"/>
      <c r="NYK140"/>
      <c r="NYL140"/>
      <c r="NYM140"/>
      <c r="NYN140"/>
      <c r="NYO140"/>
      <c r="NYP140"/>
      <c r="NYQ140"/>
      <c r="NYR140"/>
      <c r="NYS140"/>
      <c r="NYT140"/>
      <c r="NYU140"/>
      <c r="NYV140"/>
      <c r="NYW140"/>
      <c r="NYX140"/>
      <c r="NYY140"/>
      <c r="NYZ140"/>
      <c r="NZA140"/>
      <c r="NZB140"/>
      <c r="NZC140"/>
      <c r="NZD140"/>
      <c r="NZE140"/>
      <c r="NZF140"/>
      <c r="NZG140"/>
      <c r="NZH140"/>
      <c r="NZI140"/>
      <c r="NZJ140"/>
      <c r="NZK140"/>
      <c r="NZL140"/>
      <c r="NZM140"/>
      <c r="NZN140"/>
      <c r="NZO140"/>
      <c r="NZP140"/>
      <c r="NZQ140"/>
      <c r="NZR140"/>
      <c r="NZS140"/>
      <c r="NZT140"/>
      <c r="NZU140"/>
      <c r="NZV140"/>
      <c r="NZW140"/>
      <c r="NZX140"/>
      <c r="NZY140"/>
      <c r="NZZ140"/>
      <c r="OAA140"/>
      <c r="OAB140"/>
      <c r="OAC140"/>
      <c r="OAD140"/>
      <c r="OAE140"/>
      <c r="OAF140"/>
      <c r="OAG140"/>
      <c r="OAH140"/>
      <c r="OAI140"/>
      <c r="OAJ140"/>
      <c r="OAK140"/>
      <c r="OAL140"/>
      <c r="OAM140"/>
      <c r="OAN140"/>
      <c r="OAO140"/>
      <c r="OAP140"/>
      <c r="OAQ140"/>
      <c r="OAR140"/>
      <c r="OAS140"/>
      <c r="OAT140"/>
      <c r="OAU140"/>
      <c r="OAV140"/>
      <c r="OAW140"/>
      <c r="OAX140"/>
      <c r="OAY140"/>
      <c r="OAZ140"/>
      <c r="OBA140"/>
      <c r="OBB140"/>
      <c r="OBC140"/>
      <c r="OBD140"/>
      <c r="OBE140"/>
      <c r="OBF140"/>
      <c r="OBG140"/>
      <c r="OBH140"/>
      <c r="OBI140"/>
      <c r="OBJ140"/>
      <c r="OBK140"/>
      <c r="OBL140"/>
      <c r="OBM140"/>
      <c r="OBN140"/>
      <c r="OBO140"/>
      <c r="OBP140"/>
      <c r="OBQ140"/>
      <c r="OBR140"/>
      <c r="OBS140"/>
      <c r="OBT140"/>
      <c r="OBU140"/>
      <c r="OBV140"/>
      <c r="OBW140"/>
      <c r="OBX140"/>
      <c r="OBY140"/>
      <c r="OBZ140"/>
      <c r="OCA140"/>
      <c r="OCB140"/>
      <c r="OCC140"/>
      <c r="OCD140"/>
      <c r="OCE140"/>
      <c r="OCF140"/>
      <c r="OCG140"/>
      <c r="OCH140"/>
      <c r="OCI140"/>
      <c r="OCJ140"/>
      <c r="OCK140"/>
      <c r="OCL140"/>
      <c r="OCM140"/>
      <c r="OCN140"/>
      <c r="OCO140"/>
      <c r="OCP140"/>
      <c r="OCQ140"/>
      <c r="OCR140"/>
      <c r="OCS140"/>
      <c r="OCT140"/>
      <c r="OCU140"/>
      <c r="OCV140"/>
      <c r="OCW140"/>
      <c r="OCX140"/>
      <c r="OCY140"/>
      <c r="OCZ140"/>
      <c r="ODA140"/>
      <c r="ODB140"/>
      <c r="ODC140"/>
      <c r="ODD140"/>
      <c r="ODE140"/>
      <c r="ODF140"/>
      <c r="ODG140"/>
      <c r="ODH140"/>
      <c r="ODI140"/>
      <c r="ODJ140"/>
      <c r="ODK140"/>
      <c r="ODL140"/>
      <c r="ODM140"/>
      <c r="ODN140"/>
      <c r="ODO140"/>
      <c r="ODP140"/>
      <c r="ODQ140"/>
      <c r="ODR140"/>
      <c r="ODS140"/>
      <c r="ODT140"/>
      <c r="ODU140"/>
      <c r="ODV140"/>
      <c r="ODW140"/>
      <c r="ODX140"/>
      <c r="ODY140"/>
      <c r="ODZ140"/>
      <c r="OEA140"/>
      <c r="OEB140"/>
      <c r="OEC140"/>
      <c r="OED140"/>
      <c r="OEE140"/>
      <c r="OEF140"/>
      <c r="OEG140"/>
      <c r="OEH140"/>
      <c r="OEI140"/>
      <c r="OEJ140"/>
      <c r="OEK140"/>
      <c r="OEL140"/>
      <c r="OEM140"/>
      <c r="OEN140"/>
      <c r="OEO140"/>
      <c r="OEP140"/>
      <c r="OEQ140"/>
      <c r="OER140"/>
      <c r="OES140"/>
      <c r="OET140"/>
      <c r="OEU140"/>
      <c r="OEV140"/>
      <c r="OEW140"/>
      <c r="OEX140"/>
      <c r="OEY140"/>
      <c r="OEZ140"/>
      <c r="OFA140"/>
      <c r="OFB140"/>
      <c r="OFC140"/>
      <c r="OFD140"/>
      <c r="OFE140"/>
      <c r="OFF140"/>
      <c r="OFG140"/>
      <c r="OFH140"/>
      <c r="OFI140"/>
      <c r="OFJ140"/>
      <c r="OFK140"/>
      <c r="OFL140"/>
      <c r="OFM140"/>
      <c r="OFN140"/>
      <c r="OFO140"/>
      <c r="OFP140"/>
      <c r="OFQ140"/>
      <c r="OFR140"/>
      <c r="OFS140"/>
      <c r="OFT140"/>
      <c r="OFU140"/>
      <c r="OFV140"/>
      <c r="OFW140"/>
      <c r="OFX140"/>
      <c r="OFY140"/>
      <c r="OFZ140"/>
      <c r="OGA140"/>
      <c r="OGB140"/>
      <c r="OGC140"/>
      <c r="OGD140"/>
      <c r="OGE140"/>
      <c r="OGF140"/>
      <c r="OGG140"/>
      <c r="OGH140"/>
      <c r="OGI140"/>
      <c r="OGJ140"/>
      <c r="OGK140"/>
      <c r="OGL140"/>
      <c r="OGM140"/>
      <c r="OGN140"/>
      <c r="OGO140"/>
      <c r="OGP140"/>
      <c r="OGQ140"/>
      <c r="OGR140"/>
      <c r="OGS140"/>
      <c r="OGT140"/>
      <c r="OGU140"/>
      <c r="OGV140"/>
      <c r="OGW140"/>
      <c r="OGX140"/>
      <c r="OGY140"/>
      <c r="OGZ140"/>
      <c r="OHA140"/>
      <c r="OHB140"/>
      <c r="OHC140"/>
      <c r="OHD140"/>
      <c r="OHE140"/>
      <c r="OHF140"/>
      <c r="OHG140"/>
      <c r="OHH140"/>
      <c r="OHI140"/>
      <c r="OHJ140"/>
      <c r="OHK140"/>
      <c r="OHL140"/>
      <c r="OHM140"/>
      <c r="OHN140"/>
      <c r="OHO140"/>
      <c r="OHP140"/>
      <c r="OHQ140"/>
      <c r="OHR140"/>
      <c r="OHS140"/>
      <c r="OHT140"/>
      <c r="OHU140"/>
      <c r="OHV140"/>
      <c r="OHW140"/>
      <c r="OHX140"/>
      <c r="OHY140"/>
      <c r="OHZ140"/>
      <c r="OIA140"/>
      <c r="OIB140"/>
      <c r="OIC140"/>
      <c r="OID140"/>
      <c r="OIE140"/>
      <c r="OIF140"/>
      <c r="OIG140"/>
      <c r="OIH140"/>
      <c r="OII140"/>
      <c r="OIJ140"/>
      <c r="OIK140"/>
      <c r="OIL140"/>
      <c r="OIM140"/>
      <c r="OIN140"/>
      <c r="OIO140"/>
      <c r="OIP140"/>
      <c r="OIQ140"/>
      <c r="OIR140"/>
      <c r="OIS140"/>
      <c r="OIT140"/>
      <c r="OIU140"/>
      <c r="OIV140"/>
      <c r="OIW140"/>
      <c r="OIX140"/>
      <c r="OIY140"/>
      <c r="OIZ140"/>
      <c r="OJA140"/>
      <c r="OJB140"/>
      <c r="OJC140"/>
      <c r="OJD140"/>
      <c r="OJE140"/>
      <c r="OJF140"/>
      <c r="OJG140"/>
      <c r="OJH140"/>
      <c r="OJI140"/>
      <c r="OJJ140"/>
      <c r="OJK140"/>
      <c r="OJL140"/>
      <c r="OJM140"/>
      <c r="OJN140"/>
      <c r="OJO140"/>
      <c r="OJP140"/>
      <c r="OJQ140"/>
      <c r="OJR140"/>
      <c r="OJS140"/>
      <c r="OJT140"/>
      <c r="OJU140"/>
      <c r="OJV140"/>
      <c r="OJW140"/>
      <c r="OJX140"/>
      <c r="OJY140"/>
      <c r="OJZ140"/>
      <c r="OKA140"/>
      <c r="OKB140"/>
      <c r="OKC140"/>
      <c r="OKD140"/>
      <c r="OKE140"/>
      <c r="OKF140"/>
      <c r="OKG140"/>
      <c r="OKH140"/>
      <c r="OKI140"/>
      <c r="OKJ140"/>
      <c r="OKK140"/>
      <c r="OKL140"/>
      <c r="OKM140"/>
      <c r="OKN140"/>
      <c r="OKO140"/>
      <c r="OKP140"/>
      <c r="OKQ140"/>
      <c r="OKR140"/>
      <c r="OKS140"/>
      <c r="OKT140"/>
      <c r="OKU140"/>
      <c r="OKV140"/>
      <c r="OKW140"/>
      <c r="OKX140"/>
      <c r="OKY140"/>
      <c r="OKZ140"/>
      <c r="OLA140"/>
      <c r="OLB140"/>
      <c r="OLC140"/>
      <c r="OLD140"/>
      <c r="OLE140"/>
      <c r="OLF140"/>
      <c r="OLG140"/>
      <c r="OLH140"/>
      <c r="OLI140"/>
      <c r="OLJ140"/>
      <c r="OLK140"/>
      <c r="OLL140"/>
      <c r="OLM140"/>
      <c r="OLN140"/>
      <c r="OLO140"/>
      <c r="OLP140"/>
      <c r="OLQ140"/>
      <c r="OLR140"/>
      <c r="OLS140"/>
      <c r="OLT140"/>
      <c r="OLU140"/>
      <c r="OLV140"/>
      <c r="OLW140"/>
      <c r="OLX140"/>
      <c r="OLY140"/>
      <c r="OLZ140"/>
      <c r="OMA140"/>
      <c r="OMB140"/>
      <c r="OMC140"/>
      <c r="OMD140"/>
      <c r="OME140"/>
      <c r="OMF140"/>
      <c r="OMG140"/>
      <c r="OMH140"/>
      <c r="OMI140"/>
      <c r="OMJ140"/>
      <c r="OMK140"/>
      <c r="OML140"/>
      <c r="OMM140"/>
      <c r="OMN140"/>
      <c r="OMO140"/>
      <c r="OMP140"/>
      <c r="OMQ140"/>
      <c r="OMR140"/>
      <c r="OMS140"/>
      <c r="OMT140"/>
      <c r="OMU140"/>
      <c r="OMV140"/>
      <c r="OMW140"/>
      <c r="OMX140"/>
      <c r="OMY140"/>
      <c r="OMZ140"/>
      <c r="ONA140"/>
      <c r="ONB140"/>
      <c r="ONC140"/>
      <c r="OND140"/>
      <c r="ONE140"/>
      <c r="ONF140"/>
      <c r="ONG140"/>
      <c r="ONH140"/>
      <c r="ONI140"/>
      <c r="ONJ140"/>
      <c r="ONK140"/>
      <c r="ONL140"/>
      <c r="ONM140"/>
      <c r="ONN140"/>
      <c r="ONO140"/>
      <c r="ONP140"/>
      <c r="ONQ140"/>
      <c r="ONR140"/>
      <c r="ONS140"/>
      <c r="ONT140"/>
      <c r="ONU140"/>
      <c r="ONV140"/>
      <c r="ONW140"/>
      <c r="ONX140"/>
      <c r="ONY140"/>
      <c r="ONZ140"/>
      <c r="OOA140"/>
      <c r="OOB140"/>
      <c r="OOC140"/>
      <c r="OOD140"/>
      <c r="OOE140"/>
      <c r="OOF140"/>
      <c r="OOG140"/>
      <c r="OOH140"/>
      <c r="OOI140"/>
      <c r="OOJ140"/>
      <c r="OOK140"/>
      <c r="OOL140"/>
      <c r="OOM140"/>
      <c r="OON140"/>
      <c r="OOO140"/>
      <c r="OOP140"/>
      <c r="OOQ140"/>
      <c r="OOR140"/>
      <c r="OOS140"/>
      <c r="OOT140"/>
      <c r="OOU140"/>
      <c r="OOV140"/>
      <c r="OOW140"/>
      <c r="OOX140"/>
      <c r="OOY140"/>
      <c r="OOZ140"/>
      <c r="OPA140"/>
      <c r="OPB140"/>
      <c r="OPC140"/>
      <c r="OPD140"/>
      <c r="OPE140"/>
      <c r="OPF140"/>
      <c r="OPG140"/>
      <c r="OPH140"/>
      <c r="OPI140"/>
      <c r="OPJ140"/>
      <c r="OPK140"/>
      <c r="OPL140"/>
      <c r="OPM140"/>
      <c r="OPN140"/>
      <c r="OPO140"/>
      <c r="OPP140"/>
      <c r="OPQ140"/>
      <c r="OPR140"/>
      <c r="OPS140"/>
      <c r="OPT140"/>
      <c r="OPU140"/>
      <c r="OPV140"/>
      <c r="OPW140"/>
      <c r="OPX140"/>
      <c r="OPY140"/>
      <c r="OPZ140"/>
      <c r="OQA140"/>
      <c r="OQB140"/>
      <c r="OQC140"/>
      <c r="OQD140"/>
      <c r="OQE140"/>
      <c r="OQF140"/>
      <c r="OQG140"/>
      <c r="OQH140"/>
      <c r="OQI140"/>
      <c r="OQJ140"/>
      <c r="OQK140"/>
      <c r="OQL140"/>
      <c r="OQM140"/>
      <c r="OQN140"/>
      <c r="OQO140"/>
      <c r="OQP140"/>
      <c r="OQQ140"/>
      <c r="OQR140"/>
      <c r="OQS140"/>
      <c r="OQT140"/>
      <c r="OQU140"/>
      <c r="OQV140"/>
      <c r="OQW140"/>
      <c r="OQX140"/>
      <c r="OQY140"/>
      <c r="OQZ140"/>
      <c r="ORA140"/>
      <c r="ORB140"/>
      <c r="ORC140"/>
      <c r="ORD140"/>
      <c r="ORE140"/>
      <c r="ORF140"/>
      <c r="ORG140"/>
      <c r="ORH140"/>
      <c r="ORI140"/>
      <c r="ORJ140"/>
      <c r="ORK140"/>
      <c r="ORL140"/>
      <c r="ORM140"/>
      <c r="ORN140"/>
      <c r="ORO140"/>
      <c r="ORP140"/>
      <c r="ORQ140"/>
      <c r="ORR140"/>
      <c r="ORS140"/>
      <c r="ORT140"/>
      <c r="ORU140"/>
      <c r="ORV140"/>
      <c r="ORW140"/>
      <c r="ORX140"/>
      <c r="ORY140"/>
      <c r="ORZ140"/>
      <c r="OSA140"/>
      <c r="OSB140"/>
      <c r="OSC140"/>
      <c r="OSD140"/>
      <c r="OSE140"/>
      <c r="OSF140"/>
      <c r="OSG140"/>
      <c r="OSH140"/>
      <c r="OSI140"/>
      <c r="OSJ140"/>
      <c r="OSK140"/>
      <c r="OSL140"/>
      <c r="OSM140"/>
      <c r="OSN140"/>
      <c r="OSO140"/>
      <c r="OSP140"/>
      <c r="OSQ140"/>
      <c r="OSR140"/>
      <c r="OSS140"/>
      <c r="OST140"/>
      <c r="OSU140"/>
      <c r="OSV140"/>
      <c r="OSW140"/>
      <c r="OSX140"/>
      <c r="OSY140"/>
      <c r="OSZ140"/>
      <c r="OTA140"/>
      <c r="OTB140"/>
      <c r="OTC140"/>
      <c r="OTD140"/>
      <c r="OTE140"/>
      <c r="OTF140"/>
      <c r="OTG140"/>
      <c r="OTH140"/>
      <c r="OTI140"/>
      <c r="OTJ140"/>
      <c r="OTK140"/>
      <c r="OTL140"/>
      <c r="OTM140"/>
      <c r="OTN140"/>
      <c r="OTO140"/>
      <c r="OTP140"/>
      <c r="OTQ140"/>
      <c r="OTR140"/>
      <c r="OTS140"/>
      <c r="OTT140"/>
      <c r="OTU140"/>
      <c r="OTV140"/>
      <c r="OTW140"/>
      <c r="OTX140"/>
      <c r="OTY140"/>
      <c r="OTZ140"/>
      <c r="OUA140"/>
      <c r="OUB140"/>
      <c r="OUC140"/>
      <c r="OUD140"/>
      <c r="OUE140"/>
      <c r="OUF140"/>
      <c r="OUG140"/>
      <c r="OUH140"/>
      <c r="OUI140"/>
      <c r="OUJ140"/>
      <c r="OUK140"/>
      <c r="OUL140"/>
      <c r="OUM140"/>
      <c r="OUN140"/>
      <c r="OUO140"/>
      <c r="OUP140"/>
      <c r="OUQ140"/>
      <c r="OUR140"/>
      <c r="OUS140"/>
      <c r="OUT140"/>
      <c r="OUU140"/>
      <c r="OUV140"/>
      <c r="OUW140"/>
      <c r="OUX140"/>
      <c r="OUY140"/>
      <c r="OUZ140"/>
      <c r="OVA140"/>
      <c r="OVB140"/>
      <c r="OVC140"/>
      <c r="OVD140"/>
      <c r="OVE140"/>
      <c r="OVF140"/>
      <c r="OVG140"/>
      <c r="OVH140"/>
      <c r="OVI140"/>
      <c r="OVJ140"/>
      <c r="OVK140"/>
      <c r="OVL140"/>
      <c r="OVM140"/>
      <c r="OVN140"/>
      <c r="OVO140"/>
      <c r="OVP140"/>
      <c r="OVQ140"/>
      <c r="OVR140"/>
      <c r="OVS140"/>
      <c r="OVT140"/>
      <c r="OVU140"/>
      <c r="OVV140"/>
      <c r="OVW140"/>
      <c r="OVX140"/>
      <c r="OVY140"/>
      <c r="OVZ140"/>
      <c r="OWA140"/>
      <c r="OWB140"/>
      <c r="OWC140"/>
      <c r="OWD140"/>
      <c r="OWE140"/>
      <c r="OWF140"/>
      <c r="OWG140"/>
      <c r="OWH140"/>
      <c r="OWI140"/>
      <c r="OWJ140"/>
      <c r="OWK140"/>
      <c r="OWL140"/>
      <c r="OWM140"/>
      <c r="OWN140"/>
      <c r="OWO140"/>
      <c r="OWP140"/>
      <c r="OWQ140"/>
      <c r="OWR140"/>
      <c r="OWS140"/>
      <c r="OWT140"/>
      <c r="OWU140"/>
      <c r="OWV140"/>
      <c r="OWW140"/>
      <c r="OWX140"/>
      <c r="OWY140"/>
      <c r="OWZ140"/>
      <c r="OXA140"/>
      <c r="OXB140"/>
      <c r="OXC140"/>
      <c r="OXD140"/>
      <c r="OXE140"/>
      <c r="OXF140"/>
      <c r="OXG140"/>
      <c r="OXH140"/>
      <c r="OXI140"/>
      <c r="OXJ140"/>
      <c r="OXK140"/>
      <c r="OXL140"/>
      <c r="OXM140"/>
      <c r="OXN140"/>
      <c r="OXO140"/>
      <c r="OXP140"/>
      <c r="OXQ140"/>
      <c r="OXR140"/>
      <c r="OXS140"/>
      <c r="OXT140"/>
      <c r="OXU140"/>
      <c r="OXV140"/>
      <c r="OXW140"/>
      <c r="OXX140"/>
      <c r="OXY140"/>
      <c r="OXZ140"/>
      <c r="OYA140"/>
      <c r="OYB140"/>
      <c r="OYC140"/>
      <c r="OYD140"/>
      <c r="OYE140"/>
      <c r="OYF140"/>
      <c r="OYG140"/>
      <c r="OYH140"/>
      <c r="OYI140"/>
      <c r="OYJ140"/>
      <c r="OYK140"/>
      <c r="OYL140"/>
      <c r="OYM140"/>
      <c r="OYN140"/>
      <c r="OYO140"/>
      <c r="OYP140"/>
      <c r="OYQ140"/>
      <c r="OYR140"/>
      <c r="OYS140"/>
      <c r="OYT140"/>
      <c r="OYU140"/>
      <c r="OYV140"/>
      <c r="OYW140"/>
      <c r="OYX140"/>
      <c r="OYY140"/>
      <c r="OYZ140"/>
      <c r="OZA140"/>
      <c r="OZB140"/>
      <c r="OZC140"/>
      <c r="OZD140"/>
      <c r="OZE140"/>
      <c r="OZF140"/>
      <c r="OZG140"/>
      <c r="OZH140"/>
      <c r="OZI140"/>
      <c r="OZJ140"/>
      <c r="OZK140"/>
      <c r="OZL140"/>
      <c r="OZM140"/>
      <c r="OZN140"/>
      <c r="OZO140"/>
      <c r="OZP140"/>
      <c r="OZQ140"/>
      <c r="OZR140"/>
      <c r="OZS140"/>
      <c r="OZT140"/>
      <c r="OZU140"/>
      <c r="OZV140"/>
      <c r="OZW140"/>
      <c r="OZX140"/>
      <c r="OZY140"/>
      <c r="OZZ140"/>
      <c r="PAA140"/>
      <c r="PAB140"/>
      <c r="PAC140"/>
      <c r="PAD140"/>
      <c r="PAE140"/>
      <c r="PAF140"/>
      <c r="PAG140"/>
      <c r="PAH140"/>
      <c r="PAI140"/>
      <c r="PAJ140"/>
      <c r="PAK140"/>
      <c r="PAL140"/>
      <c r="PAM140"/>
      <c r="PAN140"/>
      <c r="PAO140"/>
      <c r="PAP140"/>
      <c r="PAQ140"/>
      <c r="PAR140"/>
      <c r="PAS140"/>
      <c r="PAT140"/>
      <c r="PAU140"/>
      <c r="PAV140"/>
      <c r="PAW140"/>
      <c r="PAX140"/>
      <c r="PAY140"/>
      <c r="PAZ140"/>
      <c r="PBA140"/>
      <c r="PBB140"/>
      <c r="PBC140"/>
      <c r="PBD140"/>
      <c r="PBE140"/>
      <c r="PBF140"/>
      <c r="PBG140"/>
      <c r="PBH140"/>
      <c r="PBI140"/>
      <c r="PBJ140"/>
      <c r="PBK140"/>
      <c r="PBL140"/>
      <c r="PBM140"/>
      <c r="PBN140"/>
      <c r="PBO140"/>
      <c r="PBP140"/>
      <c r="PBQ140"/>
      <c r="PBR140"/>
      <c r="PBS140"/>
      <c r="PBT140"/>
      <c r="PBU140"/>
      <c r="PBV140"/>
      <c r="PBW140"/>
      <c r="PBX140"/>
      <c r="PBY140"/>
      <c r="PBZ140"/>
      <c r="PCA140"/>
      <c r="PCB140"/>
      <c r="PCC140"/>
      <c r="PCD140"/>
      <c r="PCE140"/>
      <c r="PCF140"/>
      <c r="PCG140"/>
      <c r="PCH140"/>
      <c r="PCI140"/>
      <c r="PCJ140"/>
      <c r="PCK140"/>
      <c r="PCL140"/>
      <c r="PCM140"/>
      <c r="PCN140"/>
      <c r="PCO140"/>
      <c r="PCP140"/>
      <c r="PCQ140"/>
      <c r="PCR140"/>
      <c r="PCS140"/>
      <c r="PCT140"/>
      <c r="PCU140"/>
      <c r="PCV140"/>
      <c r="PCW140"/>
      <c r="PCX140"/>
      <c r="PCY140"/>
      <c r="PCZ140"/>
      <c r="PDA140"/>
      <c r="PDB140"/>
      <c r="PDC140"/>
      <c r="PDD140"/>
      <c r="PDE140"/>
      <c r="PDF140"/>
      <c r="PDG140"/>
      <c r="PDH140"/>
      <c r="PDI140"/>
      <c r="PDJ140"/>
      <c r="PDK140"/>
      <c r="PDL140"/>
      <c r="PDM140"/>
      <c r="PDN140"/>
      <c r="PDO140"/>
      <c r="PDP140"/>
      <c r="PDQ140"/>
      <c r="PDR140"/>
      <c r="PDS140"/>
      <c r="PDT140"/>
      <c r="PDU140"/>
      <c r="PDV140"/>
      <c r="PDW140"/>
      <c r="PDX140"/>
      <c r="PDY140"/>
      <c r="PDZ140"/>
      <c r="PEA140"/>
      <c r="PEB140"/>
      <c r="PEC140"/>
      <c r="PED140"/>
      <c r="PEE140"/>
      <c r="PEF140"/>
      <c r="PEG140"/>
      <c r="PEH140"/>
      <c r="PEI140"/>
      <c r="PEJ140"/>
      <c r="PEK140"/>
      <c r="PEL140"/>
      <c r="PEM140"/>
      <c r="PEN140"/>
      <c r="PEO140"/>
      <c r="PEP140"/>
      <c r="PEQ140"/>
      <c r="PER140"/>
      <c r="PES140"/>
      <c r="PET140"/>
      <c r="PEU140"/>
      <c r="PEV140"/>
      <c r="PEW140"/>
      <c r="PEX140"/>
      <c r="PEY140"/>
      <c r="PEZ140"/>
      <c r="PFA140"/>
      <c r="PFB140"/>
      <c r="PFC140"/>
      <c r="PFD140"/>
      <c r="PFE140"/>
      <c r="PFF140"/>
      <c r="PFG140"/>
      <c r="PFH140"/>
      <c r="PFI140"/>
      <c r="PFJ140"/>
      <c r="PFK140"/>
      <c r="PFL140"/>
      <c r="PFM140"/>
      <c r="PFN140"/>
      <c r="PFO140"/>
      <c r="PFP140"/>
      <c r="PFQ140"/>
      <c r="PFR140"/>
      <c r="PFS140"/>
      <c r="PFT140"/>
      <c r="PFU140"/>
      <c r="PFV140"/>
      <c r="PFW140"/>
      <c r="PFX140"/>
      <c r="PFY140"/>
      <c r="PFZ140"/>
      <c r="PGA140"/>
      <c r="PGB140"/>
      <c r="PGC140"/>
      <c r="PGD140"/>
      <c r="PGE140"/>
      <c r="PGF140"/>
      <c r="PGG140"/>
      <c r="PGH140"/>
      <c r="PGI140"/>
      <c r="PGJ140"/>
      <c r="PGK140"/>
      <c r="PGL140"/>
      <c r="PGM140"/>
      <c r="PGN140"/>
      <c r="PGO140"/>
      <c r="PGP140"/>
      <c r="PGQ140"/>
      <c r="PGR140"/>
      <c r="PGS140"/>
      <c r="PGT140"/>
      <c r="PGU140"/>
      <c r="PGV140"/>
      <c r="PGW140"/>
      <c r="PGX140"/>
      <c r="PGY140"/>
      <c r="PGZ140"/>
      <c r="PHA140"/>
      <c r="PHB140"/>
      <c r="PHC140"/>
      <c r="PHD140"/>
      <c r="PHE140"/>
      <c r="PHF140"/>
      <c r="PHG140"/>
      <c r="PHH140"/>
      <c r="PHI140"/>
      <c r="PHJ140"/>
      <c r="PHK140"/>
      <c r="PHL140"/>
      <c r="PHM140"/>
      <c r="PHN140"/>
      <c r="PHO140"/>
      <c r="PHP140"/>
      <c r="PHQ140"/>
      <c r="PHR140"/>
      <c r="PHS140"/>
      <c r="PHT140"/>
      <c r="PHU140"/>
      <c r="PHV140"/>
      <c r="PHW140"/>
      <c r="PHX140"/>
      <c r="PHY140"/>
      <c r="PHZ140"/>
      <c r="PIA140"/>
      <c r="PIB140"/>
      <c r="PIC140"/>
      <c r="PID140"/>
      <c r="PIE140"/>
      <c r="PIF140"/>
      <c r="PIG140"/>
      <c r="PIH140"/>
      <c r="PII140"/>
      <c r="PIJ140"/>
      <c r="PIK140"/>
      <c r="PIL140"/>
      <c r="PIM140"/>
      <c r="PIN140"/>
      <c r="PIO140"/>
      <c r="PIP140"/>
      <c r="PIQ140"/>
      <c r="PIR140"/>
      <c r="PIS140"/>
      <c r="PIT140"/>
      <c r="PIU140"/>
      <c r="PIV140"/>
      <c r="PIW140"/>
      <c r="PIX140"/>
      <c r="PIY140"/>
      <c r="PIZ140"/>
      <c r="PJA140"/>
      <c r="PJB140"/>
      <c r="PJC140"/>
      <c r="PJD140"/>
      <c r="PJE140"/>
      <c r="PJF140"/>
      <c r="PJG140"/>
      <c r="PJH140"/>
      <c r="PJI140"/>
      <c r="PJJ140"/>
      <c r="PJK140"/>
      <c r="PJL140"/>
      <c r="PJM140"/>
      <c r="PJN140"/>
      <c r="PJO140"/>
      <c r="PJP140"/>
      <c r="PJQ140"/>
      <c r="PJR140"/>
      <c r="PJS140"/>
      <c r="PJT140"/>
      <c r="PJU140"/>
      <c r="PJV140"/>
      <c r="PJW140"/>
      <c r="PJX140"/>
      <c r="PJY140"/>
      <c r="PJZ140"/>
      <c r="PKA140"/>
      <c r="PKB140"/>
      <c r="PKC140"/>
      <c r="PKD140"/>
      <c r="PKE140"/>
      <c r="PKF140"/>
      <c r="PKG140"/>
      <c r="PKH140"/>
      <c r="PKI140"/>
      <c r="PKJ140"/>
      <c r="PKK140"/>
      <c r="PKL140"/>
      <c r="PKM140"/>
      <c r="PKN140"/>
      <c r="PKO140"/>
      <c r="PKP140"/>
      <c r="PKQ140"/>
      <c r="PKR140"/>
      <c r="PKS140"/>
      <c r="PKT140"/>
      <c r="PKU140"/>
      <c r="PKV140"/>
      <c r="PKW140"/>
      <c r="PKX140"/>
      <c r="PKY140"/>
      <c r="PKZ140"/>
      <c r="PLA140"/>
      <c r="PLB140"/>
      <c r="PLC140"/>
      <c r="PLD140"/>
      <c r="PLE140"/>
      <c r="PLF140"/>
      <c r="PLG140"/>
      <c r="PLH140"/>
      <c r="PLI140"/>
      <c r="PLJ140"/>
      <c r="PLK140"/>
      <c r="PLL140"/>
      <c r="PLM140"/>
      <c r="PLN140"/>
      <c r="PLO140"/>
      <c r="PLP140"/>
      <c r="PLQ140"/>
      <c r="PLR140"/>
      <c r="PLS140"/>
      <c r="PLT140"/>
      <c r="PLU140"/>
      <c r="PLV140"/>
      <c r="PLW140"/>
      <c r="PLX140"/>
      <c r="PLY140"/>
      <c r="PLZ140"/>
      <c r="PMA140"/>
      <c r="PMB140"/>
      <c r="PMC140"/>
      <c r="PMD140"/>
      <c r="PME140"/>
      <c r="PMF140"/>
      <c r="PMG140"/>
      <c r="PMH140"/>
      <c r="PMI140"/>
      <c r="PMJ140"/>
      <c r="PMK140"/>
      <c r="PML140"/>
      <c r="PMM140"/>
      <c r="PMN140"/>
      <c r="PMO140"/>
      <c r="PMP140"/>
      <c r="PMQ140"/>
      <c r="PMR140"/>
      <c r="PMS140"/>
      <c r="PMT140"/>
      <c r="PMU140"/>
      <c r="PMV140"/>
      <c r="PMW140"/>
      <c r="PMX140"/>
      <c r="PMY140"/>
      <c r="PMZ140"/>
      <c r="PNA140"/>
      <c r="PNB140"/>
      <c r="PNC140"/>
      <c r="PND140"/>
      <c r="PNE140"/>
      <c r="PNF140"/>
      <c r="PNG140"/>
      <c r="PNH140"/>
      <c r="PNI140"/>
      <c r="PNJ140"/>
      <c r="PNK140"/>
      <c r="PNL140"/>
      <c r="PNM140"/>
      <c r="PNN140"/>
      <c r="PNO140"/>
      <c r="PNP140"/>
      <c r="PNQ140"/>
      <c r="PNR140"/>
      <c r="PNS140"/>
      <c r="PNT140"/>
      <c r="PNU140"/>
      <c r="PNV140"/>
      <c r="PNW140"/>
      <c r="PNX140"/>
      <c r="PNY140"/>
      <c r="PNZ140"/>
      <c r="POA140"/>
      <c r="POB140"/>
      <c r="POC140"/>
      <c r="POD140"/>
      <c r="POE140"/>
      <c r="POF140"/>
      <c r="POG140"/>
      <c r="POH140"/>
      <c r="POI140"/>
      <c r="POJ140"/>
      <c r="POK140"/>
      <c r="POL140"/>
      <c r="POM140"/>
      <c r="PON140"/>
      <c r="POO140"/>
      <c r="POP140"/>
      <c r="POQ140"/>
      <c r="POR140"/>
      <c r="POS140"/>
      <c r="POT140"/>
      <c r="POU140"/>
      <c r="POV140"/>
      <c r="POW140"/>
      <c r="POX140"/>
      <c r="POY140"/>
      <c r="POZ140"/>
      <c r="PPA140"/>
      <c r="PPB140"/>
      <c r="PPC140"/>
      <c r="PPD140"/>
      <c r="PPE140"/>
      <c r="PPF140"/>
      <c r="PPG140"/>
      <c r="PPH140"/>
      <c r="PPI140"/>
      <c r="PPJ140"/>
      <c r="PPK140"/>
      <c r="PPL140"/>
      <c r="PPM140"/>
      <c r="PPN140"/>
      <c r="PPO140"/>
      <c r="PPP140"/>
      <c r="PPQ140"/>
      <c r="PPR140"/>
      <c r="PPS140"/>
      <c r="PPT140"/>
      <c r="PPU140"/>
      <c r="PPV140"/>
      <c r="PPW140"/>
      <c r="PPX140"/>
      <c r="PPY140"/>
      <c r="PPZ140"/>
      <c r="PQA140"/>
      <c r="PQB140"/>
      <c r="PQC140"/>
      <c r="PQD140"/>
      <c r="PQE140"/>
      <c r="PQF140"/>
      <c r="PQG140"/>
      <c r="PQH140"/>
      <c r="PQI140"/>
      <c r="PQJ140"/>
      <c r="PQK140"/>
      <c r="PQL140"/>
      <c r="PQM140"/>
      <c r="PQN140"/>
      <c r="PQO140"/>
      <c r="PQP140"/>
      <c r="PQQ140"/>
      <c r="PQR140"/>
      <c r="PQS140"/>
      <c r="PQT140"/>
      <c r="PQU140"/>
      <c r="PQV140"/>
      <c r="PQW140"/>
      <c r="PQX140"/>
      <c r="PQY140"/>
      <c r="PQZ140"/>
      <c r="PRA140"/>
      <c r="PRB140"/>
      <c r="PRC140"/>
      <c r="PRD140"/>
      <c r="PRE140"/>
      <c r="PRF140"/>
      <c r="PRG140"/>
      <c r="PRH140"/>
      <c r="PRI140"/>
      <c r="PRJ140"/>
      <c r="PRK140"/>
      <c r="PRL140"/>
      <c r="PRM140"/>
      <c r="PRN140"/>
      <c r="PRO140"/>
      <c r="PRP140"/>
      <c r="PRQ140"/>
      <c r="PRR140"/>
      <c r="PRS140"/>
      <c r="PRT140"/>
      <c r="PRU140"/>
      <c r="PRV140"/>
      <c r="PRW140"/>
      <c r="PRX140"/>
      <c r="PRY140"/>
      <c r="PRZ140"/>
      <c r="PSA140"/>
      <c r="PSB140"/>
      <c r="PSC140"/>
      <c r="PSD140"/>
      <c r="PSE140"/>
      <c r="PSF140"/>
      <c r="PSG140"/>
      <c r="PSH140"/>
      <c r="PSI140"/>
      <c r="PSJ140"/>
      <c r="PSK140"/>
      <c r="PSL140"/>
      <c r="PSM140"/>
      <c r="PSN140"/>
      <c r="PSO140"/>
      <c r="PSP140"/>
      <c r="PSQ140"/>
      <c r="PSR140"/>
      <c r="PSS140"/>
      <c r="PST140"/>
      <c r="PSU140"/>
      <c r="PSV140"/>
      <c r="PSW140"/>
      <c r="PSX140"/>
      <c r="PSY140"/>
      <c r="PSZ140"/>
      <c r="PTA140"/>
      <c r="PTB140"/>
      <c r="PTC140"/>
      <c r="PTD140"/>
      <c r="PTE140"/>
      <c r="PTF140"/>
      <c r="PTG140"/>
      <c r="PTH140"/>
      <c r="PTI140"/>
      <c r="PTJ140"/>
      <c r="PTK140"/>
      <c r="PTL140"/>
      <c r="PTM140"/>
      <c r="PTN140"/>
      <c r="PTO140"/>
      <c r="PTP140"/>
      <c r="PTQ140"/>
      <c r="PTR140"/>
      <c r="PTS140"/>
      <c r="PTT140"/>
      <c r="PTU140"/>
      <c r="PTV140"/>
      <c r="PTW140"/>
      <c r="PTX140"/>
      <c r="PTY140"/>
      <c r="PTZ140"/>
      <c r="PUA140"/>
      <c r="PUB140"/>
      <c r="PUC140"/>
      <c r="PUD140"/>
      <c r="PUE140"/>
      <c r="PUF140"/>
      <c r="PUG140"/>
      <c r="PUH140"/>
      <c r="PUI140"/>
      <c r="PUJ140"/>
      <c r="PUK140"/>
      <c r="PUL140"/>
      <c r="PUM140"/>
      <c r="PUN140"/>
      <c r="PUO140"/>
      <c r="PUP140"/>
      <c r="PUQ140"/>
      <c r="PUR140"/>
      <c r="PUS140"/>
      <c r="PUT140"/>
      <c r="PUU140"/>
      <c r="PUV140"/>
      <c r="PUW140"/>
      <c r="PUX140"/>
      <c r="PUY140"/>
      <c r="PUZ140"/>
      <c r="PVA140"/>
      <c r="PVB140"/>
      <c r="PVC140"/>
      <c r="PVD140"/>
      <c r="PVE140"/>
      <c r="PVF140"/>
      <c r="PVG140"/>
      <c r="PVH140"/>
      <c r="PVI140"/>
      <c r="PVJ140"/>
      <c r="PVK140"/>
      <c r="PVL140"/>
      <c r="PVM140"/>
      <c r="PVN140"/>
      <c r="PVO140"/>
      <c r="PVP140"/>
      <c r="PVQ140"/>
      <c r="PVR140"/>
      <c r="PVS140"/>
      <c r="PVT140"/>
      <c r="PVU140"/>
      <c r="PVV140"/>
      <c r="PVW140"/>
      <c r="PVX140"/>
      <c r="PVY140"/>
      <c r="PVZ140"/>
      <c r="PWA140"/>
      <c r="PWB140"/>
      <c r="PWC140"/>
      <c r="PWD140"/>
      <c r="PWE140"/>
      <c r="PWF140"/>
      <c r="PWG140"/>
      <c r="PWH140"/>
      <c r="PWI140"/>
      <c r="PWJ140"/>
      <c r="PWK140"/>
      <c r="PWL140"/>
      <c r="PWM140"/>
      <c r="PWN140"/>
      <c r="PWO140"/>
      <c r="PWP140"/>
      <c r="PWQ140"/>
      <c r="PWR140"/>
      <c r="PWS140"/>
      <c r="PWT140"/>
      <c r="PWU140"/>
      <c r="PWV140"/>
      <c r="PWW140"/>
      <c r="PWX140"/>
      <c r="PWY140"/>
      <c r="PWZ140"/>
      <c r="PXA140"/>
      <c r="PXB140"/>
      <c r="PXC140"/>
      <c r="PXD140"/>
      <c r="PXE140"/>
      <c r="PXF140"/>
      <c r="PXG140"/>
      <c r="PXH140"/>
      <c r="PXI140"/>
      <c r="PXJ140"/>
      <c r="PXK140"/>
      <c r="PXL140"/>
      <c r="PXM140"/>
      <c r="PXN140"/>
      <c r="PXO140"/>
      <c r="PXP140"/>
      <c r="PXQ140"/>
      <c r="PXR140"/>
      <c r="PXS140"/>
      <c r="PXT140"/>
      <c r="PXU140"/>
      <c r="PXV140"/>
      <c r="PXW140"/>
      <c r="PXX140"/>
      <c r="PXY140"/>
      <c r="PXZ140"/>
      <c r="PYA140"/>
      <c r="PYB140"/>
      <c r="PYC140"/>
      <c r="PYD140"/>
      <c r="PYE140"/>
      <c r="PYF140"/>
      <c r="PYG140"/>
      <c r="PYH140"/>
      <c r="PYI140"/>
      <c r="PYJ140"/>
      <c r="PYK140"/>
      <c r="PYL140"/>
      <c r="PYM140"/>
      <c r="PYN140"/>
      <c r="PYO140"/>
      <c r="PYP140"/>
      <c r="PYQ140"/>
      <c r="PYR140"/>
      <c r="PYS140"/>
      <c r="PYT140"/>
      <c r="PYU140"/>
      <c r="PYV140"/>
      <c r="PYW140"/>
      <c r="PYX140"/>
      <c r="PYY140"/>
      <c r="PYZ140"/>
      <c r="PZA140"/>
      <c r="PZB140"/>
      <c r="PZC140"/>
      <c r="PZD140"/>
      <c r="PZE140"/>
      <c r="PZF140"/>
      <c r="PZG140"/>
      <c r="PZH140"/>
      <c r="PZI140"/>
      <c r="PZJ140"/>
      <c r="PZK140"/>
      <c r="PZL140"/>
      <c r="PZM140"/>
      <c r="PZN140"/>
      <c r="PZO140"/>
      <c r="PZP140"/>
      <c r="PZQ140"/>
      <c r="PZR140"/>
      <c r="PZS140"/>
      <c r="PZT140"/>
      <c r="PZU140"/>
      <c r="PZV140"/>
      <c r="PZW140"/>
      <c r="PZX140"/>
      <c r="PZY140"/>
      <c r="PZZ140"/>
      <c r="QAA140"/>
      <c r="QAB140"/>
      <c r="QAC140"/>
      <c r="QAD140"/>
      <c r="QAE140"/>
      <c r="QAF140"/>
      <c r="QAG140"/>
      <c r="QAH140"/>
      <c r="QAI140"/>
      <c r="QAJ140"/>
      <c r="QAK140"/>
      <c r="QAL140"/>
      <c r="QAM140"/>
      <c r="QAN140"/>
      <c r="QAO140"/>
      <c r="QAP140"/>
      <c r="QAQ140"/>
      <c r="QAR140"/>
      <c r="QAS140"/>
      <c r="QAT140"/>
      <c r="QAU140"/>
      <c r="QAV140"/>
      <c r="QAW140"/>
      <c r="QAX140"/>
      <c r="QAY140"/>
      <c r="QAZ140"/>
      <c r="QBA140"/>
      <c r="QBB140"/>
      <c r="QBC140"/>
      <c r="QBD140"/>
      <c r="QBE140"/>
      <c r="QBF140"/>
      <c r="QBG140"/>
      <c r="QBH140"/>
      <c r="QBI140"/>
      <c r="QBJ140"/>
      <c r="QBK140"/>
      <c r="QBL140"/>
      <c r="QBM140"/>
      <c r="QBN140"/>
      <c r="QBO140"/>
      <c r="QBP140"/>
      <c r="QBQ140"/>
      <c r="QBR140"/>
      <c r="QBS140"/>
      <c r="QBT140"/>
      <c r="QBU140"/>
      <c r="QBV140"/>
      <c r="QBW140"/>
      <c r="QBX140"/>
      <c r="QBY140"/>
      <c r="QBZ140"/>
      <c r="QCA140"/>
      <c r="QCB140"/>
      <c r="QCC140"/>
      <c r="QCD140"/>
      <c r="QCE140"/>
      <c r="QCF140"/>
      <c r="QCG140"/>
      <c r="QCH140"/>
      <c r="QCI140"/>
      <c r="QCJ140"/>
      <c r="QCK140"/>
      <c r="QCL140"/>
      <c r="QCM140"/>
      <c r="QCN140"/>
      <c r="QCO140"/>
      <c r="QCP140"/>
      <c r="QCQ140"/>
      <c r="QCR140"/>
      <c r="QCS140"/>
      <c r="QCT140"/>
      <c r="QCU140"/>
      <c r="QCV140"/>
      <c r="QCW140"/>
      <c r="QCX140"/>
      <c r="QCY140"/>
      <c r="QCZ140"/>
      <c r="QDA140"/>
      <c r="QDB140"/>
      <c r="QDC140"/>
      <c r="QDD140"/>
      <c r="QDE140"/>
      <c r="QDF140"/>
      <c r="QDG140"/>
      <c r="QDH140"/>
      <c r="QDI140"/>
      <c r="QDJ140"/>
      <c r="QDK140"/>
      <c r="QDL140"/>
      <c r="QDM140"/>
      <c r="QDN140"/>
      <c r="QDO140"/>
      <c r="QDP140"/>
      <c r="QDQ140"/>
      <c r="QDR140"/>
      <c r="QDS140"/>
      <c r="QDT140"/>
      <c r="QDU140"/>
      <c r="QDV140"/>
      <c r="QDW140"/>
      <c r="QDX140"/>
      <c r="QDY140"/>
      <c r="QDZ140"/>
      <c r="QEA140"/>
      <c r="QEB140"/>
      <c r="QEC140"/>
      <c r="QED140"/>
      <c r="QEE140"/>
      <c r="QEF140"/>
      <c r="QEG140"/>
      <c r="QEH140"/>
      <c r="QEI140"/>
      <c r="QEJ140"/>
      <c r="QEK140"/>
      <c r="QEL140"/>
      <c r="QEM140"/>
      <c r="QEN140"/>
      <c r="QEO140"/>
      <c r="QEP140"/>
      <c r="QEQ140"/>
      <c r="QER140"/>
      <c r="QES140"/>
      <c r="QET140"/>
      <c r="QEU140"/>
      <c r="QEV140"/>
      <c r="QEW140"/>
      <c r="QEX140"/>
      <c r="QEY140"/>
      <c r="QEZ140"/>
      <c r="QFA140"/>
      <c r="QFB140"/>
      <c r="QFC140"/>
      <c r="QFD140"/>
      <c r="QFE140"/>
      <c r="QFF140"/>
      <c r="QFG140"/>
      <c r="QFH140"/>
      <c r="QFI140"/>
      <c r="QFJ140"/>
      <c r="QFK140"/>
      <c r="QFL140"/>
      <c r="QFM140"/>
      <c r="QFN140"/>
      <c r="QFO140"/>
      <c r="QFP140"/>
      <c r="QFQ140"/>
      <c r="QFR140"/>
      <c r="QFS140"/>
      <c r="QFT140"/>
      <c r="QFU140"/>
      <c r="QFV140"/>
      <c r="QFW140"/>
      <c r="QFX140"/>
      <c r="QFY140"/>
      <c r="QFZ140"/>
      <c r="QGA140"/>
      <c r="QGB140"/>
      <c r="QGC140"/>
      <c r="QGD140"/>
      <c r="QGE140"/>
      <c r="QGF140"/>
      <c r="QGG140"/>
      <c r="QGH140"/>
      <c r="QGI140"/>
      <c r="QGJ140"/>
      <c r="QGK140"/>
      <c r="QGL140"/>
      <c r="QGM140"/>
      <c r="QGN140"/>
      <c r="QGO140"/>
      <c r="QGP140"/>
      <c r="QGQ140"/>
      <c r="QGR140"/>
      <c r="QGS140"/>
      <c r="QGT140"/>
      <c r="QGU140"/>
      <c r="QGV140"/>
      <c r="QGW140"/>
      <c r="QGX140"/>
      <c r="QGY140"/>
      <c r="QGZ140"/>
      <c r="QHA140"/>
      <c r="QHB140"/>
      <c r="QHC140"/>
      <c r="QHD140"/>
      <c r="QHE140"/>
      <c r="QHF140"/>
      <c r="QHG140"/>
      <c r="QHH140"/>
      <c r="QHI140"/>
      <c r="QHJ140"/>
      <c r="QHK140"/>
      <c r="QHL140"/>
      <c r="QHM140"/>
      <c r="QHN140"/>
      <c r="QHO140"/>
      <c r="QHP140"/>
      <c r="QHQ140"/>
      <c r="QHR140"/>
      <c r="QHS140"/>
      <c r="QHT140"/>
      <c r="QHU140"/>
      <c r="QHV140"/>
      <c r="QHW140"/>
      <c r="QHX140"/>
      <c r="QHY140"/>
      <c r="QHZ140"/>
      <c r="QIA140"/>
      <c r="QIB140"/>
      <c r="QIC140"/>
      <c r="QID140"/>
      <c r="QIE140"/>
      <c r="QIF140"/>
      <c r="QIG140"/>
      <c r="QIH140"/>
      <c r="QII140"/>
      <c r="QIJ140"/>
      <c r="QIK140"/>
      <c r="QIL140"/>
      <c r="QIM140"/>
      <c r="QIN140"/>
      <c r="QIO140"/>
      <c r="QIP140"/>
      <c r="QIQ140"/>
      <c r="QIR140"/>
      <c r="QIS140"/>
      <c r="QIT140"/>
      <c r="QIU140"/>
      <c r="QIV140"/>
      <c r="QIW140"/>
      <c r="QIX140"/>
      <c r="QIY140"/>
      <c r="QIZ140"/>
      <c r="QJA140"/>
      <c r="QJB140"/>
      <c r="QJC140"/>
      <c r="QJD140"/>
      <c r="QJE140"/>
      <c r="QJF140"/>
      <c r="QJG140"/>
      <c r="QJH140"/>
      <c r="QJI140"/>
      <c r="QJJ140"/>
      <c r="QJK140"/>
      <c r="QJL140"/>
      <c r="QJM140"/>
      <c r="QJN140"/>
      <c r="QJO140"/>
      <c r="QJP140"/>
      <c r="QJQ140"/>
      <c r="QJR140"/>
      <c r="QJS140"/>
      <c r="QJT140"/>
      <c r="QJU140"/>
      <c r="QJV140"/>
      <c r="QJW140"/>
      <c r="QJX140"/>
      <c r="QJY140"/>
      <c r="QJZ140"/>
      <c r="QKA140"/>
      <c r="QKB140"/>
      <c r="QKC140"/>
      <c r="QKD140"/>
      <c r="QKE140"/>
      <c r="QKF140"/>
      <c r="QKG140"/>
      <c r="QKH140"/>
      <c r="QKI140"/>
      <c r="QKJ140"/>
      <c r="QKK140"/>
      <c r="QKL140"/>
      <c r="QKM140"/>
      <c r="QKN140"/>
      <c r="QKO140"/>
      <c r="QKP140"/>
      <c r="QKQ140"/>
      <c r="QKR140"/>
      <c r="QKS140"/>
      <c r="QKT140"/>
      <c r="QKU140"/>
      <c r="QKV140"/>
      <c r="QKW140"/>
      <c r="QKX140"/>
      <c r="QKY140"/>
      <c r="QKZ140"/>
      <c r="QLA140"/>
      <c r="QLB140"/>
      <c r="QLC140"/>
      <c r="QLD140"/>
      <c r="QLE140"/>
      <c r="QLF140"/>
      <c r="QLG140"/>
      <c r="QLH140"/>
      <c r="QLI140"/>
      <c r="QLJ140"/>
      <c r="QLK140"/>
      <c r="QLL140"/>
      <c r="QLM140"/>
      <c r="QLN140"/>
      <c r="QLO140"/>
      <c r="QLP140"/>
      <c r="QLQ140"/>
      <c r="QLR140"/>
      <c r="QLS140"/>
      <c r="QLT140"/>
      <c r="QLU140"/>
      <c r="QLV140"/>
      <c r="QLW140"/>
      <c r="QLX140"/>
      <c r="QLY140"/>
      <c r="QLZ140"/>
      <c r="QMA140"/>
      <c r="QMB140"/>
      <c r="QMC140"/>
      <c r="QMD140"/>
      <c r="QME140"/>
      <c r="QMF140"/>
      <c r="QMG140"/>
      <c r="QMH140"/>
      <c r="QMI140"/>
      <c r="QMJ140"/>
      <c r="QMK140"/>
      <c r="QML140"/>
      <c r="QMM140"/>
      <c r="QMN140"/>
      <c r="QMO140"/>
      <c r="QMP140"/>
      <c r="QMQ140"/>
      <c r="QMR140"/>
      <c r="QMS140"/>
      <c r="QMT140"/>
      <c r="QMU140"/>
      <c r="QMV140"/>
      <c r="QMW140"/>
      <c r="QMX140"/>
      <c r="QMY140"/>
      <c r="QMZ140"/>
      <c r="QNA140"/>
      <c r="QNB140"/>
      <c r="QNC140"/>
      <c r="QND140"/>
      <c r="QNE140"/>
      <c r="QNF140"/>
      <c r="QNG140"/>
      <c r="QNH140"/>
      <c r="QNI140"/>
      <c r="QNJ140"/>
      <c r="QNK140"/>
      <c r="QNL140"/>
      <c r="QNM140"/>
      <c r="QNN140"/>
      <c r="QNO140"/>
      <c r="QNP140"/>
      <c r="QNQ140"/>
      <c r="QNR140"/>
      <c r="QNS140"/>
      <c r="QNT140"/>
      <c r="QNU140"/>
      <c r="QNV140"/>
      <c r="QNW140"/>
      <c r="QNX140"/>
      <c r="QNY140"/>
      <c r="QNZ140"/>
      <c r="QOA140"/>
      <c r="QOB140"/>
      <c r="QOC140"/>
      <c r="QOD140"/>
      <c r="QOE140"/>
      <c r="QOF140"/>
      <c r="QOG140"/>
      <c r="QOH140"/>
      <c r="QOI140"/>
      <c r="QOJ140"/>
      <c r="QOK140"/>
      <c r="QOL140"/>
      <c r="QOM140"/>
      <c r="QON140"/>
      <c r="QOO140"/>
      <c r="QOP140"/>
      <c r="QOQ140"/>
      <c r="QOR140"/>
      <c r="QOS140"/>
      <c r="QOT140"/>
      <c r="QOU140"/>
      <c r="QOV140"/>
      <c r="QOW140"/>
      <c r="QOX140"/>
      <c r="QOY140"/>
      <c r="QOZ140"/>
      <c r="QPA140"/>
      <c r="QPB140"/>
      <c r="QPC140"/>
      <c r="QPD140"/>
      <c r="QPE140"/>
      <c r="QPF140"/>
      <c r="QPG140"/>
      <c r="QPH140"/>
      <c r="QPI140"/>
      <c r="QPJ140"/>
      <c r="QPK140"/>
      <c r="QPL140"/>
      <c r="QPM140"/>
      <c r="QPN140"/>
      <c r="QPO140"/>
      <c r="QPP140"/>
      <c r="QPQ140"/>
      <c r="QPR140"/>
      <c r="QPS140"/>
      <c r="QPT140"/>
      <c r="QPU140"/>
      <c r="QPV140"/>
      <c r="QPW140"/>
      <c r="QPX140"/>
      <c r="QPY140"/>
      <c r="QPZ140"/>
      <c r="QQA140"/>
      <c r="QQB140"/>
      <c r="QQC140"/>
      <c r="QQD140"/>
      <c r="QQE140"/>
      <c r="QQF140"/>
      <c r="QQG140"/>
      <c r="QQH140"/>
      <c r="QQI140"/>
      <c r="QQJ140"/>
      <c r="QQK140"/>
      <c r="QQL140"/>
      <c r="QQM140"/>
      <c r="QQN140"/>
      <c r="QQO140"/>
      <c r="QQP140"/>
      <c r="QQQ140"/>
      <c r="QQR140"/>
      <c r="QQS140"/>
      <c r="QQT140"/>
      <c r="QQU140"/>
      <c r="QQV140"/>
      <c r="QQW140"/>
      <c r="QQX140"/>
      <c r="QQY140"/>
      <c r="QQZ140"/>
      <c r="QRA140"/>
      <c r="QRB140"/>
      <c r="QRC140"/>
      <c r="QRD140"/>
      <c r="QRE140"/>
      <c r="QRF140"/>
      <c r="QRG140"/>
      <c r="QRH140"/>
      <c r="QRI140"/>
      <c r="QRJ140"/>
      <c r="QRK140"/>
      <c r="QRL140"/>
      <c r="QRM140"/>
      <c r="QRN140"/>
      <c r="QRO140"/>
      <c r="QRP140"/>
      <c r="QRQ140"/>
      <c r="QRR140"/>
      <c r="QRS140"/>
      <c r="QRT140"/>
      <c r="QRU140"/>
      <c r="QRV140"/>
      <c r="QRW140"/>
      <c r="QRX140"/>
      <c r="QRY140"/>
      <c r="QRZ140"/>
      <c r="QSA140"/>
      <c r="QSB140"/>
      <c r="QSC140"/>
      <c r="QSD140"/>
      <c r="QSE140"/>
      <c r="QSF140"/>
      <c r="QSG140"/>
      <c r="QSH140"/>
      <c r="QSI140"/>
      <c r="QSJ140"/>
      <c r="QSK140"/>
      <c r="QSL140"/>
      <c r="QSM140"/>
      <c r="QSN140"/>
      <c r="QSO140"/>
      <c r="QSP140"/>
      <c r="QSQ140"/>
      <c r="QSR140"/>
      <c r="QSS140"/>
      <c r="QST140"/>
      <c r="QSU140"/>
      <c r="QSV140"/>
      <c r="QSW140"/>
      <c r="QSX140"/>
      <c r="QSY140"/>
      <c r="QSZ140"/>
      <c r="QTA140"/>
      <c r="QTB140"/>
      <c r="QTC140"/>
      <c r="QTD140"/>
      <c r="QTE140"/>
      <c r="QTF140"/>
      <c r="QTG140"/>
      <c r="QTH140"/>
      <c r="QTI140"/>
      <c r="QTJ140"/>
      <c r="QTK140"/>
      <c r="QTL140"/>
      <c r="QTM140"/>
      <c r="QTN140"/>
      <c r="QTO140"/>
      <c r="QTP140"/>
      <c r="QTQ140"/>
      <c r="QTR140"/>
      <c r="QTS140"/>
      <c r="QTT140"/>
      <c r="QTU140"/>
      <c r="QTV140"/>
      <c r="QTW140"/>
      <c r="QTX140"/>
      <c r="QTY140"/>
      <c r="QTZ140"/>
      <c r="QUA140"/>
      <c r="QUB140"/>
      <c r="QUC140"/>
      <c r="QUD140"/>
      <c r="QUE140"/>
      <c r="QUF140"/>
      <c r="QUG140"/>
      <c r="QUH140"/>
      <c r="QUI140"/>
      <c r="QUJ140"/>
      <c r="QUK140"/>
      <c r="QUL140"/>
      <c r="QUM140"/>
      <c r="QUN140"/>
      <c r="QUO140"/>
      <c r="QUP140"/>
      <c r="QUQ140"/>
      <c r="QUR140"/>
      <c r="QUS140"/>
      <c r="QUT140"/>
      <c r="QUU140"/>
      <c r="QUV140"/>
      <c r="QUW140"/>
      <c r="QUX140"/>
      <c r="QUY140"/>
      <c r="QUZ140"/>
      <c r="QVA140"/>
      <c r="QVB140"/>
      <c r="QVC140"/>
      <c r="QVD140"/>
      <c r="QVE140"/>
      <c r="QVF140"/>
      <c r="QVG140"/>
      <c r="QVH140"/>
      <c r="QVI140"/>
      <c r="QVJ140"/>
      <c r="QVK140"/>
      <c r="QVL140"/>
      <c r="QVM140"/>
      <c r="QVN140"/>
      <c r="QVO140"/>
      <c r="QVP140"/>
      <c r="QVQ140"/>
      <c r="QVR140"/>
      <c r="QVS140"/>
      <c r="QVT140"/>
      <c r="QVU140"/>
      <c r="QVV140"/>
      <c r="QVW140"/>
      <c r="QVX140"/>
      <c r="QVY140"/>
      <c r="QVZ140"/>
      <c r="QWA140"/>
      <c r="QWB140"/>
      <c r="QWC140"/>
      <c r="QWD140"/>
      <c r="QWE140"/>
      <c r="QWF140"/>
      <c r="QWG140"/>
      <c r="QWH140"/>
      <c r="QWI140"/>
      <c r="QWJ140"/>
      <c r="QWK140"/>
      <c r="QWL140"/>
      <c r="QWM140"/>
      <c r="QWN140"/>
      <c r="QWO140"/>
      <c r="QWP140"/>
      <c r="QWQ140"/>
      <c r="QWR140"/>
      <c r="QWS140"/>
      <c r="QWT140"/>
      <c r="QWU140"/>
      <c r="QWV140"/>
      <c r="QWW140"/>
      <c r="QWX140"/>
      <c r="QWY140"/>
      <c r="QWZ140"/>
      <c r="QXA140"/>
      <c r="QXB140"/>
      <c r="QXC140"/>
      <c r="QXD140"/>
      <c r="QXE140"/>
      <c r="QXF140"/>
      <c r="QXG140"/>
      <c r="QXH140"/>
      <c r="QXI140"/>
      <c r="QXJ140"/>
      <c r="QXK140"/>
      <c r="QXL140"/>
      <c r="QXM140"/>
      <c r="QXN140"/>
      <c r="QXO140"/>
      <c r="QXP140"/>
      <c r="QXQ140"/>
      <c r="QXR140"/>
      <c r="QXS140"/>
      <c r="QXT140"/>
      <c r="QXU140"/>
      <c r="QXV140"/>
      <c r="QXW140"/>
      <c r="QXX140"/>
      <c r="QXY140"/>
      <c r="QXZ140"/>
      <c r="QYA140"/>
      <c r="QYB140"/>
      <c r="QYC140"/>
      <c r="QYD140"/>
      <c r="QYE140"/>
      <c r="QYF140"/>
      <c r="QYG140"/>
      <c r="QYH140"/>
      <c r="QYI140"/>
      <c r="QYJ140"/>
      <c r="QYK140"/>
      <c r="QYL140"/>
      <c r="QYM140"/>
      <c r="QYN140"/>
      <c r="QYO140"/>
      <c r="QYP140"/>
      <c r="QYQ140"/>
      <c r="QYR140"/>
      <c r="QYS140"/>
      <c r="QYT140"/>
      <c r="QYU140"/>
      <c r="QYV140"/>
      <c r="QYW140"/>
      <c r="QYX140"/>
      <c r="QYY140"/>
      <c r="QYZ140"/>
      <c r="QZA140"/>
      <c r="QZB140"/>
      <c r="QZC140"/>
      <c r="QZD140"/>
      <c r="QZE140"/>
      <c r="QZF140"/>
      <c r="QZG140"/>
      <c r="QZH140"/>
      <c r="QZI140"/>
      <c r="QZJ140"/>
      <c r="QZK140"/>
      <c r="QZL140"/>
      <c r="QZM140"/>
      <c r="QZN140"/>
      <c r="QZO140"/>
      <c r="QZP140"/>
      <c r="QZQ140"/>
      <c r="QZR140"/>
      <c r="QZS140"/>
      <c r="QZT140"/>
      <c r="QZU140"/>
      <c r="QZV140"/>
      <c r="QZW140"/>
      <c r="QZX140"/>
      <c r="QZY140"/>
      <c r="QZZ140"/>
      <c r="RAA140"/>
      <c r="RAB140"/>
      <c r="RAC140"/>
      <c r="RAD140"/>
      <c r="RAE140"/>
      <c r="RAF140"/>
      <c r="RAG140"/>
      <c r="RAH140"/>
      <c r="RAI140"/>
      <c r="RAJ140"/>
      <c r="RAK140"/>
      <c r="RAL140"/>
      <c r="RAM140"/>
      <c r="RAN140"/>
      <c r="RAO140"/>
      <c r="RAP140"/>
      <c r="RAQ140"/>
      <c r="RAR140"/>
      <c r="RAS140"/>
      <c r="RAT140"/>
      <c r="RAU140"/>
      <c r="RAV140"/>
      <c r="RAW140"/>
      <c r="RAX140"/>
      <c r="RAY140"/>
      <c r="RAZ140"/>
      <c r="RBA140"/>
      <c r="RBB140"/>
      <c r="RBC140"/>
      <c r="RBD140"/>
      <c r="RBE140"/>
      <c r="RBF140"/>
      <c r="RBG140"/>
      <c r="RBH140"/>
      <c r="RBI140"/>
      <c r="RBJ140"/>
      <c r="RBK140"/>
      <c r="RBL140"/>
      <c r="RBM140"/>
      <c r="RBN140"/>
      <c r="RBO140"/>
      <c r="RBP140"/>
      <c r="RBQ140"/>
      <c r="RBR140"/>
      <c r="RBS140"/>
      <c r="RBT140"/>
      <c r="RBU140"/>
      <c r="RBV140"/>
      <c r="RBW140"/>
      <c r="RBX140"/>
      <c r="RBY140"/>
      <c r="RBZ140"/>
      <c r="RCA140"/>
      <c r="RCB140"/>
      <c r="RCC140"/>
      <c r="RCD140"/>
      <c r="RCE140"/>
      <c r="RCF140"/>
      <c r="RCG140"/>
      <c r="RCH140"/>
      <c r="RCI140"/>
      <c r="RCJ140"/>
      <c r="RCK140"/>
      <c r="RCL140"/>
      <c r="RCM140"/>
      <c r="RCN140"/>
      <c r="RCO140"/>
      <c r="RCP140"/>
      <c r="RCQ140"/>
      <c r="RCR140"/>
      <c r="RCS140"/>
      <c r="RCT140"/>
      <c r="RCU140"/>
      <c r="RCV140"/>
      <c r="RCW140"/>
      <c r="RCX140"/>
      <c r="RCY140"/>
      <c r="RCZ140"/>
      <c r="RDA140"/>
      <c r="RDB140"/>
      <c r="RDC140"/>
      <c r="RDD140"/>
      <c r="RDE140"/>
      <c r="RDF140"/>
      <c r="RDG140"/>
      <c r="RDH140"/>
      <c r="RDI140"/>
      <c r="RDJ140"/>
      <c r="RDK140"/>
      <c r="RDL140"/>
      <c r="RDM140"/>
      <c r="RDN140"/>
      <c r="RDO140"/>
      <c r="RDP140"/>
      <c r="RDQ140"/>
      <c r="RDR140"/>
      <c r="RDS140"/>
      <c r="RDT140"/>
      <c r="RDU140"/>
      <c r="RDV140"/>
      <c r="RDW140"/>
      <c r="RDX140"/>
      <c r="RDY140"/>
      <c r="RDZ140"/>
      <c r="REA140"/>
      <c r="REB140"/>
      <c r="REC140"/>
      <c r="RED140"/>
      <c r="REE140"/>
      <c r="REF140"/>
      <c r="REG140"/>
      <c r="REH140"/>
      <c r="REI140"/>
      <c r="REJ140"/>
      <c r="REK140"/>
      <c r="REL140"/>
      <c r="REM140"/>
      <c r="REN140"/>
      <c r="REO140"/>
      <c r="REP140"/>
      <c r="REQ140"/>
      <c r="RER140"/>
      <c r="RES140"/>
      <c r="RET140"/>
      <c r="REU140"/>
      <c r="REV140"/>
      <c r="REW140"/>
      <c r="REX140"/>
      <c r="REY140"/>
      <c r="REZ140"/>
      <c r="RFA140"/>
      <c r="RFB140"/>
      <c r="RFC140"/>
      <c r="RFD140"/>
      <c r="RFE140"/>
      <c r="RFF140"/>
      <c r="RFG140"/>
      <c r="RFH140"/>
      <c r="RFI140"/>
      <c r="RFJ140"/>
      <c r="RFK140"/>
      <c r="RFL140"/>
      <c r="RFM140"/>
      <c r="RFN140"/>
      <c r="RFO140"/>
      <c r="RFP140"/>
      <c r="RFQ140"/>
      <c r="RFR140"/>
      <c r="RFS140"/>
      <c r="RFT140"/>
      <c r="RFU140"/>
      <c r="RFV140"/>
      <c r="RFW140"/>
      <c r="RFX140"/>
      <c r="RFY140"/>
      <c r="RFZ140"/>
      <c r="RGA140"/>
      <c r="RGB140"/>
      <c r="RGC140"/>
      <c r="RGD140"/>
      <c r="RGE140"/>
      <c r="RGF140"/>
      <c r="RGG140"/>
      <c r="RGH140"/>
      <c r="RGI140"/>
      <c r="RGJ140"/>
      <c r="RGK140"/>
      <c r="RGL140"/>
      <c r="RGM140"/>
      <c r="RGN140"/>
      <c r="RGO140"/>
      <c r="RGP140"/>
      <c r="RGQ140"/>
      <c r="RGR140"/>
      <c r="RGS140"/>
      <c r="RGT140"/>
      <c r="RGU140"/>
      <c r="RGV140"/>
      <c r="RGW140"/>
      <c r="RGX140"/>
      <c r="RGY140"/>
      <c r="RGZ140"/>
      <c r="RHA140"/>
      <c r="RHB140"/>
      <c r="RHC140"/>
      <c r="RHD140"/>
      <c r="RHE140"/>
      <c r="RHF140"/>
      <c r="RHG140"/>
      <c r="RHH140"/>
      <c r="RHI140"/>
      <c r="RHJ140"/>
      <c r="RHK140"/>
      <c r="RHL140"/>
      <c r="RHM140"/>
      <c r="RHN140"/>
      <c r="RHO140"/>
      <c r="RHP140"/>
      <c r="RHQ140"/>
      <c r="RHR140"/>
      <c r="RHS140"/>
      <c r="RHT140"/>
      <c r="RHU140"/>
      <c r="RHV140"/>
      <c r="RHW140"/>
      <c r="RHX140"/>
      <c r="RHY140"/>
      <c r="RHZ140"/>
      <c r="RIA140"/>
      <c r="RIB140"/>
      <c r="RIC140"/>
      <c r="RID140"/>
      <c r="RIE140"/>
      <c r="RIF140"/>
      <c r="RIG140"/>
      <c r="RIH140"/>
      <c r="RII140"/>
      <c r="RIJ140"/>
      <c r="RIK140"/>
      <c r="RIL140"/>
      <c r="RIM140"/>
      <c r="RIN140"/>
      <c r="RIO140"/>
      <c r="RIP140"/>
      <c r="RIQ140"/>
      <c r="RIR140"/>
      <c r="RIS140"/>
      <c r="RIT140"/>
      <c r="RIU140"/>
      <c r="RIV140"/>
      <c r="RIW140"/>
      <c r="RIX140"/>
      <c r="RIY140"/>
      <c r="RIZ140"/>
      <c r="RJA140"/>
      <c r="RJB140"/>
      <c r="RJC140"/>
      <c r="RJD140"/>
      <c r="RJE140"/>
      <c r="RJF140"/>
      <c r="RJG140"/>
      <c r="RJH140"/>
      <c r="RJI140"/>
      <c r="RJJ140"/>
      <c r="RJK140"/>
      <c r="RJL140"/>
      <c r="RJM140"/>
      <c r="RJN140"/>
      <c r="RJO140"/>
      <c r="RJP140"/>
      <c r="RJQ140"/>
      <c r="RJR140"/>
      <c r="RJS140"/>
      <c r="RJT140"/>
      <c r="RJU140"/>
      <c r="RJV140"/>
      <c r="RJW140"/>
      <c r="RJX140"/>
      <c r="RJY140"/>
      <c r="RJZ140"/>
      <c r="RKA140"/>
      <c r="RKB140"/>
      <c r="RKC140"/>
      <c r="RKD140"/>
      <c r="RKE140"/>
      <c r="RKF140"/>
      <c r="RKG140"/>
      <c r="RKH140"/>
      <c r="RKI140"/>
      <c r="RKJ140"/>
      <c r="RKK140"/>
      <c r="RKL140"/>
      <c r="RKM140"/>
      <c r="RKN140"/>
      <c r="RKO140"/>
      <c r="RKP140"/>
      <c r="RKQ140"/>
      <c r="RKR140"/>
      <c r="RKS140"/>
      <c r="RKT140"/>
      <c r="RKU140"/>
      <c r="RKV140"/>
      <c r="RKW140"/>
      <c r="RKX140"/>
      <c r="RKY140"/>
      <c r="RKZ140"/>
      <c r="RLA140"/>
      <c r="RLB140"/>
      <c r="RLC140"/>
      <c r="RLD140"/>
      <c r="RLE140"/>
      <c r="RLF140"/>
      <c r="RLG140"/>
      <c r="RLH140"/>
      <c r="RLI140"/>
      <c r="RLJ140"/>
      <c r="RLK140"/>
      <c r="RLL140"/>
      <c r="RLM140"/>
      <c r="RLN140"/>
      <c r="RLO140"/>
      <c r="RLP140"/>
      <c r="RLQ140"/>
      <c r="RLR140"/>
      <c r="RLS140"/>
      <c r="RLT140"/>
      <c r="RLU140"/>
      <c r="RLV140"/>
      <c r="RLW140"/>
      <c r="RLX140"/>
      <c r="RLY140"/>
      <c r="RLZ140"/>
      <c r="RMA140"/>
      <c r="RMB140"/>
      <c r="RMC140"/>
      <c r="RMD140"/>
      <c r="RME140"/>
      <c r="RMF140"/>
      <c r="RMG140"/>
      <c r="RMH140"/>
      <c r="RMI140"/>
      <c r="RMJ140"/>
      <c r="RMK140"/>
      <c r="RML140"/>
      <c r="RMM140"/>
      <c r="RMN140"/>
      <c r="RMO140"/>
      <c r="RMP140"/>
      <c r="RMQ140"/>
      <c r="RMR140"/>
      <c r="RMS140"/>
      <c r="RMT140"/>
      <c r="RMU140"/>
      <c r="RMV140"/>
      <c r="RMW140"/>
      <c r="RMX140"/>
      <c r="RMY140"/>
      <c r="RMZ140"/>
      <c r="RNA140"/>
      <c r="RNB140"/>
      <c r="RNC140"/>
      <c r="RND140"/>
      <c r="RNE140"/>
      <c r="RNF140"/>
      <c r="RNG140"/>
      <c r="RNH140"/>
      <c r="RNI140"/>
      <c r="RNJ140"/>
      <c r="RNK140"/>
      <c r="RNL140"/>
      <c r="RNM140"/>
      <c r="RNN140"/>
      <c r="RNO140"/>
      <c r="RNP140"/>
      <c r="RNQ140"/>
      <c r="RNR140"/>
      <c r="RNS140"/>
      <c r="RNT140"/>
      <c r="RNU140"/>
      <c r="RNV140"/>
      <c r="RNW140"/>
      <c r="RNX140"/>
      <c r="RNY140"/>
      <c r="RNZ140"/>
      <c r="ROA140"/>
      <c r="ROB140"/>
      <c r="ROC140"/>
      <c r="ROD140"/>
      <c r="ROE140"/>
      <c r="ROF140"/>
      <c r="ROG140"/>
      <c r="ROH140"/>
      <c r="ROI140"/>
      <c r="ROJ140"/>
      <c r="ROK140"/>
      <c r="ROL140"/>
      <c r="ROM140"/>
      <c r="RON140"/>
      <c r="ROO140"/>
      <c r="ROP140"/>
      <c r="ROQ140"/>
      <c r="ROR140"/>
      <c r="ROS140"/>
      <c r="ROT140"/>
      <c r="ROU140"/>
      <c r="ROV140"/>
      <c r="ROW140"/>
      <c r="ROX140"/>
      <c r="ROY140"/>
      <c r="ROZ140"/>
      <c r="RPA140"/>
      <c r="RPB140"/>
      <c r="RPC140"/>
      <c r="RPD140"/>
      <c r="RPE140"/>
      <c r="RPF140"/>
      <c r="RPG140"/>
      <c r="RPH140"/>
      <c r="RPI140"/>
      <c r="RPJ140"/>
      <c r="RPK140"/>
      <c r="RPL140"/>
      <c r="RPM140"/>
      <c r="RPN140"/>
      <c r="RPO140"/>
      <c r="RPP140"/>
      <c r="RPQ140"/>
      <c r="RPR140"/>
      <c r="RPS140"/>
      <c r="RPT140"/>
      <c r="RPU140"/>
      <c r="RPV140"/>
      <c r="RPW140"/>
      <c r="RPX140"/>
      <c r="RPY140"/>
      <c r="RPZ140"/>
      <c r="RQA140"/>
      <c r="RQB140"/>
      <c r="RQC140"/>
      <c r="RQD140"/>
      <c r="RQE140"/>
      <c r="RQF140"/>
      <c r="RQG140"/>
      <c r="RQH140"/>
      <c r="RQI140"/>
      <c r="RQJ140"/>
      <c r="RQK140"/>
      <c r="RQL140"/>
      <c r="RQM140"/>
      <c r="RQN140"/>
      <c r="RQO140"/>
      <c r="RQP140"/>
      <c r="RQQ140"/>
      <c r="RQR140"/>
      <c r="RQS140"/>
      <c r="RQT140"/>
      <c r="RQU140"/>
      <c r="RQV140"/>
      <c r="RQW140"/>
      <c r="RQX140"/>
      <c r="RQY140"/>
      <c r="RQZ140"/>
      <c r="RRA140"/>
      <c r="RRB140"/>
      <c r="RRC140"/>
      <c r="RRD140"/>
      <c r="RRE140"/>
      <c r="RRF140"/>
      <c r="RRG140"/>
      <c r="RRH140"/>
      <c r="RRI140"/>
      <c r="RRJ140"/>
      <c r="RRK140"/>
      <c r="RRL140"/>
      <c r="RRM140"/>
      <c r="RRN140"/>
      <c r="RRO140"/>
      <c r="RRP140"/>
      <c r="RRQ140"/>
      <c r="RRR140"/>
      <c r="RRS140"/>
      <c r="RRT140"/>
      <c r="RRU140"/>
      <c r="RRV140"/>
      <c r="RRW140"/>
      <c r="RRX140"/>
      <c r="RRY140"/>
      <c r="RRZ140"/>
      <c r="RSA140"/>
      <c r="RSB140"/>
      <c r="RSC140"/>
      <c r="RSD140"/>
      <c r="RSE140"/>
      <c r="RSF140"/>
      <c r="RSG140"/>
      <c r="RSH140"/>
      <c r="RSI140"/>
      <c r="RSJ140"/>
      <c r="RSK140"/>
      <c r="RSL140"/>
      <c r="RSM140"/>
      <c r="RSN140"/>
      <c r="RSO140"/>
      <c r="RSP140"/>
      <c r="RSQ140"/>
      <c r="RSR140"/>
      <c r="RSS140"/>
      <c r="RST140"/>
      <c r="RSU140"/>
      <c r="RSV140"/>
      <c r="RSW140"/>
      <c r="RSX140"/>
      <c r="RSY140"/>
      <c r="RSZ140"/>
      <c r="RTA140"/>
      <c r="RTB140"/>
      <c r="RTC140"/>
      <c r="RTD140"/>
      <c r="RTE140"/>
      <c r="RTF140"/>
      <c r="RTG140"/>
      <c r="RTH140"/>
      <c r="RTI140"/>
      <c r="RTJ140"/>
      <c r="RTK140"/>
      <c r="RTL140"/>
      <c r="RTM140"/>
      <c r="RTN140"/>
      <c r="RTO140"/>
      <c r="RTP140"/>
      <c r="RTQ140"/>
      <c r="RTR140"/>
      <c r="RTS140"/>
      <c r="RTT140"/>
      <c r="RTU140"/>
      <c r="RTV140"/>
      <c r="RTW140"/>
      <c r="RTX140"/>
      <c r="RTY140"/>
      <c r="RTZ140"/>
      <c r="RUA140"/>
      <c r="RUB140"/>
      <c r="RUC140"/>
      <c r="RUD140"/>
      <c r="RUE140"/>
      <c r="RUF140"/>
      <c r="RUG140"/>
      <c r="RUH140"/>
      <c r="RUI140"/>
      <c r="RUJ140"/>
      <c r="RUK140"/>
      <c r="RUL140"/>
      <c r="RUM140"/>
      <c r="RUN140"/>
      <c r="RUO140"/>
      <c r="RUP140"/>
      <c r="RUQ140"/>
      <c r="RUR140"/>
      <c r="RUS140"/>
      <c r="RUT140"/>
      <c r="RUU140"/>
      <c r="RUV140"/>
      <c r="RUW140"/>
      <c r="RUX140"/>
      <c r="RUY140"/>
      <c r="RUZ140"/>
      <c r="RVA140"/>
      <c r="RVB140"/>
      <c r="RVC140"/>
      <c r="RVD140"/>
      <c r="RVE140"/>
      <c r="RVF140"/>
      <c r="RVG140"/>
      <c r="RVH140"/>
      <c r="RVI140"/>
      <c r="RVJ140"/>
      <c r="RVK140"/>
      <c r="RVL140"/>
      <c r="RVM140"/>
      <c r="RVN140"/>
      <c r="RVO140"/>
      <c r="RVP140"/>
      <c r="RVQ140"/>
      <c r="RVR140"/>
      <c r="RVS140"/>
      <c r="RVT140"/>
      <c r="RVU140"/>
      <c r="RVV140"/>
      <c r="RVW140"/>
      <c r="RVX140"/>
      <c r="RVY140"/>
      <c r="RVZ140"/>
      <c r="RWA140"/>
      <c r="RWB140"/>
      <c r="RWC140"/>
      <c r="RWD140"/>
      <c r="RWE140"/>
      <c r="RWF140"/>
      <c r="RWG140"/>
      <c r="RWH140"/>
      <c r="RWI140"/>
      <c r="RWJ140"/>
      <c r="RWK140"/>
      <c r="RWL140"/>
      <c r="RWM140"/>
      <c r="RWN140"/>
      <c r="RWO140"/>
      <c r="RWP140"/>
      <c r="RWQ140"/>
      <c r="RWR140"/>
      <c r="RWS140"/>
      <c r="RWT140"/>
      <c r="RWU140"/>
      <c r="RWV140"/>
      <c r="RWW140"/>
      <c r="RWX140"/>
      <c r="RWY140"/>
      <c r="RWZ140"/>
      <c r="RXA140"/>
      <c r="RXB140"/>
      <c r="RXC140"/>
      <c r="RXD140"/>
      <c r="RXE140"/>
      <c r="RXF140"/>
      <c r="RXG140"/>
      <c r="RXH140"/>
      <c r="RXI140"/>
      <c r="RXJ140"/>
      <c r="RXK140"/>
      <c r="RXL140"/>
      <c r="RXM140"/>
      <c r="RXN140"/>
      <c r="RXO140"/>
      <c r="RXP140"/>
      <c r="RXQ140"/>
      <c r="RXR140"/>
      <c r="RXS140"/>
      <c r="RXT140"/>
      <c r="RXU140"/>
      <c r="RXV140"/>
      <c r="RXW140"/>
      <c r="RXX140"/>
      <c r="RXY140"/>
      <c r="RXZ140"/>
      <c r="RYA140"/>
      <c r="RYB140"/>
      <c r="RYC140"/>
      <c r="RYD140"/>
      <c r="RYE140"/>
      <c r="RYF140"/>
      <c r="RYG140"/>
      <c r="RYH140"/>
      <c r="RYI140"/>
      <c r="RYJ140"/>
      <c r="RYK140"/>
      <c r="RYL140"/>
      <c r="RYM140"/>
      <c r="RYN140"/>
      <c r="RYO140"/>
      <c r="RYP140"/>
      <c r="RYQ140"/>
      <c r="RYR140"/>
      <c r="RYS140"/>
      <c r="RYT140"/>
      <c r="RYU140"/>
      <c r="RYV140"/>
      <c r="RYW140"/>
      <c r="RYX140"/>
      <c r="RYY140"/>
      <c r="RYZ140"/>
      <c r="RZA140"/>
      <c r="RZB140"/>
      <c r="RZC140"/>
      <c r="RZD140"/>
      <c r="RZE140"/>
      <c r="RZF140"/>
      <c r="RZG140"/>
      <c r="RZH140"/>
      <c r="RZI140"/>
      <c r="RZJ140"/>
      <c r="RZK140"/>
      <c r="RZL140"/>
      <c r="RZM140"/>
      <c r="RZN140"/>
      <c r="RZO140"/>
      <c r="RZP140"/>
      <c r="RZQ140"/>
      <c r="RZR140"/>
      <c r="RZS140"/>
      <c r="RZT140"/>
      <c r="RZU140"/>
      <c r="RZV140"/>
      <c r="RZW140"/>
      <c r="RZX140"/>
      <c r="RZY140"/>
      <c r="RZZ140"/>
      <c r="SAA140"/>
      <c r="SAB140"/>
      <c r="SAC140"/>
      <c r="SAD140"/>
      <c r="SAE140"/>
      <c r="SAF140"/>
      <c r="SAG140"/>
      <c r="SAH140"/>
      <c r="SAI140"/>
      <c r="SAJ140"/>
      <c r="SAK140"/>
      <c r="SAL140"/>
      <c r="SAM140"/>
      <c r="SAN140"/>
      <c r="SAO140"/>
      <c r="SAP140"/>
      <c r="SAQ140"/>
      <c r="SAR140"/>
      <c r="SAS140"/>
      <c r="SAT140"/>
      <c r="SAU140"/>
      <c r="SAV140"/>
      <c r="SAW140"/>
      <c r="SAX140"/>
      <c r="SAY140"/>
      <c r="SAZ140"/>
      <c r="SBA140"/>
      <c r="SBB140"/>
      <c r="SBC140"/>
      <c r="SBD140"/>
      <c r="SBE140"/>
      <c r="SBF140"/>
      <c r="SBG140"/>
      <c r="SBH140"/>
      <c r="SBI140"/>
      <c r="SBJ140"/>
      <c r="SBK140"/>
      <c r="SBL140"/>
      <c r="SBM140"/>
      <c r="SBN140"/>
      <c r="SBO140"/>
      <c r="SBP140"/>
      <c r="SBQ140"/>
      <c r="SBR140"/>
      <c r="SBS140"/>
      <c r="SBT140"/>
      <c r="SBU140"/>
      <c r="SBV140"/>
      <c r="SBW140"/>
      <c r="SBX140"/>
      <c r="SBY140"/>
      <c r="SBZ140"/>
      <c r="SCA140"/>
      <c r="SCB140"/>
      <c r="SCC140"/>
      <c r="SCD140"/>
      <c r="SCE140"/>
      <c r="SCF140"/>
      <c r="SCG140"/>
      <c r="SCH140"/>
      <c r="SCI140"/>
      <c r="SCJ140"/>
      <c r="SCK140"/>
      <c r="SCL140"/>
      <c r="SCM140"/>
      <c r="SCN140"/>
      <c r="SCO140"/>
      <c r="SCP140"/>
      <c r="SCQ140"/>
      <c r="SCR140"/>
      <c r="SCS140"/>
      <c r="SCT140"/>
      <c r="SCU140"/>
      <c r="SCV140"/>
      <c r="SCW140"/>
      <c r="SCX140"/>
      <c r="SCY140"/>
      <c r="SCZ140"/>
      <c r="SDA140"/>
      <c r="SDB140"/>
      <c r="SDC140"/>
      <c r="SDD140"/>
      <c r="SDE140"/>
      <c r="SDF140"/>
      <c r="SDG140"/>
      <c r="SDH140"/>
      <c r="SDI140"/>
      <c r="SDJ140"/>
      <c r="SDK140"/>
      <c r="SDL140"/>
      <c r="SDM140"/>
      <c r="SDN140"/>
      <c r="SDO140"/>
      <c r="SDP140"/>
      <c r="SDQ140"/>
      <c r="SDR140"/>
      <c r="SDS140"/>
      <c r="SDT140"/>
      <c r="SDU140"/>
      <c r="SDV140"/>
      <c r="SDW140"/>
      <c r="SDX140"/>
      <c r="SDY140"/>
      <c r="SDZ140"/>
      <c r="SEA140"/>
      <c r="SEB140"/>
      <c r="SEC140"/>
      <c r="SED140"/>
      <c r="SEE140"/>
      <c r="SEF140"/>
      <c r="SEG140"/>
      <c r="SEH140"/>
      <c r="SEI140"/>
      <c r="SEJ140"/>
      <c r="SEK140"/>
      <c r="SEL140"/>
      <c r="SEM140"/>
      <c r="SEN140"/>
      <c r="SEO140"/>
      <c r="SEP140"/>
      <c r="SEQ140"/>
      <c r="SER140"/>
      <c r="SES140"/>
      <c r="SET140"/>
      <c r="SEU140"/>
      <c r="SEV140"/>
      <c r="SEW140"/>
      <c r="SEX140"/>
      <c r="SEY140"/>
      <c r="SEZ140"/>
      <c r="SFA140"/>
      <c r="SFB140"/>
      <c r="SFC140"/>
      <c r="SFD140"/>
      <c r="SFE140"/>
      <c r="SFF140"/>
      <c r="SFG140"/>
      <c r="SFH140"/>
      <c r="SFI140"/>
      <c r="SFJ140"/>
      <c r="SFK140"/>
      <c r="SFL140"/>
      <c r="SFM140"/>
      <c r="SFN140"/>
      <c r="SFO140"/>
      <c r="SFP140"/>
      <c r="SFQ140"/>
      <c r="SFR140"/>
      <c r="SFS140"/>
      <c r="SFT140"/>
      <c r="SFU140"/>
      <c r="SFV140"/>
      <c r="SFW140"/>
      <c r="SFX140"/>
      <c r="SFY140"/>
      <c r="SFZ140"/>
      <c r="SGA140"/>
      <c r="SGB140"/>
      <c r="SGC140"/>
      <c r="SGD140"/>
      <c r="SGE140"/>
      <c r="SGF140"/>
      <c r="SGG140"/>
      <c r="SGH140"/>
      <c r="SGI140"/>
      <c r="SGJ140"/>
      <c r="SGK140"/>
      <c r="SGL140"/>
      <c r="SGM140"/>
      <c r="SGN140"/>
      <c r="SGO140"/>
      <c r="SGP140"/>
      <c r="SGQ140"/>
      <c r="SGR140"/>
      <c r="SGS140"/>
      <c r="SGT140"/>
      <c r="SGU140"/>
      <c r="SGV140"/>
      <c r="SGW140"/>
      <c r="SGX140"/>
      <c r="SGY140"/>
      <c r="SGZ140"/>
      <c r="SHA140"/>
      <c r="SHB140"/>
      <c r="SHC140"/>
      <c r="SHD140"/>
      <c r="SHE140"/>
      <c r="SHF140"/>
      <c r="SHG140"/>
      <c r="SHH140"/>
      <c r="SHI140"/>
      <c r="SHJ140"/>
      <c r="SHK140"/>
      <c r="SHL140"/>
      <c r="SHM140"/>
      <c r="SHN140"/>
      <c r="SHO140"/>
      <c r="SHP140"/>
      <c r="SHQ140"/>
      <c r="SHR140"/>
      <c r="SHS140"/>
      <c r="SHT140"/>
      <c r="SHU140"/>
      <c r="SHV140"/>
      <c r="SHW140"/>
      <c r="SHX140"/>
      <c r="SHY140"/>
      <c r="SHZ140"/>
      <c r="SIA140"/>
      <c r="SIB140"/>
      <c r="SIC140"/>
      <c r="SID140"/>
      <c r="SIE140"/>
      <c r="SIF140"/>
      <c r="SIG140"/>
      <c r="SIH140"/>
      <c r="SII140"/>
      <c r="SIJ140"/>
      <c r="SIK140"/>
      <c r="SIL140"/>
      <c r="SIM140"/>
      <c r="SIN140"/>
      <c r="SIO140"/>
      <c r="SIP140"/>
      <c r="SIQ140"/>
      <c r="SIR140"/>
      <c r="SIS140"/>
      <c r="SIT140"/>
      <c r="SIU140"/>
      <c r="SIV140"/>
      <c r="SIW140"/>
      <c r="SIX140"/>
      <c r="SIY140"/>
      <c r="SIZ140"/>
      <c r="SJA140"/>
      <c r="SJB140"/>
      <c r="SJC140"/>
      <c r="SJD140"/>
      <c r="SJE140"/>
      <c r="SJF140"/>
      <c r="SJG140"/>
      <c r="SJH140"/>
      <c r="SJI140"/>
      <c r="SJJ140"/>
      <c r="SJK140"/>
      <c r="SJL140"/>
      <c r="SJM140"/>
      <c r="SJN140"/>
      <c r="SJO140"/>
      <c r="SJP140"/>
      <c r="SJQ140"/>
      <c r="SJR140"/>
      <c r="SJS140"/>
      <c r="SJT140"/>
      <c r="SJU140"/>
      <c r="SJV140"/>
      <c r="SJW140"/>
      <c r="SJX140"/>
      <c r="SJY140"/>
      <c r="SJZ140"/>
      <c r="SKA140"/>
      <c r="SKB140"/>
      <c r="SKC140"/>
      <c r="SKD140"/>
      <c r="SKE140"/>
      <c r="SKF140"/>
      <c r="SKG140"/>
      <c r="SKH140"/>
      <c r="SKI140"/>
      <c r="SKJ140"/>
      <c r="SKK140"/>
      <c r="SKL140"/>
      <c r="SKM140"/>
      <c r="SKN140"/>
      <c r="SKO140"/>
      <c r="SKP140"/>
      <c r="SKQ140"/>
      <c r="SKR140"/>
      <c r="SKS140"/>
      <c r="SKT140"/>
      <c r="SKU140"/>
      <c r="SKV140"/>
      <c r="SKW140"/>
      <c r="SKX140"/>
      <c r="SKY140"/>
      <c r="SKZ140"/>
      <c r="SLA140"/>
      <c r="SLB140"/>
      <c r="SLC140"/>
      <c r="SLD140"/>
      <c r="SLE140"/>
      <c r="SLF140"/>
      <c r="SLG140"/>
      <c r="SLH140"/>
      <c r="SLI140"/>
      <c r="SLJ140"/>
      <c r="SLK140"/>
      <c r="SLL140"/>
      <c r="SLM140"/>
      <c r="SLN140"/>
      <c r="SLO140"/>
      <c r="SLP140"/>
      <c r="SLQ140"/>
      <c r="SLR140"/>
      <c r="SLS140"/>
      <c r="SLT140"/>
      <c r="SLU140"/>
      <c r="SLV140"/>
      <c r="SLW140"/>
      <c r="SLX140"/>
      <c r="SLY140"/>
      <c r="SLZ140"/>
      <c r="SMA140"/>
      <c r="SMB140"/>
      <c r="SMC140"/>
      <c r="SMD140"/>
      <c r="SME140"/>
      <c r="SMF140"/>
      <c r="SMG140"/>
      <c r="SMH140"/>
      <c r="SMI140"/>
      <c r="SMJ140"/>
      <c r="SMK140"/>
      <c r="SML140"/>
      <c r="SMM140"/>
      <c r="SMN140"/>
      <c r="SMO140"/>
      <c r="SMP140"/>
      <c r="SMQ140"/>
      <c r="SMR140"/>
      <c r="SMS140"/>
      <c r="SMT140"/>
      <c r="SMU140"/>
      <c r="SMV140"/>
      <c r="SMW140"/>
      <c r="SMX140"/>
      <c r="SMY140"/>
      <c r="SMZ140"/>
      <c r="SNA140"/>
      <c r="SNB140"/>
      <c r="SNC140"/>
      <c r="SND140"/>
      <c r="SNE140"/>
      <c r="SNF140"/>
      <c r="SNG140"/>
      <c r="SNH140"/>
      <c r="SNI140"/>
      <c r="SNJ140"/>
      <c r="SNK140"/>
      <c r="SNL140"/>
      <c r="SNM140"/>
      <c r="SNN140"/>
      <c r="SNO140"/>
      <c r="SNP140"/>
      <c r="SNQ140"/>
      <c r="SNR140"/>
      <c r="SNS140"/>
      <c r="SNT140"/>
      <c r="SNU140"/>
      <c r="SNV140"/>
      <c r="SNW140"/>
      <c r="SNX140"/>
      <c r="SNY140"/>
      <c r="SNZ140"/>
      <c r="SOA140"/>
      <c r="SOB140"/>
      <c r="SOC140"/>
      <c r="SOD140"/>
      <c r="SOE140"/>
      <c r="SOF140"/>
      <c r="SOG140"/>
      <c r="SOH140"/>
      <c r="SOI140"/>
      <c r="SOJ140"/>
      <c r="SOK140"/>
      <c r="SOL140"/>
      <c r="SOM140"/>
      <c r="SON140"/>
      <c r="SOO140"/>
      <c r="SOP140"/>
      <c r="SOQ140"/>
      <c r="SOR140"/>
      <c r="SOS140"/>
      <c r="SOT140"/>
      <c r="SOU140"/>
      <c r="SOV140"/>
      <c r="SOW140"/>
      <c r="SOX140"/>
      <c r="SOY140"/>
      <c r="SOZ140"/>
      <c r="SPA140"/>
      <c r="SPB140"/>
      <c r="SPC140"/>
      <c r="SPD140"/>
      <c r="SPE140"/>
      <c r="SPF140"/>
      <c r="SPG140"/>
      <c r="SPH140"/>
      <c r="SPI140"/>
      <c r="SPJ140"/>
      <c r="SPK140"/>
      <c r="SPL140"/>
      <c r="SPM140"/>
      <c r="SPN140"/>
      <c r="SPO140"/>
      <c r="SPP140"/>
      <c r="SPQ140"/>
      <c r="SPR140"/>
      <c r="SPS140"/>
      <c r="SPT140"/>
      <c r="SPU140"/>
      <c r="SPV140"/>
      <c r="SPW140"/>
      <c r="SPX140"/>
      <c r="SPY140"/>
      <c r="SPZ140"/>
      <c r="SQA140"/>
      <c r="SQB140"/>
      <c r="SQC140"/>
      <c r="SQD140"/>
      <c r="SQE140"/>
      <c r="SQF140"/>
      <c r="SQG140"/>
      <c r="SQH140"/>
      <c r="SQI140"/>
      <c r="SQJ140"/>
      <c r="SQK140"/>
      <c r="SQL140"/>
      <c r="SQM140"/>
      <c r="SQN140"/>
      <c r="SQO140"/>
      <c r="SQP140"/>
      <c r="SQQ140"/>
      <c r="SQR140"/>
      <c r="SQS140"/>
      <c r="SQT140"/>
      <c r="SQU140"/>
      <c r="SQV140"/>
      <c r="SQW140"/>
      <c r="SQX140"/>
      <c r="SQY140"/>
      <c r="SQZ140"/>
      <c r="SRA140"/>
      <c r="SRB140"/>
      <c r="SRC140"/>
      <c r="SRD140"/>
      <c r="SRE140"/>
      <c r="SRF140"/>
      <c r="SRG140"/>
      <c r="SRH140"/>
      <c r="SRI140"/>
      <c r="SRJ140"/>
      <c r="SRK140"/>
      <c r="SRL140"/>
      <c r="SRM140"/>
      <c r="SRN140"/>
      <c r="SRO140"/>
      <c r="SRP140"/>
      <c r="SRQ140"/>
      <c r="SRR140"/>
      <c r="SRS140"/>
      <c r="SRT140"/>
      <c r="SRU140"/>
      <c r="SRV140"/>
      <c r="SRW140"/>
      <c r="SRX140"/>
      <c r="SRY140"/>
      <c r="SRZ140"/>
      <c r="SSA140"/>
      <c r="SSB140"/>
      <c r="SSC140"/>
      <c r="SSD140"/>
      <c r="SSE140"/>
      <c r="SSF140"/>
      <c r="SSG140"/>
      <c r="SSH140"/>
      <c r="SSI140"/>
      <c r="SSJ140"/>
      <c r="SSK140"/>
      <c r="SSL140"/>
      <c r="SSM140"/>
      <c r="SSN140"/>
      <c r="SSO140"/>
      <c r="SSP140"/>
      <c r="SSQ140"/>
      <c r="SSR140"/>
      <c r="SSS140"/>
      <c r="SST140"/>
      <c r="SSU140"/>
      <c r="SSV140"/>
      <c r="SSW140"/>
      <c r="SSX140"/>
      <c r="SSY140"/>
      <c r="SSZ140"/>
      <c r="STA140"/>
      <c r="STB140"/>
      <c r="STC140"/>
      <c r="STD140"/>
      <c r="STE140"/>
      <c r="STF140"/>
      <c r="STG140"/>
      <c r="STH140"/>
      <c r="STI140"/>
      <c r="STJ140"/>
      <c r="STK140"/>
      <c r="STL140"/>
      <c r="STM140"/>
      <c r="STN140"/>
      <c r="STO140"/>
      <c r="STP140"/>
      <c r="STQ140"/>
      <c r="STR140"/>
      <c r="STS140"/>
      <c r="STT140"/>
      <c r="STU140"/>
      <c r="STV140"/>
      <c r="STW140"/>
      <c r="STX140"/>
      <c r="STY140"/>
      <c r="STZ140"/>
      <c r="SUA140"/>
      <c r="SUB140"/>
      <c r="SUC140"/>
      <c r="SUD140"/>
      <c r="SUE140"/>
      <c r="SUF140"/>
      <c r="SUG140"/>
      <c r="SUH140"/>
      <c r="SUI140"/>
      <c r="SUJ140"/>
      <c r="SUK140"/>
      <c r="SUL140"/>
      <c r="SUM140"/>
      <c r="SUN140"/>
      <c r="SUO140"/>
      <c r="SUP140"/>
      <c r="SUQ140"/>
      <c r="SUR140"/>
      <c r="SUS140"/>
      <c r="SUT140"/>
      <c r="SUU140"/>
      <c r="SUV140"/>
      <c r="SUW140"/>
      <c r="SUX140"/>
      <c r="SUY140"/>
      <c r="SUZ140"/>
      <c r="SVA140"/>
      <c r="SVB140"/>
      <c r="SVC140"/>
      <c r="SVD140"/>
      <c r="SVE140"/>
      <c r="SVF140"/>
      <c r="SVG140"/>
      <c r="SVH140"/>
      <c r="SVI140"/>
      <c r="SVJ140"/>
      <c r="SVK140"/>
      <c r="SVL140"/>
      <c r="SVM140"/>
      <c r="SVN140"/>
      <c r="SVO140"/>
      <c r="SVP140"/>
      <c r="SVQ140"/>
      <c r="SVR140"/>
      <c r="SVS140"/>
      <c r="SVT140"/>
      <c r="SVU140"/>
      <c r="SVV140"/>
      <c r="SVW140"/>
      <c r="SVX140"/>
      <c r="SVY140"/>
      <c r="SVZ140"/>
      <c r="SWA140"/>
      <c r="SWB140"/>
      <c r="SWC140"/>
      <c r="SWD140"/>
      <c r="SWE140"/>
      <c r="SWF140"/>
      <c r="SWG140"/>
      <c r="SWH140"/>
      <c r="SWI140"/>
      <c r="SWJ140"/>
      <c r="SWK140"/>
      <c r="SWL140"/>
      <c r="SWM140"/>
      <c r="SWN140"/>
      <c r="SWO140"/>
      <c r="SWP140"/>
      <c r="SWQ140"/>
      <c r="SWR140"/>
      <c r="SWS140"/>
      <c r="SWT140"/>
      <c r="SWU140"/>
      <c r="SWV140"/>
      <c r="SWW140"/>
      <c r="SWX140"/>
      <c r="SWY140"/>
      <c r="SWZ140"/>
      <c r="SXA140"/>
      <c r="SXB140"/>
      <c r="SXC140"/>
      <c r="SXD140"/>
      <c r="SXE140"/>
      <c r="SXF140"/>
      <c r="SXG140"/>
      <c r="SXH140"/>
      <c r="SXI140"/>
      <c r="SXJ140"/>
      <c r="SXK140"/>
      <c r="SXL140"/>
      <c r="SXM140"/>
      <c r="SXN140"/>
      <c r="SXO140"/>
      <c r="SXP140"/>
      <c r="SXQ140"/>
      <c r="SXR140"/>
      <c r="SXS140"/>
      <c r="SXT140"/>
      <c r="SXU140"/>
      <c r="SXV140"/>
      <c r="SXW140"/>
      <c r="SXX140"/>
      <c r="SXY140"/>
      <c r="SXZ140"/>
      <c r="SYA140"/>
      <c r="SYB140"/>
      <c r="SYC140"/>
      <c r="SYD140"/>
      <c r="SYE140"/>
      <c r="SYF140"/>
      <c r="SYG140"/>
      <c r="SYH140"/>
      <c r="SYI140"/>
      <c r="SYJ140"/>
      <c r="SYK140"/>
      <c r="SYL140"/>
      <c r="SYM140"/>
      <c r="SYN140"/>
      <c r="SYO140"/>
      <c r="SYP140"/>
      <c r="SYQ140"/>
      <c r="SYR140"/>
      <c r="SYS140"/>
      <c r="SYT140"/>
      <c r="SYU140"/>
      <c r="SYV140"/>
      <c r="SYW140"/>
      <c r="SYX140"/>
      <c r="SYY140"/>
      <c r="SYZ140"/>
      <c r="SZA140"/>
      <c r="SZB140"/>
      <c r="SZC140"/>
      <c r="SZD140"/>
      <c r="SZE140"/>
      <c r="SZF140"/>
      <c r="SZG140"/>
      <c r="SZH140"/>
      <c r="SZI140"/>
      <c r="SZJ140"/>
      <c r="SZK140"/>
      <c r="SZL140"/>
      <c r="SZM140"/>
      <c r="SZN140"/>
      <c r="SZO140"/>
      <c r="SZP140"/>
      <c r="SZQ140"/>
      <c r="SZR140"/>
      <c r="SZS140"/>
      <c r="SZT140"/>
      <c r="SZU140"/>
      <c r="SZV140"/>
      <c r="SZW140"/>
      <c r="SZX140"/>
      <c r="SZY140"/>
      <c r="SZZ140"/>
      <c r="TAA140"/>
      <c r="TAB140"/>
      <c r="TAC140"/>
      <c r="TAD140"/>
      <c r="TAE140"/>
      <c r="TAF140"/>
      <c r="TAG140"/>
      <c r="TAH140"/>
      <c r="TAI140"/>
      <c r="TAJ140"/>
      <c r="TAK140"/>
      <c r="TAL140"/>
      <c r="TAM140"/>
      <c r="TAN140"/>
      <c r="TAO140"/>
      <c r="TAP140"/>
      <c r="TAQ140"/>
      <c r="TAR140"/>
      <c r="TAS140"/>
      <c r="TAT140"/>
      <c r="TAU140"/>
      <c r="TAV140"/>
      <c r="TAW140"/>
      <c r="TAX140"/>
      <c r="TAY140"/>
      <c r="TAZ140"/>
      <c r="TBA140"/>
      <c r="TBB140"/>
      <c r="TBC140"/>
      <c r="TBD140"/>
      <c r="TBE140"/>
      <c r="TBF140"/>
      <c r="TBG140"/>
      <c r="TBH140"/>
      <c r="TBI140"/>
      <c r="TBJ140"/>
      <c r="TBK140"/>
      <c r="TBL140"/>
      <c r="TBM140"/>
      <c r="TBN140"/>
      <c r="TBO140"/>
      <c r="TBP140"/>
      <c r="TBQ140"/>
      <c r="TBR140"/>
      <c r="TBS140"/>
      <c r="TBT140"/>
      <c r="TBU140"/>
      <c r="TBV140"/>
      <c r="TBW140"/>
      <c r="TBX140"/>
      <c r="TBY140"/>
      <c r="TBZ140"/>
      <c r="TCA140"/>
      <c r="TCB140"/>
      <c r="TCC140"/>
      <c r="TCD140"/>
      <c r="TCE140"/>
      <c r="TCF140"/>
      <c r="TCG140"/>
      <c r="TCH140"/>
      <c r="TCI140"/>
      <c r="TCJ140"/>
      <c r="TCK140"/>
      <c r="TCL140"/>
      <c r="TCM140"/>
      <c r="TCN140"/>
      <c r="TCO140"/>
      <c r="TCP140"/>
      <c r="TCQ140"/>
      <c r="TCR140"/>
      <c r="TCS140"/>
      <c r="TCT140"/>
      <c r="TCU140"/>
      <c r="TCV140"/>
      <c r="TCW140"/>
      <c r="TCX140"/>
      <c r="TCY140"/>
      <c r="TCZ140"/>
      <c r="TDA140"/>
      <c r="TDB140"/>
      <c r="TDC140"/>
      <c r="TDD140"/>
      <c r="TDE140"/>
      <c r="TDF140"/>
      <c r="TDG140"/>
      <c r="TDH140"/>
      <c r="TDI140"/>
      <c r="TDJ140"/>
      <c r="TDK140"/>
      <c r="TDL140"/>
      <c r="TDM140"/>
      <c r="TDN140"/>
      <c r="TDO140"/>
      <c r="TDP140"/>
      <c r="TDQ140"/>
      <c r="TDR140"/>
      <c r="TDS140"/>
      <c r="TDT140"/>
      <c r="TDU140"/>
      <c r="TDV140"/>
      <c r="TDW140"/>
      <c r="TDX140"/>
      <c r="TDY140"/>
      <c r="TDZ140"/>
      <c r="TEA140"/>
      <c r="TEB140"/>
      <c r="TEC140"/>
      <c r="TED140"/>
      <c r="TEE140"/>
      <c r="TEF140"/>
      <c r="TEG140"/>
      <c r="TEH140"/>
      <c r="TEI140"/>
      <c r="TEJ140"/>
      <c r="TEK140"/>
      <c r="TEL140"/>
      <c r="TEM140"/>
      <c r="TEN140"/>
      <c r="TEO140"/>
      <c r="TEP140"/>
      <c r="TEQ140"/>
      <c r="TER140"/>
      <c r="TES140"/>
      <c r="TET140"/>
      <c r="TEU140"/>
      <c r="TEV140"/>
      <c r="TEW140"/>
      <c r="TEX140"/>
      <c r="TEY140"/>
      <c r="TEZ140"/>
      <c r="TFA140"/>
      <c r="TFB140"/>
      <c r="TFC140"/>
      <c r="TFD140"/>
      <c r="TFE140"/>
      <c r="TFF140"/>
      <c r="TFG140"/>
      <c r="TFH140"/>
      <c r="TFI140"/>
      <c r="TFJ140"/>
      <c r="TFK140"/>
      <c r="TFL140"/>
      <c r="TFM140"/>
      <c r="TFN140"/>
      <c r="TFO140"/>
      <c r="TFP140"/>
      <c r="TFQ140"/>
      <c r="TFR140"/>
      <c r="TFS140"/>
      <c r="TFT140"/>
      <c r="TFU140"/>
      <c r="TFV140"/>
      <c r="TFW140"/>
      <c r="TFX140"/>
      <c r="TFY140"/>
      <c r="TFZ140"/>
      <c r="TGA140"/>
      <c r="TGB140"/>
      <c r="TGC140"/>
      <c r="TGD140"/>
      <c r="TGE140"/>
      <c r="TGF140"/>
      <c r="TGG140"/>
      <c r="TGH140"/>
      <c r="TGI140"/>
      <c r="TGJ140"/>
      <c r="TGK140"/>
      <c r="TGL140"/>
      <c r="TGM140"/>
      <c r="TGN140"/>
      <c r="TGO140"/>
      <c r="TGP140"/>
      <c r="TGQ140"/>
      <c r="TGR140"/>
      <c r="TGS140"/>
      <c r="TGT140"/>
      <c r="TGU140"/>
      <c r="TGV140"/>
      <c r="TGW140"/>
      <c r="TGX140"/>
      <c r="TGY140"/>
      <c r="TGZ140"/>
      <c r="THA140"/>
      <c r="THB140"/>
      <c r="THC140"/>
      <c r="THD140"/>
      <c r="THE140"/>
      <c r="THF140"/>
      <c r="THG140"/>
      <c r="THH140"/>
      <c r="THI140"/>
      <c r="THJ140"/>
      <c r="THK140"/>
      <c r="THL140"/>
      <c r="THM140"/>
      <c r="THN140"/>
      <c r="THO140"/>
      <c r="THP140"/>
      <c r="THQ140"/>
      <c r="THR140"/>
      <c r="THS140"/>
      <c r="THT140"/>
      <c r="THU140"/>
      <c r="THV140"/>
      <c r="THW140"/>
      <c r="THX140"/>
      <c r="THY140"/>
      <c r="THZ140"/>
      <c r="TIA140"/>
      <c r="TIB140"/>
      <c r="TIC140"/>
      <c r="TID140"/>
      <c r="TIE140"/>
      <c r="TIF140"/>
      <c r="TIG140"/>
      <c r="TIH140"/>
      <c r="TII140"/>
      <c r="TIJ140"/>
      <c r="TIK140"/>
      <c r="TIL140"/>
      <c r="TIM140"/>
      <c r="TIN140"/>
      <c r="TIO140"/>
      <c r="TIP140"/>
      <c r="TIQ140"/>
      <c r="TIR140"/>
      <c r="TIS140"/>
      <c r="TIT140"/>
      <c r="TIU140"/>
      <c r="TIV140"/>
      <c r="TIW140"/>
      <c r="TIX140"/>
      <c r="TIY140"/>
      <c r="TIZ140"/>
      <c r="TJA140"/>
      <c r="TJB140"/>
      <c r="TJC140"/>
      <c r="TJD140"/>
      <c r="TJE140"/>
      <c r="TJF140"/>
      <c r="TJG140"/>
      <c r="TJH140"/>
      <c r="TJI140"/>
      <c r="TJJ140"/>
      <c r="TJK140"/>
      <c r="TJL140"/>
      <c r="TJM140"/>
      <c r="TJN140"/>
      <c r="TJO140"/>
      <c r="TJP140"/>
      <c r="TJQ140"/>
      <c r="TJR140"/>
      <c r="TJS140"/>
      <c r="TJT140"/>
      <c r="TJU140"/>
      <c r="TJV140"/>
      <c r="TJW140"/>
      <c r="TJX140"/>
      <c r="TJY140"/>
      <c r="TJZ140"/>
      <c r="TKA140"/>
      <c r="TKB140"/>
      <c r="TKC140"/>
      <c r="TKD140"/>
      <c r="TKE140"/>
      <c r="TKF140"/>
      <c r="TKG140"/>
      <c r="TKH140"/>
      <c r="TKI140"/>
      <c r="TKJ140"/>
      <c r="TKK140"/>
      <c r="TKL140"/>
      <c r="TKM140"/>
      <c r="TKN140"/>
      <c r="TKO140"/>
      <c r="TKP140"/>
      <c r="TKQ140"/>
      <c r="TKR140"/>
      <c r="TKS140"/>
      <c r="TKT140"/>
      <c r="TKU140"/>
      <c r="TKV140"/>
      <c r="TKW140"/>
      <c r="TKX140"/>
      <c r="TKY140"/>
      <c r="TKZ140"/>
      <c r="TLA140"/>
      <c r="TLB140"/>
      <c r="TLC140"/>
      <c r="TLD140"/>
      <c r="TLE140"/>
      <c r="TLF140"/>
      <c r="TLG140"/>
      <c r="TLH140"/>
      <c r="TLI140"/>
      <c r="TLJ140"/>
      <c r="TLK140"/>
      <c r="TLL140"/>
      <c r="TLM140"/>
      <c r="TLN140"/>
      <c r="TLO140"/>
      <c r="TLP140"/>
      <c r="TLQ140"/>
      <c r="TLR140"/>
      <c r="TLS140"/>
      <c r="TLT140"/>
      <c r="TLU140"/>
      <c r="TLV140"/>
      <c r="TLW140"/>
      <c r="TLX140"/>
      <c r="TLY140"/>
      <c r="TLZ140"/>
      <c r="TMA140"/>
      <c r="TMB140"/>
      <c r="TMC140"/>
      <c r="TMD140"/>
      <c r="TME140"/>
      <c r="TMF140"/>
      <c r="TMG140"/>
      <c r="TMH140"/>
      <c r="TMI140"/>
      <c r="TMJ140"/>
      <c r="TMK140"/>
      <c r="TML140"/>
      <c r="TMM140"/>
      <c r="TMN140"/>
      <c r="TMO140"/>
      <c r="TMP140"/>
      <c r="TMQ140"/>
      <c r="TMR140"/>
      <c r="TMS140"/>
      <c r="TMT140"/>
      <c r="TMU140"/>
      <c r="TMV140"/>
      <c r="TMW140"/>
      <c r="TMX140"/>
      <c r="TMY140"/>
      <c r="TMZ140"/>
      <c r="TNA140"/>
      <c r="TNB140"/>
      <c r="TNC140"/>
      <c r="TND140"/>
      <c r="TNE140"/>
      <c r="TNF140"/>
      <c r="TNG140"/>
      <c r="TNH140"/>
      <c r="TNI140"/>
      <c r="TNJ140"/>
      <c r="TNK140"/>
      <c r="TNL140"/>
      <c r="TNM140"/>
      <c r="TNN140"/>
      <c r="TNO140"/>
      <c r="TNP140"/>
      <c r="TNQ140"/>
      <c r="TNR140"/>
      <c r="TNS140"/>
      <c r="TNT140"/>
      <c r="TNU140"/>
      <c r="TNV140"/>
      <c r="TNW140"/>
      <c r="TNX140"/>
      <c r="TNY140"/>
      <c r="TNZ140"/>
      <c r="TOA140"/>
      <c r="TOB140"/>
      <c r="TOC140"/>
      <c r="TOD140"/>
      <c r="TOE140"/>
      <c r="TOF140"/>
      <c r="TOG140"/>
      <c r="TOH140"/>
      <c r="TOI140"/>
      <c r="TOJ140"/>
      <c r="TOK140"/>
      <c r="TOL140"/>
      <c r="TOM140"/>
      <c r="TON140"/>
      <c r="TOO140"/>
      <c r="TOP140"/>
      <c r="TOQ140"/>
      <c r="TOR140"/>
      <c r="TOS140"/>
      <c r="TOT140"/>
      <c r="TOU140"/>
      <c r="TOV140"/>
      <c r="TOW140"/>
      <c r="TOX140"/>
      <c r="TOY140"/>
      <c r="TOZ140"/>
      <c r="TPA140"/>
      <c r="TPB140"/>
      <c r="TPC140"/>
      <c r="TPD140"/>
      <c r="TPE140"/>
      <c r="TPF140"/>
      <c r="TPG140"/>
      <c r="TPH140"/>
      <c r="TPI140"/>
      <c r="TPJ140"/>
      <c r="TPK140"/>
      <c r="TPL140"/>
      <c r="TPM140"/>
      <c r="TPN140"/>
      <c r="TPO140"/>
      <c r="TPP140"/>
      <c r="TPQ140"/>
      <c r="TPR140"/>
      <c r="TPS140"/>
      <c r="TPT140"/>
      <c r="TPU140"/>
      <c r="TPV140"/>
      <c r="TPW140"/>
      <c r="TPX140"/>
      <c r="TPY140"/>
      <c r="TPZ140"/>
      <c r="TQA140"/>
      <c r="TQB140"/>
      <c r="TQC140"/>
      <c r="TQD140"/>
      <c r="TQE140"/>
      <c r="TQF140"/>
      <c r="TQG140"/>
      <c r="TQH140"/>
      <c r="TQI140"/>
      <c r="TQJ140"/>
      <c r="TQK140"/>
      <c r="TQL140"/>
      <c r="TQM140"/>
      <c r="TQN140"/>
      <c r="TQO140"/>
      <c r="TQP140"/>
      <c r="TQQ140"/>
      <c r="TQR140"/>
      <c r="TQS140"/>
      <c r="TQT140"/>
      <c r="TQU140"/>
      <c r="TQV140"/>
      <c r="TQW140"/>
      <c r="TQX140"/>
      <c r="TQY140"/>
      <c r="TQZ140"/>
      <c r="TRA140"/>
      <c r="TRB140"/>
      <c r="TRC140"/>
      <c r="TRD140"/>
      <c r="TRE140"/>
      <c r="TRF140"/>
      <c r="TRG140"/>
      <c r="TRH140"/>
      <c r="TRI140"/>
      <c r="TRJ140"/>
      <c r="TRK140"/>
      <c r="TRL140"/>
      <c r="TRM140"/>
      <c r="TRN140"/>
      <c r="TRO140"/>
      <c r="TRP140"/>
      <c r="TRQ140"/>
      <c r="TRR140"/>
      <c r="TRS140"/>
      <c r="TRT140"/>
      <c r="TRU140"/>
      <c r="TRV140"/>
      <c r="TRW140"/>
      <c r="TRX140"/>
      <c r="TRY140"/>
      <c r="TRZ140"/>
      <c r="TSA140"/>
      <c r="TSB140"/>
      <c r="TSC140"/>
      <c r="TSD140"/>
      <c r="TSE140"/>
      <c r="TSF140"/>
      <c r="TSG140"/>
      <c r="TSH140"/>
      <c r="TSI140"/>
      <c r="TSJ140"/>
      <c r="TSK140"/>
      <c r="TSL140"/>
      <c r="TSM140"/>
      <c r="TSN140"/>
      <c r="TSO140"/>
      <c r="TSP140"/>
      <c r="TSQ140"/>
      <c r="TSR140"/>
      <c r="TSS140"/>
      <c r="TST140"/>
      <c r="TSU140"/>
      <c r="TSV140"/>
      <c r="TSW140"/>
      <c r="TSX140"/>
      <c r="TSY140"/>
      <c r="TSZ140"/>
      <c r="TTA140"/>
      <c r="TTB140"/>
      <c r="TTC140"/>
      <c r="TTD140"/>
      <c r="TTE140"/>
      <c r="TTF140"/>
      <c r="TTG140"/>
      <c r="TTH140"/>
      <c r="TTI140"/>
      <c r="TTJ140"/>
      <c r="TTK140"/>
      <c r="TTL140"/>
      <c r="TTM140"/>
      <c r="TTN140"/>
      <c r="TTO140"/>
      <c r="TTP140"/>
      <c r="TTQ140"/>
      <c r="TTR140"/>
      <c r="TTS140"/>
      <c r="TTT140"/>
      <c r="TTU140"/>
      <c r="TTV140"/>
      <c r="TTW140"/>
      <c r="TTX140"/>
      <c r="TTY140"/>
      <c r="TTZ140"/>
      <c r="TUA140"/>
      <c r="TUB140"/>
      <c r="TUC140"/>
      <c r="TUD140"/>
      <c r="TUE140"/>
      <c r="TUF140"/>
      <c r="TUG140"/>
      <c r="TUH140"/>
      <c r="TUI140"/>
      <c r="TUJ140"/>
      <c r="TUK140"/>
      <c r="TUL140"/>
      <c r="TUM140"/>
      <c r="TUN140"/>
      <c r="TUO140"/>
      <c r="TUP140"/>
      <c r="TUQ140"/>
      <c r="TUR140"/>
      <c r="TUS140"/>
      <c r="TUT140"/>
      <c r="TUU140"/>
      <c r="TUV140"/>
      <c r="TUW140"/>
      <c r="TUX140"/>
      <c r="TUY140"/>
      <c r="TUZ140"/>
      <c r="TVA140"/>
      <c r="TVB140"/>
      <c r="TVC140"/>
      <c r="TVD140"/>
      <c r="TVE140"/>
      <c r="TVF140"/>
      <c r="TVG140"/>
      <c r="TVH140"/>
      <c r="TVI140"/>
      <c r="TVJ140"/>
      <c r="TVK140"/>
      <c r="TVL140"/>
      <c r="TVM140"/>
      <c r="TVN140"/>
      <c r="TVO140"/>
      <c r="TVP140"/>
      <c r="TVQ140"/>
      <c r="TVR140"/>
      <c r="TVS140"/>
      <c r="TVT140"/>
      <c r="TVU140"/>
      <c r="TVV140"/>
      <c r="TVW140"/>
      <c r="TVX140"/>
      <c r="TVY140"/>
      <c r="TVZ140"/>
      <c r="TWA140"/>
      <c r="TWB140"/>
      <c r="TWC140"/>
      <c r="TWD140"/>
      <c r="TWE140"/>
      <c r="TWF140"/>
      <c r="TWG140"/>
      <c r="TWH140"/>
      <c r="TWI140"/>
      <c r="TWJ140"/>
      <c r="TWK140"/>
      <c r="TWL140"/>
      <c r="TWM140"/>
      <c r="TWN140"/>
      <c r="TWO140"/>
      <c r="TWP140"/>
      <c r="TWQ140"/>
      <c r="TWR140"/>
      <c r="TWS140"/>
      <c r="TWT140"/>
      <c r="TWU140"/>
      <c r="TWV140"/>
      <c r="TWW140"/>
      <c r="TWX140"/>
      <c r="TWY140"/>
      <c r="TWZ140"/>
      <c r="TXA140"/>
      <c r="TXB140"/>
      <c r="TXC140"/>
      <c r="TXD140"/>
      <c r="TXE140"/>
      <c r="TXF140"/>
      <c r="TXG140"/>
      <c r="TXH140"/>
      <c r="TXI140"/>
      <c r="TXJ140"/>
      <c r="TXK140"/>
      <c r="TXL140"/>
      <c r="TXM140"/>
      <c r="TXN140"/>
      <c r="TXO140"/>
      <c r="TXP140"/>
      <c r="TXQ140"/>
      <c r="TXR140"/>
      <c r="TXS140"/>
      <c r="TXT140"/>
      <c r="TXU140"/>
      <c r="TXV140"/>
      <c r="TXW140"/>
      <c r="TXX140"/>
      <c r="TXY140"/>
      <c r="TXZ140"/>
      <c r="TYA140"/>
      <c r="TYB140"/>
      <c r="TYC140"/>
      <c r="TYD140"/>
      <c r="TYE140"/>
      <c r="TYF140"/>
      <c r="TYG140"/>
      <c r="TYH140"/>
      <c r="TYI140"/>
      <c r="TYJ140"/>
      <c r="TYK140"/>
      <c r="TYL140"/>
      <c r="TYM140"/>
      <c r="TYN140"/>
      <c r="TYO140"/>
      <c r="TYP140"/>
      <c r="TYQ140"/>
      <c r="TYR140"/>
      <c r="TYS140"/>
      <c r="TYT140"/>
      <c r="TYU140"/>
      <c r="TYV140"/>
      <c r="TYW140"/>
      <c r="TYX140"/>
      <c r="TYY140"/>
      <c r="TYZ140"/>
      <c r="TZA140"/>
      <c r="TZB140"/>
      <c r="TZC140"/>
      <c r="TZD140"/>
      <c r="TZE140"/>
      <c r="TZF140"/>
      <c r="TZG140"/>
      <c r="TZH140"/>
      <c r="TZI140"/>
      <c r="TZJ140"/>
      <c r="TZK140"/>
      <c r="TZL140"/>
      <c r="TZM140"/>
      <c r="TZN140"/>
      <c r="TZO140"/>
      <c r="TZP140"/>
      <c r="TZQ140"/>
      <c r="TZR140"/>
      <c r="TZS140"/>
      <c r="TZT140"/>
      <c r="TZU140"/>
      <c r="TZV140"/>
      <c r="TZW140"/>
      <c r="TZX140"/>
      <c r="TZY140"/>
      <c r="TZZ140"/>
      <c r="UAA140"/>
      <c r="UAB140"/>
      <c r="UAC140"/>
      <c r="UAD140"/>
      <c r="UAE140"/>
      <c r="UAF140"/>
      <c r="UAG140"/>
      <c r="UAH140"/>
      <c r="UAI140"/>
      <c r="UAJ140"/>
      <c r="UAK140"/>
      <c r="UAL140"/>
      <c r="UAM140"/>
      <c r="UAN140"/>
      <c r="UAO140"/>
      <c r="UAP140"/>
      <c r="UAQ140"/>
      <c r="UAR140"/>
      <c r="UAS140"/>
      <c r="UAT140"/>
      <c r="UAU140"/>
      <c r="UAV140"/>
      <c r="UAW140"/>
      <c r="UAX140"/>
      <c r="UAY140"/>
      <c r="UAZ140"/>
      <c r="UBA140"/>
      <c r="UBB140"/>
      <c r="UBC140"/>
      <c r="UBD140"/>
      <c r="UBE140"/>
      <c r="UBF140"/>
      <c r="UBG140"/>
      <c r="UBH140"/>
      <c r="UBI140"/>
      <c r="UBJ140"/>
      <c r="UBK140"/>
      <c r="UBL140"/>
      <c r="UBM140"/>
      <c r="UBN140"/>
      <c r="UBO140"/>
      <c r="UBP140"/>
      <c r="UBQ140"/>
      <c r="UBR140"/>
      <c r="UBS140"/>
      <c r="UBT140"/>
      <c r="UBU140"/>
      <c r="UBV140"/>
      <c r="UBW140"/>
      <c r="UBX140"/>
      <c r="UBY140"/>
      <c r="UBZ140"/>
      <c r="UCA140"/>
      <c r="UCB140"/>
      <c r="UCC140"/>
      <c r="UCD140"/>
      <c r="UCE140"/>
      <c r="UCF140"/>
      <c r="UCG140"/>
      <c r="UCH140"/>
      <c r="UCI140"/>
      <c r="UCJ140"/>
      <c r="UCK140"/>
      <c r="UCL140"/>
      <c r="UCM140"/>
      <c r="UCN140"/>
      <c r="UCO140"/>
      <c r="UCP140"/>
      <c r="UCQ140"/>
      <c r="UCR140"/>
      <c r="UCS140"/>
      <c r="UCT140"/>
      <c r="UCU140"/>
      <c r="UCV140"/>
      <c r="UCW140"/>
      <c r="UCX140"/>
      <c r="UCY140"/>
      <c r="UCZ140"/>
      <c r="UDA140"/>
      <c r="UDB140"/>
      <c r="UDC140"/>
      <c r="UDD140"/>
      <c r="UDE140"/>
      <c r="UDF140"/>
      <c r="UDG140"/>
      <c r="UDH140"/>
      <c r="UDI140"/>
      <c r="UDJ140"/>
      <c r="UDK140"/>
      <c r="UDL140"/>
      <c r="UDM140"/>
      <c r="UDN140"/>
      <c r="UDO140"/>
      <c r="UDP140"/>
      <c r="UDQ140"/>
      <c r="UDR140"/>
      <c r="UDS140"/>
      <c r="UDT140"/>
      <c r="UDU140"/>
      <c r="UDV140"/>
      <c r="UDW140"/>
      <c r="UDX140"/>
      <c r="UDY140"/>
      <c r="UDZ140"/>
      <c r="UEA140"/>
      <c r="UEB140"/>
      <c r="UEC140"/>
      <c r="UED140"/>
      <c r="UEE140"/>
      <c r="UEF140"/>
      <c r="UEG140"/>
      <c r="UEH140"/>
      <c r="UEI140"/>
      <c r="UEJ140"/>
      <c r="UEK140"/>
      <c r="UEL140"/>
      <c r="UEM140"/>
      <c r="UEN140"/>
      <c r="UEO140"/>
      <c r="UEP140"/>
      <c r="UEQ140"/>
      <c r="UER140"/>
      <c r="UES140"/>
      <c r="UET140"/>
      <c r="UEU140"/>
      <c r="UEV140"/>
      <c r="UEW140"/>
      <c r="UEX140"/>
      <c r="UEY140"/>
      <c r="UEZ140"/>
      <c r="UFA140"/>
      <c r="UFB140"/>
      <c r="UFC140"/>
      <c r="UFD140"/>
      <c r="UFE140"/>
      <c r="UFF140"/>
      <c r="UFG140"/>
      <c r="UFH140"/>
      <c r="UFI140"/>
      <c r="UFJ140"/>
      <c r="UFK140"/>
      <c r="UFL140"/>
      <c r="UFM140"/>
      <c r="UFN140"/>
      <c r="UFO140"/>
      <c r="UFP140"/>
      <c r="UFQ140"/>
      <c r="UFR140"/>
      <c r="UFS140"/>
      <c r="UFT140"/>
      <c r="UFU140"/>
      <c r="UFV140"/>
      <c r="UFW140"/>
      <c r="UFX140"/>
      <c r="UFY140"/>
      <c r="UFZ140"/>
      <c r="UGA140"/>
      <c r="UGB140"/>
      <c r="UGC140"/>
      <c r="UGD140"/>
      <c r="UGE140"/>
      <c r="UGF140"/>
      <c r="UGG140"/>
      <c r="UGH140"/>
      <c r="UGI140"/>
      <c r="UGJ140"/>
      <c r="UGK140"/>
      <c r="UGL140"/>
      <c r="UGM140"/>
      <c r="UGN140"/>
      <c r="UGO140"/>
      <c r="UGP140"/>
      <c r="UGQ140"/>
      <c r="UGR140"/>
      <c r="UGS140"/>
      <c r="UGT140"/>
      <c r="UGU140"/>
      <c r="UGV140"/>
      <c r="UGW140"/>
      <c r="UGX140"/>
      <c r="UGY140"/>
      <c r="UGZ140"/>
      <c r="UHA140"/>
      <c r="UHB140"/>
      <c r="UHC140"/>
      <c r="UHD140"/>
      <c r="UHE140"/>
      <c r="UHF140"/>
      <c r="UHG140"/>
      <c r="UHH140"/>
      <c r="UHI140"/>
      <c r="UHJ140"/>
      <c r="UHK140"/>
      <c r="UHL140"/>
      <c r="UHM140"/>
      <c r="UHN140"/>
      <c r="UHO140"/>
      <c r="UHP140"/>
      <c r="UHQ140"/>
      <c r="UHR140"/>
      <c r="UHS140"/>
      <c r="UHT140"/>
      <c r="UHU140"/>
      <c r="UHV140"/>
      <c r="UHW140"/>
      <c r="UHX140"/>
      <c r="UHY140"/>
      <c r="UHZ140"/>
      <c r="UIA140"/>
      <c r="UIB140"/>
      <c r="UIC140"/>
      <c r="UID140"/>
      <c r="UIE140"/>
      <c r="UIF140"/>
      <c r="UIG140"/>
      <c r="UIH140"/>
      <c r="UII140"/>
      <c r="UIJ140"/>
      <c r="UIK140"/>
      <c r="UIL140"/>
      <c r="UIM140"/>
      <c r="UIN140"/>
      <c r="UIO140"/>
      <c r="UIP140"/>
      <c r="UIQ140"/>
      <c r="UIR140"/>
      <c r="UIS140"/>
      <c r="UIT140"/>
      <c r="UIU140"/>
      <c r="UIV140"/>
      <c r="UIW140"/>
      <c r="UIX140"/>
      <c r="UIY140"/>
      <c r="UIZ140"/>
      <c r="UJA140"/>
      <c r="UJB140"/>
      <c r="UJC140"/>
      <c r="UJD140"/>
      <c r="UJE140"/>
      <c r="UJF140"/>
      <c r="UJG140"/>
      <c r="UJH140"/>
      <c r="UJI140"/>
      <c r="UJJ140"/>
      <c r="UJK140"/>
      <c r="UJL140"/>
      <c r="UJM140"/>
      <c r="UJN140"/>
      <c r="UJO140"/>
      <c r="UJP140"/>
      <c r="UJQ140"/>
      <c r="UJR140"/>
      <c r="UJS140"/>
      <c r="UJT140"/>
      <c r="UJU140"/>
      <c r="UJV140"/>
      <c r="UJW140"/>
      <c r="UJX140"/>
      <c r="UJY140"/>
      <c r="UJZ140"/>
      <c r="UKA140"/>
      <c r="UKB140"/>
      <c r="UKC140"/>
      <c r="UKD140"/>
      <c r="UKE140"/>
      <c r="UKF140"/>
      <c r="UKG140"/>
      <c r="UKH140"/>
      <c r="UKI140"/>
      <c r="UKJ140"/>
      <c r="UKK140"/>
      <c r="UKL140"/>
      <c r="UKM140"/>
      <c r="UKN140"/>
      <c r="UKO140"/>
      <c r="UKP140"/>
      <c r="UKQ140"/>
      <c r="UKR140"/>
      <c r="UKS140"/>
      <c r="UKT140"/>
      <c r="UKU140"/>
      <c r="UKV140"/>
      <c r="UKW140"/>
      <c r="UKX140"/>
      <c r="UKY140"/>
      <c r="UKZ140"/>
      <c r="ULA140"/>
      <c r="ULB140"/>
      <c r="ULC140"/>
      <c r="ULD140"/>
      <c r="ULE140"/>
      <c r="ULF140"/>
      <c r="ULG140"/>
      <c r="ULH140"/>
      <c r="ULI140"/>
      <c r="ULJ140"/>
      <c r="ULK140"/>
      <c r="ULL140"/>
      <c r="ULM140"/>
      <c r="ULN140"/>
      <c r="ULO140"/>
      <c r="ULP140"/>
      <c r="ULQ140"/>
      <c r="ULR140"/>
      <c r="ULS140"/>
      <c r="ULT140"/>
      <c r="ULU140"/>
      <c r="ULV140"/>
      <c r="ULW140"/>
      <c r="ULX140"/>
      <c r="ULY140"/>
      <c r="ULZ140"/>
      <c r="UMA140"/>
      <c r="UMB140"/>
      <c r="UMC140"/>
      <c r="UMD140"/>
      <c r="UME140"/>
      <c r="UMF140"/>
      <c r="UMG140"/>
      <c r="UMH140"/>
      <c r="UMI140"/>
      <c r="UMJ140"/>
      <c r="UMK140"/>
      <c r="UML140"/>
      <c r="UMM140"/>
      <c r="UMN140"/>
      <c r="UMO140"/>
      <c r="UMP140"/>
      <c r="UMQ140"/>
      <c r="UMR140"/>
      <c r="UMS140"/>
      <c r="UMT140"/>
      <c r="UMU140"/>
      <c r="UMV140"/>
      <c r="UMW140"/>
      <c r="UMX140"/>
      <c r="UMY140"/>
      <c r="UMZ140"/>
      <c r="UNA140"/>
      <c r="UNB140"/>
      <c r="UNC140"/>
      <c r="UND140"/>
      <c r="UNE140"/>
      <c r="UNF140"/>
      <c r="UNG140"/>
      <c r="UNH140"/>
      <c r="UNI140"/>
      <c r="UNJ140"/>
      <c r="UNK140"/>
      <c r="UNL140"/>
      <c r="UNM140"/>
      <c r="UNN140"/>
      <c r="UNO140"/>
      <c r="UNP140"/>
      <c r="UNQ140"/>
      <c r="UNR140"/>
      <c r="UNS140"/>
      <c r="UNT140"/>
      <c r="UNU140"/>
      <c r="UNV140"/>
      <c r="UNW140"/>
      <c r="UNX140"/>
      <c r="UNY140"/>
      <c r="UNZ140"/>
      <c r="UOA140"/>
      <c r="UOB140"/>
      <c r="UOC140"/>
      <c r="UOD140"/>
      <c r="UOE140"/>
      <c r="UOF140"/>
      <c r="UOG140"/>
      <c r="UOH140"/>
      <c r="UOI140"/>
      <c r="UOJ140"/>
      <c r="UOK140"/>
      <c r="UOL140"/>
      <c r="UOM140"/>
      <c r="UON140"/>
      <c r="UOO140"/>
      <c r="UOP140"/>
      <c r="UOQ140"/>
      <c r="UOR140"/>
      <c r="UOS140"/>
      <c r="UOT140"/>
      <c r="UOU140"/>
      <c r="UOV140"/>
      <c r="UOW140"/>
      <c r="UOX140"/>
      <c r="UOY140"/>
      <c r="UOZ140"/>
      <c r="UPA140"/>
      <c r="UPB140"/>
      <c r="UPC140"/>
      <c r="UPD140"/>
      <c r="UPE140"/>
      <c r="UPF140"/>
      <c r="UPG140"/>
      <c r="UPH140"/>
      <c r="UPI140"/>
      <c r="UPJ140"/>
      <c r="UPK140"/>
      <c r="UPL140"/>
      <c r="UPM140"/>
      <c r="UPN140"/>
      <c r="UPO140"/>
      <c r="UPP140"/>
      <c r="UPQ140"/>
      <c r="UPR140"/>
      <c r="UPS140"/>
      <c r="UPT140"/>
      <c r="UPU140"/>
      <c r="UPV140"/>
      <c r="UPW140"/>
      <c r="UPX140"/>
      <c r="UPY140"/>
      <c r="UPZ140"/>
      <c r="UQA140"/>
      <c r="UQB140"/>
      <c r="UQC140"/>
      <c r="UQD140"/>
      <c r="UQE140"/>
      <c r="UQF140"/>
      <c r="UQG140"/>
      <c r="UQH140"/>
      <c r="UQI140"/>
      <c r="UQJ140"/>
      <c r="UQK140"/>
      <c r="UQL140"/>
      <c r="UQM140"/>
      <c r="UQN140"/>
      <c r="UQO140"/>
      <c r="UQP140"/>
      <c r="UQQ140"/>
      <c r="UQR140"/>
      <c r="UQS140"/>
      <c r="UQT140"/>
      <c r="UQU140"/>
      <c r="UQV140"/>
      <c r="UQW140"/>
      <c r="UQX140"/>
      <c r="UQY140"/>
      <c r="UQZ140"/>
      <c r="URA140"/>
      <c r="URB140"/>
      <c r="URC140"/>
      <c r="URD140"/>
      <c r="URE140"/>
      <c r="URF140"/>
      <c r="URG140"/>
      <c r="URH140"/>
      <c r="URI140"/>
      <c r="URJ140"/>
      <c r="URK140"/>
      <c r="URL140"/>
      <c r="URM140"/>
      <c r="URN140"/>
      <c r="URO140"/>
      <c r="URP140"/>
      <c r="URQ140"/>
      <c r="URR140"/>
      <c r="URS140"/>
      <c r="URT140"/>
      <c r="URU140"/>
      <c r="URV140"/>
      <c r="URW140"/>
      <c r="URX140"/>
      <c r="URY140"/>
      <c r="URZ140"/>
      <c r="USA140"/>
      <c r="USB140"/>
      <c r="USC140"/>
      <c r="USD140"/>
      <c r="USE140"/>
      <c r="USF140"/>
      <c r="USG140"/>
      <c r="USH140"/>
      <c r="USI140"/>
      <c r="USJ140"/>
      <c r="USK140"/>
      <c r="USL140"/>
      <c r="USM140"/>
      <c r="USN140"/>
      <c r="USO140"/>
      <c r="USP140"/>
      <c r="USQ140"/>
      <c r="USR140"/>
      <c r="USS140"/>
      <c r="UST140"/>
      <c r="USU140"/>
      <c r="USV140"/>
      <c r="USW140"/>
      <c r="USX140"/>
      <c r="USY140"/>
      <c r="USZ140"/>
      <c r="UTA140"/>
      <c r="UTB140"/>
      <c r="UTC140"/>
      <c r="UTD140"/>
      <c r="UTE140"/>
      <c r="UTF140"/>
      <c r="UTG140"/>
      <c r="UTH140"/>
      <c r="UTI140"/>
      <c r="UTJ140"/>
      <c r="UTK140"/>
      <c r="UTL140"/>
      <c r="UTM140"/>
      <c r="UTN140"/>
      <c r="UTO140"/>
      <c r="UTP140"/>
      <c r="UTQ140"/>
      <c r="UTR140"/>
      <c r="UTS140"/>
      <c r="UTT140"/>
      <c r="UTU140"/>
      <c r="UTV140"/>
      <c r="UTW140"/>
      <c r="UTX140"/>
      <c r="UTY140"/>
      <c r="UTZ140"/>
      <c r="UUA140"/>
      <c r="UUB140"/>
      <c r="UUC140"/>
      <c r="UUD140"/>
      <c r="UUE140"/>
      <c r="UUF140"/>
      <c r="UUG140"/>
      <c r="UUH140"/>
      <c r="UUI140"/>
      <c r="UUJ140"/>
      <c r="UUK140"/>
      <c r="UUL140"/>
      <c r="UUM140"/>
      <c r="UUN140"/>
      <c r="UUO140"/>
      <c r="UUP140"/>
      <c r="UUQ140"/>
      <c r="UUR140"/>
      <c r="UUS140"/>
      <c r="UUT140"/>
      <c r="UUU140"/>
      <c r="UUV140"/>
      <c r="UUW140"/>
      <c r="UUX140"/>
      <c r="UUY140"/>
      <c r="UUZ140"/>
      <c r="UVA140"/>
      <c r="UVB140"/>
      <c r="UVC140"/>
      <c r="UVD140"/>
      <c r="UVE140"/>
      <c r="UVF140"/>
      <c r="UVG140"/>
      <c r="UVH140"/>
      <c r="UVI140"/>
      <c r="UVJ140"/>
      <c r="UVK140"/>
      <c r="UVL140"/>
      <c r="UVM140"/>
      <c r="UVN140"/>
      <c r="UVO140"/>
      <c r="UVP140"/>
      <c r="UVQ140"/>
      <c r="UVR140"/>
      <c r="UVS140"/>
      <c r="UVT140"/>
      <c r="UVU140"/>
      <c r="UVV140"/>
      <c r="UVW140"/>
      <c r="UVX140"/>
      <c r="UVY140"/>
      <c r="UVZ140"/>
      <c r="UWA140"/>
      <c r="UWB140"/>
      <c r="UWC140"/>
      <c r="UWD140"/>
      <c r="UWE140"/>
      <c r="UWF140"/>
      <c r="UWG140"/>
      <c r="UWH140"/>
      <c r="UWI140"/>
      <c r="UWJ140"/>
      <c r="UWK140"/>
      <c r="UWL140"/>
      <c r="UWM140"/>
      <c r="UWN140"/>
      <c r="UWO140"/>
      <c r="UWP140"/>
      <c r="UWQ140"/>
      <c r="UWR140"/>
      <c r="UWS140"/>
      <c r="UWT140"/>
      <c r="UWU140"/>
      <c r="UWV140"/>
      <c r="UWW140"/>
      <c r="UWX140"/>
      <c r="UWY140"/>
      <c r="UWZ140"/>
      <c r="UXA140"/>
      <c r="UXB140"/>
      <c r="UXC140"/>
      <c r="UXD140"/>
      <c r="UXE140"/>
      <c r="UXF140"/>
      <c r="UXG140"/>
      <c r="UXH140"/>
      <c r="UXI140"/>
      <c r="UXJ140"/>
      <c r="UXK140"/>
      <c r="UXL140"/>
      <c r="UXM140"/>
      <c r="UXN140"/>
      <c r="UXO140"/>
      <c r="UXP140"/>
      <c r="UXQ140"/>
      <c r="UXR140"/>
      <c r="UXS140"/>
      <c r="UXT140"/>
      <c r="UXU140"/>
      <c r="UXV140"/>
      <c r="UXW140"/>
      <c r="UXX140"/>
      <c r="UXY140"/>
      <c r="UXZ140"/>
      <c r="UYA140"/>
      <c r="UYB140"/>
      <c r="UYC140"/>
      <c r="UYD140"/>
      <c r="UYE140"/>
      <c r="UYF140"/>
      <c r="UYG140"/>
      <c r="UYH140"/>
      <c r="UYI140"/>
      <c r="UYJ140"/>
      <c r="UYK140"/>
      <c r="UYL140"/>
      <c r="UYM140"/>
      <c r="UYN140"/>
      <c r="UYO140"/>
      <c r="UYP140"/>
      <c r="UYQ140"/>
      <c r="UYR140"/>
      <c r="UYS140"/>
      <c r="UYT140"/>
      <c r="UYU140"/>
      <c r="UYV140"/>
      <c r="UYW140"/>
      <c r="UYX140"/>
      <c r="UYY140"/>
      <c r="UYZ140"/>
      <c r="UZA140"/>
      <c r="UZB140"/>
      <c r="UZC140"/>
      <c r="UZD140"/>
      <c r="UZE140"/>
      <c r="UZF140"/>
      <c r="UZG140"/>
      <c r="UZH140"/>
      <c r="UZI140"/>
      <c r="UZJ140"/>
      <c r="UZK140"/>
      <c r="UZL140"/>
      <c r="UZM140"/>
      <c r="UZN140"/>
      <c r="UZO140"/>
      <c r="UZP140"/>
      <c r="UZQ140"/>
      <c r="UZR140"/>
      <c r="UZS140"/>
      <c r="UZT140"/>
      <c r="UZU140"/>
      <c r="UZV140"/>
      <c r="UZW140"/>
      <c r="UZX140"/>
      <c r="UZY140"/>
      <c r="UZZ140"/>
      <c r="VAA140"/>
      <c r="VAB140"/>
      <c r="VAC140"/>
      <c r="VAD140"/>
      <c r="VAE140"/>
      <c r="VAF140"/>
      <c r="VAG140"/>
      <c r="VAH140"/>
      <c r="VAI140"/>
      <c r="VAJ140"/>
      <c r="VAK140"/>
      <c r="VAL140"/>
      <c r="VAM140"/>
      <c r="VAN140"/>
      <c r="VAO140"/>
      <c r="VAP140"/>
      <c r="VAQ140"/>
      <c r="VAR140"/>
      <c r="VAS140"/>
      <c r="VAT140"/>
      <c r="VAU140"/>
      <c r="VAV140"/>
      <c r="VAW140"/>
      <c r="VAX140"/>
      <c r="VAY140"/>
      <c r="VAZ140"/>
      <c r="VBA140"/>
      <c r="VBB140"/>
      <c r="VBC140"/>
      <c r="VBD140"/>
      <c r="VBE140"/>
      <c r="VBF140"/>
      <c r="VBG140"/>
      <c r="VBH140"/>
      <c r="VBI140"/>
      <c r="VBJ140"/>
      <c r="VBK140"/>
      <c r="VBL140"/>
      <c r="VBM140"/>
      <c r="VBN140"/>
      <c r="VBO140"/>
      <c r="VBP140"/>
      <c r="VBQ140"/>
      <c r="VBR140"/>
      <c r="VBS140"/>
      <c r="VBT140"/>
      <c r="VBU140"/>
      <c r="VBV140"/>
      <c r="VBW140"/>
      <c r="VBX140"/>
      <c r="VBY140"/>
      <c r="VBZ140"/>
      <c r="VCA140"/>
      <c r="VCB140"/>
      <c r="VCC140"/>
      <c r="VCD140"/>
      <c r="VCE140"/>
      <c r="VCF140"/>
      <c r="VCG140"/>
      <c r="VCH140"/>
      <c r="VCI140"/>
      <c r="VCJ140"/>
      <c r="VCK140"/>
      <c r="VCL140"/>
      <c r="VCM140"/>
      <c r="VCN140"/>
      <c r="VCO140"/>
      <c r="VCP140"/>
      <c r="VCQ140"/>
      <c r="VCR140"/>
      <c r="VCS140"/>
      <c r="VCT140"/>
      <c r="VCU140"/>
      <c r="VCV140"/>
      <c r="VCW140"/>
      <c r="VCX140"/>
      <c r="VCY140"/>
      <c r="VCZ140"/>
      <c r="VDA140"/>
      <c r="VDB140"/>
      <c r="VDC140"/>
      <c r="VDD140"/>
      <c r="VDE140"/>
      <c r="VDF140"/>
      <c r="VDG140"/>
      <c r="VDH140"/>
      <c r="VDI140"/>
      <c r="VDJ140"/>
      <c r="VDK140"/>
      <c r="VDL140"/>
      <c r="VDM140"/>
      <c r="VDN140"/>
      <c r="VDO140"/>
      <c r="VDP140"/>
      <c r="VDQ140"/>
      <c r="VDR140"/>
      <c r="VDS140"/>
      <c r="VDT140"/>
      <c r="VDU140"/>
      <c r="VDV140"/>
      <c r="VDW140"/>
      <c r="VDX140"/>
      <c r="VDY140"/>
      <c r="VDZ140"/>
      <c r="VEA140"/>
      <c r="VEB140"/>
      <c r="VEC140"/>
      <c r="VED140"/>
      <c r="VEE140"/>
      <c r="VEF140"/>
      <c r="VEG140"/>
      <c r="VEH140"/>
      <c r="VEI140"/>
      <c r="VEJ140"/>
      <c r="VEK140"/>
      <c r="VEL140"/>
      <c r="VEM140"/>
      <c r="VEN140"/>
      <c r="VEO140"/>
      <c r="VEP140"/>
      <c r="VEQ140"/>
      <c r="VER140"/>
      <c r="VES140"/>
      <c r="VET140"/>
      <c r="VEU140"/>
      <c r="VEV140"/>
      <c r="VEW140"/>
      <c r="VEX140"/>
      <c r="VEY140"/>
      <c r="VEZ140"/>
      <c r="VFA140"/>
      <c r="VFB140"/>
      <c r="VFC140"/>
      <c r="VFD140"/>
      <c r="VFE140"/>
      <c r="VFF140"/>
      <c r="VFG140"/>
      <c r="VFH140"/>
      <c r="VFI140"/>
      <c r="VFJ140"/>
      <c r="VFK140"/>
      <c r="VFL140"/>
      <c r="VFM140"/>
      <c r="VFN140"/>
      <c r="VFO140"/>
      <c r="VFP140"/>
      <c r="VFQ140"/>
      <c r="VFR140"/>
      <c r="VFS140"/>
      <c r="VFT140"/>
      <c r="VFU140"/>
      <c r="VFV140"/>
      <c r="VFW140"/>
      <c r="VFX140"/>
      <c r="VFY140"/>
      <c r="VFZ140"/>
      <c r="VGA140"/>
      <c r="VGB140"/>
      <c r="VGC140"/>
      <c r="VGD140"/>
      <c r="VGE140"/>
      <c r="VGF140"/>
      <c r="VGG140"/>
      <c r="VGH140"/>
      <c r="VGI140"/>
      <c r="VGJ140"/>
      <c r="VGK140"/>
      <c r="VGL140"/>
      <c r="VGM140"/>
      <c r="VGN140"/>
      <c r="VGO140"/>
      <c r="VGP140"/>
      <c r="VGQ140"/>
      <c r="VGR140"/>
      <c r="VGS140"/>
      <c r="VGT140"/>
      <c r="VGU140"/>
      <c r="VGV140"/>
      <c r="VGW140"/>
      <c r="VGX140"/>
      <c r="VGY140"/>
      <c r="VGZ140"/>
      <c r="VHA140"/>
      <c r="VHB140"/>
      <c r="VHC140"/>
      <c r="VHD140"/>
      <c r="VHE140"/>
      <c r="VHF140"/>
      <c r="VHG140"/>
      <c r="VHH140"/>
      <c r="VHI140"/>
      <c r="VHJ140"/>
      <c r="VHK140"/>
      <c r="VHL140"/>
      <c r="VHM140"/>
      <c r="VHN140"/>
      <c r="VHO140"/>
      <c r="VHP140"/>
      <c r="VHQ140"/>
      <c r="VHR140"/>
      <c r="VHS140"/>
      <c r="VHT140"/>
      <c r="VHU140"/>
      <c r="VHV140"/>
      <c r="VHW140"/>
      <c r="VHX140"/>
      <c r="VHY140"/>
      <c r="VHZ140"/>
      <c r="VIA140"/>
      <c r="VIB140"/>
      <c r="VIC140"/>
      <c r="VID140"/>
      <c r="VIE140"/>
      <c r="VIF140"/>
      <c r="VIG140"/>
      <c r="VIH140"/>
      <c r="VII140"/>
      <c r="VIJ140"/>
      <c r="VIK140"/>
      <c r="VIL140"/>
      <c r="VIM140"/>
      <c r="VIN140"/>
      <c r="VIO140"/>
      <c r="VIP140"/>
      <c r="VIQ140"/>
      <c r="VIR140"/>
      <c r="VIS140"/>
      <c r="VIT140"/>
      <c r="VIU140"/>
      <c r="VIV140"/>
      <c r="VIW140"/>
      <c r="VIX140"/>
      <c r="VIY140"/>
      <c r="VIZ140"/>
      <c r="VJA140"/>
      <c r="VJB140"/>
      <c r="VJC140"/>
      <c r="VJD140"/>
      <c r="VJE140"/>
      <c r="VJF140"/>
      <c r="VJG140"/>
      <c r="VJH140"/>
      <c r="VJI140"/>
      <c r="VJJ140"/>
      <c r="VJK140"/>
      <c r="VJL140"/>
      <c r="VJM140"/>
      <c r="VJN140"/>
      <c r="VJO140"/>
      <c r="VJP140"/>
      <c r="VJQ140"/>
      <c r="VJR140"/>
      <c r="VJS140"/>
      <c r="VJT140"/>
      <c r="VJU140"/>
      <c r="VJV140"/>
      <c r="VJW140"/>
      <c r="VJX140"/>
      <c r="VJY140"/>
      <c r="VJZ140"/>
      <c r="VKA140"/>
      <c r="VKB140"/>
      <c r="VKC140"/>
      <c r="VKD140"/>
      <c r="VKE140"/>
      <c r="VKF140"/>
      <c r="VKG140"/>
      <c r="VKH140"/>
      <c r="VKI140"/>
      <c r="VKJ140"/>
      <c r="VKK140"/>
      <c r="VKL140"/>
      <c r="VKM140"/>
      <c r="VKN140"/>
      <c r="VKO140"/>
      <c r="VKP140"/>
      <c r="VKQ140"/>
      <c r="VKR140"/>
      <c r="VKS140"/>
      <c r="VKT140"/>
      <c r="VKU140"/>
      <c r="VKV140"/>
      <c r="VKW140"/>
      <c r="VKX140"/>
      <c r="VKY140"/>
      <c r="VKZ140"/>
      <c r="VLA140"/>
      <c r="VLB140"/>
      <c r="VLC140"/>
      <c r="VLD140"/>
      <c r="VLE140"/>
      <c r="VLF140"/>
      <c r="VLG140"/>
      <c r="VLH140"/>
      <c r="VLI140"/>
      <c r="VLJ140"/>
      <c r="VLK140"/>
      <c r="VLL140"/>
      <c r="VLM140"/>
      <c r="VLN140"/>
      <c r="VLO140"/>
      <c r="VLP140"/>
      <c r="VLQ140"/>
      <c r="VLR140"/>
      <c r="VLS140"/>
      <c r="VLT140"/>
      <c r="VLU140"/>
      <c r="VLV140"/>
      <c r="VLW140"/>
      <c r="VLX140"/>
      <c r="VLY140"/>
      <c r="VLZ140"/>
      <c r="VMA140"/>
      <c r="VMB140"/>
      <c r="VMC140"/>
      <c r="VMD140"/>
      <c r="VME140"/>
      <c r="VMF140"/>
      <c r="VMG140"/>
      <c r="VMH140"/>
      <c r="VMI140"/>
      <c r="VMJ140"/>
      <c r="VMK140"/>
      <c r="VML140"/>
      <c r="VMM140"/>
      <c r="VMN140"/>
      <c r="VMO140"/>
      <c r="VMP140"/>
      <c r="VMQ140"/>
      <c r="VMR140"/>
      <c r="VMS140"/>
      <c r="VMT140"/>
      <c r="VMU140"/>
      <c r="VMV140"/>
      <c r="VMW140"/>
      <c r="VMX140"/>
      <c r="VMY140"/>
      <c r="VMZ140"/>
      <c r="VNA140"/>
      <c r="VNB140"/>
      <c r="VNC140"/>
      <c r="VND140"/>
      <c r="VNE140"/>
      <c r="VNF140"/>
      <c r="VNG140"/>
      <c r="VNH140"/>
      <c r="VNI140"/>
      <c r="VNJ140"/>
      <c r="VNK140"/>
      <c r="VNL140"/>
      <c r="VNM140"/>
      <c r="VNN140"/>
      <c r="VNO140"/>
      <c r="VNP140"/>
      <c r="VNQ140"/>
      <c r="VNR140"/>
      <c r="VNS140"/>
      <c r="VNT140"/>
      <c r="VNU140"/>
      <c r="VNV140"/>
      <c r="VNW140"/>
      <c r="VNX140"/>
      <c r="VNY140"/>
      <c r="VNZ140"/>
      <c r="VOA140"/>
      <c r="VOB140"/>
      <c r="VOC140"/>
      <c r="VOD140"/>
      <c r="VOE140"/>
      <c r="VOF140"/>
      <c r="VOG140"/>
      <c r="VOH140"/>
      <c r="VOI140"/>
      <c r="VOJ140"/>
      <c r="VOK140"/>
      <c r="VOL140"/>
      <c r="VOM140"/>
      <c r="VON140"/>
      <c r="VOO140"/>
      <c r="VOP140"/>
      <c r="VOQ140"/>
      <c r="VOR140"/>
      <c r="VOS140"/>
      <c r="VOT140"/>
      <c r="VOU140"/>
      <c r="VOV140"/>
      <c r="VOW140"/>
      <c r="VOX140"/>
      <c r="VOY140"/>
      <c r="VOZ140"/>
      <c r="VPA140"/>
      <c r="VPB140"/>
      <c r="VPC140"/>
      <c r="VPD140"/>
      <c r="VPE140"/>
      <c r="VPF140"/>
      <c r="VPG140"/>
      <c r="VPH140"/>
      <c r="VPI140"/>
      <c r="VPJ140"/>
      <c r="VPK140"/>
      <c r="VPL140"/>
      <c r="VPM140"/>
      <c r="VPN140"/>
      <c r="VPO140"/>
      <c r="VPP140"/>
      <c r="VPQ140"/>
      <c r="VPR140"/>
      <c r="VPS140"/>
      <c r="VPT140"/>
      <c r="VPU140"/>
      <c r="VPV140"/>
      <c r="VPW140"/>
      <c r="VPX140"/>
      <c r="VPY140"/>
      <c r="VPZ140"/>
      <c r="VQA140"/>
      <c r="VQB140"/>
      <c r="VQC140"/>
      <c r="VQD140"/>
      <c r="VQE140"/>
      <c r="VQF140"/>
      <c r="VQG140"/>
      <c r="VQH140"/>
      <c r="VQI140"/>
      <c r="VQJ140"/>
      <c r="VQK140"/>
      <c r="VQL140"/>
      <c r="VQM140"/>
      <c r="VQN140"/>
      <c r="VQO140"/>
      <c r="VQP140"/>
      <c r="VQQ140"/>
      <c r="VQR140"/>
      <c r="VQS140"/>
      <c r="VQT140"/>
      <c r="VQU140"/>
      <c r="VQV140"/>
      <c r="VQW140"/>
      <c r="VQX140"/>
      <c r="VQY140"/>
      <c r="VQZ140"/>
      <c r="VRA140"/>
      <c r="VRB140"/>
      <c r="VRC140"/>
      <c r="VRD140"/>
      <c r="VRE140"/>
      <c r="VRF140"/>
      <c r="VRG140"/>
      <c r="VRH140"/>
      <c r="VRI140"/>
      <c r="VRJ140"/>
      <c r="VRK140"/>
      <c r="VRL140"/>
      <c r="VRM140"/>
      <c r="VRN140"/>
      <c r="VRO140"/>
      <c r="VRP140"/>
      <c r="VRQ140"/>
      <c r="VRR140"/>
      <c r="VRS140"/>
      <c r="VRT140"/>
      <c r="VRU140"/>
      <c r="VRV140"/>
      <c r="VRW140"/>
      <c r="VRX140"/>
      <c r="VRY140"/>
      <c r="VRZ140"/>
      <c r="VSA140"/>
      <c r="VSB140"/>
      <c r="VSC140"/>
      <c r="VSD140"/>
      <c r="VSE140"/>
      <c r="VSF140"/>
      <c r="VSG140"/>
      <c r="VSH140"/>
      <c r="VSI140"/>
      <c r="VSJ140"/>
      <c r="VSK140"/>
      <c r="VSL140"/>
      <c r="VSM140"/>
      <c r="VSN140"/>
      <c r="VSO140"/>
      <c r="VSP140"/>
      <c r="VSQ140"/>
      <c r="VSR140"/>
      <c r="VSS140"/>
      <c r="VST140"/>
      <c r="VSU140"/>
      <c r="VSV140"/>
      <c r="VSW140"/>
      <c r="VSX140"/>
      <c r="VSY140"/>
      <c r="VSZ140"/>
      <c r="VTA140"/>
      <c r="VTB140"/>
      <c r="VTC140"/>
      <c r="VTD140"/>
      <c r="VTE140"/>
      <c r="VTF140"/>
      <c r="VTG140"/>
      <c r="VTH140"/>
      <c r="VTI140"/>
      <c r="VTJ140"/>
      <c r="VTK140"/>
      <c r="VTL140"/>
      <c r="VTM140"/>
      <c r="VTN140"/>
      <c r="VTO140"/>
      <c r="VTP140"/>
      <c r="VTQ140"/>
      <c r="VTR140"/>
      <c r="VTS140"/>
      <c r="VTT140"/>
      <c r="VTU140"/>
      <c r="VTV140"/>
      <c r="VTW140"/>
      <c r="VTX140"/>
      <c r="VTY140"/>
      <c r="VTZ140"/>
      <c r="VUA140"/>
      <c r="VUB140"/>
      <c r="VUC140"/>
      <c r="VUD140"/>
      <c r="VUE140"/>
      <c r="VUF140"/>
      <c r="VUG140"/>
      <c r="VUH140"/>
      <c r="VUI140"/>
      <c r="VUJ140"/>
      <c r="VUK140"/>
      <c r="VUL140"/>
      <c r="VUM140"/>
      <c r="VUN140"/>
      <c r="VUO140"/>
      <c r="VUP140"/>
      <c r="VUQ140"/>
      <c r="VUR140"/>
      <c r="VUS140"/>
      <c r="VUT140"/>
      <c r="VUU140"/>
      <c r="VUV140"/>
      <c r="VUW140"/>
      <c r="VUX140"/>
      <c r="VUY140"/>
      <c r="VUZ140"/>
      <c r="VVA140"/>
      <c r="VVB140"/>
      <c r="VVC140"/>
      <c r="VVD140"/>
      <c r="VVE140"/>
      <c r="VVF140"/>
      <c r="VVG140"/>
      <c r="VVH140"/>
      <c r="VVI140"/>
      <c r="VVJ140"/>
      <c r="VVK140"/>
      <c r="VVL140"/>
      <c r="VVM140"/>
      <c r="VVN140"/>
      <c r="VVO140"/>
      <c r="VVP140"/>
      <c r="VVQ140"/>
      <c r="VVR140"/>
      <c r="VVS140"/>
      <c r="VVT140"/>
      <c r="VVU140"/>
      <c r="VVV140"/>
      <c r="VVW140"/>
      <c r="VVX140"/>
      <c r="VVY140"/>
      <c r="VVZ140"/>
      <c r="VWA140"/>
      <c r="VWB140"/>
      <c r="VWC140"/>
      <c r="VWD140"/>
      <c r="VWE140"/>
      <c r="VWF140"/>
      <c r="VWG140"/>
      <c r="VWH140"/>
      <c r="VWI140"/>
      <c r="VWJ140"/>
      <c r="VWK140"/>
      <c r="VWL140"/>
      <c r="VWM140"/>
      <c r="VWN140"/>
      <c r="VWO140"/>
      <c r="VWP140"/>
      <c r="VWQ140"/>
      <c r="VWR140"/>
      <c r="VWS140"/>
      <c r="VWT140"/>
      <c r="VWU140"/>
      <c r="VWV140"/>
      <c r="VWW140"/>
      <c r="VWX140"/>
      <c r="VWY140"/>
      <c r="VWZ140"/>
      <c r="VXA140"/>
      <c r="VXB140"/>
      <c r="VXC140"/>
      <c r="VXD140"/>
      <c r="VXE140"/>
      <c r="VXF140"/>
      <c r="VXG140"/>
      <c r="VXH140"/>
      <c r="VXI140"/>
      <c r="VXJ140"/>
      <c r="VXK140"/>
      <c r="VXL140"/>
      <c r="VXM140"/>
      <c r="VXN140"/>
      <c r="VXO140"/>
      <c r="VXP140"/>
      <c r="VXQ140"/>
      <c r="VXR140"/>
      <c r="VXS140"/>
      <c r="VXT140"/>
      <c r="VXU140"/>
      <c r="VXV140"/>
      <c r="VXW140"/>
      <c r="VXX140"/>
      <c r="VXY140"/>
      <c r="VXZ140"/>
      <c r="VYA140"/>
      <c r="VYB140"/>
      <c r="VYC140"/>
      <c r="VYD140"/>
      <c r="VYE140"/>
      <c r="VYF140"/>
      <c r="VYG140"/>
      <c r="VYH140"/>
      <c r="VYI140"/>
      <c r="VYJ140"/>
      <c r="VYK140"/>
      <c r="VYL140"/>
      <c r="VYM140"/>
      <c r="VYN140"/>
      <c r="VYO140"/>
      <c r="VYP140"/>
      <c r="VYQ140"/>
      <c r="VYR140"/>
      <c r="VYS140"/>
      <c r="VYT140"/>
      <c r="VYU140"/>
      <c r="VYV140"/>
      <c r="VYW140"/>
      <c r="VYX140"/>
      <c r="VYY140"/>
      <c r="VYZ140"/>
      <c r="VZA140"/>
      <c r="VZB140"/>
      <c r="VZC140"/>
      <c r="VZD140"/>
      <c r="VZE140"/>
      <c r="VZF140"/>
      <c r="VZG140"/>
      <c r="VZH140"/>
      <c r="VZI140"/>
      <c r="VZJ140"/>
      <c r="VZK140"/>
      <c r="VZL140"/>
      <c r="VZM140"/>
      <c r="VZN140"/>
      <c r="VZO140"/>
      <c r="VZP140"/>
      <c r="VZQ140"/>
      <c r="VZR140"/>
      <c r="VZS140"/>
      <c r="VZT140"/>
      <c r="VZU140"/>
      <c r="VZV140"/>
      <c r="VZW140"/>
      <c r="VZX140"/>
      <c r="VZY140"/>
      <c r="VZZ140"/>
      <c r="WAA140"/>
      <c r="WAB140"/>
      <c r="WAC140"/>
      <c r="WAD140"/>
      <c r="WAE140"/>
      <c r="WAF140"/>
      <c r="WAG140"/>
      <c r="WAH140"/>
      <c r="WAI140"/>
      <c r="WAJ140"/>
      <c r="WAK140"/>
      <c r="WAL140"/>
      <c r="WAM140"/>
      <c r="WAN140"/>
      <c r="WAO140"/>
      <c r="WAP140"/>
      <c r="WAQ140"/>
      <c r="WAR140"/>
      <c r="WAS140"/>
      <c r="WAT140"/>
      <c r="WAU140"/>
      <c r="WAV140"/>
      <c r="WAW140"/>
      <c r="WAX140"/>
      <c r="WAY140"/>
      <c r="WAZ140"/>
      <c r="WBA140"/>
      <c r="WBB140"/>
      <c r="WBC140"/>
      <c r="WBD140"/>
      <c r="WBE140"/>
      <c r="WBF140"/>
      <c r="WBG140"/>
      <c r="WBH140"/>
      <c r="WBI140"/>
      <c r="WBJ140"/>
      <c r="WBK140"/>
      <c r="WBL140"/>
      <c r="WBM140"/>
      <c r="WBN140"/>
      <c r="WBO140"/>
      <c r="WBP140"/>
      <c r="WBQ140"/>
      <c r="WBR140"/>
      <c r="WBS140"/>
      <c r="WBT140"/>
      <c r="WBU140"/>
      <c r="WBV140"/>
      <c r="WBW140"/>
      <c r="WBX140"/>
      <c r="WBY140"/>
      <c r="WBZ140"/>
      <c r="WCA140"/>
      <c r="WCB140"/>
      <c r="WCC140"/>
      <c r="WCD140"/>
      <c r="WCE140"/>
      <c r="WCF140"/>
      <c r="WCG140"/>
      <c r="WCH140"/>
      <c r="WCI140"/>
      <c r="WCJ140"/>
      <c r="WCK140"/>
      <c r="WCL140"/>
      <c r="WCM140"/>
      <c r="WCN140"/>
      <c r="WCO140"/>
      <c r="WCP140"/>
      <c r="WCQ140"/>
      <c r="WCR140"/>
      <c r="WCS140"/>
      <c r="WCT140"/>
      <c r="WCU140"/>
      <c r="WCV140"/>
      <c r="WCW140"/>
      <c r="WCX140"/>
      <c r="WCY140"/>
      <c r="WCZ140"/>
      <c r="WDA140"/>
      <c r="WDB140"/>
      <c r="WDC140"/>
      <c r="WDD140"/>
      <c r="WDE140"/>
      <c r="WDF140"/>
      <c r="WDG140"/>
      <c r="WDH140"/>
      <c r="WDI140"/>
      <c r="WDJ140"/>
      <c r="WDK140"/>
      <c r="WDL140"/>
      <c r="WDM140"/>
      <c r="WDN140"/>
      <c r="WDO140"/>
      <c r="WDP140"/>
      <c r="WDQ140"/>
      <c r="WDR140"/>
      <c r="WDS140"/>
      <c r="WDT140"/>
      <c r="WDU140"/>
      <c r="WDV140"/>
      <c r="WDW140"/>
      <c r="WDX140"/>
      <c r="WDY140"/>
      <c r="WDZ140"/>
      <c r="WEA140"/>
      <c r="WEB140"/>
      <c r="WEC140"/>
      <c r="WED140"/>
      <c r="WEE140"/>
      <c r="WEF140"/>
      <c r="WEG140"/>
      <c r="WEH140"/>
      <c r="WEI140"/>
      <c r="WEJ140"/>
      <c r="WEK140"/>
      <c r="WEL140"/>
      <c r="WEM140"/>
      <c r="WEN140"/>
      <c r="WEO140"/>
      <c r="WEP140"/>
      <c r="WEQ140"/>
      <c r="WER140"/>
      <c r="WES140"/>
      <c r="WET140"/>
      <c r="WEU140"/>
      <c r="WEV140"/>
      <c r="WEW140"/>
      <c r="WEX140"/>
      <c r="WEY140"/>
      <c r="WEZ140"/>
      <c r="WFA140"/>
      <c r="WFB140"/>
      <c r="WFC140"/>
      <c r="WFD140"/>
      <c r="WFE140"/>
      <c r="WFF140"/>
      <c r="WFG140"/>
      <c r="WFH140"/>
      <c r="WFI140"/>
      <c r="WFJ140"/>
      <c r="WFK140"/>
      <c r="WFL140"/>
      <c r="WFM140"/>
      <c r="WFN140"/>
      <c r="WFO140"/>
      <c r="WFP140"/>
      <c r="WFQ140"/>
      <c r="WFR140"/>
      <c r="WFS140"/>
      <c r="WFT140"/>
      <c r="WFU140"/>
      <c r="WFV140"/>
      <c r="WFW140"/>
      <c r="WFX140"/>
      <c r="WFY140"/>
      <c r="WFZ140"/>
      <c r="WGA140"/>
      <c r="WGB140"/>
      <c r="WGC140"/>
      <c r="WGD140"/>
      <c r="WGE140"/>
      <c r="WGF140"/>
      <c r="WGG140"/>
      <c r="WGH140"/>
      <c r="WGI140"/>
      <c r="WGJ140"/>
      <c r="WGK140"/>
      <c r="WGL140"/>
      <c r="WGM140"/>
      <c r="WGN140"/>
      <c r="WGO140"/>
      <c r="WGP140"/>
      <c r="WGQ140"/>
      <c r="WGR140"/>
      <c r="WGS140"/>
      <c r="WGT140"/>
      <c r="WGU140"/>
      <c r="WGV140"/>
      <c r="WGW140"/>
      <c r="WGX140"/>
      <c r="WGY140"/>
      <c r="WGZ140"/>
      <c r="WHA140"/>
      <c r="WHB140"/>
      <c r="WHC140"/>
      <c r="WHD140"/>
      <c r="WHE140"/>
      <c r="WHF140"/>
      <c r="WHG140"/>
      <c r="WHH140"/>
      <c r="WHI140"/>
      <c r="WHJ140"/>
      <c r="WHK140"/>
      <c r="WHL140"/>
      <c r="WHM140"/>
      <c r="WHN140"/>
      <c r="WHO140"/>
      <c r="WHP140"/>
      <c r="WHQ140"/>
      <c r="WHR140"/>
      <c r="WHS140"/>
      <c r="WHT140"/>
      <c r="WHU140"/>
      <c r="WHV140"/>
      <c r="WHW140"/>
      <c r="WHX140"/>
      <c r="WHY140"/>
      <c r="WHZ140"/>
      <c r="WIA140"/>
      <c r="WIB140"/>
      <c r="WIC140"/>
      <c r="WID140"/>
      <c r="WIE140"/>
      <c r="WIF140"/>
      <c r="WIG140"/>
      <c r="WIH140"/>
      <c r="WII140"/>
      <c r="WIJ140"/>
      <c r="WIK140"/>
      <c r="WIL140"/>
      <c r="WIM140"/>
      <c r="WIN140"/>
      <c r="WIO140"/>
      <c r="WIP140"/>
      <c r="WIQ140"/>
      <c r="WIR140"/>
      <c r="WIS140"/>
      <c r="WIT140"/>
      <c r="WIU140"/>
      <c r="WIV140"/>
      <c r="WIW140"/>
      <c r="WIX140"/>
      <c r="WIY140"/>
      <c r="WIZ140"/>
      <c r="WJA140"/>
      <c r="WJB140"/>
      <c r="WJC140"/>
      <c r="WJD140"/>
      <c r="WJE140"/>
      <c r="WJF140"/>
      <c r="WJG140"/>
      <c r="WJH140"/>
      <c r="WJI140"/>
      <c r="WJJ140"/>
      <c r="WJK140"/>
      <c r="WJL140"/>
      <c r="WJM140"/>
      <c r="WJN140"/>
      <c r="WJO140"/>
      <c r="WJP140"/>
      <c r="WJQ140"/>
      <c r="WJR140"/>
      <c r="WJS140"/>
      <c r="WJT140"/>
      <c r="WJU140"/>
      <c r="WJV140"/>
      <c r="WJW140"/>
      <c r="WJX140"/>
      <c r="WJY140"/>
      <c r="WJZ140"/>
      <c r="WKA140"/>
      <c r="WKB140"/>
      <c r="WKC140"/>
      <c r="WKD140"/>
      <c r="WKE140"/>
      <c r="WKF140"/>
      <c r="WKG140"/>
      <c r="WKH140"/>
      <c r="WKI140"/>
      <c r="WKJ140"/>
      <c r="WKK140"/>
      <c r="WKL140"/>
      <c r="WKM140"/>
      <c r="WKN140"/>
      <c r="WKO140"/>
      <c r="WKP140"/>
      <c r="WKQ140"/>
      <c r="WKR140"/>
      <c r="WKS140"/>
      <c r="WKT140"/>
      <c r="WKU140"/>
      <c r="WKV140"/>
      <c r="WKW140"/>
      <c r="WKX140"/>
      <c r="WKY140"/>
      <c r="WKZ140"/>
      <c r="WLA140"/>
      <c r="WLB140"/>
      <c r="WLC140"/>
      <c r="WLD140"/>
      <c r="WLE140"/>
      <c r="WLF140"/>
      <c r="WLG140"/>
      <c r="WLH140"/>
      <c r="WLI140"/>
      <c r="WLJ140"/>
      <c r="WLK140"/>
      <c r="WLL140"/>
      <c r="WLM140"/>
      <c r="WLN140"/>
      <c r="WLO140"/>
      <c r="WLP140"/>
      <c r="WLQ140"/>
      <c r="WLR140"/>
      <c r="WLS140"/>
      <c r="WLT140"/>
      <c r="WLU140"/>
      <c r="WLV140"/>
      <c r="WLW140"/>
      <c r="WLX140"/>
      <c r="WLY140"/>
      <c r="WLZ140"/>
      <c r="WMA140"/>
      <c r="WMB140"/>
      <c r="WMC140"/>
      <c r="WMD140"/>
      <c r="WME140"/>
      <c r="WMF140"/>
      <c r="WMG140"/>
      <c r="WMH140"/>
      <c r="WMI140"/>
      <c r="WMJ140"/>
      <c r="WMK140"/>
      <c r="WML140"/>
      <c r="WMM140"/>
      <c r="WMN140"/>
      <c r="WMO140"/>
      <c r="WMP140"/>
      <c r="WMQ140"/>
      <c r="WMR140"/>
      <c r="WMS140"/>
      <c r="WMT140"/>
      <c r="WMU140"/>
      <c r="WMV140"/>
      <c r="WMW140"/>
      <c r="WMX140"/>
      <c r="WMY140"/>
      <c r="WMZ140"/>
      <c r="WNA140"/>
      <c r="WNB140"/>
      <c r="WNC140"/>
      <c r="WND140"/>
      <c r="WNE140"/>
      <c r="WNF140"/>
      <c r="WNG140"/>
      <c r="WNH140"/>
      <c r="WNI140"/>
      <c r="WNJ140"/>
      <c r="WNK140"/>
      <c r="WNL140"/>
      <c r="WNM140"/>
      <c r="WNN140"/>
      <c r="WNO140"/>
      <c r="WNP140"/>
      <c r="WNQ140"/>
      <c r="WNR140"/>
      <c r="WNS140"/>
      <c r="WNT140"/>
      <c r="WNU140"/>
      <c r="WNV140"/>
      <c r="WNW140"/>
      <c r="WNX140"/>
      <c r="WNY140"/>
      <c r="WNZ140"/>
      <c r="WOA140"/>
      <c r="WOB140"/>
      <c r="WOC140"/>
      <c r="WOD140"/>
      <c r="WOE140"/>
      <c r="WOF140"/>
      <c r="WOG140"/>
      <c r="WOH140"/>
      <c r="WOI140"/>
      <c r="WOJ140"/>
      <c r="WOK140"/>
      <c r="WOL140"/>
      <c r="WOM140"/>
      <c r="WON140"/>
      <c r="WOO140"/>
      <c r="WOP140"/>
      <c r="WOQ140"/>
      <c r="WOR140"/>
      <c r="WOS140"/>
      <c r="WOT140"/>
      <c r="WOU140"/>
      <c r="WOV140"/>
      <c r="WOW140"/>
      <c r="WOX140"/>
      <c r="WOY140"/>
      <c r="WOZ140"/>
      <c r="WPA140"/>
      <c r="WPB140"/>
      <c r="WPC140"/>
      <c r="WPD140"/>
      <c r="WPE140"/>
      <c r="WPF140"/>
      <c r="WPG140"/>
      <c r="WPH140"/>
      <c r="WPI140"/>
      <c r="WPJ140"/>
      <c r="WPK140"/>
      <c r="WPL140"/>
      <c r="WPM140"/>
      <c r="WPN140"/>
      <c r="WPO140"/>
      <c r="WPP140"/>
      <c r="WPQ140"/>
      <c r="WPR140"/>
      <c r="WPS140"/>
      <c r="WPT140"/>
      <c r="WPU140"/>
      <c r="WPV140"/>
      <c r="WPW140"/>
      <c r="WPX140"/>
      <c r="WPY140"/>
      <c r="WPZ140"/>
      <c r="WQA140"/>
      <c r="WQB140"/>
      <c r="WQC140"/>
      <c r="WQD140"/>
      <c r="WQE140"/>
      <c r="WQF140"/>
      <c r="WQG140"/>
      <c r="WQH140"/>
      <c r="WQI140"/>
      <c r="WQJ140"/>
      <c r="WQK140"/>
      <c r="WQL140"/>
      <c r="WQM140"/>
      <c r="WQN140"/>
      <c r="WQO140"/>
      <c r="WQP140"/>
      <c r="WQQ140"/>
      <c r="WQR140"/>
      <c r="WQS140"/>
      <c r="WQT140"/>
      <c r="WQU140"/>
      <c r="WQV140"/>
      <c r="WQW140"/>
      <c r="WQX140"/>
      <c r="WQY140"/>
      <c r="WQZ140"/>
      <c r="WRA140"/>
      <c r="WRB140"/>
      <c r="WRC140"/>
      <c r="WRD140"/>
      <c r="WRE140"/>
      <c r="WRF140"/>
      <c r="WRG140"/>
      <c r="WRH140"/>
      <c r="WRI140"/>
      <c r="WRJ140"/>
      <c r="WRK140"/>
      <c r="WRL140"/>
      <c r="WRM140"/>
      <c r="WRN140"/>
      <c r="WRO140"/>
      <c r="WRP140"/>
      <c r="WRQ140"/>
      <c r="WRR140"/>
      <c r="WRS140"/>
      <c r="WRT140"/>
      <c r="WRU140"/>
      <c r="WRV140"/>
      <c r="WRW140"/>
      <c r="WRX140"/>
      <c r="WRY140"/>
      <c r="WRZ140"/>
      <c r="WSA140"/>
      <c r="WSB140"/>
      <c r="WSC140"/>
      <c r="WSD140"/>
      <c r="WSE140"/>
      <c r="WSF140"/>
      <c r="WSG140"/>
      <c r="WSH140"/>
      <c r="WSI140"/>
      <c r="WSJ140"/>
      <c r="WSK140"/>
      <c r="WSL140"/>
      <c r="WSM140"/>
      <c r="WSN140"/>
      <c r="WSO140"/>
      <c r="WSP140"/>
      <c r="WSQ140"/>
      <c r="WSR140"/>
      <c r="WSS140"/>
      <c r="WST140"/>
      <c r="WSU140"/>
      <c r="WSV140"/>
      <c r="WSW140"/>
      <c r="WSX140"/>
      <c r="WSY140"/>
      <c r="WSZ140"/>
      <c r="WTA140"/>
      <c r="WTB140"/>
      <c r="WTC140"/>
      <c r="WTD140"/>
      <c r="WTE140"/>
      <c r="WTF140"/>
      <c r="WTG140"/>
      <c r="WTH140"/>
      <c r="WTI140"/>
      <c r="WTJ140"/>
      <c r="WTK140"/>
      <c r="WTL140"/>
      <c r="WTM140"/>
      <c r="WTN140"/>
      <c r="WTO140"/>
      <c r="WTP140"/>
      <c r="WTQ140"/>
      <c r="WTR140"/>
      <c r="WTS140"/>
      <c r="WTT140"/>
      <c r="WTU140"/>
      <c r="WTV140"/>
      <c r="WTW140"/>
      <c r="WTX140"/>
      <c r="WTY140"/>
      <c r="WTZ140"/>
      <c r="WUA140"/>
      <c r="WUB140"/>
      <c r="WUC140"/>
      <c r="WUD140"/>
      <c r="WUE140"/>
      <c r="WUF140"/>
      <c r="WUG140"/>
      <c r="WUH140"/>
      <c r="WUI140"/>
      <c r="WUJ140"/>
      <c r="WUK140"/>
      <c r="WUL140"/>
      <c r="WUM140"/>
      <c r="WUN140"/>
      <c r="WUO140"/>
      <c r="WUP140"/>
      <c r="WUQ140"/>
      <c r="WUR140"/>
      <c r="WUS140"/>
      <c r="WUT140"/>
      <c r="WUU140"/>
      <c r="WUV140"/>
      <c r="WUW140"/>
      <c r="WUX140"/>
      <c r="WUY140"/>
      <c r="WUZ140"/>
      <c r="WVA140"/>
      <c r="WVB140"/>
      <c r="WVC140"/>
      <c r="WVD140"/>
      <c r="WVE140"/>
      <c r="WVF140"/>
      <c r="WVG140"/>
      <c r="WVH140"/>
      <c r="WVI140"/>
      <c r="WVJ140"/>
      <c r="WVK140"/>
      <c r="WVL140"/>
      <c r="WVM140"/>
      <c r="WVN140"/>
      <c r="WVO140"/>
      <c r="WVP140"/>
      <c r="WVQ140"/>
      <c r="WVR140"/>
      <c r="WVS140"/>
      <c r="WVT140"/>
      <c r="WVU140"/>
      <c r="WVV140"/>
      <c r="WVW140"/>
      <c r="WVX140"/>
      <c r="WVY140"/>
      <c r="WVZ140"/>
      <c r="WWA140"/>
      <c r="WWB140"/>
      <c r="WWC140"/>
      <c r="WWD140"/>
      <c r="WWE140"/>
      <c r="WWF140"/>
      <c r="WWG140"/>
      <c r="WWH140"/>
      <c r="WWI140"/>
      <c r="WWJ140"/>
      <c r="WWK140"/>
      <c r="WWL140"/>
      <c r="WWM140"/>
      <c r="WWN140"/>
      <c r="WWO140"/>
      <c r="WWP140"/>
      <c r="WWQ140"/>
      <c r="WWR140"/>
      <c r="WWS140"/>
      <c r="WWT140"/>
      <c r="WWU140"/>
      <c r="WWV140"/>
      <c r="WWW140"/>
      <c r="WWX140"/>
      <c r="WWY140"/>
      <c r="WWZ140"/>
      <c r="WXA140"/>
      <c r="WXB140"/>
      <c r="WXC140"/>
      <c r="WXD140"/>
      <c r="WXE140"/>
      <c r="WXF140"/>
      <c r="WXG140"/>
      <c r="WXH140"/>
      <c r="WXI140"/>
      <c r="WXJ140"/>
      <c r="WXK140"/>
      <c r="WXL140"/>
      <c r="WXM140"/>
      <c r="WXN140"/>
      <c r="WXO140"/>
      <c r="WXP140"/>
      <c r="WXQ140"/>
      <c r="WXR140"/>
      <c r="WXS140"/>
      <c r="WXT140"/>
      <c r="WXU140"/>
      <c r="WXV140"/>
      <c r="WXW140"/>
      <c r="WXX140"/>
      <c r="WXY140"/>
      <c r="WXZ140"/>
      <c r="WYA140"/>
      <c r="WYB140"/>
      <c r="WYC140"/>
      <c r="WYD140"/>
      <c r="WYE140"/>
      <c r="WYF140"/>
      <c r="WYG140"/>
      <c r="WYH140"/>
      <c r="WYI140"/>
      <c r="WYJ140"/>
      <c r="WYK140"/>
      <c r="WYL140"/>
      <c r="WYM140"/>
      <c r="WYN140"/>
      <c r="WYO140"/>
      <c r="WYP140"/>
      <c r="WYQ140"/>
      <c r="WYR140"/>
      <c r="WYS140"/>
      <c r="WYT140"/>
      <c r="WYU140"/>
      <c r="WYV140"/>
      <c r="WYW140"/>
      <c r="WYX140"/>
      <c r="WYY140"/>
      <c r="WYZ140"/>
      <c r="WZA140"/>
      <c r="WZB140"/>
      <c r="WZC140"/>
      <c r="WZD140"/>
      <c r="WZE140"/>
      <c r="WZF140"/>
      <c r="WZG140"/>
      <c r="WZH140"/>
      <c r="WZI140"/>
      <c r="WZJ140"/>
      <c r="WZK140"/>
      <c r="WZL140"/>
      <c r="WZM140"/>
      <c r="WZN140"/>
      <c r="WZO140"/>
      <c r="WZP140"/>
      <c r="WZQ140"/>
      <c r="WZR140"/>
      <c r="WZS140"/>
      <c r="WZT140"/>
      <c r="WZU140"/>
      <c r="WZV140"/>
      <c r="WZW140"/>
      <c r="WZX140"/>
      <c r="WZY140"/>
      <c r="WZZ140"/>
      <c r="XAA140"/>
      <c r="XAB140"/>
      <c r="XAC140"/>
      <c r="XAD140"/>
      <c r="XAE140"/>
      <c r="XAF140"/>
      <c r="XAG140"/>
      <c r="XAH140"/>
      <c r="XAI140"/>
      <c r="XAJ140"/>
      <c r="XAK140"/>
      <c r="XAL140"/>
      <c r="XAM140"/>
      <c r="XAN140"/>
      <c r="XAO140"/>
      <c r="XAP140"/>
      <c r="XAQ140"/>
      <c r="XAR140"/>
      <c r="XAS140"/>
      <c r="XAT140"/>
      <c r="XAU140"/>
      <c r="XAV140"/>
      <c r="XAW140"/>
      <c r="XAX140"/>
      <c r="XAY140"/>
      <c r="XAZ140"/>
      <c r="XBA140"/>
      <c r="XBB140"/>
      <c r="XBC140"/>
      <c r="XBD140"/>
      <c r="XBE140"/>
      <c r="XBF140"/>
      <c r="XBG140"/>
      <c r="XBH140"/>
      <c r="XBI140"/>
      <c r="XBJ140"/>
      <c r="XBK140"/>
      <c r="XBL140"/>
      <c r="XBM140"/>
      <c r="XBN140"/>
      <c r="XBO140"/>
      <c r="XBP140"/>
      <c r="XBQ140"/>
      <c r="XBR140"/>
      <c r="XBS140"/>
      <c r="XBT140"/>
      <c r="XBU140"/>
      <c r="XBV140"/>
      <c r="XBW140"/>
      <c r="XBX140"/>
      <c r="XBY140"/>
      <c r="XBZ140"/>
      <c r="XCA140"/>
      <c r="XCB140"/>
      <c r="XCC140"/>
      <c r="XCD140"/>
      <c r="XCE140"/>
      <c r="XCF140"/>
      <c r="XCG140"/>
      <c r="XCH140"/>
      <c r="XCI140"/>
      <c r="XCJ140"/>
      <c r="XCK140"/>
      <c r="XCL140"/>
      <c r="XCM140"/>
      <c r="XCN140"/>
      <c r="XCO140"/>
      <c r="XCP140"/>
      <c r="XCQ140"/>
      <c r="XCR140"/>
      <c r="XCS140"/>
      <c r="XCT140"/>
      <c r="XCU140"/>
      <c r="XCV140"/>
      <c r="XCW140"/>
      <c r="XCX140"/>
      <c r="XCY140"/>
      <c r="XCZ140"/>
      <c r="XDA140"/>
      <c r="XDB140"/>
      <c r="XDC140"/>
      <c r="XDD140"/>
      <c r="XDE140"/>
      <c r="XDF140"/>
      <c r="XDG140"/>
      <c r="XDH140"/>
      <c r="XDI140"/>
      <c r="XDJ140"/>
      <c r="XDK140"/>
      <c r="XDL140"/>
      <c r="XDM140"/>
      <c r="XDN140"/>
      <c r="XDO140"/>
      <c r="XDP140"/>
      <c r="XDQ140"/>
      <c r="XDR140"/>
      <c r="XDS140"/>
      <c r="XDT140"/>
      <c r="XDU140"/>
      <c r="XDV140"/>
      <c r="XDW140"/>
      <c r="XDX140"/>
      <c r="XDY140"/>
      <c r="XDZ140"/>
      <c r="XEA140"/>
      <c r="XEB140"/>
      <c r="XEC140"/>
      <c r="XED140"/>
      <c r="XEE140"/>
      <c r="XEF140"/>
      <c r="XEG140"/>
      <c r="XEH140"/>
      <c r="XEI140"/>
      <c r="XEJ140"/>
      <c r="XEK140"/>
      <c r="XEL140"/>
      <c r="XEM140"/>
      <c r="XEN140"/>
      <c r="XEO140"/>
      <c r="XEP140"/>
      <c r="XEQ140"/>
      <c r="XER140"/>
      <c r="XES140"/>
      <c r="XET140"/>
      <c r="XEU140"/>
      <c r="XEV140"/>
      <c r="XEW140"/>
      <c r="XEX140"/>
      <c r="XEY140"/>
      <c r="XEZ140"/>
    </row>
    <row r="141" spans="1:16380" hidden="1" x14ac:dyDescent="0.25">
      <c r="A141" s="483" t="s">
        <v>5741</v>
      </c>
      <c r="B141" t="s">
        <v>2129</v>
      </c>
      <c r="C141" s="28" t="s">
        <v>4218</v>
      </c>
      <c r="D141" s="233">
        <v>45721</v>
      </c>
      <c r="E141" s="28" t="s">
        <v>236</v>
      </c>
      <c r="F141" s="30" t="s">
        <v>5800</v>
      </c>
      <c r="G141" s="30" t="s">
        <v>5802</v>
      </c>
      <c r="H141" s="798">
        <v>62540</v>
      </c>
      <c r="I141" s="61">
        <f t="shared" si="13"/>
        <v>55035.199999999997</v>
      </c>
      <c r="J141" s="88" t="s">
        <v>17</v>
      </c>
      <c r="K141" s="233">
        <v>45736</v>
      </c>
      <c r="L141" s="798"/>
      <c r="T141" t="s">
        <v>5078</v>
      </c>
      <c r="U141" s="30">
        <v>15.14</v>
      </c>
      <c r="V141" s="360">
        <v>0.9277777777777777</v>
      </c>
    </row>
    <row r="142" spans="1:16380" hidden="1" x14ac:dyDescent="0.25">
      <c r="A142" s="483">
        <v>12032025</v>
      </c>
      <c r="B142" t="s">
        <v>2769</v>
      </c>
      <c r="C142" s="28" t="s">
        <v>13</v>
      </c>
      <c r="D142" s="233">
        <v>45728</v>
      </c>
      <c r="E142" s="28" t="s">
        <v>236</v>
      </c>
      <c r="F142" s="30" t="s">
        <v>5844</v>
      </c>
      <c r="G142" s="30" t="s">
        <v>5851</v>
      </c>
      <c r="H142" s="798">
        <v>62540</v>
      </c>
      <c r="I142" s="61">
        <f t="shared" si="13"/>
        <v>55035.199999999997</v>
      </c>
      <c r="J142" t="s">
        <v>17</v>
      </c>
      <c r="K142" s="233">
        <v>45740</v>
      </c>
      <c r="L142" s="798"/>
      <c r="T142" t="s">
        <v>4509</v>
      </c>
      <c r="U142" s="360">
        <v>0.30138888888888887</v>
      </c>
      <c r="V142" s="360">
        <v>0.59652777777777777</v>
      </c>
    </row>
    <row r="143" spans="1:16380" hidden="1" x14ac:dyDescent="0.25">
      <c r="A143" s="483" t="s">
        <v>5896</v>
      </c>
      <c r="B143" t="s">
        <v>2129</v>
      </c>
      <c r="C143" s="28" t="s">
        <v>4218</v>
      </c>
      <c r="D143" s="233">
        <v>45749</v>
      </c>
      <c r="E143" s="28" t="s">
        <v>236</v>
      </c>
      <c r="F143" t="s">
        <v>6098</v>
      </c>
      <c r="G143" s="30" t="s">
        <v>6099</v>
      </c>
      <c r="H143" s="798">
        <v>62540</v>
      </c>
      <c r="I143" s="61">
        <f t="shared" si="13"/>
        <v>55035.199999999997</v>
      </c>
      <c r="J143" t="s">
        <v>17</v>
      </c>
      <c r="K143" s="233">
        <v>45785</v>
      </c>
      <c r="L143" s="798"/>
      <c r="T143" t="s">
        <v>4867</v>
      </c>
      <c r="U143" s="360">
        <v>0.30833333333333335</v>
      </c>
      <c r="V143" s="360">
        <v>0.57777777777777783</v>
      </c>
    </row>
    <row r="144" spans="1:16380" hidden="1" x14ac:dyDescent="0.25">
      <c r="A144" s="483" t="s">
        <v>6102</v>
      </c>
      <c r="B144" t="s">
        <v>2129</v>
      </c>
      <c r="C144" s="28" t="s">
        <v>4437</v>
      </c>
      <c r="D144" s="233">
        <v>45782</v>
      </c>
      <c r="E144" s="28" t="s">
        <v>236</v>
      </c>
      <c r="F144" t="s">
        <v>6141</v>
      </c>
      <c r="G144" s="30" t="s">
        <v>6143</v>
      </c>
      <c r="H144" s="798">
        <v>62540</v>
      </c>
      <c r="I144" s="61">
        <f t="shared" si="13"/>
        <v>55035.199999999997</v>
      </c>
      <c r="J144" t="s">
        <v>17</v>
      </c>
      <c r="K144" s="233">
        <v>45792</v>
      </c>
      <c r="T144" t="s">
        <v>1506</v>
      </c>
      <c r="U144" s="30">
        <v>16.010000000000002</v>
      </c>
      <c r="V144" s="30"/>
    </row>
    <row r="145" spans="1:22" hidden="1" x14ac:dyDescent="0.25">
      <c r="A145" s="483" t="s">
        <v>6170</v>
      </c>
      <c r="B145" t="s">
        <v>2129</v>
      </c>
      <c r="C145" s="28" t="s">
        <v>6152</v>
      </c>
      <c r="D145" s="233">
        <v>45790</v>
      </c>
      <c r="E145" s="28" t="s">
        <v>236</v>
      </c>
      <c r="F145" t="s">
        <v>6193</v>
      </c>
      <c r="G145" s="30" t="s">
        <v>6216</v>
      </c>
      <c r="H145" s="798">
        <v>62540</v>
      </c>
      <c r="I145" s="61">
        <f t="shared" si="13"/>
        <v>55035.199999999997</v>
      </c>
      <c r="J145" t="s">
        <v>17</v>
      </c>
      <c r="K145" s="233">
        <v>45798</v>
      </c>
      <c r="L145" s="798"/>
      <c r="T145" t="s">
        <v>4297</v>
      </c>
      <c r="U145" s="360">
        <v>0.28819444444444448</v>
      </c>
      <c r="V145" s="30"/>
    </row>
    <row r="146" spans="1:22" hidden="1" x14ac:dyDescent="0.25">
      <c r="A146" s="483">
        <v>24052025</v>
      </c>
      <c r="B146" t="s">
        <v>6280</v>
      </c>
      <c r="C146" s="28" t="s">
        <v>278</v>
      </c>
      <c r="D146" s="233">
        <v>45801</v>
      </c>
      <c r="E146" s="28" t="s">
        <v>236</v>
      </c>
      <c r="F146" t="s">
        <v>6318</v>
      </c>
      <c r="G146" s="30" t="s">
        <v>6319</v>
      </c>
      <c r="H146" s="798">
        <v>62540</v>
      </c>
      <c r="I146" s="88">
        <f t="shared" ref="I146:I147" si="14">+H146-ROUND(H146*0.12,0)</f>
        <v>55035</v>
      </c>
      <c r="J146" t="s">
        <v>17</v>
      </c>
      <c r="K146" s="233">
        <v>45819</v>
      </c>
      <c r="L146" s="88"/>
      <c r="T146" t="s">
        <v>4911</v>
      </c>
      <c r="U146" s="360">
        <v>0.26874999999999999</v>
      </c>
      <c r="V146" s="360">
        <v>0.54999999999999993</v>
      </c>
    </row>
    <row r="147" spans="1:22" hidden="1" x14ac:dyDescent="0.25">
      <c r="A147" s="483">
        <v>27062025</v>
      </c>
      <c r="B147" t="s">
        <v>2769</v>
      </c>
      <c r="C147" s="28" t="s">
        <v>4437</v>
      </c>
      <c r="D147" s="233">
        <v>45835</v>
      </c>
      <c r="E147" s="28" t="s">
        <v>236</v>
      </c>
      <c r="F147" t="s">
        <v>6543</v>
      </c>
      <c r="G147" s="30" t="s">
        <v>6544</v>
      </c>
      <c r="H147" s="798">
        <v>62540</v>
      </c>
      <c r="I147" s="88">
        <f t="shared" si="14"/>
        <v>55035</v>
      </c>
      <c r="J147" t="s">
        <v>17</v>
      </c>
      <c r="K147" s="233">
        <v>45846</v>
      </c>
      <c r="L147" s="798"/>
      <c r="T147" t="s">
        <v>4297</v>
      </c>
      <c r="U147" s="360">
        <v>0.74513888888888891</v>
      </c>
      <c r="V147" s="360">
        <v>2.7083333333333334E-2</v>
      </c>
    </row>
    <row r="148" spans="1:22" hidden="1" x14ac:dyDescent="0.25">
      <c r="A148" s="483" t="s">
        <v>6778</v>
      </c>
      <c r="B148" t="s">
        <v>2129</v>
      </c>
      <c r="C148" s="28"/>
      <c r="D148" s="233">
        <v>45881</v>
      </c>
      <c r="E148" s="28" t="s">
        <v>236</v>
      </c>
      <c r="F148" s="1067" t="s">
        <v>6814</v>
      </c>
      <c r="G148" s="30" t="s">
        <v>6827</v>
      </c>
      <c r="H148" s="798">
        <v>62540</v>
      </c>
      <c r="I148" s="88">
        <f t="shared" ref="I148:I155" si="15">+H148-ROUND(H148*0.12,0)</f>
        <v>55035</v>
      </c>
      <c r="J148" s="32" t="s">
        <v>17</v>
      </c>
      <c r="K148" s="233">
        <v>45889</v>
      </c>
      <c r="L148" s="798"/>
      <c r="M148" s="32"/>
      <c r="T148" t="s">
        <v>5989</v>
      </c>
      <c r="U148" s="360"/>
      <c r="V148" s="360"/>
    </row>
    <row r="149" spans="1:22" hidden="1" x14ac:dyDescent="0.25">
      <c r="A149" s="483">
        <v>25082025</v>
      </c>
      <c r="B149" t="s">
        <v>2129</v>
      </c>
      <c r="C149" s="28" t="s">
        <v>13</v>
      </c>
      <c r="D149" s="233">
        <v>45894</v>
      </c>
      <c r="E149" s="28" t="s">
        <v>236</v>
      </c>
      <c r="F149" s="1067" t="s">
        <v>6883</v>
      </c>
      <c r="G149" s="30" t="s">
        <v>6884</v>
      </c>
      <c r="H149" s="313">
        <v>62540</v>
      </c>
      <c r="I149" s="88">
        <f t="shared" si="15"/>
        <v>55035</v>
      </c>
      <c r="J149" s="88" t="s">
        <v>17</v>
      </c>
      <c r="K149" s="233">
        <v>45905</v>
      </c>
      <c r="L149" s="798"/>
      <c r="M149" s="32"/>
      <c r="T149" t="s">
        <v>5989</v>
      </c>
      <c r="U149" s="360">
        <v>0.40625</v>
      </c>
      <c r="V149" s="360"/>
    </row>
    <row r="150" spans="1:22" hidden="1" x14ac:dyDescent="0.25">
      <c r="A150" s="483">
        <v>27082025</v>
      </c>
      <c r="B150" t="s">
        <v>2129</v>
      </c>
      <c r="C150" s="28" t="s">
        <v>4218</v>
      </c>
      <c r="D150" s="233">
        <v>45896</v>
      </c>
      <c r="E150" s="28" t="s">
        <v>236</v>
      </c>
      <c r="F150" s="1067" t="s">
        <v>6925</v>
      </c>
      <c r="G150" s="30" t="s">
        <v>7000</v>
      </c>
      <c r="H150" s="313">
        <v>6420</v>
      </c>
      <c r="I150" s="88">
        <f t="shared" ref="I150" si="16">+H150-ROUND(H150*0.12,0)</f>
        <v>5650</v>
      </c>
      <c r="J150" s="88" t="s">
        <v>17</v>
      </c>
      <c r="K150" s="233">
        <v>45923</v>
      </c>
      <c r="L150" s="798"/>
      <c r="M150" s="32"/>
      <c r="T150" t="s">
        <v>3765</v>
      </c>
      <c r="U150" s="360"/>
      <c r="V150" s="360"/>
    </row>
    <row r="151" spans="1:22" hidden="1" x14ac:dyDescent="0.25">
      <c r="A151" s="483">
        <v>27082025</v>
      </c>
      <c r="B151" t="s">
        <v>2129</v>
      </c>
      <c r="C151" s="28" t="s">
        <v>4218</v>
      </c>
      <c r="D151" s="233">
        <v>45896</v>
      </c>
      <c r="E151" s="28" t="s">
        <v>236</v>
      </c>
      <c r="F151" s="1067" t="s">
        <v>6925</v>
      </c>
      <c r="G151" s="30" t="s">
        <v>7001</v>
      </c>
      <c r="H151" s="313">
        <v>56120</v>
      </c>
      <c r="I151" s="88">
        <f t="shared" si="15"/>
        <v>49386</v>
      </c>
      <c r="J151" s="88" t="s">
        <v>17</v>
      </c>
      <c r="K151" s="233">
        <v>45923</v>
      </c>
      <c r="L151" s="798"/>
      <c r="M151" s="32"/>
      <c r="T151" t="s">
        <v>3765</v>
      </c>
      <c r="U151" s="360"/>
      <c r="V151" s="360"/>
    </row>
    <row r="152" spans="1:22" hidden="1" x14ac:dyDescent="0.25">
      <c r="A152" s="483">
        <v>24092025</v>
      </c>
      <c r="B152" t="s">
        <v>2129</v>
      </c>
      <c r="C152" s="28" t="s">
        <v>410</v>
      </c>
      <c r="D152" s="233">
        <v>45924</v>
      </c>
      <c r="E152" s="28" t="s">
        <v>236</v>
      </c>
      <c r="F152" s="1067" t="s">
        <v>7048</v>
      </c>
      <c r="G152" s="30" t="s">
        <v>7049</v>
      </c>
      <c r="H152" s="313">
        <v>62540</v>
      </c>
      <c r="I152" s="88">
        <f t="shared" si="15"/>
        <v>55035</v>
      </c>
      <c r="J152" s="88" t="s">
        <v>17</v>
      </c>
      <c r="K152" s="233">
        <v>45933</v>
      </c>
      <c r="L152" s="798"/>
      <c r="M152" s="32"/>
      <c r="T152" t="s">
        <v>5989</v>
      </c>
      <c r="U152" s="360">
        <v>0.65347222222222223</v>
      </c>
      <c r="V152" s="360">
        <v>0.95486111111111116</v>
      </c>
    </row>
    <row r="153" spans="1:22" hidden="1" x14ac:dyDescent="0.25">
      <c r="A153" s="483" t="s">
        <v>7021</v>
      </c>
      <c r="B153" t="s">
        <v>2129</v>
      </c>
      <c r="C153" s="28" t="s">
        <v>13</v>
      </c>
      <c r="D153" s="233">
        <v>45927</v>
      </c>
      <c r="E153" s="28" t="s">
        <v>236</v>
      </c>
      <c r="F153" s="1067" t="s">
        <v>7046</v>
      </c>
      <c r="G153" s="30" t="s">
        <v>7047</v>
      </c>
      <c r="H153" s="313">
        <v>62540</v>
      </c>
      <c r="I153" s="88">
        <f t="shared" si="15"/>
        <v>55035</v>
      </c>
      <c r="J153" s="88" t="s">
        <v>17</v>
      </c>
      <c r="K153" s="233">
        <v>45933</v>
      </c>
      <c r="L153" s="798"/>
      <c r="M153" s="32"/>
      <c r="T153" t="s">
        <v>6282</v>
      </c>
      <c r="U153" s="360">
        <v>0.27708333333333335</v>
      </c>
      <c r="V153" s="360">
        <v>0.55833333333333335</v>
      </c>
    </row>
    <row r="154" spans="1:22" hidden="1" x14ac:dyDescent="0.25">
      <c r="A154" s="483" t="s">
        <v>7039</v>
      </c>
      <c r="B154" t="s">
        <v>2129</v>
      </c>
      <c r="C154" s="28" t="s">
        <v>4218</v>
      </c>
      <c r="D154" s="233">
        <v>45932</v>
      </c>
      <c r="E154" s="28" t="s">
        <v>236</v>
      </c>
      <c r="F154" s="1067" t="s">
        <v>7091</v>
      </c>
      <c r="G154" s="30" t="s">
        <v>7090</v>
      </c>
      <c r="H154" s="313">
        <v>62540</v>
      </c>
      <c r="I154" s="88">
        <f t="shared" si="15"/>
        <v>55035</v>
      </c>
      <c r="J154" s="88" t="s">
        <v>17</v>
      </c>
      <c r="K154" s="233">
        <v>45943</v>
      </c>
      <c r="L154" s="798"/>
      <c r="M154" s="32"/>
      <c r="T154" t="s">
        <v>5131</v>
      </c>
      <c r="U154" s="360">
        <v>0.91736111111111107</v>
      </c>
      <c r="V154" s="360">
        <v>0.18611111111111112</v>
      </c>
    </row>
    <row r="155" spans="1:22" hidden="1" x14ac:dyDescent="0.25">
      <c r="A155" s="483">
        <v>17102025</v>
      </c>
      <c r="B155" t="s">
        <v>2129</v>
      </c>
      <c r="C155" s="28" t="s">
        <v>4218</v>
      </c>
      <c r="D155" s="233">
        <v>45947</v>
      </c>
      <c r="E155" s="28" t="s">
        <v>236</v>
      </c>
      <c r="F155" s="1067" t="s">
        <v>7186</v>
      </c>
      <c r="G155" s="30" t="s">
        <v>7225</v>
      </c>
      <c r="H155" s="313">
        <v>6580</v>
      </c>
      <c r="I155" s="88">
        <f t="shared" si="15"/>
        <v>5790</v>
      </c>
      <c r="J155" s="88" t="s">
        <v>17</v>
      </c>
      <c r="K155" s="233">
        <v>45965</v>
      </c>
      <c r="L155" s="88"/>
      <c r="M155" s="88"/>
      <c r="T155" t="s">
        <v>7092</v>
      </c>
      <c r="U155" s="360">
        <v>9.4499999999999993</v>
      </c>
      <c r="V155" s="360"/>
    </row>
    <row r="156" spans="1:22" hidden="1" x14ac:dyDescent="0.25">
      <c r="A156" s="483">
        <v>17102025</v>
      </c>
      <c r="B156" t="s">
        <v>2129</v>
      </c>
      <c r="C156" s="28" t="s">
        <v>4218</v>
      </c>
      <c r="D156" s="233">
        <v>45947</v>
      </c>
      <c r="E156" s="28" t="s">
        <v>236</v>
      </c>
      <c r="F156" s="1067" t="s">
        <v>7186</v>
      </c>
      <c r="G156" s="30" t="s">
        <v>7226</v>
      </c>
      <c r="H156" s="313">
        <v>55960</v>
      </c>
      <c r="I156" s="88">
        <f t="shared" ref="I156" si="17">+H156-ROUND(H156*0.12,0)</f>
        <v>49245</v>
      </c>
      <c r="J156" s="88" t="s">
        <v>17</v>
      </c>
      <c r="K156" s="233">
        <v>45965</v>
      </c>
      <c r="L156" s="88"/>
      <c r="M156" s="88"/>
      <c r="T156" t="s">
        <v>7092</v>
      </c>
      <c r="U156" s="360">
        <v>9.4499999999999993</v>
      </c>
      <c r="V156" s="360"/>
    </row>
    <row r="158" spans="1:22" x14ac:dyDescent="0.25">
      <c r="A158" s="430"/>
      <c r="D158" s="233"/>
      <c r="E158" s="28"/>
      <c r="F158" s="30"/>
      <c r="H158" s="61"/>
      <c r="I158" s="61"/>
      <c r="K158" s="233"/>
      <c r="L158" s="32"/>
      <c r="T158" s="14"/>
      <c r="U158" s="14"/>
      <c r="V158" s="14"/>
    </row>
    <row r="159" spans="1:22" x14ac:dyDescent="0.25">
      <c r="A159" s="95"/>
      <c r="C159" s="28"/>
      <c r="D159" s="233"/>
      <c r="E159" s="28"/>
      <c r="F159" s="30"/>
      <c r="H159" s="61"/>
      <c r="I159" s="61"/>
      <c r="K159" s="233"/>
      <c r="L159" s="61"/>
      <c r="U159" s="360"/>
      <c r="V159" s="360"/>
    </row>
    <row r="160" spans="1:22" x14ac:dyDescent="0.25">
      <c r="A160" s="95"/>
      <c r="C160" s="28"/>
      <c r="D160" s="233"/>
      <c r="E160" s="28"/>
      <c r="F160" s="30"/>
      <c r="H160" s="61"/>
      <c r="I160" s="61"/>
      <c r="K160" s="233"/>
      <c r="L160" s="61"/>
      <c r="U160" s="360"/>
      <c r="V160" s="360"/>
    </row>
    <row r="161" spans="1:22" ht="15.75" thickBot="1" x14ac:dyDescent="0.3">
      <c r="A161" s="483"/>
      <c r="C161" s="28"/>
      <c r="D161" s="233"/>
      <c r="E161" s="28"/>
      <c r="F161" s="30"/>
      <c r="H161" s="313"/>
      <c r="I161" s="313"/>
      <c r="K161" s="233"/>
      <c r="L161" s="313"/>
      <c r="U161" s="360"/>
      <c r="V161" s="360"/>
    </row>
    <row r="162" spans="1:22" ht="15.75" thickBot="1" x14ac:dyDescent="0.3">
      <c r="A162" s="483"/>
      <c r="C162" s="28"/>
      <c r="D162" s="233"/>
      <c r="E162" s="28"/>
      <c r="F162" s="30"/>
      <c r="H162" s="593">
        <f>SUBTOTAL(9,H140:H161)</f>
        <v>0</v>
      </c>
      <c r="I162" s="313"/>
      <c r="K162" s="233"/>
      <c r="L162" s="313"/>
      <c r="U162" s="360"/>
      <c r="V162" s="360"/>
    </row>
    <row r="163" spans="1:22" x14ac:dyDescent="0.25">
      <c r="A163" s="483"/>
      <c r="C163" s="28"/>
      <c r="D163" s="233"/>
      <c r="E163" s="28"/>
      <c r="F163" s="30"/>
      <c r="H163" s="313"/>
      <c r="I163" s="313"/>
      <c r="K163" s="233"/>
      <c r="L163" s="313"/>
      <c r="U163" s="360"/>
      <c r="V163" s="360"/>
    </row>
    <row r="164" spans="1:22" x14ac:dyDescent="0.25">
      <c r="D164" s="233"/>
      <c r="F164" s="30"/>
      <c r="K164" s="122"/>
    </row>
    <row r="165" spans="1:22" ht="15.75" thickBot="1" x14ac:dyDescent="0.3">
      <c r="D165" s="587"/>
      <c r="F165" s="30"/>
      <c r="K165" s="122"/>
    </row>
    <row r="166" spans="1:22" ht="15.75" thickBot="1" x14ac:dyDescent="0.3">
      <c r="D166" s="233"/>
      <c r="F166" s="30"/>
      <c r="G166" s="30" t="s">
        <v>1638</v>
      </c>
      <c r="H166" s="207">
        <f>+H94+H113+H136+H162</f>
        <v>125275</v>
      </c>
      <c r="K166" s="122"/>
    </row>
    <row r="167" spans="1:22" x14ac:dyDescent="0.25">
      <c r="K167" s="122"/>
    </row>
    <row r="168" spans="1:22" x14ac:dyDescent="0.25">
      <c r="K168" s="122"/>
      <c r="L168" s="1492"/>
      <c r="M168" s="1492"/>
      <c r="N168" s="1492"/>
      <c r="O168" s="1492"/>
      <c r="P168" s="1492"/>
      <c r="Q168" s="1492"/>
    </row>
    <row r="169" spans="1:22" x14ac:dyDescent="0.25">
      <c r="K169" s="122"/>
      <c r="N169" s="14"/>
      <c r="Q169" s="14"/>
    </row>
    <row r="170" spans="1:22" x14ac:dyDescent="0.25">
      <c r="K170" s="122"/>
      <c r="N170" s="14"/>
      <c r="Q170" s="14"/>
    </row>
    <row r="171" spans="1:22" x14ac:dyDescent="0.25">
      <c r="I171" s="1" t="s">
        <v>5637</v>
      </c>
      <c r="K171" s="233" t="s">
        <v>2468</v>
      </c>
      <c r="L171" s="233">
        <v>45950</v>
      </c>
      <c r="N171" s="14"/>
      <c r="Q171" s="14"/>
    </row>
    <row r="172" spans="1:22" x14ac:dyDescent="0.25">
      <c r="H172" t="s">
        <v>219</v>
      </c>
      <c r="I172" s="74">
        <f>938100</f>
        <v>938100</v>
      </c>
      <c r="J172" s="74">
        <f>15</f>
        <v>15</v>
      </c>
      <c r="K172" s="359"/>
      <c r="N172" s="14"/>
      <c r="Q172" s="14"/>
    </row>
    <row r="173" spans="1:22" x14ac:dyDescent="0.25">
      <c r="H173" t="s">
        <v>2312</v>
      </c>
      <c r="I173" s="74">
        <v>938100</v>
      </c>
      <c r="J173">
        <f>+I173/62540</f>
        <v>15</v>
      </c>
      <c r="N173" s="14"/>
      <c r="Q173" s="14"/>
    </row>
    <row r="174" spans="1:22" x14ac:dyDescent="0.25">
      <c r="H174" s="342" t="s">
        <v>2127</v>
      </c>
      <c r="I174" s="343">
        <f>+I172-I173</f>
        <v>0</v>
      </c>
      <c r="J174" s="343">
        <f>+J172-J173</f>
        <v>0</v>
      </c>
      <c r="N174" s="14"/>
      <c r="Q174" s="14"/>
    </row>
    <row r="175" spans="1:22" x14ac:dyDescent="0.25">
      <c r="N175" s="14"/>
      <c r="Q175" s="14"/>
    </row>
    <row r="176" spans="1:22" x14ac:dyDescent="0.25">
      <c r="N176" s="14"/>
      <c r="Q176" s="14"/>
    </row>
  </sheetData>
  <autoFilter ref="A2:V176" xr:uid="{00000000-0009-0000-0000-000020000000}">
    <filterColumn colId="9">
      <filters blank="1">
        <filter val="-"/>
        <filter val="15"/>
      </filters>
    </filterColumn>
    <filterColumn colId="12" showButton="0"/>
    <filterColumn colId="13" showButton="0"/>
    <filterColumn colId="14" showButton="0"/>
  </autoFilter>
  <mergeCells count="17">
    <mergeCell ref="L168:N168"/>
    <mergeCell ref="O168:Q168"/>
    <mergeCell ref="E22:E23"/>
    <mergeCell ref="D20:D21"/>
    <mergeCell ref="E20:E21"/>
    <mergeCell ref="A101:I101"/>
    <mergeCell ref="A115:I115"/>
    <mergeCell ref="A139:I139"/>
    <mergeCell ref="E18:E19"/>
    <mergeCell ref="D18:D19"/>
    <mergeCell ref="D16:D17"/>
    <mergeCell ref="E16:E17"/>
    <mergeCell ref="M2:P2"/>
    <mergeCell ref="E14:E15"/>
    <mergeCell ref="E12:E13"/>
    <mergeCell ref="D12:D13"/>
    <mergeCell ref="D14:D1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54" r:id="rId4" name="Button 1">
              <controlPr defaultSize="0" print="0" autoFill="0" autoPict="0" macro="[0]!RETORNAR">
                <anchor moveWithCells="1" sizeWithCells="1">
                  <from>
                    <xdr:col>0</xdr:col>
                    <xdr:colOff>38100</xdr:colOff>
                    <xdr:row>0</xdr:row>
                    <xdr:rowOff>47625</xdr:rowOff>
                  </from>
                  <to>
                    <xdr:col>1</xdr:col>
                    <xdr:colOff>628650</xdr:colOff>
                    <xdr:row>0</xdr:row>
                    <xdr:rowOff>314325</xdr:rowOff>
                  </to>
                </anchor>
              </controlPr>
            </control>
          </mc:Choice>
        </mc:AlternateContent>
        <mc:AlternateContent xmlns:mc="http://schemas.openxmlformats.org/markup-compatibility/2006">
          <mc:Choice Requires="x14">
            <control shapeId="31817" r:id="rId5" name="Botón 73">
              <controlPr defaultSize="0" print="0" autoFill="0" autoPict="0" macro="[0]!IR_VENTAS_B200_2026">
                <anchor moveWithCells="1" sizeWithCells="1">
                  <from>
                    <xdr:col>0</xdr:col>
                    <xdr:colOff>885825</xdr:colOff>
                    <xdr:row>175</xdr:row>
                    <xdr:rowOff>180975</xdr:rowOff>
                  </from>
                  <to>
                    <xdr:col>1</xdr:col>
                    <xdr:colOff>962025</xdr:colOff>
                    <xdr:row>179</xdr:row>
                    <xdr:rowOff>28575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33" filterMode="1"/>
  <dimension ref="A1:X52"/>
  <sheetViews>
    <sheetView topLeftCell="A23" workbookViewId="0">
      <selection activeCell="I41" sqref="I41:J41"/>
    </sheetView>
  </sheetViews>
  <sheetFormatPr baseColWidth="10" defaultColWidth="10.85546875" defaultRowHeight="15" x14ac:dyDescent="0.25"/>
  <cols>
    <col min="2" max="2" width="19.7109375" customWidth="1"/>
    <col min="3" max="3" width="17.28515625" customWidth="1"/>
    <col min="7" max="7" width="44.85546875" customWidth="1"/>
    <col min="8" max="8" width="12.42578125" customWidth="1"/>
    <col min="9" max="9" width="13.5703125" bestFit="1" customWidth="1"/>
    <col min="10" max="10" width="10.85546875" style="32"/>
    <col min="11" max="11" width="34.42578125" bestFit="1" customWidth="1"/>
    <col min="12" max="12" width="17.42578125" customWidth="1"/>
  </cols>
  <sheetData>
    <row r="1" spans="1:22" ht="24.6" customHeight="1" x14ac:dyDescent="0.25"/>
    <row r="2" spans="1:22" x14ac:dyDescent="0.25">
      <c r="A2" t="s">
        <v>706</v>
      </c>
      <c r="B2" s="1" t="s">
        <v>0</v>
      </c>
      <c r="C2" s="1" t="s">
        <v>1</v>
      </c>
      <c r="D2" s="1" t="s">
        <v>2</v>
      </c>
      <c r="E2" s="1"/>
      <c r="F2" s="1" t="s">
        <v>3</v>
      </c>
      <c r="G2" s="1" t="s">
        <v>4</v>
      </c>
      <c r="H2" s="1" t="s">
        <v>5</v>
      </c>
      <c r="I2" s="1" t="s">
        <v>6</v>
      </c>
      <c r="J2" s="87" t="s">
        <v>1780</v>
      </c>
      <c r="K2" s="1" t="s">
        <v>8</v>
      </c>
      <c r="L2" s="1" t="s">
        <v>3998</v>
      </c>
      <c r="M2" s="1" t="s">
        <v>10</v>
      </c>
      <c r="N2" s="1480" t="s">
        <v>11</v>
      </c>
      <c r="O2" s="1480"/>
      <c r="P2" s="1480"/>
      <c r="Q2" s="1480"/>
    </row>
    <row r="3" spans="1:22" ht="15" hidden="1" customHeight="1" x14ac:dyDescent="0.25">
      <c r="A3" s="116">
        <v>19072022</v>
      </c>
      <c r="B3" s="169" t="s">
        <v>1259</v>
      </c>
      <c r="C3" s="21" t="s">
        <v>693</v>
      </c>
      <c r="D3" s="122">
        <v>44761</v>
      </c>
      <c r="E3" s="32"/>
      <c r="F3" s="163" t="s">
        <v>661</v>
      </c>
      <c r="G3" s="163" t="s">
        <v>1476</v>
      </c>
      <c r="H3" t="s">
        <v>1085</v>
      </c>
      <c r="I3" s="32">
        <v>49100</v>
      </c>
      <c r="J3" s="159"/>
      <c r="K3" s="32" t="s">
        <v>17</v>
      </c>
      <c r="L3" s="374">
        <v>44791</v>
      </c>
      <c r="O3" s="163" t="s">
        <v>922</v>
      </c>
      <c r="P3" s="14">
        <v>0.59513888888888888</v>
      </c>
      <c r="Q3" s="14">
        <v>0.76666666666666661</v>
      </c>
    </row>
    <row r="4" spans="1:22" ht="15" hidden="1" customHeight="1" x14ac:dyDescent="0.25">
      <c r="A4" s="115">
        <v>20092022</v>
      </c>
      <c r="B4" s="169" t="s">
        <v>1259</v>
      </c>
      <c r="C4" s="169" t="s">
        <v>693</v>
      </c>
      <c r="D4" s="122">
        <v>44824</v>
      </c>
      <c r="E4" s="88"/>
      <c r="F4" t="s">
        <v>68</v>
      </c>
      <c r="G4" s="21" t="s">
        <v>1409</v>
      </c>
      <c r="H4" t="s">
        <v>1412</v>
      </c>
      <c r="I4" s="160">
        <v>44750</v>
      </c>
      <c r="J4" s="160">
        <f t="shared" ref="J4:J11" si="0">+I4*0.88</f>
        <v>39380</v>
      </c>
      <c r="K4" s="88" t="s">
        <v>17</v>
      </c>
      <c r="L4" s="374">
        <v>44873</v>
      </c>
      <c r="O4" s="21" t="s">
        <v>916</v>
      </c>
      <c r="P4" s="157">
        <v>0.35138888888888892</v>
      </c>
      <c r="Q4" s="21"/>
    </row>
    <row r="5" spans="1:22" ht="15" hidden="1" customHeight="1" x14ac:dyDescent="0.25">
      <c r="A5" s="116" t="s">
        <v>1348</v>
      </c>
      <c r="B5" s="169" t="s">
        <v>1259</v>
      </c>
      <c r="C5" s="169" t="s">
        <v>693</v>
      </c>
      <c r="D5" s="122">
        <v>44841</v>
      </c>
      <c r="E5" s="88"/>
      <c r="F5" t="s">
        <v>1347</v>
      </c>
      <c r="G5" s="21" t="s">
        <v>1477</v>
      </c>
      <c r="H5" t="s">
        <v>1478</v>
      </c>
      <c r="I5" s="160">
        <v>49100</v>
      </c>
      <c r="J5" s="160">
        <f t="shared" si="0"/>
        <v>43208</v>
      </c>
      <c r="K5" s="88" t="s">
        <v>17</v>
      </c>
      <c r="L5" s="374">
        <v>44882</v>
      </c>
      <c r="O5" s="21" t="s">
        <v>893</v>
      </c>
      <c r="P5" s="157">
        <v>0.32916666666666666</v>
      </c>
      <c r="Q5" s="21"/>
    </row>
    <row r="6" spans="1:22" ht="15" hidden="1" customHeight="1" x14ac:dyDescent="0.25">
      <c r="A6" s="116">
        <v>29102022</v>
      </c>
      <c r="B6" s="169" t="s">
        <v>1259</v>
      </c>
      <c r="C6" s="169" t="s">
        <v>693</v>
      </c>
      <c r="D6" s="122">
        <v>44863</v>
      </c>
      <c r="E6" s="88"/>
      <c r="F6" t="s">
        <v>1347</v>
      </c>
      <c r="G6" s="21" t="s">
        <v>1502</v>
      </c>
      <c r="H6" t="s">
        <v>1538</v>
      </c>
      <c r="I6" s="160">
        <v>49100</v>
      </c>
      <c r="J6" s="160">
        <f t="shared" si="0"/>
        <v>43208</v>
      </c>
      <c r="K6" s="88" t="s">
        <v>297</v>
      </c>
      <c r="L6" s="374">
        <v>44908</v>
      </c>
      <c r="O6" s="21" t="s">
        <v>1029</v>
      </c>
      <c r="P6" s="157">
        <v>0.30972222222222223</v>
      </c>
      <c r="Q6" s="157">
        <v>0.55069444444444449</v>
      </c>
    </row>
    <row r="7" spans="1:22" hidden="1" x14ac:dyDescent="0.25">
      <c r="A7" s="95" t="s">
        <v>1739</v>
      </c>
      <c r="B7" t="s">
        <v>1740</v>
      </c>
      <c r="C7" t="s">
        <v>13</v>
      </c>
      <c r="D7" s="122">
        <v>44932</v>
      </c>
      <c r="F7" t="s">
        <v>1347</v>
      </c>
      <c r="G7" t="s">
        <v>2109</v>
      </c>
      <c r="H7" t="s">
        <v>2110</v>
      </c>
      <c r="I7" s="32">
        <v>49100</v>
      </c>
      <c r="J7" s="32">
        <f t="shared" si="0"/>
        <v>43208</v>
      </c>
      <c r="K7" t="s">
        <v>17</v>
      </c>
      <c r="L7" s="374">
        <v>45016</v>
      </c>
      <c r="S7" t="s">
        <v>1029</v>
      </c>
      <c r="T7" s="14">
        <v>0.36041666666666666</v>
      </c>
      <c r="U7" s="14">
        <v>0.58611111111111114</v>
      </c>
    </row>
    <row r="8" spans="1:22" hidden="1" x14ac:dyDescent="0.25">
      <c r="A8" s="95">
        <v>17092023</v>
      </c>
      <c r="B8" t="s">
        <v>2911</v>
      </c>
      <c r="C8" t="s">
        <v>13</v>
      </c>
      <c r="D8" s="122">
        <v>45186</v>
      </c>
      <c r="F8" t="s">
        <v>317</v>
      </c>
      <c r="G8" t="s">
        <v>3088</v>
      </c>
      <c r="H8" t="s">
        <v>3110</v>
      </c>
      <c r="I8" s="414">
        <v>49100</v>
      </c>
      <c r="J8" s="414">
        <f t="shared" si="0"/>
        <v>43208</v>
      </c>
      <c r="K8" s="30" t="s">
        <v>17</v>
      </c>
      <c r="L8" s="374">
        <v>45245</v>
      </c>
      <c r="T8" s="14" t="s">
        <v>1506</v>
      </c>
      <c r="U8" s="14">
        <v>0.43194444444444446</v>
      </c>
      <c r="V8" s="14">
        <v>0.80138888888888893</v>
      </c>
    </row>
    <row r="9" spans="1:22" s="30" customFormat="1" hidden="1" x14ac:dyDescent="0.25">
      <c r="A9" s="256">
        <v>23092023</v>
      </c>
      <c r="B9" s="303" t="s">
        <v>2939</v>
      </c>
      <c r="C9" s="303" t="s">
        <v>410</v>
      </c>
      <c r="D9" s="374">
        <v>45192</v>
      </c>
      <c r="F9" s="30" t="s">
        <v>317</v>
      </c>
      <c r="G9" s="30" t="s">
        <v>2946</v>
      </c>
      <c r="H9" s="30" t="s">
        <v>2966</v>
      </c>
      <c r="I9" s="236">
        <v>49100</v>
      </c>
      <c r="J9" s="414">
        <f t="shared" si="0"/>
        <v>43208</v>
      </c>
      <c r="K9" s="30" t="s">
        <v>17</v>
      </c>
      <c r="L9" s="374">
        <v>45245</v>
      </c>
      <c r="T9" s="360" t="s">
        <v>1506</v>
      </c>
      <c r="U9" s="360">
        <v>0.29444444444444445</v>
      </c>
      <c r="V9" s="360">
        <v>0.66041666666666665</v>
      </c>
    </row>
    <row r="10" spans="1:22" hidden="1" x14ac:dyDescent="0.25">
      <c r="A10" s="690">
        <v>22052025</v>
      </c>
      <c r="B10" t="s">
        <v>6269</v>
      </c>
      <c r="C10" s="28" t="s">
        <v>278</v>
      </c>
      <c r="D10" s="233">
        <v>45799</v>
      </c>
      <c r="E10" s="28"/>
      <c r="F10" s="28" t="s">
        <v>317</v>
      </c>
      <c r="G10" t="s">
        <v>6396</v>
      </c>
      <c r="H10" t="s">
        <v>6519</v>
      </c>
      <c r="I10" s="798">
        <v>48427</v>
      </c>
      <c r="J10" s="414">
        <f t="shared" si="0"/>
        <v>42615.76</v>
      </c>
      <c r="K10" t="s">
        <v>17</v>
      </c>
      <c r="L10" s="233">
        <v>45840</v>
      </c>
      <c r="T10" t="s">
        <v>4911</v>
      </c>
      <c r="U10" s="360">
        <v>0.29722222222222222</v>
      </c>
      <c r="V10" s="30"/>
    </row>
    <row r="11" spans="1:22" hidden="1" x14ac:dyDescent="0.25">
      <c r="A11" s="483">
        <v>28052025</v>
      </c>
      <c r="B11" t="s">
        <v>3457</v>
      </c>
      <c r="C11" s="28" t="s">
        <v>4437</v>
      </c>
      <c r="D11" s="233">
        <v>45805</v>
      </c>
      <c r="E11" s="28"/>
      <c r="F11" s="28" t="s">
        <v>317</v>
      </c>
      <c r="G11" t="s">
        <v>6397</v>
      </c>
      <c r="H11" t="s">
        <v>6520</v>
      </c>
      <c r="I11" s="798">
        <v>48427</v>
      </c>
      <c r="J11" s="414">
        <f t="shared" si="0"/>
        <v>42615.76</v>
      </c>
      <c r="K11" t="s">
        <v>17</v>
      </c>
      <c r="L11" s="233">
        <v>45840</v>
      </c>
      <c r="T11" t="s">
        <v>6067</v>
      </c>
      <c r="U11" s="360">
        <v>0.40625</v>
      </c>
      <c r="V11" s="360"/>
    </row>
    <row r="12" spans="1:22" x14ac:dyDescent="0.25">
      <c r="A12" s="95"/>
      <c r="D12" s="2"/>
      <c r="I12" s="32"/>
      <c r="T12" s="14"/>
      <c r="U12" s="14"/>
    </row>
    <row r="13" spans="1:22" x14ac:dyDescent="0.25">
      <c r="H13" t="s">
        <v>356</v>
      </c>
      <c r="I13" s="9">
        <f>SUBTOTAL(9,I3:I11)</f>
        <v>0</v>
      </c>
    </row>
    <row r="14" spans="1:22" ht="15.75" thickBot="1" x14ac:dyDescent="0.3">
      <c r="M14" s="3"/>
    </row>
    <row r="15" spans="1:22" ht="33.950000000000003" customHeight="1" thickBot="1" x14ac:dyDescent="0.3">
      <c r="A15" s="1547" t="s">
        <v>3161</v>
      </c>
      <c r="B15" s="1548"/>
      <c r="C15" s="1549"/>
      <c r="D15" s="1548"/>
      <c r="E15" s="1548"/>
      <c r="F15" s="1548"/>
      <c r="G15" s="1548"/>
      <c r="H15" s="1551"/>
      <c r="M15" s="3"/>
    </row>
    <row r="16" spans="1:22" hidden="1" x14ac:dyDescent="0.25">
      <c r="A16">
        <v>16112023</v>
      </c>
      <c r="B16" t="s">
        <v>1740</v>
      </c>
      <c r="C16" t="s">
        <v>410</v>
      </c>
      <c r="D16" s="233">
        <v>45246</v>
      </c>
      <c r="F16" t="s">
        <v>317</v>
      </c>
      <c r="G16" t="s">
        <v>3200</v>
      </c>
      <c r="H16" t="s">
        <v>3279</v>
      </c>
      <c r="I16" s="236">
        <v>47860.800000000003</v>
      </c>
      <c r="J16" s="32">
        <f>+I16*0.88</f>
        <v>42117.504000000001</v>
      </c>
      <c r="K16" t="s">
        <v>17</v>
      </c>
      <c r="L16" s="374">
        <v>45278</v>
      </c>
      <c r="M16" s="3" t="s">
        <v>81</v>
      </c>
      <c r="T16" t="s">
        <v>1029</v>
      </c>
      <c r="U16">
        <v>0.30833333333333335</v>
      </c>
    </row>
    <row r="17" spans="1:22" hidden="1" x14ac:dyDescent="0.25">
      <c r="A17" s="430" t="s">
        <v>3325</v>
      </c>
      <c r="B17" t="s">
        <v>3324</v>
      </c>
      <c r="C17" t="s">
        <v>278</v>
      </c>
      <c r="D17" s="233">
        <v>45275</v>
      </c>
      <c r="F17" s="30" t="s">
        <v>317</v>
      </c>
      <c r="G17" s="28" t="s">
        <v>3341</v>
      </c>
      <c r="H17" t="s">
        <v>3358</v>
      </c>
      <c r="I17" s="236">
        <v>47860.800000000003</v>
      </c>
      <c r="J17" s="32">
        <f>+I17*0.88</f>
        <v>42117.504000000001</v>
      </c>
      <c r="K17" t="s">
        <v>17</v>
      </c>
      <c r="L17" s="374">
        <v>45294</v>
      </c>
      <c r="T17" s="14" t="s">
        <v>922</v>
      </c>
      <c r="U17" s="14">
        <v>0.39027777777777778</v>
      </c>
      <c r="V17" s="14"/>
    </row>
    <row r="18" spans="1:22" hidden="1" x14ac:dyDescent="0.25">
      <c r="A18" s="483" t="s">
        <v>3456</v>
      </c>
      <c r="B18" s="28" t="s">
        <v>3457</v>
      </c>
      <c r="C18" s="28" t="s">
        <v>410</v>
      </c>
      <c r="D18" s="233">
        <v>45296</v>
      </c>
      <c r="F18" s="30" t="s">
        <v>317</v>
      </c>
      <c r="G18" t="s">
        <v>3471</v>
      </c>
      <c r="H18" s="30" t="s">
        <v>4350</v>
      </c>
      <c r="I18" s="236">
        <v>47860.800000000003</v>
      </c>
      <c r="J18" s="32">
        <f>+I18*0.88</f>
        <v>42117.504000000001</v>
      </c>
      <c r="K18" t="s">
        <v>17</v>
      </c>
      <c r="L18" s="374">
        <v>45468</v>
      </c>
      <c r="T18" s="276" t="s">
        <v>3408</v>
      </c>
      <c r="U18" s="360">
        <v>0.30624999999999997</v>
      </c>
      <c r="V18" s="360">
        <v>0.64166666666666672</v>
      </c>
    </row>
    <row r="19" spans="1:22" hidden="1" x14ac:dyDescent="0.25">
      <c r="A19" s="483">
        <v>18052024</v>
      </c>
      <c r="B19" t="s">
        <v>3457</v>
      </c>
      <c r="C19" s="28" t="s">
        <v>13</v>
      </c>
      <c r="D19" s="233">
        <v>45430</v>
      </c>
      <c r="F19" s="30" t="s">
        <v>317</v>
      </c>
      <c r="G19" s="30" t="s">
        <v>4814</v>
      </c>
      <c r="H19" s="30" t="s">
        <v>4815</v>
      </c>
      <c r="I19" s="236">
        <v>47860.800000000003</v>
      </c>
      <c r="J19" s="32">
        <f>+I19*0.88</f>
        <v>42117.504000000001</v>
      </c>
      <c r="K19" s="30" t="s">
        <v>17</v>
      </c>
      <c r="L19" s="374">
        <v>45561</v>
      </c>
      <c r="T19" s="14" t="s">
        <v>4197</v>
      </c>
      <c r="U19" s="360">
        <v>0.32777777777777778</v>
      </c>
      <c r="V19" s="360">
        <v>0.73819444444444438</v>
      </c>
    </row>
    <row r="20" spans="1:22" x14ac:dyDescent="0.25">
      <c r="A20" s="256"/>
      <c r="D20" s="122"/>
      <c r="F20" s="30"/>
      <c r="G20" s="30"/>
      <c r="I20" s="236"/>
      <c r="J20" s="88"/>
      <c r="L20" s="374"/>
      <c r="T20" s="14"/>
      <c r="U20" s="14"/>
      <c r="V20" s="14"/>
    </row>
    <row r="21" spans="1:22" x14ac:dyDescent="0.25">
      <c r="L21" s="374"/>
      <c r="M21" s="3"/>
    </row>
    <row r="24" spans="1:22" x14ac:dyDescent="0.25">
      <c r="I24" s="5">
        <f>SUBTOTAL(9,I16:I23)</f>
        <v>0</v>
      </c>
    </row>
    <row r="25" spans="1:22" ht="15.75" thickBot="1" x14ac:dyDescent="0.3"/>
    <row r="26" spans="1:22" ht="29.45" customHeight="1" thickBot="1" x14ac:dyDescent="0.3">
      <c r="A26" s="1547" t="s">
        <v>6680</v>
      </c>
      <c r="B26" s="1548"/>
      <c r="C26" s="1549"/>
      <c r="D26" s="1548"/>
      <c r="E26" s="1548"/>
      <c r="F26" s="1548"/>
      <c r="G26" s="1548"/>
      <c r="H26" s="1551"/>
    </row>
    <row r="27" spans="1:22" hidden="1" x14ac:dyDescent="0.25">
      <c r="A27" s="483">
        <v>24072025</v>
      </c>
      <c r="B27" t="s">
        <v>1740</v>
      </c>
      <c r="C27" s="28" t="s">
        <v>278</v>
      </c>
      <c r="D27" s="233">
        <v>45862</v>
      </c>
      <c r="E27" s="28"/>
      <c r="F27" t="s">
        <v>317</v>
      </c>
      <c r="G27" t="s">
        <v>6725</v>
      </c>
      <c r="H27" t="s">
        <v>6726</v>
      </c>
      <c r="I27" s="798">
        <v>46634</v>
      </c>
      <c r="J27" s="32">
        <f>+I27*0.88</f>
        <v>41037.919999999998</v>
      </c>
      <c r="K27" s="32" t="s">
        <v>17</v>
      </c>
      <c r="L27" s="233">
        <v>45887</v>
      </c>
      <c r="M27" s="32"/>
      <c r="T27" t="s">
        <v>5131</v>
      </c>
      <c r="U27" s="360">
        <v>0.33402777777777781</v>
      </c>
      <c r="V27" s="360"/>
    </row>
    <row r="28" spans="1:22" hidden="1" x14ac:dyDescent="0.25">
      <c r="A28" s="483" t="s">
        <v>6786</v>
      </c>
      <c r="B28" t="s">
        <v>6269</v>
      </c>
      <c r="C28" s="28" t="s">
        <v>13</v>
      </c>
      <c r="D28" s="233">
        <v>45882</v>
      </c>
      <c r="E28" s="28"/>
      <c r="F28" t="s">
        <v>317</v>
      </c>
      <c r="G28" s="1067" t="s">
        <v>6816</v>
      </c>
      <c r="H28" t="s">
        <v>6818</v>
      </c>
      <c r="I28" s="61">
        <v>46634</v>
      </c>
      <c r="J28" s="32">
        <f>+I28*0.88</f>
        <v>41037.919999999998</v>
      </c>
      <c r="K28" s="32" t="s">
        <v>17</v>
      </c>
      <c r="L28" s="233">
        <v>45897</v>
      </c>
      <c r="M28" s="32"/>
      <c r="T28" t="s">
        <v>6294</v>
      </c>
      <c r="U28" s="360">
        <v>0.29375000000000001</v>
      </c>
      <c r="V28" s="360"/>
    </row>
    <row r="29" spans="1:22" hidden="1" x14ac:dyDescent="0.25">
      <c r="A29" s="483" t="s">
        <v>7460</v>
      </c>
      <c r="B29" t="s">
        <v>2911</v>
      </c>
      <c r="C29" s="233" t="s">
        <v>4218</v>
      </c>
      <c r="D29" s="233">
        <v>46028</v>
      </c>
      <c r="E29" s="28"/>
      <c r="F29" t="s">
        <v>317</v>
      </c>
      <c r="G29" t="s">
        <v>7482</v>
      </c>
      <c r="H29" t="s">
        <v>7728</v>
      </c>
      <c r="I29" s="313">
        <v>46634</v>
      </c>
      <c r="J29" s="32">
        <f>+I29*0.88</f>
        <v>41037.919999999998</v>
      </c>
      <c r="K29" t="s">
        <v>17</v>
      </c>
      <c r="L29" s="233">
        <v>46079</v>
      </c>
      <c r="T29" t="s">
        <v>4140</v>
      </c>
      <c r="U29" s="360">
        <v>0.54583333333333328</v>
      </c>
      <c r="V29" s="30"/>
    </row>
    <row r="30" spans="1:22" hidden="1" x14ac:dyDescent="0.25">
      <c r="A30" s="483" t="s">
        <v>7511</v>
      </c>
      <c r="B30" t="s">
        <v>2911</v>
      </c>
      <c r="C30" s="233" t="s">
        <v>4218</v>
      </c>
      <c r="D30" s="233">
        <v>46031</v>
      </c>
      <c r="E30" s="28"/>
      <c r="F30" t="s">
        <v>317</v>
      </c>
      <c r="G30" s="1067" t="s">
        <v>7521</v>
      </c>
      <c r="H30" t="s">
        <v>7729</v>
      </c>
      <c r="I30" s="240">
        <v>46634</v>
      </c>
      <c r="J30" s="32">
        <f>+I30*0.88</f>
        <v>41037.919999999998</v>
      </c>
      <c r="K30" t="s">
        <v>17</v>
      </c>
      <c r="L30" s="233">
        <v>46079</v>
      </c>
      <c r="M30" s="88"/>
      <c r="T30" t="s">
        <v>5393</v>
      </c>
      <c r="U30" s="360">
        <v>0.28333333333333333</v>
      </c>
      <c r="V30" s="360"/>
    </row>
    <row r="31" spans="1:22" hidden="1" x14ac:dyDescent="0.25">
      <c r="A31" s="483">
        <v>20022026</v>
      </c>
      <c r="B31" t="s">
        <v>6269</v>
      </c>
      <c r="C31" s="28" t="s">
        <v>4218</v>
      </c>
      <c r="D31" s="233">
        <v>46073</v>
      </c>
      <c r="E31" s="28"/>
      <c r="F31" t="s">
        <v>317</v>
      </c>
      <c r="G31" s="1067" t="s">
        <v>7752</v>
      </c>
      <c r="H31" t="s">
        <v>7861</v>
      </c>
      <c r="I31" s="915">
        <v>46634</v>
      </c>
      <c r="J31" s="32">
        <v>41038</v>
      </c>
      <c r="K31" t="s">
        <v>17</v>
      </c>
      <c r="L31" s="233">
        <v>46105</v>
      </c>
      <c r="M31" s="88"/>
      <c r="T31" t="s">
        <v>4138</v>
      </c>
      <c r="U31" s="360">
        <v>0.4069444444444445</v>
      </c>
      <c r="V31" s="360"/>
    </row>
    <row r="32" spans="1:22" hidden="1" x14ac:dyDescent="0.25">
      <c r="A32" s="483" t="s">
        <v>7916</v>
      </c>
      <c r="B32" t="s">
        <v>6269</v>
      </c>
      <c r="C32" s="28" t="s">
        <v>410</v>
      </c>
      <c r="D32" s="233">
        <v>46117</v>
      </c>
      <c r="E32" s="28"/>
      <c r="F32" s="28" t="s">
        <v>317</v>
      </c>
      <c r="G32" s="1347" t="s">
        <v>8025</v>
      </c>
      <c r="H32" s="28" t="s">
        <v>8019</v>
      </c>
      <c r="I32" s="798">
        <v>46634</v>
      </c>
      <c r="J32" s="32">
        <v>41038</v>
      </c>
      <c r="K32" s="1276" t="s">
        <v>17</v>
      </c>
      <c r="L32" s="233">
        <v>46135</v>
      </c>
      <c r="M32" s="558"/>
      <c r="N32" s="88"/>
      <c r="S32" t="s">
        <v>4297</v>
      </c>
      <c r="T32" s="360">
        <v>0.4145833333333333</v>
      </c>
      <c r="U32" s="360">
        <v>0.74236111111111114</v>
      </c>
    </row>
    <row r="33" spans="1:24" x14ac:dyDescent="0.25">
      <c r="A33" s="483"/>
      <c r="C33" s="28"/>
      <c r="D33" s="233"/>
      <c r="E33" s="28"/>
      <c r="F33" s="28"/>
      <c r="G33" s="1276"/>
      <c r="I33" s="798"/>
      <c r="K33" s="1276"/>
      <c r="M33" s="558"/>
      <c r="N33" s="88"/>
      <c r="T33" s="360"/>
      <c r="U33" s="360"/>
    </row>
    <row r="34" spans="1:24" x14ac:dyDescent="0.25">
      <c r="I34" s="1065">
        <f>SUBTOTAL(9,I27:I33)</f>
        <v>0</v>
      </c>
    </row>
    <row r="35" spans="1:24" ht="15.75" thickBot="1" x14ac:dyDescent="0.3">
      <c r="I35" s="471"/>
    </row>
    <row r="36" spans="1:24" ht="29.45" customHeight="1" thickBot="1" x14ac:dyDescent="0.3">
      <c r="A36" s="1547" t="s">
        <v>8354</v>
      </c>
      <c r="B36" s="1548"/>
      <c r="C36" s="1549"/>
      <c r="D36" s="1548"/>
      <c r="E36" s="1548"/>
      <c r="F36" s="1548"/>
      <c r="G36" s="1548"/>
      <c r="H36" s="1551"/>
    </row>
    <row r="37" spans="1:24" hidden="1" x14ac:dyDescent="0.25">
      <c r="A37" s="483">
        <v>13062026</v>
      </c>
      <c r="B37" s="21" t="s">
        <v>1740</v>
      </c>
      <c r="C37" s="31" t="s">
        <v>4218</v>
      </c>
      <c r="D37" s="233">
        <v>46186</v>
      </c>
      <c r="E37" s="28"/>
      <c r="F37" s="28" t="s">
        <v>317</v>
      </c>
      <c r="G37" s="88" t="s">
        <v>8233</v>
      </c>
      <c r="H37" t="s">
        <v>8317</v>
      </c>
      <c r="I37" s="32">
        <v>50000</v>
      </c>
      <c r="J37" s="88">
        <f t="shared" ref="J37:J40" si="1">+I37-ROUND(I37*0.12,0)</f>
        <v>44000</v>
      </c>
      <c r="K37" s="1345" t="s">
        <v>17</v>
      </c>
      <c r="L37" s="233">
        <v>46213</v>
      </c>
      <c r="M37" s="798"/>
      <c r="N37" s="798"/>
      <c r="V37" s="21" t="s">
        <v>8193</v>
      </c>
      <c r="W37" s="360">
        <v>0.28541666666666665</v>
      </c>
      <c r="X37" s="360">
        <v>0.6166666666666667</v>
      </c>
    </row>
    <row r="38" spans="1:24" hidden="1" x14ac:dyDescent="0.25">
      <c r="A38" s="483" t="s">
        <v>8319</v>
      </c>
      <c r="B38" t="s">
        <v>1740</v>
      </c>
      <c r="C38" s="31" t="s">
        <v>4218</v>
      </c>
      <c r="D38" s="233">
        <v>46212</v>
      </c>
      <c r="E38" s="28"/>
      <c r="F38" s="313" t="s">
        <v>317</v>
      </c>
      <c r="G38" s="88" t="s">
        <v>8326</v>
      </c>
      <c r="H38" t="s">
        <v>8455</v>
      </c>
      <c r="I38" s="313">
        <v>50000</v>
      </c>
      <c r="J38" s="88">
        <f t="shared" si="1"/>
        <v>44000</v>
      </c>
      <c r="K38" s="1345" t="s">
        <v>17</v>
      </c>
      <c r="L38" s="233">
        <v>46241</v>
      </c>
      <c r="N38" s="88"/>
      <c r="O38" s="88"/>
      <c r="V38" t="s">
        <v>7092</v>
      </c>
      <c r="W38" s="360"/>
      <c r="X38" s="30"/>
    </row>
    <row r="39" spans="1:24" hidden="1" x14ac:dyDescent="0.25">
      <c r="A39" s="483">
        <v>24072026</v>
      </c>
      <c r="B39" t="s">
        <v>1740</v>
      </c>
      <c r="C39" s="31" t="s">
        <v>4218</v>
      </c>
      <c r="D39" s="233">
        <v>46227</v>
      </c>
      <c r="E39" s="28"/>
      <c r="F39" s="313" t="s">
        <v>317</v>
      </c>
      <c r="G39" t="s">
        <v>8393</v>
      </c>
      <c r="H39" s="88" t="s">
        <v>8454</v>
      </c>
      <c r="I39" s="313">
        <v>50000</v>
      </c>
      <c r="J39" s="88">
        <f t="shared" si="1"/>
        <v>44000</v>
      </c>
      <c r="K39" t="s">
        <v>17</v>
      </c>
      <c r="L39" s="233">
        <v>46251</v>
      </c>
      <c r="M39" s="313"/>
      <c r="N39" s="88"/>
      <c r="O39" s="88"/>
      <c r="W39" s="360"/>
      <c r="X39" s="360"/>
    </row>
    <row r="40" spans="1:24" hidden="1" x14ac:dyDescent="0.25">
      <c r="A40" s="1448" t="s">
        <v>8460</v>
      </c>
      <c r="B40" t="s">
        <v>1740</v>
      </c>
      <c r="C40" s="31" t="s">
        <v>13</v>
      </c>
      <c r="D40" s="233">
        <v>46244</v>
      </c>
      <c r="E40" s="28"/>
      <c r="F40" s="313" t="s">
        <v>317</v>
      </c>
      <c r="G40" s="88" t="s">
        <v>8529</v>
      </c>
      <c r="H40" t="s">
        <v>8513</v>
      </c>
      <c r="I40" s="915">
        <v>50000</v>
      </c>
      <c r="J40" s="88">
        <f t="shared" si="1"/>
        <v>44000</v>
      </c>
      <c r="K40" t="s">
        <v>17</v>
      </c>
      <c r="L40" s="233">
        <v>46260</v>
      </c>
      <c r="N40" s="558"/>
      <c r="O40" s="88"/>
      <c r="V40" t="s">
        <v>7417</v>
      </c>
      <c r="W40" s="360">
        <v>0.62708333333333333</v>
      </c>
      <c r="X40" s="360">
        <v>0.99652777777777779</v>
      </c>
    </row>
    <row r="41" spans="1:24" hidden="1" x14ac:dyDescent="0.25">
      <c r="A41" s="1448" t="s">
        <v>8520</v>
      </c>
      <c r="B41" s="21" t="s">
        <v>1740</v>
      </c>
      <c r="C41" s="31" t="s">
        <v>410</v>
      </c>
      <c r="D41" s="233">
        <v>46258</v>
      </c>
      <c r="E41" s="28"/>
      <c r="F41" s="313" t="s">
        <v>317</v>
      </c>
      <c r="G41" s="88" t="s">
        <v>8563</v>
      </c>
      <c r="H41" t="s">
        <v>8595</v>
      </c>
      <c r="I41" s="915">
        <v>50000</v>
      </c>
      <c r="J41" s="88">
        <f t="shared" ref="J41" si="2">+I41-ROUND(I41*0.12,0)</f>
        <v>44000</v>
      </c>
      <c r="K41" t="s">
        <v>17</v>
      </c>
      <c r="L41" s="1068">
        <v>46276</v>
      </c>
      <c r="M41" s="915"/>
      <c r="N41" s="558"/>
      <c r="O41" s="88"/>
      <c r="V41" t="s">
        <v>7122</v>
      </c>
      <c r="W41" s="360">
        <v>0.6333333333333333</v>
      </c>
      <c r="X41" s="360">
        <v>2.1527777777777781E-2</v>
      </c>
    </row>
    <row r="42" spans="1:24" x14ac:dyDescent="0.25">
      <c r="A42" s="1448" t="s">
        <v>8617</v>
      </c>
      <c r="B42" s="21" t="s">
        <v>6269</v>
      </c>
      <c r="C42" s="31" t="s">
        <v>13</v>
      </c>
      <c r="D42" s="233">
        <v>46279</v>
      </c>
      <c r="E42" s="28"/>
      <c r="F42" s="313" t="s">
        <v>317</v>
      </c>
      <c r="G42" s="88" t="s">
        <v>8625</v>
      </c>
      <c r="I42" s="915">
        <v>50000</v>
      </c>
      <c r="J42"/>
      <c r="U42" s="360"/>
      <c r="V42" s="360"/>
    </row>
    <row r="43" spans="1:24" x14ac:dyDescent="0.25">
      <c r="A43" s="483"/>
      <c r="C43" s="28"/>
      <c r="D43" s="233"/>
      <c r="E43" s="28"/>
      <c r="F43" s="28"/>
      <c r="G43" s="1276"/>
      <c r="I43" s="798"/>
      <c r="K43" s="1276"/>
      <c r="M43" s="558"/>
      <c r="N43" s="88"/>
      <c r="T43" s="360"/>
      <c r="U43" s="360"/>
    </row>
    <row r="44" spans="1:24" x14ac:dyDescent="0.25">
      <c r="I44" s="1065">
        <f>SUBTOTAL(9,I37:I43)</f>
        <v>50000</v>
      </c>
    </row>
    <row r="45" spans="1:24" x14ac:dyDescent="0.25">
      <c r="I45" s="471"/>
    </row>
    <row r="46" spans="1:24" ht="15.75" thickBot="1" x14ac:dyDescent="0.3"/>
    <row r="47" spans="1:24" ht="15.75" thickBot="1" x14ac:dyDescent="0.3">
      <c r="I47" s="1066">
        <f>+I24+I13+I34+I44</f>
        <v>50000</v>
      </c>
    </row>
    <row r="48" spans="1:24" x14ac:dyDescent="0.25">
      <c r="M48" s="32"/>
    </row>
    <row r="49" spans="9:13" x14ac:dyDescent="0.25">
      <c r="I49" s="3"/>
      <c r="J49" s="792"/>
      <c r="K49" s="791" t="s">
        <v>8353</v>
      </c>
      <c r="L49" s="726"/>
      <c r="M49" s="28" t="s">
        <v>2468</v>
      </c>
    </row>
    <row r="50" spans="9:13" x14ac:dyDescent="0.25">
      <c r="J50" s="792" t="s">
        <v>219</v>
      </c>
      <c r="K50" s="793">
        <f>50000*8</f>
        <v>400000</v>
      </c>
      <c r="L50" s="726">
        <v>8</v>
      </c>
      <c r="M50" s="122">
        <v>46259</v>
      </c>
    </row>
    <row r="51" spans="9:13" x14ac:dyDescent="0.25">
      <c r="J51" s="792" t="s">
        <v>2048</v>
      </c>
      <c r="K51" s="793">
        <v>250000</v>
      </c>
      <c r="L51" s="726">
        <f>+K51/50000</f>
        <v>5</v>
      </c>
      <c r="M51" s="122">
        <f>+M50</f>
        <v>46259</v>
      </c>
    </row>
    <row r="52" spans="9:13" x14ac:dyDescent="0.25">
      <c r="J52" s="1221" t="s">
        <v>2128</v>
      </c>
      <c r="K52" s="1218">
        <f>+K50-K51</f>
        <v>150000</v>
      </c>
      <c r="L52" s="722">
        <f>+L50-L51</f>
        <v>3</v>
      </c>
    </row>
  </sheetData>
  <autoFilter ref="A2:X52" xr:uid="{00000000-0009-0000-0000-000021000000}">
    <filterColumn colId="10">
      <filters blank="1">
        <filter val="150,000.00"/>
        <filter val="250,000.00"/>
        <filter val="400,000.00"/>
        <filter val="CONTRATO N° 50-2026-HR &quot;MNB&quot; PUNO"/>
      </filters>
    </filterColumn>
    <filterColumn colId="13" showButton="0"/>
    <filterColumn colId="14" showButton="0"/>
    <filterColumn colId="15" showButton="0"/>
  </autoFilter>
  <mergeCells count="4">
    <mergeCell ref="N2:Q2"/>
    <mergeCell ref="A15:H15"/>
    <mergeCell ref="A26:H26"/>
    <mergeCell ref="A36:H3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4709" r:id="rId4" name="Button 1">
              <controlPr defaultSize="0" print="0" autoFill="0" autoPict="0" macro="[0]!RETORNAR">
                <anchor moveWithCells="1" sizeWithCells="1">
                  <from>
                    <xdr:col>0</xdr:col>
                    <xdr:colOff>38100</xdr:colOff>
                    <xdr:row>0</xdr:row>
                    <xdr:rowOff>47625</xdr:rowOff>
                  </from>
                  <to>
                    <xdr:col>1</xdr:col>
                    <xdr:colOff>1095375</xdr:colOff>
                    <xdr:row>1</xdr:row>
                    <xdr:rowOff>0</xdr:rowOff>
                  </to>
                </anchor>
              </controlPr>
            </control>
          </mc:Choice>
        </mc:AlternateContent>
        <mc:AlternateContent xmlns:mc="http://schemas.openxmlformats.org/markup-compatibility/2006">
          <mc:Choice Requires="x14">
            <control shapeId="584716" r:id="rId5" name="Botón 12">
              <controlPr defaultSize="0" print="0" autoFill="0" autoPict="0" macro="[0]!IR_VENTAS_B200_2026">
                <anchor moveWithCells="1" sizeWithCells="1">
                  <from>
                    <xdr:col>1</xdr:col>
                    <xdr:colOff>123825</xdr:colOff>
                    <xdr:row>54</xdr:row>
                    <xdr:rowOff>95250</xdr:rowOff>
                  </from>
                  <to>
                    <xdr:col>2</xdr:col>
                    <xdr:colOff>47625</xdr:colOff>
                    <xdr:row>57</xdr:row>
                    <xdr:rowOff>123825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47" filterMode="1"/>
  <dimension ref="A1:X32"/>
  <sheetViews>
    <sheetView workbookViewId="0">
      <selection activeCell="G31" sqref="G31"/>
    </sheetView>
  </sheetViews>
  <sheetFormatPr baseColWidth="10" defaultColWidth="10.85546875" defaultRowHeight="15" x14ac:dyDescent="0.25"/>
  <cols>
    <col min="4" max="4" width="17.5703125" style="28" bestFit="1" customWidth="1"/>
    <col min="7" max="7" width="55.140625" customWidth="1"/>
    <col min="8" max="8" width="8.85546875" customWidth="1"/>
    <col min="9" max="9" width="12" style="32" bestFit="1" customWidth="1"/>
    <col min="12" max="12" width="10.85546875" style="28"/>
  </cols>
  <sheetData>
    <row r="1" spans="1:22" ht="24.95" customHeight="1" x14ac:dyDescent="0.25"/>
    <row r="2" spans="1:22" x14ac:dyDescent="0.25">
      <c r="A2" t="s">
        <v>706</v>
      </c>
      <c r="B2" s="1" t="s">
        <v>0</v>
      </c>
      <c r="C2" s="1" t="s">
        <v>1</v>
      </c>
      <c r="D2" s="25" t="s">
        <v>2</v>
      </c>
      <c r="E2" s="1"/>
      <c r="F2" s="1" t="s">
        <v>3</v>
      </c>
      <c r="G2" s="1" t="s">
        <v>4</v>
      </c>
      <c r="H2" s="1" t="s">
        <v>5</v>
      </c>
      <c r="I2" s="32" t="s">
        <v>6</v>
      </c>
      <c r="J2" s="1" t="s">
        <v>1780</v>
      </c>
      <c r="K2" s="1" t="s">
        <v>8</v>
      </c>
      <c r="L2" s="25" t="s">
        <v>3998</v>
      </c>
      <c r="M2" s="1" t="s">
        <v>10</v>
      </c>
      <c r="N2" s="1480" t="s">
        <v>11</v>
      </c>
      <c r="O2" s="1480"/>
      <c r="P2" s="1480"/>
      <c r="Q2" s="1480"/>
    </row>
    <row r="3" spans="1:22" x14ac:dyDescent="0.25">
      <c r="B3" s="1"/>
      <c r="C3" s="1"/>
      <c r="D3" s="25"/>
      <c r="E3" s="1"/>
      <c r="F3" s="1"/>
      <c r="G3" s="1"/>
      <c r="H3" s="1"/>
      <c r="J3" s="1"/>
      <c r="K3" s="1"/>
      <c r="L3" s="25"/>
      <c r="M3" s="1"/>
      <c r="N3" s="25"/>
      <c r="O3" s="25"/>
      <c r="P3" s="25"/>
      <c r="Q3" s="25"/>
    </row>
    <row r="4" spans="1:22" ht="15" hidden="1" customHeight="1" x14ac:dyDescent="0.25">
      <c r="B4" s="1"/>
      <c r="C4" s="1"/>
      <c r="D4" s="1577">
        <v>44848</v>
      </c>
      <c r="E4" s="1"/>
      <c r="F4" s="1493" t="s">
        <v>1370</v>
      </c>
      <c r="G4" t="s">
        <v>1394</v>
      </c>
      <c r="H4" t="s">
        <v>1395</v>
      </c>
      <c r="I4" s="32">
        <v>41536</v>
      </c>
      <c r="J4" s="1"/>
      <c r="K4" t="s">
        <v>17</v>
      </c>
      <c r="L4" s="233">
        <v>44868</v>
      </c>
      <c r="M4" s="1" t="s">
        <v>224</v>
      </c>
      <c r="N4" s="25"/>
      <c r="O4" s="25"/>
      <c r="P4" s="25"/>
      <c r="Q4" s="25"/>
    </row>
    <row r="5" spans="1:22" ht="15" hidden="1" customHeight="1" x14ac:dyDescent="0.25">
      <c r="A5" s="116">
        <v>14102022</v>
      </c>
      <c r="B5" s="169" t="s">
        <v>1369</v>
      </c>
      <c r="C5" s="30" t="s">
        <v>410</v>
      </c>
      <c r="D5" s="1577"/>
      <c r="E5" s="88"/>
      <c r="F5" s="1493"/>
      <c r="G5" t="s">
        <v>1393</v>
      </c>
      <c r="H5" t="s">
        <v>1396</v>
      </c>
      <c r="I5" s="160">
        <v>9444</v>
      </c>
      <c r="J5" s="1"/>
      <c r="K5" t="s">
        <v>17</v>
      </c>
      <c r="L5" s="233">
        <v>44868</v>
      </c>
      <c r="M5" s="1" t="s">
        <v>224</v>
      </c>
      <c r="O5" s="21" t="s">
        <v>1029</v>
      </c>
      <c r="P5" s="157">
        <v>0.42083333333333334</v>
      </c>
      <c r="Q5" s="21"/>
    </row>
    <row r="6" spans="1:22" hidden="1" x14ac:dyDescent="0.25">
      <c r="A6" s="95" t="s">
        <v>1742</v>
      </c>
      <c r="B6" t="s">
        <v>1743</v>
      </c>
      <c r="C6" t="s">
        <v>410</v>
      </c>
      <c r="D6" s="1554">
        <v>44933</v>
      </c>
      <c r="F6" t="s">
        <v>1744</v>
      </c>
      <c r="G6" t="s">
        <v>2058</v>
      </c>
      <c r="H6" t="s">
        <v>2054</v>
      </c>
      <c r="I6" s="32">
        <v>39600</v>
      </c>
      <c r="J6" s="32">
        <f t="shared" ref="J6:J15" si="0">+I6*0.88</f>
        <v>34848</v>
      </c>
      <c r="K6" t="s">
        <v>17</v>
      </c>
      <c r="L6" s="233">
        <v>45019</v>
      </c>
      <c r="S6" t="s">
        <v>916</v>
      </c>
      <c r="T6" s="14">
        <v>0.42777777777777781</v>
      </c>
      <c r="U6" s="14">
        <v>0.68958333333333333</v>
      </c>
    </row>
    <row r="7" spans="1:22" hidden="1" x14ac:dyDescent="0.25">
      <c r="D7" s="1554"/>
      <c r="E7" s="32"/>
      <c r="G7" t="s">
        <v>2059</v>
      </c>
      <c r="H7" t="s">
        <v>2055</v>
      </c>
      <c r="I7" s="160">
        <v>11380</v>
      </c>
      <c r="J7" s="32">
        <f t="shared" si="0"/>
        <v>10014.4</v>
      </c>
      <c r="K7" t="s">
        <v>17</v>
      </c>
      <c r="L7" s="233">
        <v>45019</v>
      </c>
    </row>
    <row r="8" spans="1:22" hidden="1" x14ac:dyDescent="0.25">
      <c r="A8" s="95" t="s">
        <v>1955</v>
      </c>
      <c r="B8" t="s">
        <v>1956</v>
      </c>
      <c r="C8" t="s">
        <v>1954</v>
      </c>
      <c r="D8" s="233">
        <v>44987</v>
      </c>
      <c r="F8" t="s">
        <v>1744</v>
      </c>
      <c r="G8" t="s">
        <v>2061</v>
      </c>
      <c r="H8" t="s">
        <v>2056</v>
      </c>
      <c r="I8" s="32">
        <v>39600</v>
      </c>
      <c r="J8" s="32">
        <f t="shared" si="0"/>
        <v>34848</v>
      </c>
      <c r="K8" t="s">
        <v>17</v>
      </c>
      <c r="L8" s="233">
        <v>45016</v>
      </c>
      <c r="S8" t="s">
        <v>1950</v>
      </c>
      <c r="T8" s="14">
        <v>0.34513888888888888</v>
      </c>
    </row>
    <row r="9" spans="1:22" hidden="1" x14ac:dyDescent="0.25">
      <c r="A9" s="95"/>
      <c r="D9" s="233"/>
      <c r="G9" t="s">
        <v>2060</v>
      </c>
      <c r="H9" t="s">
        <v>2057</v>
      </c>
      <c r="I9" s="32">
        <v>10101.6</v>
      </c>
      <c r="J9" s="88">
        <f t="shared" si="0"/>
        <v>8889.4080000000013</v>
      </c>
      <c r="K9" t="s">
        <v>17</v>
      </c>
      <c r="L9" s="233">
        <v>45014</v>
      </c>
      <c r="T9" s="14"/>
    </row>
    <row r="10" spans="1:22" hidden="1" x14ac:dyDescent="0.25">
      <c r="A10" s="95" t="s">
        <v>1955</v>
      </c>
      <c r="B10" t="s">
        <v>1956</v>
      </c>
      <c r="C10" t="s">
        <v>1954</v>
      </c>
      <c r="D10" s="233">
        <v>44987</v>
      </c>
      <c r="F10" t="s">
        <v>1744</v>
      </c>
      <c r="G10" t="s">
        <v>2062</v>
      </c>
      <c r="H10" t="s">
        <v>2052</v>
      </c>
      <c r="I10" s="32">
        <v>39600</v>
      </c>
      <c r="J10" s="32">
        <f t="shared" si="0"/>
        <v>34848</v>
      </c>
      <c r="K10" t="s">
        <v>17</v>
      </c>
      <c r="L10" s="233">
        <v>45019</v>
      </c>
      <c r="S10" t="s">
        <v>1950</v>
      </c>
      <c r="T10" s="14">
        <v>0.34513888888888888</v>
      </c>
    </row>
    <row r="11" spans="1:22" hidden="1" x14ac:dyDescent="0.25">
      <c r="A11" s="95"/>
      <c r="D11" s="233"/>
      <c r="G11" t="s">
        <v>2063</v>
      </c>
      <c r="H11" t="s">
        <v>2053</v>
      </c>
      <c r="I11" s="32">
        <v>10101.6</v>
      </c>
      <c r="J11" s="32">
        <f t="shared" si="0"/>
        <v>8889.4080000000013</v>
      </c>
      <c r="K11" t="s">
        <v>17</v>
      </c>
      <c r="L11" s="233">
        <v>45019</v>
      </c>
      <c r="T11" s="14"/>
    </row>
    <row r="12" spans="1:22" hidden="1" x14ac:dyDescent="0.25">
      <c r="A12" s="95"/>
      <c r="D12" s="233"/>
      <c r="G12" t="s">
        <v>2450</v>
      </c>
      <c r="H12" t="s">
        <v>2488</v>
      </c>
      <c r="I12" s="32">
        <v>38473</v>
      </c>
      <c r="J12" s="32">
        <f t="shared" si="0"/>
        <v>33856.239999999998</v>
      </c>
      <c r="K12" t="s">
        <v>17</v>
      </c>
      <c r="L12" s="233">
        <v>45091</v>
      </c>
      <c r="T12" s="14"/>
    </row>
    <row r="13" spans="1:22" hidden="1" x14ac:dyDescent="0.25">
      <c r="A13" s="95" t="s">
        <v>2159</v>
      </c>
      <c r="B13" t="s">
        <v>2160</v>
      </c>
      <c r="C13" t="s">
        <v>410</v>
      </c>
      <c r="D13" s="233">
        <v>45020</v>
      </c>
      <c r="F13" t="s">
        <v>1744</v>
      </c>
      <c r="G13" t="s">
        <v>4750</v>
      </c>
      <c r="H13" t="s">
        <v>2489</v>
      </c>
      <c r="I13" s="32">
        <v>11228.6</v>
      </c>
      <c r="J13" s="32">
        <f t="shared" si="0"/>
        <v>9881.1679999999997</v>
      </c>
      <c r="K13" t="s">
        <v>17</v>
      </c>
      <c r="L13" s="233">
        <v>45091</v>
      </c>
      <c r="T13" t="s">
        <v>2037</v>
      </c>
      <c r="U13" s="14">
        <v>0.29791666666666666</v>
      </c>
    </row>
    <row r="14" spans="1:22" hidden="1" x14ac:dyDescent="0.25">
      <c r="A14" s="95"/>
      <c r="D14" s="233"/>
      <c r="G14" s="30" t="s">
        <v>4749</v>
      </c>
      <c r="H14" t="s">
        <v>4771</v>
      </c>
      <c r="I14" s="32">
        <f>39978.4</f>
        <v>39978.400000000001</v>
      </c>
      <c r="J14" s="3">
        <f>+I14-ROUND(I14*0.12,0)</f>
        <v>35181.4</v>
      </c>
      <c r="K14" t="s">
        <v>17</v>
      </c>
      <c r="L14" s="233">
        <v>45603</v>
      </c>
      <c r="U14" s="14"/>
    </row>
    <row r="15" spans="1:22" hidden="1" x14ac:dyDescent="0.25">
      <c r="A15" s="95">
        <v>17082024</v>
      </c>
      <c r="B15" t="s">
        <v>4655</v>
      </c>
      <c r="C15" s="28" t="s">
        <v>13</v>
      </c>
      <c r="D15" s="233">
        <v>45521</v>
      </c>
      <c r="F15" t="s">
        <v>1744</v>
      </c>
      <c r="G15" s="30" t="s">
        <v>4751</v>
      </c>
      <c r="H15" t="s">
        <v>4772</v>
      </c>
      <c r="I15" s="32">
        <v>9086</v>
      </c>
      <c r="J15" s="32">
        <f t="shared" si="0"/>
        <v>7995.68</v>
      </c>
      <c r="K15" t="s">
        <v>17</v>
      </c>
      <c r="L15" s="233">
        <v>45572</v>
      </c>
      <c r="T15" t="s">
        <v>4139</v>
      </c>
      <c r="U15" s="360">
        <v>0.33263888888888887</v>
      </c>
      <c r="V15" s="360">
        <v>0.57361111111111118</v>
      </c>
    </row>
    <row r="16" spans="1:22" hidden="1" x14ac:dyDescent="0.25">
      <c r="A16" s="95"/>
      <c r="C16" s="28"/>
      <c r="D16" s="233"/>
      <c r="G16" s="30" t="s">
        <v>4773</v>
      </c>
      <c r="H16" t="s">
        <v>5272</v>
      </c>
      <c r="I16" s="32">
        <f>39978.4</f>
        <v>39978.400000000001</v>
      </c>
      <c r="J16" s="3">
        <f t="shared" ref="J16:J28" si="1">+I16-ROUND(I16*0.12,0)</f>
        <v>35181.4</v>
      </c>
      <c r="K16" t="s">
        <v>17</v>
      </c>
      <c r="L16" s="233">
        <v>45652</v>
      </c>
      <c r="U16" s="360"/>
      <c r="V16" s="360"/>
    </row>
    <row r="17" spans="1:24" hidden="1" x14ac:dyDescent="0.25">
      <c r="A17" s="95">
        <v>9092024</v>
      </c>
      <c r="B17" t="s">
        <v>2303</v>
      </c>
      <c r="C17" s="28" t="s">
        <v>13</v>
      </c>
      <c r="D17" s="233">
        <v>45544</v>
      </c>
      <c r="F17" t="s">
        <v>4739</v>
      </c>
      <c r="G17" s="30" t="s">
        <v>4774</v>
      </c>
      <c r="H17" t="s">
        <v>5273</v>
      </c>
      <c r="I17" s="32">
        <v>9086</v>
      </c>
      <c r="J17" s="3">
        <f t="shared" si="1"/>
        <v>7996</v>
      </c>
      <c r="K17" t="s">
        <v>17</v>
      </c>
      <c r="L17" s="233">
        <v>45656</v>
      </c>
      <c r="T17" t="s">
        <v>1506</v>
      </c>
      <c r="U17" s="360"/>
      <c r="V17" s="30"/>
    </row>
    <row r="18" spans="1:24" hidden="1" x14ac:dyDescent="0.25">
      <c r="A18" s="483" t="s">
        <v>5602</v>
      </c>
      <c r="B18" t="s">
        <v>2303</v>
      </c>
      <c r="C18" s="28" t="s">
        <v>410</v>
      </c>
      <c r="D18" s="233">
        <v>45689</v>
      </c>
      <c r="F18" s="28" t="s">
        <v>5603</v>
      </c>
      <c r="G18" s="30" t="s">
        <v>5628</v>
      </c>
      <c r="H18" t="s">
        <v>5885</v>
      </c>
      <c r="I18" s="313">
        <v>48427.199999999997</v>
      </c>
      <c r="J18" s="3">
        <f t="shared" si="1"/>
        <v>42616.2</v>
      </c>
      <c r="K18" t="s">
        <v>17</v>
      </c>
      <c r="L18" s="233">
        <v>45740</v>
      </c>
      <c r="T18" t="s">
        <v>5026</v>
      </c>
      <c r="U18" s="360">
        <v>0.42152777777777778</v>
      </c>
      <c r="V18" s="360">
        <v>0.74583333333333324</v>
      </c>
    </row>
    <row r="19" spans="1:24" hidden="1" x14ac:dyDescent="0.25">
      <c r="A19" s="483">
        <v>28052025</v>
      </c>
      <c r="B19" t="s">
        <v>6301</v>
      </c>
      <c r="C19" s="28" t="s">
        <v>278</v>
      </c>
      <c r="D19" s="233">
        <v>45805</v>
      </c>
      <c r="E19" s="28"/>
      <c r="F19" s="28" t="s">
        <v>1744</v>
      </c>
      <c r="G19" t="s">
        <v>6398</v>
      </c>
      <c r="H19" s="28" t="s">
        <v>6516</v>
      </c>
      <c r="I19" s="798">
        <v>48427.199999999997</v>
      </c>
      <c r="J19" s="3">
        <f t="shared" si="1"/>
        <v>42616.2</v>
      </c>
      <c r="K19" t="s">
        <v>17</v>
      </c>
      <c r="L19" s="233">
        <v>45847</v>
      </c>
      <c r="T19" t="s">
        <v>4297</v>
      </c>
      <c r="U19" s="360">
        <v>0.39097222222222222</v>
      </c>
      <c r="V19" s="360"/>
    </row>
    <row r="20" spans="1:24" hidden="1" x14ac:dyDescent="0.25">
      <c r="A20" s="483" t="s">
        <v>6515</v>
      </c>
      <c r="B20" t="s">
        <v>6301</v>
      </c>
      <c r="C20" s="28" t="s">
        <v>4437</v>
      </c>
      <c r="D20" s="233">
        <v>45839</v>
      </c>
      <c r="E20" s="28"/>
      <c r="F20" s="28" t="s">
        <v>1744</v>
      </c>
      <c r="G20" t="s">
        <v>6565</v>
      </c>
      <c r="H20" s="28" t="s">
        <v>6727</v>
      </c>
      <c r="I20" s="798">
        <v>48427.199999999997</v>
      </c>
      <c r="J20" s="3">
        <f t="shared" si="1"/>
        <v>42616.2</v>
      </c>
      <c r="K20" t="s">
        <v>17</v>
      </c>
      <c r="L20" s="233">
        <v>45905</v>
      </c>
      <c r="T20" t="s">
        <v>5004</v>
      </c>
      <c r="U20" s="30">
        <v>9.1199999999999992</v>
      </c>
      <c r="V20" s="30"/>
    </row>
    <row r="21" spans="1:24" hidden="1" x14ac:dyDescent="0.25">
      <c r="A21" s="483">
        <v>22072025</v>
      </c>
      <c r="B21" t="s">
        <v>2303</v>
      </c>
      <c r="C21" s="28" t="s">
        <v>660</v>
      </c>
      <c r="D21" s="233">
        <v>45860</v>
      </c>
      <c r="E21" s="28"/>
      <c r="F21" s="28" t="s">
        <v>1744</v>
      </c>
      <c r="G21" t="s">
        <v>6675</v>
      </c>
      <c r="H21" s="28" t="s">
        <v>6885</v>
      </c>
      <c r="I21" s="798">
        <v>48427.199999999997</v>
      </c>
      <c r="J21" s="3">
        <f t="shared" si="1"/>
        <v>42616.2</v>
      </c>
      <c r="K21" t="s">
        <v>17</v>
      </c>
      <c r="L21" s="233">
        <v>45912</v>
      </c>
      <c r="T21" t="s">
        <v>6214</v>
      </c>
      <c r="U21" s="360">
        <v>0.33958333333333335</v>
      </c>
      <c r="V21" s="360"/>
    </row>
    <row r="22" spans="1:24" hidden="1" x14ac:dyDescent="0.25">
      <c r="A22" s="483" t="s">
        <v>6897</v>
      </c>
      <c r="B22" t="s">
        <v>2303</v>
      </c>
      <c r="C22" s="28" t="s">
        <v>13</v>
      </c>
      <c r="D22" s="233">
        <v>45910</v>
      </c>
      <c r="E22" s="28"/>
      <c r="F22" s="28" t="s">
        <v>1744</v>
      </c>
      <c r="G22" s="1067" t="s">
        <v>6926</v>
      </c>
      <c r="H22" s="28" t="s">
        <v>7115</v>
      </c>
      <c r="I22" s="313">
        <v>48427.199999999997</v>
      </c>
      <c r="J22" s="3">
        <f t="shared" si="1"/>
        <v>42616.2</v>
      </c>
      <c r="K22" t="s">
        <v>17</v>
      </c>
      <c r="L22" s="233">
        <v>45961</v>
      </c>
      <c r="M22" s="32"/>
      <c r="T22" t="s">
        <v>6294</v>
      </c>
      <c r="U22" s="360">
        <v>0.33263888888888887</v>
      </c>
      <c r="V22" s="360"/>
    </row>
    <row r="23" spans="1:24" hidden="1" x14ac:dyDescent="0.25">
      <c r="A23" s="483" t="s">
        <v>6911</v>
      </c>
      <c r="B23" t="s">
        <v>2303</v>
      </c>
      <c r="C23" s="28" t="s">
        <v>4218</v>
      </c>
      <c r="D23" s="233">
        <v>45913</v>
      </c>
      <c r="E23" s="28"/>
      <c r="F23" s="28" t="s">
        <v>1744</v>
      </c>
      <c r="G23" s="1067" t="s">
        <v>6927</v>
      </c>
      <c r="H23" s="28" t="s">
        <v>7114</v>
      </c>
      <c r="I23" s="313">
        <v>49807.199999999997</v>
      </c>
      <c r="J23" s="3">
        <f t="shared" si="1"/>
        <v>43830.2</v>
      </c>
      <c r="K23" t="s">
        <v>17</v>
      </c>
      <c r="L23" s="233">
        <v>45961</v>
      </c>
      <c r="M23" s="32"/>
      <c r="T23" t="s">
        <v>5131</v>
      </c>
      <c r="U23" s="360">
        <v>0.33194444444444443</v>
      </c>
      <c r="V23" s="360">
        <v>0.5493055555555556</v>
      </c>
    </row>
    <row r="24" spans="1:24" hidden="1" x14ac:dyDescent="0.25">
      <c r="A24" s="483">
        <v>26092025</v>
      </c>
      <c r="B24" t="s">
        <v>7005</v>
      </c>
      <c r="C24" s="28" t="s">
        <v>410</v>
      </c>
      <c r="D24" s="233">
        <v>45926</v>
      </c>
      <c r="E24" s="28"/>
      <c r="F24" s="28" t="s">
        <v>5603</v>
      </c>
      <c r="G24" s="1067" t="s">
        <v>7051</v>
      </c>
      <c r="H24" s="28" t="s">
        <v>7173</v>
      </c>
      <c r="I24" s="313">
        <v>48427</v>
      </c>
      <c r="J24" s="3">
        <f t="shared" si="1"/>
        <v>42616</v>
      </c>
      <c r="K24" t="s">
        <v>17</v>
      </c>
      <c r="L24" s="233">
        <v>45971</v>
      </c>
      <c r="M24" s="88"/>
      <c r="T24" t="s">
        <v>6898</v>
      </c>
      <c r="U24" s="360">
        <v>0.33819444444444446</v>
      </c>
      <c r="V24" s="360"/>
    </row>
    <row r="25" spans="1:24" s="19" customFormat="1" hidden="1" x14ac:dyDescent="0.25">
      <c r="A25" s="690" t="s">
        <v>7032</v>
      </c>
      <c r="B25" s="19" t="s">
        <v>7005</v>
      </c>
      <c r="C25" s="472" t="s">
        <v>13</v>
      </c>
      <c r="D25" s="691">
        <v>45930</v>
      </c>
      <c r="E25" s="472"/>
      <c r="F25" s="472" t="s">
        <v>5603</v>
      </c>
      <c r="G25" s="1084" t="s">
        <v>7052</v>
      </c>
      <c r="H25" s="28" t="s">
        <v>7174</v>
      </c>
      <c r="I25" s="1101">
        <v>48427</v>
      </c>
      <c r="J25" s="3">
        <f t="shared" si="1"/>
        <v>42616</v>
      </c>
      <c r="K25" t="s">
        <v>17</v>
      </c>
      <c r="L25" s="233">
        <v>45973</v>
      </c>
      <c r="M25" s="140"/>
      <c r="T25" s="19" t="s">
        <v>5131</v>
      </c>
      <c r="U25" s="693">
        <v>0.3444444444444445</v>
      </c>
      <c r="V25" s="693">
        <v>0.69791666666666663</v>
      </c>
    </row>
    <row r="26" spans="1:24" hidden="1" x14ac:dyDescent="0.25">
      <c r="A26" s="483" t="s">
        <v>7361</v>
      </c>
      <c r="B26" t="s">
        <v>2303</v>
      </c>
      <c r="C26" s="28" t="s">
        <v>4218</v>
      </c>
      <c r="D26" s="233">
        <v>45996</v>
      </c>
      <c r="E26" s="28"/>
      <c r="F26" s="28" t="s">
        <v>68</v>
      </c>
      <c r="G26" s="1067" t="s">
        <v>7493</v>
      </c>
      <c r="H26" s="28" t="s">
        <v>7893</v>
      </c>
      <c r="I26" s="240">
        <v>44840</v>
      </c>
      <c r="J26" s="3">
        <f t="shared" si="1"/>
        <v>39459</v>
      </c>
      <c r="K26" t="s">
        <v>17</v>
      </c>
      <c r="L26" s="233" t="s">
        <v>7987</v>
      </c>
      <c r="M26" s="88"/>
      <c r="T26" t="s">
        <v>6503</v>
      </c>
      <c r="U26" s="360"/>
      <c r="V26" s="360"/>
    </row>
    <row r="27" spans="1:24" hidden="1" x14ac:dyDescent="0.25">
      <c r="A27" s="483">
        <v>19022026</v>
      </c>
      <c r="B27" t="s">
        <v>2303</v>
      </c>
      <c r="C27" s="28" t="s">
        <v>410</v>
      </c>
      <c r="D27" s="233">
        <v>46072</v>
      </c>
      <c r="E27" s="28"/>
      <c r="F27" s="28" t="s">
        <v>1744</v>
      </c>
      <c r="G27" s="1067" t="s">
        <v>7753</v>
      </c>
      <c r="H27" s="28" t="s">
        <v>7892</v>
      </c>
      <c r="I27" s="915">
        <v>48427</v>
      </c>
      <c r="J27" s="3">
        <f t="shared" si="1"/>
        <v>42616</v>
      </c>
      <c r="K27" t="s">
        <v>17</v>
      </c>
      <c r="L27" s="233">
        <v>46133</v>
      </c>
      <c r="M27" s="88"/>
      <c r="T27" t="s">
        <v>4983</v>
      </c>
      <c r="U27" s="360">
        <v>0.52638888888888891</v>
      </c>
      <c r="V27" s="360"/>
    </row>
    <row r="28" spans="1:24" x14ac:dyDescent="0.25">
      <c r="A28" s="1448" t="s">
        <v>8518</v>
      </c>
      <c r="B28" s="21" t="s">
        <v>2303</v>
      </c>
      <c r="C28" s="31" t="s">
        <v>410</v>
      </c>
      <c r="D28" s="233">
        <v>46256</v>
      </c>
      <c r="E28" s="28"/>
      <c r="F28" s="313" t="s">
        <v>1370</v>
      </c>
      <c r="G28" s="88" t="s">
        <v>8564</v>
      </c>
      <c r="I28" s="915">
        <v>54480</v>
      </c>
      <c r="J28" s="3">
        <f t="shared" si="1"/>
        <v>47942</v>
      </c>
      <c r="L28"/>
      <c r="N28" s="558"/>
      <c r="O28" s="88"/>
      <c r="V28" t="s">
        <v>7335</v>
      </c>
      <c r="W28" s="360">
        <v>0.33263888888888887</v>
      </c>
      <c r="X28" s="360">
        <v>0.52777777777777779</v>
      </c>
    </row>
    <row r="29" spans="1:24" x14ac:dyDescent="0.25">
      <c r="A29" s="483"/>
      <c r="C29" s="28"/>
      <c r="D29" s="233"/>
      <c r="E29" s="28"/>
      <c r="F29" s="28"/>
      <c r="G29" s="1084"/>
      <c r="I29" s="984"/>
      <c r="J29" s="3"/>
      <c r="L29" s="798"/>
      <c r="M29" s="32"/>
      <c r="U29" s="360"/>
      <c r="V29" s="360"/>
    </row>
    <row r="30" spans="1:24" x14ac:dyDescent="0.25">
      <c r="A30" s="95"/>
      <c r="D30" s="233"/>
      <c r="J30" s="32"/>
      <c r="K30" s="32"/>
      <c r="L30" s="746"/>
      <c r="T30" s="14"/>
    </row>
    <row r="31" spans="1:24" x14ac:dyDescent="0.25">
      <c r="H31" t="s">
        <v>356</v>
      </c>
      <c r="I31" s="89">
        <f>SUBTOTAL(9,I4:I30)</f>
        <v>54480</v>
      </c>
    </row>
    <row r="32" spans="1:24" x14ac:dyDescent="0.25">
      <c r="M32" s="3"/>
    </row>
  </sheetData>
  <autoFilter ref="F2:Q29" xr:uid="{00000000-0009-0000-0000-000022000000}">
    <filterColumn colId="5">
      <filters blank="1"/>
    </filterColumn>
    <filterColumn colId="8" showButton="0"/>
    <filterColumn colId="9" showButton="0"/>
    <filterColumn colId="10" showButton="0"/>
  </autoFilter>
  <mergeCells count="4">
    <mergeCell ref="N2:Q2"/>
    <mergeCell ref="D4:D5"/>
    <mergeCell ref="F4:F5"/>
    <mergeCell ref="D6:D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5733" r:id="rId4" name="Button 1">
              <controlPr defaultSize="0" print="0" autoFill="0" autoPict="0" macro="[0]!RETORNAR">
                <anchor moveWithCells="1" sizeWithCells="1">
                  <from>
                    <xdr:col>0</xdr:col>
                    <xdr:colOff>38100</xdr:colOff>
                    <xdr:row>0</xdr:row>
                    <xdr:rowOff>47625</xdr:rowOff>
                  </from>
                  <to>
                    <xdr:col>2</xdr:col>
                    <xdr:colOff>333375</xdr:colOff>
                    <xdr:row>0</xdr:row>
                    <xdr:rowOff>314325</xdr:rowOff>
                  </to>
                </anchor>
              </controlPr>
            </control>
          </mc:Choice>
        </mc:AlternateContent>
        <mc:AlternateContent xmlns:mc="http://schemas.openxmlformats.org/markup-compatibility/2006">
          <mc:Choice Requires="x14">
            <control shapeId="585742" r:id="rId5" name="Botón 14">
              <controlPr defaultSize="0" print="0" autoFill="0" autoPict="0" macro="[0]!IR_VENTAS_B200_2026">
                <anchor moveWithCells="1" sizeWithCells="1">
                  <from>
                    <xdr:col>1</xdr:col>
                    <xdr:colOff>123825</xdr:colOff>
                    <xdr:row>34</xdr:row>
                    <xdr:rowOff>0</xdr:rowOff>
                  </from>
                  <to>
                    <xdr:col>2</xdr:col>
                    <xdr:colOff>676275</xdr:colOff>
                    <xdr:row>37</xdr:row>
                    <xdr:rowOff>28575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48" filterMode="1"/>
  <dimension ref="A1:X116"/>
  <sheetViews>
    <sheetView zoomScale="92" zoomScaleNormal="92" workbookViewId="0">
      <selection activeCell="D91" sqref="D91"/>
    </sheetView>
  </sheetViews>
  <sheetFormatPr baseColWidth="10" defaultColWidth="10.85546875" defaultRowHeight="15" x14ac:dyDescent="0.25"/>
  <cols>
    <col min="1" max="1" width="17.28515625" customWidth="1"/>
    <col min="4" max="4" width="10.85546875" style="275"/>
    <col min="5" max="5" width="4.5703125" customWidth="1"/>
    <col min="6" max="6" width="11.7109375" customWidth="1"/>
    <col min="7" max="7" width="49.140625" customWidth="1"/>
    <col min="8" max="8" width="12.85546875" customWidth="1"/>
    <col min="9" max="9" width="15.42578125" customWidth="1"/>
    <col min="10" max="10" width="24.5703125" bestFit="1" customWidth="1"/>
    <col min="11" max="11" width="11.140625" bestFit="1" customWidth="1"/>
    <col min="13" max="13" width="10.85546875" style="28"/>
  </cols>
  <sheetData>
    <row r="1" spans="1:22" ht="39" customHeight="1" x14ac:dyDescent="0.25"/>
    <row r="2" spans="1:22" s="28" customFormat="1" x14ac:dyDescent="0.25">
      <c r="A2" s="28" t="s">
        <v>706</v>
      </c>
      <c r="B2" s="25" t="s">
        <v>0</v>
      </c>
      <c r="C2" s="25" t="s">
        <v>1</v>
      </c>
      <c r="D2" s="208" t="s">
        <v>2</v>
      </c>
      <c r="E2" s="1"/>
      <c r="F2" s="1" t="s">
        <v>3</v>
      </c>
      <c r="G2" s="25" t="s">
        <v>4</v>
      </c>
      <c r="H2" s="25" t="s">
        <v>5</v>
      </c>
      <c r="I2" s="25" t="s">
        <v>6</v>
      </c>
      <c r="J2" s="25" t="s">
        <v>1780</v>
      </c>
      <c r="K2" s="25" t="s">
        <v>8</v>
      </c>
      <c r="L2" s="1" t="s">
        <v>3997</v>
      </c>
      <c r="M2" s="25" t="s">
        <v>10</v>
      </c>
      <c r="N2" s="1480" t="s">
        <v>11</v>
      </c>
      <c r="O2" s="1480"/>
      <c r="P2" s="1480"/>
      <c r="Q2" s="1480"/>
    </row>
    <row r="3" spans="1:22" hidden="1" x14ac:dyDescent="0.25">
      <c r="A3" s="116">
        <v>30082022</v>
      </c>
      <c r="B3" s="169" t="s">
        <v>1173</v>
      </c>
      <c r="C3" s="169" t="s">
        <v>693</v>
      </c>
      <c r="D3" s="374">
        <v>44803</v>
      </c>
      <c r="E3" s="32"/>
      <c r="F3" t="s">
        <v>1931</v>
      </c>
      <c r="G3" s="163" t="s">
        <v>1606</v>
      </c>
      <c r="H3" t="s">
        <v>1219</v>
      </c>
      <c r="I3" s="32">
        <v>57640</v>
      </c>
      <c r="J3" s="3">
        <f t="shared" ref="J3:J66" si="0">+I3-ROUND(I3*0.12,0)</f>
        <v>50723</v>
      </c>
      <c r="K3" s="368" t="s">
        <v>17</v>
      </c>
      <c r="L3" s="2">
        <v>44823</v>
      </c>
      <c r="M3"/>
      <c r="O3" s="163" t="s">
        <v>1029</v>
      </c>
      <c r="P3" s="157">
        <v>0.64236111111111105</v>
      </c>
      <c r="Q3" s="157">
        <v>5.1388888888888894E-2</v>
      </c>
      <c r="R3" s="1582" t="s">
        <v>1174</v>
      </c>
      <c r="S3" s="1582"/>
      <c r="T3" s="1582"/>
      <c r="U3" s="1582"/>
    </row>
    <row r="4" spans="1:22" hidden="1" x14ac:dyDescent="0.25">
      <c r="A4" s="116">
        <v>22112022</v>
      </c>
      <c r="B4" s="169" t="s">
        <v>1173</v>
      </c>
      <c r="C4" s="169" t="s">
        <v>693</v>
      </c>
      <c r="D4" s="374">
        <v>44887</v>
      </c>
      <c r="E4" s="88"/>
      <c r="F4" t="s">
        <v>1501</v>
      </c>
      <c r="G4" s="21" t="s">
        <v>1607</v>
      </c>
      <c r="H4" t="s">
        <v>1639</v>
      </c>
      <c r="I4" s="160">
        <v>56640</v>
      </c>
      <c r="J4" s="3">
        <f t="shared" si="0"/>
        <v>49843</v>
      </c>
      <c r="K4" s="236" t="s">
        <v>17</v>
      </c>
      <c r="L4" s="2">
        <v>44923</v>
      </c>
      <c r="M4"/>
      <c r="O4" s="21" t="s">
        <v>1029</v>
      </c>
      <c r="P4" s="157">
        <v>0.39513888888888887</v>
      </c>
      <c r="Q4" s="157">
        <v>0.75624999999999998</v>
      </c>
    </row>
    <row r="5" spans="1:22" hidden="1" x14ac:dyDescent="0.25">
      <c r="A5" s="116"/>
      <c r="B5" s="169"/>
      <c r="C5" s="169"/>
      <c r="D5" s="374"/>
      <c r="E5" s="88"/>
      <c r="G5" t="s">
        <v>1808</v>
      </c>
      <c r="H5" t="s">
        <v>2494</v>
      </c>
      <c r="I5" s="32">
        <v>39600</v>
      </c>
      <c r="J5" s="3">
        <f t="shared" si="0"/>
        <v>34848</v>
      </c>
      <c r="K5" t="s">
        <v>17</v>
      </c>
      <c r="L5" s="122">
        <v>45097</v>
      </c>
      <c r="M5" s="28" t="s">
        <v>81</v>
      </c>
      <c r="O5" s="21"/>
      <c r="P5" s="157"/>
      <c r="Q5" s="157"/>
    </row>
    <row r="6" spans="1:22" hidden="1" x14ac:dyDescent="0.25">
      <c r="A6" s="246">
        <v>12012023</v>
      </c>
      <c r="B6" t="s">
        <v>1751</v>
      </c>
      <c r="C6" t="s">
        <v>13</v>
      </c>
      <c r="D6" s="374">
        <v>44938</v>
      </c>
      <c r="F6" t="s">
        <v>1931</v>
      </c>
      <c r="G6" t="s">
        <v>1808</v>
      </c>
      <c r="H6" t="s">
        <v>2493</v>
      </c>
      <c r="I6" s="32">
        <f>19400</f>
        <v>19400</v>
      </c>
      <c r="J6" s="3">
        <f t="shared" si="0"/>
        <v>17072</v>
      </c>
      <c r="K6" t="s">
        <v>17</v>
      </c>
      <c r="L6" s="122">
        <v>45097</v>
      </c>
      <c r="M6" s="28" t="s">
        <v>81</v>
      </c>
      <c r="S6" t="s">
        <v>929</v>
      </c>
      <c r="T6" s="14">
        <v>0.50208333333333333</v>
      </c>
      <c r="U6" s="14">
        <v>0.91180555555555554</v>
      </c>
    </row>
    <row r="7" spans="1:22" hidden="1" x14ac:dyDescent="0.25">
      <c r="A7" s="246">
        <v>20012023</v>
      </c>
      <c r="B7" t="s">
        <v>1751</v>
      </c>
      <c r="C7" t="s">
        <v>410</v>
      </c>
      <c r="D7" s="374">
        <v>44946</v>
      </c>
      <c r="F7" t="s">
        <v>1931</v>
      </c>
      <c r="G7" t="s">
        <v>1830</v>
      </c>
      <c r="H7" t="s">
        <v>2612</v>
      </c>
      <c r="I7" s="32">
        <v>59000</v>
      </c>
      <c r="J7" s="3">
        <f t="shared" si="0"/>
        <v>51920</v>
      </c>
      <c r="K7" t="s">
        <v>17</v>
      </c>
      <c r="L7" s="122">
        <v>45119</v>
      </c>
      <c r="S7" t="s">
        <v>1712</v>
      </c>
      <c r="T7" s="14"/>
      <c r="U7" s="14"/>
    </row>
    <row r="8" spans="1:22" hidden="1" x14ac:dyDescent="0.25">
      <c r="A8" s="246" t="s">
        <v>1813</v>
      </c>
      <c r="B8" t="s">
        <v>1751</v>
      </c>
      <c r="C8" t="s">
        <v>809</v>
      </c>
      <c r="D8" s="374">
        <v>44959</v>
      </c>
      <c r="F8" t="s">
        <v>1931</v>
      </c>
      <c r="G8" t="s">
        <v>1848</v>
      </c>
      <c r="H8" t="s">
        <v>2611</v>
      </c>
      <c r="I8" s="32">
        <v>59000</v>
      </c>
      <c r="J8" s="3">
        <f t="shared" si="0"/>
        <v>51920</v>
      </c>
      <c r="K8" t="s">
        <v>17</v>
      </c>
      <c r="L8" s="122">
        <v>45119</v>
      </c>
      <c r="S8" t="s">
        <v>1178</v>
      </c>
      <c r="T8" s="14">
        <v>0.4201388888888889</v>
      </c>
    </row>
    <row r="9" spans="1:22" hidden="1" x14ac:dyDescent="0.25">
      <c r="A9" s="246"/>
      <c r="B9" s="1492" t="s">
        <v>2285</v>
      </c>
      <c r="C9" s="1492" t="s">
        <v>410</v>
      </c>
      <c r="D9" s="1583">
        <v>45041</v>
      </c>
      <c r="E9" s="1492"/>
      <c r="F9" s="1584" t="s">
        <v>1931</v>
      </c>
      <c r="G9" t="s">
        <v>2406</v>
      </c>
      <c r="H9" t="s">
        <v>2310</v>
      </c>
      <c r="I9" s="32">
        <v>39600</v>
      </c>
      <c r="J9" s="3">
        <f t="shared" si="0"/>
        <v>34848</v>
      </c>
      <c r="K9" s="32" t="s">
        <v>17</v>
      </c>
      <c r="L9" s="122">
        <v>45048</v>
      </c>
      <c r="M9"/>
      <c r="T9" s="14"/>
    </row>
    <row r="10" spans="1:22" hidden="1" x14ac:dyDescent="0.25">
      <c r="A10" s="256">
        <v>25042023</v>
      </c>
      <c r="B10" s="1492"/>
      <c r="C10" s="1492"/>
      <c r="D10" s="1583"/>
      <c r="E10" s="1492"/>
      <c r="F10" s="1584"/>
      <c r="G10" s="30" t="s">
        <v>2288</v>
      </c>
      <c r="H10" t="s">
        <v>2311</v>
      </c>
      <c r="I10" s="313">
        <v>15916</v>
      </c>
      <c r="J10" s="3">
        <f t="shared" si="0"/>
        <v>14006</v>
      </c>
      <c r="K10" s="32" t="s">
        <v>17</v>
      </c>
      <c r="L10" s="122">
        <v>45048</v>
      </c>
      <c r="M10"/>
      <c r="T10" t="s">
        <v>929</v>
      </c>
      <c r="U10" s="14">
        <v>0.72986111111111107</v>
      </c>
      <c r="V10" s="14">
        <v>5.1388888888888894E-2</v>
      </c>
    </row>
    <row r="11" spans="1:22" hidden="1" x14ac:dyDescent="0.25">
      <c r="G11" t="s">
        <v>2405</v>
      </c>
      <c r="H11" t="s">
        <v>2356</v>
      </c>
      <c r="I11" s="32">
        <v>39600</v>
      </c>
      <c r="J11" s="3">
        <f t="shared" si="0"/>
        <v>34848</v>
      </c>
      <c r="K11" t="s">
        <v>17</v>
      </c>
      <c r="L11" s="122">
        <v>45070</v>
      </c>
      <c r="M11"/>
      <c r="T11" t="s">
        <v>2348</v>
      </c>
      <c r="U11" s="14">
        <v>0.39166666666666666</v>
      </c>
      <c r="V11" s="14"/>
    </row>
    <row r="12" spans="1:22" hidden="1" x14ac:dyDescent="0.25">
      <c r="A12" s="256" t="s">
        <v>2347</v>
      </c>
      <c r="B12" t="s">
        <v>2285</v>
      </c>
      <c r="C12" t="s">
        <v>410</v>
      </c>
      <c r="D12" s="374">
        <v>45055</v>
      </c>
      <c r="F12" t="s">
        <v>1931</v>
      </c>
      <c r="G12" s="30" t="s">
        <v>2355</v>
      </c>
      <c r="H12" t="s">
        <v>2357</v>
      </c>
      <c r="I12" s="313">
        <v>15916</v>
      </c>
      <c r="J12" s="3">
        <f t="shared" si="0"/>
        <v>14006</v>
      </c>
      <c r="K12" t="s">
        <v>17</v>
      </c>
      <c r="L12" s="122">
        <v>45070</v>
      </c>
      <c r="M12"/>
      <c r="T12" s="14"/>
    </row>
    <row r="13" spans="1:22" hidden="1" x14ac:dyDescent="0.25">
      <c r="A13" s="256"/>
      <c r="D13" s="374"/>
      <c r="G13" t="s">
        <v>2490</v>
      </c>
      <c r="H13" t="s">
        <v>2495</v>
      </c>
      <c r="I13" s="313">
        <v>39600</v>
      </c>
      <c r="J13" s="3">
        <f t="shared" si="0"/>
        <v>34848</v>
      </c>
      <c r="K13" t="s">
        <v>17</v>
      </c>
      <c r="L13" s="122">
        <v>45097</v>
      </c>
      <c r="M13" s="28" t="s">
        <v>81</v>
      </c>
      <c r="T13" s="14"/>
    </row>
    <row r="14" spans="1:22" hidden="1" x14ac:dyDescent="0.25">
      <c r="A14" s="256">
        <v>12052023</v>
      </c>
      <c r="B14" t="s">
        <v>2367</v>
      </c>
      <c r="C14" t="s">
        <v>410</v>
      </c>
      <c r="D14" s="374">
        <v>45058</v>
      </c>
      <c r="F14" t="s">
        <v>1931</v>
      </c>
      <c r="G14" s="30" t="s">
        <v>2491</v>
      </c>
      <c r="H14" t="s">
        <v>2496</v>
      </c>
      <c r="I14" s="236">
        <v>15916</v>
      </c>
      <c r="J14" s="3">
        <f t="shared" si="0"/>
        <v>14006</v>
      </c>
      <c r="K14" t="s">
        <v>17</v>
      </c>
      <c r="L14" s="122">
        <v>45097</v>
      </c>
      <c r="M14" s="28" t="s">
        <v>81</v>
      </c>
      <c r="T14" t="s">
        <v>2366</v>
      </c>
      <c r="U14" s="14">
        <v>0.3347222222222222</v>
      </c>
      <c r="V14" s="14"/>
    </row>
    <row r="15" spans="1:22" hidden="1" x14ac:dyDescent="0.25">
      <c r="A15" s="256"/>
      <c r="D15" s="374"/>
      <c r="G15" t="s">
        <v>2459</v>
      </c>
      <c r="H15" t="s">
        <v>2456</v>
      </c>
      <c r="I15" s="236">
        <v>39600</v>
      </c>
      <c r="J15" s="3">
        <f t="shared" si="0"/>
        <v>34848</v>
      </c>
      <c r="K15" t="s">
        <v>17</v>
      </c>
      <c r="L15" s="122">
        <v>45097</v>
      </c>
      <c r="M15" s="28" t="s">
        <v>81</v>
      </c>
      <c r="U15" s="14"/>
      <c r="V15" s="14"/>
    </row>
    <row r="16" spans="1:22" hidden="1" x14ac:dyDescent="0.25">
      <c r="A16" s="256">
        <v>18052023</v>
      </c>
      <c r="B16" t="s">
        <v>2367</v>
      </c>
      <c r="C16" t="s">
        <v>693</v>
      </c>
      <c r="D16" s="374">
        <v>45064</v>
      </c>
      <c r="F16" t="s">
        <v>1931</v>
      </c>
      <c r="G16" s="30" t="s">
        <v>2458</v>
      </c>
      <c r="H16" t="s">
        <v>2457</v>
      </c>
      <c r="I16" s="313">
        <v>15916</v>
      </c>
      <c r="J16" s="3">
        <f t="shared" si="0"/>
        <v>14006</v>
      </c>
      <c r="K16" t="s">
        <v>17</v>
      </c>
      <c r="L16" s="122">
        <v>45097</v>
      </c>
      <c r="M16" s="28" t="s">
        <v>81</v>
      </c>
      <c r="T16" t="s">
        <v>922</v>
      </c>
      <c r="U16" s="14">
        <v>0.29375000000000001</v>
      </c>
      <c r="V16" s="14"/>
    </row>
    <row r="17" spans="1:22" hidden="1" x14ac:dyDescent="0.25">
      <c r="A17" s="256"/>
      <c r="D17" s="374"/>
      <c r="G17" t="s">
        <v>2411</v>
      </c>
      <c r="H17" s="13" t="s">
        <v>2509</v>
      </c>
      <c r="I17" s="236">
        <v>31200</v>
      </c>
      <c r="J17" s="3">
        <f t="shared" si="0"/>
        <v>27456</v>
      </c>
      <c r="K17" t="s">
        <v>17</v>
      </c>
      <c r="L17" s="122">
        <v>45097</v>
      </c>
      <c r="M17" s="28" t="s">
        <v>81</v>
      </c>
      <c r="U17" s="14"/>
      <c r="V17" s="14"/>
    </row>
    <row r="18" spans="1:22" hidden="1" x14ac:dyDescent="0.25">
      <c r="A18" s="256">
        <v>26052023</v>
      </c>
      <c r="B18" t="s">
        <v>2367</v>
      </c>
      <c r="C18" t="s">
        <v>410</v>
      </c>
      <c r="D18" s="374">
        <v>45072</v>
      </c>
      <c r="F18" t="s">
        <v>1931</v>
      </c>
      <c r="G18" s="30" t="s">
        <v>2412</v>
      </c>
      <c r="H18" s="199" t="s">
        <v>2518</v>
      </c>
      <c r="I18" s="313">
        <v>24316</v>
      </c>
      <c r="J18" s="3">
        <f t="shared" si="0"/>
        <v>21398</v>
      </c>
      <c r="K18" t="s">
        <v>17</v>
      </c>
      <c r="L18" s="122">
        <v>45099</v>
      </c>
      <c r="T18" t="s">
        <v>2050</v>
      </c>
      <c r="U18" s="14">
        <v>0.5395833333333333</v>
      </c>
      <c r="V18" s="14">
        <v>0.86319444444444438</v>
      </c>
    </row>
    <row r="19" spans="1:22" hidden="1" x14ac:dyDescent="0.25">
      <c r="A19" s="256">
        <v>21062023</v>
      </c>
      <c r="B19" t="s">
        <v>2367</v>
      </c>
      <c r="C19" t="s">
        <v>410</v>
      </c>
      <c r="D19" s="374">
        <v>45098</v>
      </c>
      <c r="F19" t="s">
        <v>1931</v>
      </c>
      <c r="G19" s="30" t="s">
        <v>2703</v>
      </c>
      <c r="H19" s="30" t="s">
        <v>2820</v>
      </c>
      <c r="I19" s="61">
        <v>31200</v>
      </c>
      <c r="J19" s="3">
        <f t="shared" si="0"/>
        <v>27456</v>
      </c>
      <c r="K19" t="s">
        <v>17</v>
      </c>
      <c r="L19" s="374">
        <v>45167</v>
      </c>
      <c r="M19"/>
      <c r="T19" s="14" t="s">
        <v>893</v>
      </c>
      <c r="U19" s="14">
        <v>0.26041666666666669</v>
      </c>
      <c r="V19" s="14">
        <v>0.60277777777777775</v>
      </c>
    </row>
    <row r="20" spans="1:22" hidden="1" x14ac:dyDescent="0.25">
      <c r="A20" s="256"/>
      <c r="D20" s="374">
        <v>45098</v>
      </c>
      <c r="F20" t="s">
        <v>1931</v>
      </c>
      <c r="G20" s="30" t="s">
        <v>2704</v>
      </c>
      <c r="H20" s="30" t="s">
        <v>2821</v>
      </c>
      <c r="I20" s="61">
        <v>24316</v>
      </c>
      <c r="J20" s="3">
        <f t="shared" si="0"/>
        <v>21398</v>
      </c>
      <c r="K20" t="s">
        <v>17</v>
      </c>
      <c r="L20" s="374">
        <v>45167</v>
      </c>
      <c r="M20"/>
      <c r="T20" s="14"/>
      <c r="U20" s="14"/>
      <c r="V20" s="14"/>
    </row>
    <row r="21" spans="1:22" hidden="1" x14ac:dyDescent="0.25">
      <c r="A21" s="256"/>
      <c r="D21" s="374"/>
      <c r="G21" s="30" t="s">
        <v>2755</v>
      </c>
      <c r="H21" s="30" t="s">
        <v>2843</v>
      </c>
      <c r="I21" s="61">
        <v>31200</v>
      </c>
      <c r="J21" s="3">
        <f t="shared" si="0"/>
        <v>27456</v>
      </c>
      <c r="K21" t="s">
        <v>17</v>
      </c>
      <c r="L21" s="374">
        <v>45176</v>
      </c>
      <c r="M21"/>
      <c r="T21" s="14"/>
      <c r="U21" s="14"/>
      <c r="V21" s="14"/>
    </row>
    <row r="22" spans="1:22" hidden="1" x14ac:dyDescent="0.25">
      <c r="A22" s="256">
        <v>20072023</v>
      </c>
      <c r="B22" t="s">
        <v>2367</v>
      </c>
      <c r="C22" t="s">
        <v>13</v>
      </c>
      <c r="D22" s="122">
        <v>45127</v>
      </c>
      <c r="F22" t="s">
        <v>1931</v>
      </c>
      <c r="G22" s="30" t="s">
        <v>2756</v>
      </c>
      <c r="H22" s="30" t="s">
        <v>2844</v>
      </c>
      <c r="I22" s="61">
        <v>24316</v>
      </c>
      <c r="J22" s="3">
        <f t="shared" si="0"/>
        <v>21398</v>
      </c>
      <c r="K22" t="s">
        <v>17</v>
      </c>
      <c r="L22" s="374">
        <v>45176</v>
      </c>
      <c r="M22"/>
      <c r="T22" s="14" t="s">
        <v>1506</v>
      </c>
      <c r="U22" s="14"/>
      <c r="V22" s="14"/>
    </row>
    <row r="23" spans="1:22" hidden="1" x14ac:dyDescent="0.25">
      <c r="A23" s="256"/>
      <c r="D23" s="122"/>
      <c r="G23" s="30" t="s">
        <v>2918</v>
      </c>
      <c r="H23" s="30" t="s">
        <v>2842</v>
      </c>
      <c r="I23" s="61">
        <f>31200</f>
        <v>31200</v>
      </c>
      <c r="J23" s="3">
        <f t="shared" si="0"/>
        <v>27456</v>
      </c>
      <c r="K23" t="s">
        <v>17</v>
      </c>
      <c r="L23" s="374">
        <v>45176</v>
      </c>
      <c r="M23"/>
      <c r="T23" s="14"/>
      <c r="U23" s="14"/>
      <c r="V23" s="14"/>
    </row>
    <row r="24" spans="1:22" hidden="1" x14ac:dyDescent="0.25">
      <c r="A24" s="256">
        <v>29072023</v>
      </c>
      <c r="B24" t="s">
        <v>2679</v>
      </c>
      <c r="C24" t="s">
        <v>410</v>
      </c>
      <c r="D24" s="122">
        <v>45136</v>
      </c>
      <c r="F24" t="s">
        <v>1931</v>
      </c>
      <c r="G24" s="30" t="s">
        <v>2919</v>
      </c>
      <c r="H24" s="30" t="s">
        <v>2890</v>
      </c>
      <c r="I24" s="61">
        <v>24316</v>
      </c>
      <c r="J24" s="3">
        <f t="shared" si="0"/>
        <v>21398</v>
      </c>
      <c r="K24" t="s">
        <v>17</v>
      </c>
      <c r="L24" s="374">
        <v>45176</v>
      </c>
      <c r="M24"/>
      <c r="T24" s="14" t="s">
        <v>1042</v>
      </c>
      <c r="U24" s="14">
        <v>0.3298611111111111</v>
      </c>
      <c r="V24" s="14">
        <v>0.64166666666666672</v>
      </c>
    </row>
    <row r="25" spans="1:22" hidden="1" x14ac:dyDescent="0.25">
      <c r="A25" s="256"/>
      <c r="D25" s="122"/>
      <c r="G25" s="30" t="s">
        <v>2920</v>
      </c>
      <c r="H25" s="30" t="s">
        <v>2981</v>
      </c>
      <c r="I25" s="61">
        <v>31200</v>
      </c>
      <c r="J25" s="3">
        <f t="shared" si="0"/>
        <v>27456</v>
      </c>
      <c r="K25" t="s">
        <v>17</v>
      </c>
      <c r="L25" s="374">
        <v>45203</v>
      </c>
      <c r="M25"/>
      <c r="T25" s="14"/>
      <c r="U25" s="14"/>
      <c r="V25" s="14"/>
    </row>
    <row r="26" spans="1:22" s="30" customFormat="1" hidden="1" x14ac:dyDescent="0.25">
      <c r="A26" s="30">
        <v>29082023</v>
      </c>
      <c r="B26" s="30" t="s">
        <v>2285</v>
      </c>
      <c r="C26" s="30" t="s">
        <v>410</v>
      </c>
      <c r="D26" s="359">
        <v>45167</v>
      </c>
      <c r="F26" t="s">
        <v>1931</v>
      </c>
      <c r="G26" s="30" t="s">
        <v>2921</v>
      </c>
      <c r="H26" s="30" t="s">
        <v>2982</v>
      </c>
      <c r="I26" s="61">
        <v>27266</v>
      </c>
      <c r="J26" s="3">
        <f t="shared" si="0"/>
        <v>23994</v>
      </c>
      <c r="K26" t="s">
        <v>17</v>
      </c>
      <c r="L26" s="374">
        <v>45203</v>
      </c>
      <c r="T26" s="360" t="s">
        <v>1644</v>
      </c>
      <c r="U26" s="360">
        <v>0.3</v>
      </c>
      <c r="V26" s="360"/>
    </row>
    <row r="27" spans="1:22" hidden="1" x14ac:dyDescent="0.25">
      <c r="A27" s="256"/>
      <c r="D27" s="122"/>
      <c r="G27" s="30" t="s">
        <v>2986</v>
      </c>
      <c r="H27" s="30" t="s">
        <v>2983</v>
      </c>
      <c r="I27" s="61">
        <v>31200</v>
      </c>
      <c r="J27" s="3">
        <f t="shared" si="0"/>
        <v>27456</v>
      </c>
      <c r="K27" t="s">
        <v>17</v>
      </c>
      <c r="L27" s="374">
        <v>45203</v>
      </c>
      <c r="M27"/>
      <c r="T27" s="14"/>
      <c r="U27" s="14"/>
      <c r="V27" s="14"/>
    </row>
    <row r="28" spans="1:22" s="30" customFormat="1" hidden="1" x14ac:dyDescent="0.25">
      <c r="A28" s="30">
        <v>29082023</v>
      </c>
      <c r="B28" s="30" t="s">
        <v>2285</v>
      </c>
      <c r="C28" t="s">
        <v>13</v>
      </c>
      <c r="D28" s="359">
        <v>45167</v>
      </c>
      <c r="F28" t="s">
        <v>1931</v>
      </c>
      <c r="G28" s="30" t="s">
        <v>2985</v>
      </c>
      <c r="H28" s="30" t="s">
        <v>2984</v>
      </c>
      <c r="I28" s="61">
        <v>27266</v>
      </c>
      <c r="J28" s="3">
        <f t="shared" si="0"/>
        <v>23994</v>
      </c>
      <c r="K28" t="s">
        <v>17</v>
      </c>
      <c r="L28" s="374">
        <v>45203</v>
      </c>
      <c r="T28" s="14" t="s">
        <v>2817</v>
      </c>
      <c r="U28" s="14">
        <v>0.3</v>
      </c>
      <c r="V28" s="14">
        <v>0.70347222222222217</v>
      </c>
    </row>
    <row r="29" spans="1:22" s="30" customFormat="1" hidden="1" x14ac:dyDescent="0.25">
      <c r="C29"/>
      <c r="D29" s="359"/>
      <c r="F29"/>
      <c r="G29" s="30" t="s">
        <v>2989</v>
      </c>
      <c r="H29" s="30" t="s">
        <v>3062</v>
      </c>
      <c r="I29" s="61">
        <v>31200</v>
      </c>
      <c r="J29" s="3">
        <f t="shared" si="0"/>
        <v>27456</v>
      </c>
      <c r="K29" s="2" t="s">
        <v>17</v>
      </c>
      <c r="L29" s="359">
        <v>45222</v>
      </c>
      <c r="T29" s="14"/>
      <c r="U29" s="14"/>
      <c r="V29" s="14"/>
    </row>
    <row r="30" spans="1:22" hidden="1" x14ac:dyDescent="0.25">
      <c r="A30" s="256">
        <v>24092023</v>
      </c>
      <c r="B30" t="s">
        <v>2943</v>
      </c>
      <c r="C30" t="s">
        <v>410</v>
      </c>
      <c r="D30" s="359">
        <v>45193</v>
      </c>
      <c r="F30" t="s">
        <v>1931</v>
      </c>
      <c r="G30" s="30" t="s">
        <v>2990</v>
      </c>
      <c r="H30" s="30" t="s">
        <v>3063</v>
      </c>
      <c r="I30" s="61">
        <v>27266</v>
      </c>
      <c r="J30" s="3">
        <f t="shared" si="0"/>
        <v>23994</v>
      </c>
      <c r="K30" s="2" t="s">
        <v>17</v>
      </c>
      <c r="L30" s="359">
        <v>45222</v>
      </c>
      <c r="M30"/>
      <c r="T30" s="14" t="s">
        <v>2940</v>
      </c>
      <c r="U30" s="14">
        <v>0.40625</v>
      </c>
      <c r="V30" s="14">
        <v>0.7104166666666667</v>
      </c>
    </row>
    <row r="31" spans="1:22" hidden="1" x14ac:dyDescent="0.25">
      <c r="A31" s="256"/>
      <c r="D31" s="359"/>
      <c r="G31" s="30" t="s">
        <v>2988</v>
      </c>
      <c r="H31" s="30" t="s">
        <v>3101</v>
      </c>
      <c r="I31" s="61">
        <v>31200</v>
      </c>
      <c r="J31" s="3">
        <f t="shared" si="0"/>
        <v>27456</v>
      </c>
      <c r="K31" s="2" t="s">
        <v>17</v>
      </c>
      <c r="L31" s="359">
        <v>45229</v>
      </c>
      <c r="M31"/>
      <c r="T31" s="14"/>
      <c r="U31" s="14"/>
      <c r="V31" s="14"/>
    </row>
    <row r="32" spans="1:22" s="30" customFormat="1" hidden="1" x14ac:dyDescent="0.25">
      <c r="A32" s="256">
        <v>30092023</v>
      </c>
      <c r="B32" s="30" t="s">
        <v>2943</v>
      </c>
      <c r="C32" s="30" t="s">
        <v>809</v>
      </c>
      <c r="D32" s="359">
        <v>45199</v>
      </c>
      <c r="F32" t="s">
        <v>1931</v>
      </c>
      <c r="G32" s="30" t="s">
        <v>2987</v>
      </c>
      <c r="H32" s="30" t="s">
        <v>3102</v>
      </c>
      <c r="I32" s="61">
        <v>27266</v>
      </c>
      <c r="J32" s="3">
        <f t="shared" si="0"/>
        <v>23994</v>
      </c>
      <c r="K32" s="2" t="s">
        <v>17</v>
      </c>
      <c r="L32" s="359">
        <v>45229</v>
      </c>
      <c r="T32" s="360" t="s">
        <v>1894</v>
      </c>
      <c r="U32" s="360">
        <v>0.70624999999999993</v>
      </c>
      <c r="V32" s="360">
        <v>9.7916666666666666E-2</v>
      </c>
    </row>
    <row r="33" spans="1:23" s="30" customFormat="1" hidden="1" x14ac:dyDescent="0.25">
      <c r="A33" s="256"/>
      <c r="D33" s="359"/>
      <c r="F33"/>
      <c r="G33" s="30" t="s">
        <v>2999</v>
      </c>
      <c r="H33" s="30" t="s">
        <v>3119</v>
      </c>
      <c r="I33" s="61">
        <v>31200</v>
      </c>
      <c r="J33" s="3">
        <f t="shared" si="0"/>
        <v>27456</v>
      </c>
      <c r="K33" s="2" t="s">
        <v>17</v>
      </c>
      <c r="L33" s="359">
        <v>45230</v>
      </c>
      <c r="T33" s="360"/>
      <c r="U33" s="360"/>
      <c r="V33" s="360"/>
    </row>
    <row r="34" spans="1:23" hidden="1" x14ac:dyDescent="0.25">
      <c r="A34" s="95" t="s">
        <v>2993</v>
      </c>
      <c r="B34" t="s">
        <v>2994</v>
      </c>
      <c r="C34" t="s">
        <v>410</v>
      </c>
      <c r="D34" s="359">
        <v>45203</v>
      </c>
      <c r="F34" t="s">
        <v>1931</v>
      </c>
      <c r="G34" s="30" t="s">
        <v>3000</v>
      </c>
      <c r="H34" s="30" t="s">
        <v>3120</v>
      </c>
      <c r="I34" s="61">
        <v>27266</v>
      </c>
      <c r="J34" s="3">
        <f t="shared" si="0"/>
        <v>23994</v>
      </c>
      <c r="K34" s="2" t="s">
        <v>17</v>
      </c>
      <c r="L34" s="359">
        <v>45230</v>
      </c>
      <c r="M34"/>
      <c r="T34" s="14" t="s">
        <v>916</v>
      </c>
      <c r="U34" s="14">
        <v>0.31111111111111112</v>
      </c>
      <c r="V34" s="14">
        <v>0.61736111111111114</v>
      </c>
    </row>
    <row r="35" spans="1:23" hidden="1" x14ac:dyDescent="0.25">
      <c r="A35" s="95"/>
      <c r="D35" s="359"/>
      <c r="G35" s="30" t="s">
        <v>3132</v>
      </c>
      <c r="H35" s="30" t="s">
        <v>3282</v>
      </c>
      <c r="I35" s="61">
        <v>31200</v>
      </c>
      <c r="J35" s="3">
        <f t="shared" si="0"/>
        <v>27456</v>
      </c>
      <c r="K35" s="2" t="s">
        <v>17</v>
      </c>
      <c r="L35" s="359">
        <v>45266</v>
      </c>
      <c r="M35"/>
      <c r="T35" s="14"/>
      <c r="U35" s="14"/>
      <c r="V35" s="14"/>
    </row>
    <row r="36" spans="1:23" s="30" customFormat="1" hidden="1" x14ac:dyDescent="0.25">
      <c r="A36" s="256">
        <v>24102023</v>
      </c>
      <c r="B36" s="30" t="s">
        <v>3089</v>
      </c>
      <c r="C36" s="30" t="s">
        <v>13</v>
      </c>
      <c r="D36" s="359">
        <v>45223</v>
      </c>
      <c r="F36" t="s">
        <v>1931</v>
      </c>
      <c r="G36" s="30" t="s">
        <v>3133</v>
      </c>
      <c r="H36" s="30" t="s">
        <v>3283</v>
      </c>
      <c r="I36" s="61">
        <v>27266</v>
      </c>
      <c r="J36" s="3">
        <f t="shared" si="0"/>
        <v>23994</v>
      </c>
      <c r="K36" s="2" t="s">
        <v>17</v>
      </c>
      <c r="L36" s="359">
        <v>45266</v>
      </c>
      <c r="T36" s="30" t="s">
        <v>1644</v>
      </c>
      <c r="U36" s="360">
        <v>0.60416666666666663</v>
      </c>
      <c r="V36" s="360">
        <v>0.92499999999999993</v>
      </c>
    </row>
    <row r="37" spans="1:23" s="30" customFormat="1" hidden="1" x14ac:dyDescent="0.25">
      <c r="A37" s="256"/>
      <c r="D37" s="359"/>
      <c r="F37"/>
      <c r="G37" s="30" t="s">
        <v>3103</v>
      </c>
      <c r="H37" s="30" t="s">
        <v>3284</v>
      </c>
      <c r="I37" s="61">
        <v>31200</v>
      </c>
      <c r="J37" s="3">
        <f t="shared" si="0"/>
        <v>27456</v>
      </c>
      <c r="K37" s="2" t="s">
        <v>17</v>
      </c>
      <c r="L37" s="359">
        <v>45266</v>
      </c>
      <c r="U37" s="360"/>
      <c r="V37" s="360"/>
    </row>
    <row r="38" spans="1:23" hidden="1" x14ac:dyDescent="0.25">
      <c r="A38" s="256">
        <v>26102023</v>
      </c>
      <c r="B38" t="s">
        <v>3089</v>
      </c>
      <c r="C38" t="s">
        <v>13</v>
      </c>
      <c r="D38" s="359">
        <v>45225</v>
      </c>
      <c r="F38" s="30" t="s">
        <v>1931</v>
      </c>
      <c r="G38" s="30" t="s">
        <v>3104</v>
      </c>
      <c r="H38" s="30" t="s">
        <v>3285</v>
      </c>
      <c r="I38" s="61">
        <v>27266</v>
      </c>
      <c r="J38" s="3">
        <f t="shared" si="0"/>
        <v>23994</v>
      </c>
      <c r="K38" s="2" t="s">
        <v>17</v>
      </c>
      <c r="L38" s="359">
        <v>45266</v>
      </c>
      <c r="M38"/>
      <c r="T38" s="14" t="s">
        <v>2050</v>
      </c>
      <c r="U38" s="14">
        <v>0.32708333333333334</v>
      </c>
      <c r="V38" s="14"/>
    </row>
    <row r="39" spans="1:23" hidden="1" x14ac:dyDescent="0.25">
      <c r="A39" s="256"/>
      <c r="D39" s="359"/>
      <c r="F39" s="30"/>
      <c r="G39" s="30" t="s">
        <v>3141</v>
      </c>
      <c r="H39" s="30" t="s">
        <v>3280</v>
      </c>
      <c r="I39" s="61">
        <v>31200</v>
      </c>
      <c r="J39" s="3">
        <f t="shared" si="0"/>
        <v>27456</v>
      </c>
      <c r="K39" s="2" t="s">
        <v>17</v>
      </c>
      <c r="L39" s="359">
        <v>45266</v>
      </c>
      <c r="M39"/>
      <c r="T39" s="14"/>
      <c r="U39" s="14"/>
      <c r="V39" s="14"/>
    </row>
    <row r="40" spans="1:23" s="30" customFormat="1" hidden="1" x14ac:dyDescent="0.25">
      <c r="A40" s="256">
        <v>30102023</v>
      </c>
      <c r="B40" s="373" t="s">
        <v>3089</v>
      </c>
      <c r="C40" s="30" t="s">
        <v>13</v>
      </c>
      <c r="D40" s="359">
        <v>45229</v>
      </c>
      <c r="F40" s="30" t="s">
        <v>1931</v>
      </c>
      <c r="G40" s="30" t="s">
        <v>3142</v>
      </c>
      <c r="H40" s="30" t="s">
        <v>3281</v>
      </c>
      <c r="I40" s="61">
        <v>27266</v>
      </c>
      <c r="J40" s="3">
        <f t="shared" si="0"/>
        <v>23994</v>
      </c>
      <c r="K40" s="2" t="s">
        <v>17</v>
      </c>
      <c r="L40" s="359">
        <v>45266</v>
      </c>
      <c r="T40" s="360" t="s">
        <v>916</v>
      </c>
      <c r="U40" s="360">
        <v>0.7006944444444444</v>
      </c>
      <c r="V40" s="360">
        <v>2.9861111111111113E-2</v>
      </c>
    </row>
    <row r="41" spans="1:23" s="30" customFormat="1" hidden="1" x14ac:dyDescent="0.25">
      <c r="A41" s="256"/>
      <c r="B41" s="373"/>
      <c r="D41" s="359"/>
      <c r="G41" s="30" t="s">
        <v>3286</v>
      </c>
      <c r="H41" s="30" t="s">
        <v>3497</v>
      </c>
      <c r="I41" s="61">
        <v>31200</v>
      </c>
      <c r="J41" s="3">
        <f t="shared" si="0"/>
        <v>27456</v>
      </c>
      <c r="K41" s="30" t="s">
        <v>17</v>
      </c>
      <c r="L41" s="359">
        <v>45301</v>
      </c>
      <c r="T41" s="360"/>
      <c r="U41" s="360"/>
      <c r="V41" s="360"/>
    </row>
    <row r="42" spans="1:23" hidden="1" x14ac:dyDescent="0.25">
      <c r="A42" s="430" t="s">
        <v>3259</v>
      </c>
      <c r="B42" t="s">
        <v>3260</v>
      </c>
      <c r="C42" t="s">
        <v>13</v>
      </c>
      <c r="D42" s="122">
        <v>45261</v>
      </c>
      <c r="F42" s="28" t="s">
        <v>1931</v>
      </c>
      <c r="G42" s="30" t="s">
        <v>3287</v>
      </c>
      <c r="H42" s="30" t="s">
        <v>3501</v>
      </c>
      <c r="I42" s="313">
        <v>27266</v>
      </c>
      <c r="J42" s="3">
        <f t="shared" si="0"/>
        <v>23994</v>
      </c>
      <c r="K42" s="30" t="s">
        <v>17</v>
      </c>
      <c r="L42" s="359">
        <v>45301</v>
      </c>
      <c r="M42"/>
      <c r="T42" s="14" t="s">
        <v>989</v>
      </c>
      <c r="U42" s="14">
        <v>0.43333333333333335</v>
      </c>
      <c r="V42" s="14"/>
    </row>
    <row r="43" spans="1:23" hidden="1" x14ac:dyDescent="0.25">
      <c r="A43" s="430"/>
      <c r="D43" s="122"/>
      <c r="F43" s="28"/>
      <c r="G43" s="30" t="s">
        <v>3494</v>
      </c>
      <c r="H43" s="30" t="s">
        <v>3500</v>
      </c>
      <c r="I43" s="313">
        <v>31200</v>
      </c>
      <c r="J43" s="3">
        <f t="shared" si="0"/>
        <v>27456</v>
      </c>
      <c r="K43" s="30" t="s">
        <v>17</v>
      </c>
      <c r="L43" s="359">
        <v>45301</v>
      </c>
      <c r="M43"/>
      <c r="T43" s="14"/>
      <c r="U43" s="14"/>
      <c r="V43" s="14"/>
    </row>
    <row r="44" spans="1:23" hidden="1" x14ac:dyDescent="0.25">
      <c r="A44" s="430" t="s">
        <v>3351</v>
      </c>
      <c r="B44" t="s">
        <v>3260</v>
      </c>
      <c r="C44" t="s">
        <v>278</v>
      </c>
      <c r="D44" s="122">
        <v>45280</v>
      </c>
      <c r="F44" s="28" t="s">
        <v>1931</v>
      </c>
      <c r="G44" s="30" t="s">
        <v>3495</v>
      </c>
      <c r="H44" s="30" t="s">
        <v>3496</v>
      </c>
      <c r="I44" s="313">
        <v>27266</v>
      </c>
      <c r="J44" s="3">
        <f t="shared" si="0"/>
        <v>23994</v>
      </c>
      <c r="K44" s="30" t="s">
        <v>17</v>
      </c>
      <c r="L44" s="359">
        <v>45301</v>
      </c>
      <c r="M44"/>
      <c r="T44" s="14" t="s">
        <v>2050</v>
      </c>
      <c r="U44" s="14">
        <v>0.31388888888888888</v>
      </c>
      <c r="V44" s="14"/>
    </row>
    <row r="45" spans="1:23" hidden="1" x14ac:dyDescent="0.25">
      <c r="A45" s="430"/>
      <c r="D45" s="122"/>
      <c r="F45" s="28"/>
      <c r="G45" s="30" t="s">
        <v>3492</v>
      </c>
      <c r="H45" s="30" t="s">
        <v>3498</v>
      </c>
      <c r="I45" s="313">
        <v>31200</v>
      </c>
      <c r="J45" s="3">
        <f t="shared" si="0"/>
        <v>27456</v>
      </c>
      <c r="K45" s="30" t="s">
        <v>17</v>
      </c>
      <c r="L45" s="359">
        <v>45301</v>
      </c>
      <c r="M45"/>
      <c r="T45" s="14"/>
      <c r="U45" s="14"/>
      <c r="V45" s="14"/>
    </row>
    <row r="46" spans="1:23" hidden="1" x14ac:dyDescent="0.25">
      <c r="A46" s="430" t="s">
        <v>3386</v>
      </c>
      <c r="B46" t="s">
        <v>3388</v>
      </c>
      <c r="C46" t="s">
        <v>410</v>
      </c>
      <c r="D46" s="122">
        <v>45286</v>
      </c>
      <c r="F46" s="28" t="s">
        <v>1931</v>
      </c>
      <c r="G46" s="30" t="s">
        <v>3493</v>
      </c>
      <c r="H46" s="30" t="s">
        <v>3499</v>
      </c>
      <c r="I46" s="313">
        <v>27266</v>
      </c>
      <c r="J46" s="3">
        <f t="shared" si="0"/>
        <v>23994</v>
      </c>
      <c r="K46" s="30" t="s">
        <v>17</v>
      </c>
      <c r="L46" s="359">
        <v>45301</v>
      </c>
      <c r="M46"/>
      <c r="T46" s="14" t="s">
        <v>1656</v>
      </c>
      <c r="U46" s="14">
        <v>0.73402777777777783</v>
      </c>
      <c r="V46" s="14">
        <v>6.6666666666666666E-2</v>
      </c>
      <c r="W46" t="s">
        <v>3389</v>
      </c>
    </row>
    <row r="47" spans="1:23" hidden="1" x14ac:dyDescent="0.25">
      <c r="A47" s="430"/>
      <c r="D47" s="122"/>
      <c r="F47" s="28"/>
      <c r="G47" s="30" t="s">
        <v>3504</v>
      </c>
      <c r="H47" s="30" t="s">
        <v>4006</v>
      </c>
      <c r="I47" s="313">
        <v>31200</v>
      </c>
      <c r="J47" s="3">
        <f t="shared" si="0"/>
        <v>27456</v>
      </c>
      <c r="K47" s="30" t="s">
        <v>17</v>
      </c>
      <c r="L47" s="359">
        <v>45399</v>
      </c>
      <c r="M47"/>
      <c r="T47" s="14"/>
      <c r="U47" s="14"/>
      <c r="V47" s="14"/>
    </row>
    <row r="48" spans="1:23" hidden="1" x14ac:dyDescent="0.25">
      <c r="A48" s="430" t="s">
        <v>3400</v>
      </c>
      <c r="B48" t="s">
        <v>3388</v>
      </c>
      <c r="C48" t="s">
        <v>809</v>
      </c>
      <c r="D48" s="359">
        <v>45288</v>
      </c>
      <c r="F48" s="28" t="s">
        <v>1931</v>
      </c>
      <c r="G48" s="30" t="s">
        <v>3505</v>
      </c>
      <c r="H48" s="30" t="s">
        <v>4006</v>
      </c>
      <c r="I48" s="313">
        <v>27266</v>
      </c>
      <c r="J48" s="3">
        <f t="shared" si="0"/>
        <v>23994</v>
      </c>
      <c r="K48" s="30" t="s">
        <v>17</v>
      </c>
      <c r="L48" s="359">
        <v>45399</v>
      </c>
      <c r="M48"/>
      <c r="T48" s="14" t="s">
        <v>3401</v>
      </c>
      <c r="U48" s="14">
        <v>0.5444444444444444</v>
      </c>
      <c r="V48" s="14">
        <v>0.9</v>
      </c>
    </row>
    <row r="49" spans="1:22" hidden="1" x14ac:dyDescent="0.25">
      <c r="A49" s="430"/>
      <c r="D49" s="122"/>
      <c r="F49" s="28"/>
      <c r="G49" s="30" t="s">
        <v>3502</v>
      </c>
      <c r="H49" s="30" t="s">
        <v>3962</v>
      </c>
      <c r="I49" s="313">
        <v>31200</v>
      </c>
      <c r="J49" s="3">
        <f t="shared" si="0"/>
        <v>27456</v>
      </c>
      <c r="K49" s="30" t="s">
        <v>17</v>
      </c>
      <c r="L49" s="359">
        <v>45390</v>
      </c>
      <c r="M49"/>
      <c r="T49" s="14"/>
      <c r="U49" s="14"/>
      <c r="V49" s="14"/>
    </row>
    <row r="50" spans="1:22" hidden="1" x14ac:dyDescent="0.25">
      <c r="A50" s="483" t="s">
        <v>3462</v>
      </c>
      <c r="B50" s="28" t="s">
        <v>3388</v>
      </c>
      <c r="C50" s="28" t="s">
        <v>410</v>
      </c>
      <c r="D50" s="233">
        <v>45299</v>
      </c>
      <c r="F50" s="28" t="s">
        <v>1931</v>
      </c>
      <c r="G50" s="30" t="s">
        <v>3503</v>
      </c>
      <c r="H50" s="30" t="s">
        <v>3967</v>
      </c>
      <c r="I50" s="313">
        <v>28250</v>
      </c>
      <c r="J50" s="3">
        <f t="shared" si="0"/>
        <v>24860</v>
      </c>
      <c r="K50" s="30" t="s">
        <v>17</v>
      </c>
      <c r="L50" s="359">
        <v>45390</v>
      </c>
      <c r="M50"/>
      <c r="T50" s="14" t="s">
        <v>2037</v>
      </c>
      <c r="U50" s="360">
        <v>0.73611111111111116</v>
      </c>
      <c r="V50" s="360">
        <v>6.7361111111111108E-2</v>
      </c>
    </row>
    <row r="51" spans="1:22" hidden="1" x14ac:dyDescent="0.25">
      <c r="A51" s="483"/>
      <c r="B51" s="28"/>
      <c r="C51" s="28"/>
      <c r="D51" s="233"/>
      <c r="F51" s="28"/>
      <c r="G51" s="30" t="s">
        <v>3547</v>
      </c>
      <c r="H51" s="30" t="s">
        <v>3963</v>
      </c>
      <c r="I51" s="61">
        <v>31200</v>
      </c>
      <c r="J51" s="3">
        <f t="shared" si="0"/>
        <v>27456</v>
      </c>
      <c r="K51" s="30" t="s">
        <v>17</v>
      </c>
      <c r="L51" s="359">
        <v>45390</v>
      </c>
      <c r="M51"/>
      <c r="T51" s="14"/>
      <c r="U51" s="360"/>
      <c r="V51" s="360"/>
    </row>
    <row r="52" spans="1:22" hidden="1" x14ac:dyDescent="0.25">
      <c r="A52" s="483">
        <v>11012024</v>
      </c>
      <c r="B52" s="28" t="s">
        <v>3388</v>
      </c>
      <c r="C52" s="28" t="s">
        <v>3414</v>
      </c>
      <c r="D52" s="233">
        <v>45302</v>
      </c>
      <c r="F52" s="28" t="s">
        <v>1931</v>
      </c>
      <c r="G52" s="30" t="s">
        <v>3548</v>
      </c>
      <c r="H52" s="30" t="s">
        <v>3968</v>
      </c>
      <c r="I52" s="61">
        <v>28250</v>
      </c>
      <c r="J52" s="3">
        <f t="shared" si="0"/>
        <v>24860</v>
      </c>
      <c r="K52" s="30" t="s">
        <v>17</v>
      </c>
      <c r="L52" s="359">
        <v>45390</v>
      </c>
      <c r="M52"/>
      <c r="T52" s="14" t="s">
        <v>2380</v>
      </c>
      <c r="U52" s="360">
        <v>0.77222222222222225</v>
      </c>
      <c r="V52" s="360">
        <v>7.7777777777777779E-2</v>
      </c>
    </row>
    <row r="53" spans="1:22" s="30" customFormat="1" hidden="1" x14ac:dyDescent="0.25">
      <c r="C53"/>
      <c r="D53" s="359"/>
      <c r="F53"/>
      <c r="G53" s="30" t="s">
        <v>3959</v>
      </c>
      <c r="H53" s="30" t="s">
        <v>3964</v>
      </c>
      <c r="I53" s="61">
        <v>31200</v>
      </c>
      <c r="J53" s="3">
        <f t="shared" si="0"/>
        <v>27456</v>
      </c>
      <c r="K53" s="30" t="s">
        <v>17</v>
      </c>
      <c r="L53" s="359">
        <v>45390</v>
      </c>
      <c r="T53" s="14"/>
      <c r="U53" s="14"/>
      <c r="V53" s="14"/>
    </row>
    <row r="54" spans="1:22" hidden="1" x14ac:dyDescent="0.25">
      <c r="A54" s="483">
        <v>14012024</v>
      </c>
      <c r="B54" s="28" t="s">
        <v>3388</v>
      </c>
      <c r="C54" s="28" t="s">
        <v>3414</v>
      </c>
      <c r="D54" s="233">
        <v>45305</v>
      </c>
      <c r="F54" s="28" t="s">
        <v>1931</v>
      </c>
      <c r="G54" s="30" t="s">
        <v>3958</v>
      </c>
      <c r="H54" s="30" t="s">
        <v>3969</v>
      </c>
      <c r="I54" s="61">
        <v>27266</v>
      </c>
      <c r="J54" s="3">
        <f t="shared" si="0"/>
        <v>23994</v>
      </c>
      <c r="K54" s="30" t="s">
        <v>17</v>
      </c>
      <c r="L54" s="359">
        <v>45390</v>
      </c>
      <c r="M54"/>
      <c r="T54" s="14" t="s">
        <v>1042</v>
      </c>
      <c r="U54" s="360">
        <v>0.29583333333333334</v>
      </c>
      <c r="V54" s="360">
        <v>0.6020833333333333</v>
      </c>
    </row>
    <row r="55" spans="1:22" hidden="1" x14ac:dyDescent="0.25">
      <c r="A55" s="483"/>
      <c r="B55" s="28"/>
      <c r="C55" s="28"/>
      <c r="D55" s="233"/>
      <c r="F55" s="28"/>
      <c r="G55" s="30" t="s">
        <v>3590</v>
      </c>
      <c r="H55" s="30" t="s">
        <v>3965</v>
      </c>
      <c r="I55" s="61">
        <v>31200</v>
      </c>
      <c r="J55" s="3">
        <f t="shared" si="0"/>
        <v>27456</v>
      </c>
      <c r="K55" s="30" t="s">
        <v>17</v>
      </c>
      <c r="L55" s="359">
        <v>45390</v>
      </c>
      <c r="M55"/>
      <c r="T55" s="14"/>
      <c r="U55" s="360"/>
      <c r="V55" s="360"/>
    </row>
    <row r="56" spans="1:22" hidden="1" x14ac:dyDescent="0.25">
      <c r="A56" s="483">
        <v>17012024</v>
      </c>
      <c r="B56" s="28" t="s">
        <v>3388</v>
      </c>
      <c r="C56" s="28" t="s">
        <v>3546</v>
      </c>
      <c r="D56" s="233">
        <v>45308</v>
      </c>
      <c r="F56" s="28" t="s">
        <v>1931</v>
      </c>
      <c r="G56" s="30" t="s">
        <v>3591</v>
      </c>
      <c r="H56" s="30" t="s">
        <v>3980</v>
      </c>
      <c r="I56" s="61">
        <v>28250</v>
      </c>
      <c r="J56" s="3">
        <f t="shared" si="0"/>
        <v>24860</v>
      </c>
      <c r="K56" s="30" t="s">
        <v>17</v>
      </c>
      <c r="L56" s="359">
        <v>45393</v>
      </c>
      <c r="M56"/>
      <c r="T56" s="14" t="s">
        <v>2050</v>
      </c>
      <c r="U56" s="360">
        <v>0.67083333333333339</v>
      </c>
      <c r="V56" s="360">
        <v>0.98541666666666661</v>
      </c>
    </row>
    <row r="57" spans="1:22" hidden="1" x14ac:dyDescent="0.25">
      <c r="A57" s="483"/>
      <c r="B57" s="28"/>
      <c r="C57" s="28"/>
      <c r="D57" s="233"/>
      <c r="F57" s="28"/>
      <c r="G57" s="30" t="s">
        <v>3656</v>
      </c>
      <c r="H57" s="30" t="s">
        <v>3981</v>
      </c>
      <c r="I57" s="61">
        <v>31200</v>
      </c>
      <c r="J57" s="3">
        <f t="shared" si="0"/>
        <v>27456</v>
      </c>
      <c r="K57" s="30" t="s">
        <v>17</v>
      </c>
      <c r="L57" s="359">
        <v>45393</v>
      </c>
      <c r="M57"/>
      <c r="T57" s="14"/>
      <c r="U57" s="360"/>
      <c r="V57" s="360"/>
    </row>
    <row r="58" spans="1:22" hidden="1" x14ac:dyDescent="0.25">
      <c r="A58" s="483">
        <v>29012024</v>
      </c>
      <c r="B58" s="28" t="s">
        <v>3388</v>
      </c>
      <c r="C58" s="28" t="s">
        <v>3414</v>
      </c>
      <c r="D58" s="233">
        <v>45320</v>
      </c>
      <c r="F58" s="28" t="s">
        <v>1931</v>
      </c>
      <c r="G58" s="30" t="s">
        <v>3657</v>
      </c>
      <c r="H58" s="30" t="s">
        <v>3970</v>
      </c>
      <c r="I58" s="61">
        <v>28250</v>
      </c>
      <c r="J58" s="3">
        <f t="shared" si="0"/>
        <v>24860</v>
      </c>
      <c r="K58" s="30" t="s">
        <v>17</v>
      </c>
      <c r="L58" s="359">
        <v>45390</v>
      </c>
      <c r="M58"/>
      <c r="T58" s="14" t="s">
        <v>922</v>
      </c>
      <c r="U58" s="360">
        <v>0.27638888888888885</v>
      </c>
      <c r="V58" s="360"/>
    </row>
    <row r="59" spans="1:22" hidden="1" x14ac:dyDescent="0.25">
      <c r="A59" s="483"/>
      <c r="B59" s="28"/>
      <c r="C59" s="28"/>
      <c r="D59" s="233"/>
      <c r="F59" s="28"/>
      <c r="G59" s="30" t="s">
        <v>3960</v>
      </c>
      <c r="H59" s="30" t="s">
        <v>3966</v>
      </c>
      <c r="I59" s="61">
        <v>32200</v>
      </c>
      <c r="J59" s="3">
        <f t="shared" si="0"/>
        <v>28336</v>
      </c>
      <c r="K59" s="30" t="s">
        <v>17</v>
      </c>
      <c r="L59" s="359">
        <v>45390</v>
      </c>
      <c r="M59"/>
      <c r="T59" s="14"/>
      <c r="U59" s="360"/>
      <c r="V59" s="360"/>
    </row>
    <row r="60" spans="1:22" hidden="1" x14ac:dyDescent="0.25">
      <c r="A60" s="509">
        <v>23022024</v>
      </c>
      <c r="B60" s="30" t="s">
        <v>3767</v>
      </c>
      <c r="C60" s="28" t="s">
        <v>13</v>
      </c>
      <c r="D60" s="233">
        <v>45345</v>
      </c>
      <c r="F60" s="28" t="s">
        <v>1985</v>
      </c>
      <c r="G60" s="30" t="s">
        <v>3961</v>
      </c>
      <c r="H60" s="30" t="s">
        <v>3971</v>
      </c>
      <c r="I60" s="61">
        <v>29250</v>
      </c>
      <c r="J60" s="3">
        <f t="shared" si="0"/>
        <v>25740</v>
      </c>
      <c r="K60" s="30" t="s">
        <v>17</v>
      </c>
      <c r="L60" s="359">
        <v>45390</v>
      </c>
      <c r="M60"/>
      <c r="T60" s="14" t="s">
        <v>1644</v>
      </c>
      <c r="U60" s="360">
        <v>0.31875000000000003</v>
      </c>
      <c r="V60" s="360"/>
    </row>
    <row r="61" spans="1:22" hidden="1" x14ac:dyDescent="0.25">
      <c r="A61" s="509"/>
      <c r="B61" s="30"/>
      <c r="C61" s="28"/>
      <c r="D61" s="233"/>
      <c r="F61" s="28"/>
      <c r="G61" s="30" t="s">
        <v>3893</v>
      </c>
      <c r="H61" s="30" t="s">
        <v>4088</v>
      </c>
      <c r="I61" s="61">
        <v>32200</v>
      </c>
      <c r="J61" s="3">
        <f t="shared" si="0"/>
        <v>28336</v>
      </c>
      <c r="K61" s="30" t="s">
        <v>17</v>
      </c>
      <c r="L61" s="359">
        <v>45418</v>
      </c>
      <c r="M61"/>
      <c r="T61" s="14"/>
      <c r="U61" s="360"/>
      <c r="V61" s="360"/>
    </row>
    <row r="62" spans="1:22" hidden="1" x14ac:dyDescent="0.25">
      <c r="A62" s="509">
        <v>15032024</v>
      </c>
      <c r="B62" s="30" t="s">
        <v>3388</v>
      </c>
      <c r="C62" s="28" t="s">
        <v>13</v>
      </c>
      <c r="D62" s="233">
        <v>45366</v>
      </c>
      <c r="F62" s="28" t="s">
        <v>1985</v>
      </c>
      <c r="G62" s="30" t="s">
        <v>4087</v>
      </c>
      <c r="H62" s="30" t="s">
        <v>4089</v>
      </c>
      <c r="I62" s="61">
        <v>29250</v>
      </c>
      <c r="J62" s="3">
        <f t="shared" si="0"/>
        <v>25740</v>
      </c>
      <c r="K62" s="30" t="s">
        <v>17</v>
      </c>
      <c r="L62" s="359">
        <v>45418</v>
      </c>
      <c r="M62"/>
      <c r="T62" s="14" t="s">
        <v>1506</v>
      </c>
      <c r="U62" s="360">
        <v>0.37986111111111115</v>
      </c>
      <c r="V62" s="360"/>
    </row>
    <row r="63" spans="1:22" hidden="1" x14ac:dyDescent="0.25">
      <c r="A63" s="509"/>
      <c r="B63" s="30"/>
      <c r="C63" s="28"/>
      <c r="D63" s="233"/>
      <c r="F63" s="28"/>
      <c r="G63" s="30" t="s">
        <v>4099</v>
      </c>
      <c r="H63" s="771" t="s">
        <v>5406</v>
      </c>
      <c r="I63" s="61">
        <v>32200</v>
      </c>
      <c r="J63" s="3">
        <f t="shared" si="0"/>
        <v>28336</v>
      </c>
      <c r="K63" s="30" t="s">
        <v>17</v>
      </c>
      <c r="L63" s="780">
        <v>45650</v>
      </c>
      <c r="M63"/>
      <c r="T63" s="14"/>
      <c r="U63" s="360"/>
      <c r="V63" s="360"/>
    </row>
    <row r="64" spans="1:22" hidden="1" x14ac:dyDescent="0.25">
      <c r="A64" s="509">
        <v>7052024</v>
      </c>
      <c r="B64" t="s">
        <v>4257</v>
      </c>
      <c r="C64" s="28" t="s">
        <v>13</v>
      </c>
      <c r="D64" s="233">
        <v>45419</v>
      </c>
      <c r="F64" s="28" t="s">
        <v>1931</v>
      </c>
      <c r="G64" s="30" t="s">
        <v>4100</v>
      </c>
      <c r="H64" s="771" t="s">
        <v>5407</v>
      </c>
      <c r="I64" s="61">
        <v>29250</v>
      </c>
      <c r="J64" s="3">
        <f t="shared" si="0"/>
        <v>25740</v>
      </c>
      <c r="K64" s="30" t="s">
        <v>17</v>
      </c>
      <c r="L64" s="780">
        <v>45650</v>
      </c>
      <c r="M64"/>
      <c r="T64" s="14" t="s">
        <v>4095</v>
      </c>
      <c r="U64" s="360">
        <v>0.29652777777777778</v>
      </c>
      <c r="V64" s="360">
        <v>0.62152777777777779</v>
      </c>
    </row>
    <row r="65" spans="1:22" hidden="1" x14ac:dyDescent="0.25">
      <c r="A65" s="509"/>
      <c r="C65" s="28"/>
      <c r="D65" s="233"/>
      <c r="F65" s="28"/>
      <c r="G65" s="30" t="s">
        <v>4135</v>
      </c>
      <c r="H65" s="30" t="s">
        <v>4378</v>
      </c>
      <c r="I65" s="61">
        <v>32200</v>
      </c>
      <c r="J65" s="3">
        <f t="shared" si="0"/>
        <v>28336</v>
      </c>
      <c r="K65" s="30" t="s">
        <v>17</v>
      </c>
      <c r="L65" s="359">
        <v>45477</v>
      </c>
      <c r="M65"/>
      <c r="T65" s="14"/>
      <c r="U65" s="360"/>
      <c r="V65" s="360"/>
    </row>
    <row r="66" spans="1:22" hidden="1" x14ac:dyDescent="0.25">
      <c r="A66" s="483">
        <v>10052024</v>
      </c>
      <c r="B66" t="s">
        <v>3388</v>
      </c>
      <c r="C66" s="28" t="s">
        <v>13</v>
      </c>
      <c r="D66" s="233">
        <v>45422</v>
      </c>
      <c r="F66" s="28" t="s">
        <v>1931</v>
      </c>
      <c r="G66" s="30" t="s">
        <v>4136</v>
      </c>
      <c r="H66" s="30" t="s">
        <v>4379</v>
      </c>
      <c r="I66" s="61">
        <v>29250</v>
      </c>
      <c r="J66" s="3">
        <f t="shared" si="0"/>
        <v>25740</v>
      </c>
      <c r="K66" s="30" t="s">
        <v>17</v>
      </c>
      <c r="L66" s="359">
        <v>45477</v>
      </c>
      <c r="M66"/>
      <c r="T66" s="14" t="s">
        <v>4123</v>
      </c>
      <c r="U66" s="360">
        <v>0.66111111111111109</v>
      </c>
      <c r="V66" s="360">
        <v>0.97777777777777775</v>
      </c>
    </row>
    <row r="67" spans="1:22" hidden="1" x14ac:dyDescent="0.25">
      <c r="A67" s="483"/>
      <c r="C67" s="28"/>
      <c r="D67" s="233"/>
      <c r="F67" s="28"/>
      <c r="G67" s="30" t="s">
        <v>4275</v>
      </c>
      <c r="H67" s="771" t="s">
        <v>5408</v>
      </c>
      <c r="I67" s="313">
        <v>32200</v>
      </c>
      <c r="J67" s="3">
        <f t="shared" ref="J67:J75" si="1">+I67-ROUND(I67*0.12,0)</f>
        <v>28336</v>
      </c>
      <c r="K67" s="30" t="s">
        <v>17</v>
      </c>
      <c r="L67" s="780">
        <v>45650</v>
      </c>
      <c r="M67"/>
      <c r="T67" s="14"/>
      <c r="U67" s="360"/>
      <c r="V67" s="360"/>
    </row>
    <row r="68" spans="1:22" hidden="1" x14ac:dyDescent="0.25">
      <c r="A68" s="509" t="s">
        <v>4256</v>
      </c>
      <c r="B68" t="s">
        <v>4257</v>
      </c>
      <c r="C68" s="28" t="s">
        <v>4218</v>
      </c>
      <c r="D68" s="233">
        <v>45448</v>
      </c>
      <c r="F68" s="28" t="s">
        <v>1985</v>
      </c>
      <c r="G68" s="30" t="s">
        <v>4276</v>
      </c>
      <c r="H68" s="428" t="s">
        <v>5409</v>
      </c>
      <c r="I68" s="61">
        <f>29250+1759</f>
        <v>31009</v>
      </c>
      <c r="J68" s="3">
        <f t="shared" si="1"/>
        <v>27288</v>
      </c>
      <c r="K68" s="30" t="s">
        <v>17</v>
      </c>
      <c r="L68" s="780">
        <v>45650</v>
      </c>
      <c r="M68"/>
      <c r="T68" s="14" t="s">
        <v>3151</v>
      </c>
      <c r="U68" s="360">
        <v>0.80902777777777779</v>
      </c>
      <c r="V68" s="360">
        <v>0.11597222222222221</v>
      </c>
    </row>
    <row r="69" spans="1:22" hidden="1" x14ac:dyDescent="0.25">
      <c r="A69" s="509"/>
      <c r="C69" s="28"/>
      <c r="D69" s="233"/>
      <c r="F69" s="28"/>
      <c r="G69" s="365" t="s">
        <v>4439</v>
      </c>
      <c r="H69" s="771" t="s">
        <v>5410</v>
      </c>
      <c r="I69" s="61">
        <v>32200</v>
      </c>
      <c r="J69" s="3">
        <f t="shared" si="1"/>
        <v>28336</v>
      </c>
      <c r="K69" s="30" t="s">
        <v>17</v>
      </c>
      <c r="L69" s="780">
        <v>45650</v>
      </c>
      <c r="M69"/>
      <c r="T69" s="14"/>
      <c r="U69" s="360"/>
      <c r="V69" s="360"/>
    </row>
    <row r="70" spans="1:22" hidden="1" x14ac:dyDescent="0.25">
      <c r="A70" s="509">
        <v>28062024</v>
      </c>
      <c r="B70" t="s">
        <v>4257</v>
      </c>
      <c r="C70" s="28" t="s">
        <v>410</v>
      </c>
      <c r="D70" s="233">
        <v>45471</v>
      </c>
      <c r="F70" s="28" t="s">
        <v>1985</v>
      </c>
      <c r="G70" s="30" t="s">
        <v>4440</v>
      </c>
      <c r="H70" s="771" t="s">
        <v>5411</v>
      </c>
      <c r="I70" s="313">
        <f>29250+2112</f>
        <v>31362</v>
      </c>
      <c r="J70" s="3">
        <f t="shared" si="1"/>
        <v>27599</v>
      </c>
      <c r="K70" s="30" t="s">
        <v>17</v>
      </c>
      <c r="L70" s="780">
        <v>45650</v>
      </c>
      <c r="M70"/>
      <c r="T70" s="14" t="s">
        <v>3408</v>
      </c>
      <c r="U70" s="360">
        <v>0.84236111111111101</v>
      </c>
      <c r="V70" s="360">
        <v>0.14375000000000002</v>
      </c>
    </row>
    <row r="71" spans="1:22" hidden="1" x14ac:dyDescent="0.25">
      <c r="A71" s="509"/>
      <c r="C71" s="28"/>
      <c r="D71" s="233"/>
      <c r="F71" s="28"/>
      <c r="G71" s="30" t="s">
        <v>4551</v>
      </c>
      <c r="H71" s="30" t="s">
        <v>6453</v>
      </c>
      <c r="I71" s="313">
        <v>32200</v>
      </c>
      <c r="J71" s="3">
        <f t="shared" si="1"/>
        <v>28336</v>
      </c>
      <c r="K71" t="s">
        <v>17</v>
      </c>
      <c r="L71" s="233">
        <v>45834</v>
      </c>
      <c r="M71"/>
      <c r="T71" s="14"/>
      <c r="U71" s="360"/>
      <c r="V71" s="360"/>
    </row>
    <row r="72" spans="1:22" hidden="1" x14ac:dyDescent="0.25">
      <c r="A72" s="483">
        <v>18072024</v>
      </c>
      <c r="B72" t="s">
        <v>4257</v>
      </c>
      <c r="C72" s="28" t="s">
        <v>13</v>
      </c>
      <c r="D72" s="233">
        <v>45491</v>
      </c>
      <c r="F72" s="28" t="s">
        <v>1985</v>
      </c>
      <c r="G72" s="30" t="s">
        <v>4552</v>
      </c>
      <c r="H72" s="30" t="s">
        <v>6453</v>
      </c>
      <c r="I72" s="88">
        <v>29250</v>
      </c>
      <c r="J72" s="3">
        <f t="shared" si="1"/>
        <v>25740</v>
      </c>
      <c r="K72" t="s">
        <v>17</v>
      </c>
      <c r="L72" s="233">
        <v>45834</v>
      </c>
      <c r="M72"/>
      <c r="T72" s="14" t="s">
        <v>3572</v>
      </c>
      <c r="U72" s="360">
        <v>0.67569444444444438</v>
      </c>
      <c r="V72" s="360">
        <v>0.98749999999999993</v>
      </c>
    </row>
    <row r="73" spans="1:22" hidden="1" x14ac:dyDescent="0.25">
      <c r="A73" s="483"/>
      <c r="C73" s="28"/>
      <c r="D73" s="233"/>
      <c r="F73" s="28"/>
      <c r="G73" t="s">
        <v>5562</v>
      </c>
      <c r="H73" s="30" t="s">
        <v>6453</v>
      </c>
      <c r="I73" s="88">
        <v>31200</v>
      </c>
      <c r="J73" s="3">
        <f t="shared" si="1"/>
        <v>27456</v>
      </c>
      <c r="K73" t="s">
        <v>17</v>
      </c>
      <c r="L73" s="233">
        <v>45834</v>
      </c>
      <c r="M73"/>
      <c r="T73" s="14"/>
      <c r="U73" s="360"/>
      <c r="V73" s="360"/>
    </row>
    <row r="74" spans="1:22" hidden="1" x14ac:dyDescent="0.25">
      <c r="A74" s="483">
        <v>18122024</v>
      </c>
      <c r="B74" t="s">
        <v>2285</v>
      </c>
      <c r="C74" s="233" t="s">
        <v>410</v>
      </c>
      <c r="D74" s="233">
        <v>45644</v>
      </c>
      <c r="E74" s="28"/>
      <c r="F74" s="28" t="s">
        <v>1931</v>
      </c>
      <c r="G74" t="s">
        <v>5560</v>
      </c>
      <c r="H74" s="30" t="s">
        <v>6453</v>
      </c>
      <c r="I74" s="88">
        <v>24024</v>
      </c>
      <c r="J74" s="3">
        <f t="shared" si="1"/>
        <v>21141</v>
      </c>
      <c r="K74" t="s">
        <v>17</v>
      </c>
      <c r="L74" s="233">
        <v>45834</v>
      </c>
      <c r="M74"/>
      <c r="T74" t="s">
        <v>4617</v>
      </c>
      <c r="U74" s="360">
        <v>0.65625</v>
      </c>
      <c r="V74" s="360"/>
    </row>
    <row r="75" spans="1:22" hidden="1" x14ac:dyDescent="0.25">
      <c r="A75" s="483"/>
      <c r="C75" s="233"/>
      <c r="D75" s="233"/>
      <c r="E75" s="28"/>
      <c r="F75" s="28"/>
      <c r="G75" s="30" t="s">
        <v>5563</v>
      </c>
      <c r="H75" s="30" t="s">
        <v>5939</v>
      </c>
      <c r="I75" s="88">
        <v>31200</v>
      </c>
      <c r="J75" s="3">
        <f t="shared" si="1"/>
        <v>27456</v>
      </c>
      <c r="K75" s="313" t="s">
        <v>17</v>
      </c>
      <c r="L75" s="233">
        <v>45761</v>
      </c>
      <c r="M75"/>
      <c r="U75" s="360"/>
      <c r="V75" s="360"/>
    </row>
    <row r="76" spans="1:22" hidden="1" x14ac:dyDescent="0.25">
      <c r="A76" s="483">
        <v>13012025</v>
      </c>
      <c r="B76" t="s">
        <v>5508</v>
      </c>
      <c r="C76" s="233" t="s">
        <v>410</v>
      </c>
      <c r="D76" s="233">
        <v>45670</v>
      </c>
      <c r="E76" s="28"/>
      <c r="F76" s="28" t="s">
        <v>1931</v>
      </c>
      <c r="G76" t="s">
        <v>5561</v>
      </c>
      <c r="H76" s="30" t="s">
        <v>5940</v>
      </c>
      <c r="I76" s="88">
        <v>24024</v>
      </c>
      <c r="J76" s="3">
        <f>+I76-ROUND(I76*0.12,0)</f>
        <v>21141</v>
      </c>
      <c r="K76" s="313" t="s">
        <v>17</v>
      </c>
      <c r="L76" s="233">
        <v>45761</v>
      </c>
      <c r="M76"/>
      <c r="T76" t="s">
        <v>4983</v>
      </c>
      <c r="U76" s="360">
        <v>0.33194444444444443</v>
      </c>
      <c r="V76" s="360"/>
    </row>
    <row r="77" spans="1:22" hidden="1" x14ac:dyDescent="0.25">
      <c r="A77" s="483"/>
      <c r="C77" s="233"/>
      <c r="D77" s="233"/>
      <c r="E77" s="28"/>
      <c r="F77" s="28"/>
      <c r="G77" s="30" t="s">
        <v>5629</v>
      </c>
      <c r="H77" s="30" t="s">
        <v>6278</v>
      </c>
      <c r="I77" s="88">
        <v>31200</v>
      </c>
      <c r="J77" s="3">
        <f t="shared" ref="J77:J93" si="2">+I77-ROUND(I77*0.12,0)</f>
        <v>27456</v>
      </c>
      <c r="K77" t="s">
        <v>17</v>
      </c>
      <c r="L77" s="233">
        <v>45800</v>
      </c>
      <c r="M77"/>
      <c r="U77" s="360"/>
      <c r="V77" s="360"/>
    </row>
    <row r="78" spans="1:22" s="233" customFormat="1" hidden="1" x14ac:dyDescent="0.25">
      <c r="A78" s="233" t="s">
        <v>5611</v>
      </c>
      <c r="B78" s="233" t="s">
        <v>5612</v>
      </c>
      <c r="C78" s="233" t="s">
        <v>13</v>
      </c>
      <c r="D78" s="233">
        <v>45693</v>
      </c>
      <c r="F78" s="233" t="s">
        <v>1931</v>
      </c>
      <c r="G78" s="233" t="s">
        <v>5630</v>
      </c>
      <c r="H78" s="233" t="s">
        <v>6279</v>
      </c>
      <c r="I78" s="233">
        <v>24024.5</v>
      </c>
      <c r="J78" s="233">
        <f t="shared" si="2"/>
        <v>21141.5</v>
      </c>
      <c r="K78" s="359" t="s">
        <v>17</v>
      </c>
      <c r="L78" s="233">
        <v>45800</v>
      </c>
      <c r="T78" s="233" t="s">
        <v>2050</v>
      </c>
      <c r="U78" s="233">
        <v>0.32569444444444445</v>
      </c>
    </row>
    <row r="79" spans="1:22" hidden="1" x14ac:dyDescent="0.25">
      <c r="A79" s="483"/>
      <c r="C79" s="28"/>
      <c r="D79" s="874"/>
      <c r="E79" s="1094"/>
      <c r="F79" s="1095"/>
      <c r="G79" s="1098" t="s">
        <v>6053</v>
      </c>
      <c r="H79" s="1098" t="s">
        <v>7053</v>
      </c>
      <c r="I79" s="1139">
        <v>31200</v>
      </c>
      <c r="J79" s="875">
        <f t="shared" si="2"/>
        <v>27456</v>
      </c>
      <c r="K79" t="s">
        <v>17</v>
      </c>
      <c r="L79" s="233">
        <v>45944</v>
      </c>
      <c r="M79"/>
      <c r="U79" s="360"/>
      <c r="V79" s="30"/>
    </row>
    <row r="80" spans="1:22" hidden="1" x14ac:dyDescent="0.25">
      <c r="A80" s="483" t="s">
        <v>5933</v>
      </c>
      <c r="B80" t="s">
        <v>5934</v>
      </c>
      <c r="C80" s="28" t="s">
        <v>13</v>
      </c>
      <c r="D80" s="874">
        <v>45755</v>
      </c>
      <c r="E80" s="1095"/>
      <c r="F80" s="1095" t="s">
        <v>1931</v>
      </c>
      <c r="G80" s="1094" t="s">
        <v>6054</v>
      </c>
      <c r="H80" s="1098" t="s">
        <v>7054</v>
      </c>
      <c r="I80" s="1096">
        <v>24024</v>
      </c>
      <c r="J80" s="875">
        <f t="shared" si="2"/>
        <v>21141</v>
      </c>
      <c r="K80" t="s">
        <v>17</v>
      </c>
      <c r="L80" s="233">
        <v>45944</v>
      </c>
      <c r="M80"/>
      <c r="U80" s="30"/>
      <c r="V80" s="30"/>
    </row>
    <row r="81" spans="1:24" hidden="1" x14ac:dyDescent="0.25">
      <c r="A81" s="483"/>
      <c r="C81" s="28"/>
      <c r="D81" s="233"/>
      <c r="E81" s="28"/>
      <c r="F81" s="28"/>
      <c r="G81" s="30" t="s">
        <v>6051</v>
      </c>
      <c r="H81" s="30" t="s">
        <v>7179</v>
      </c>
      <c r="I81" s="798">
        <v>31200</v>
      </c>
      <c r="J81" s="3">
        <f t="shared" si="2"/>
        <v>27456</v>
      </c>
      <c r="K81" t="s">
        <v>17</v>
      </c>
      <c r="L81" s="233">
        <v>45972</v>
      </c>
      <c r="M81"/>
      <c r="U81" s="30"/>
      <c r="V81" s="30"/>
    </row>
    <row r="82" spans="1:24" hidden="1" x14ac:dyDescent="0.25">
      <c r="A82" s="483" t="s">
        <v>5952</v>
      </c>
      <c r="B82" t="s">
        <v>5934</v>
      </c>
      <c r="C82" s="28" t="s">
        <v>13</v>
      </c>
      <c r="D82" s="233">
        <v>45756</v>
      </c>
      <c r="E82" s="28"/>
      <c r="F82" s="28" t="s">
        <v>1931</v>
      </c>
      <c r="G82" t="s">
        <v>6052</v>
      </c>
      <c r="H82" s="30" t="s">
        <v>7180</v>
      </c>
      <c r="I82" s="798">
        <v>24024</v>
      </c>
      <c r="J82" s="3">
        <f t="shared" si="2"/>
        <v>21141</v>
      </c>
      <c r="K82" t="s">
        <v>17</v>
      </c>
      <c r="L82" s="233">
        <v>45972</v>
      </c>
      <c r="M82"/>
      <c r="T82" t="s">
        <v>2050</v>
      </c>
      <c r="U82" s="360">
        <v>0.47569444444444442</v>
      </c>
      <c r="V82" s="360">
        <v>0.6972222222222223</v>
      </c>
    </row>
    <row r="83" spans="1:24" x14ac:dyDescent="0.25">
      <c r="A83" s="483"/>
      <c r="C83" s="28"/>
      <c r="D83" s="233"/>
      <c r="E83" s="28"/>
      <c r="F83" s="28"/>
      <c r="G83" s="30" t="s">
        <v>6352</v>
      </c>
      <c r="H83" s="30" t="s">
        <v>6467</v>
      </c>
      <c r="I83" s="798">
        <v>32335</v>
      </c>
      <c r="J83" s="3">
        <f t="shared" si="2"/>
        <v>28455</v>
      </c>
      <c r="K83" t="s">
        <v>6055</v>
      </c>
      <c r="L83" s="798"/>
      <c r="M83"/>
      <c r="U83" s="360"/>
      <c r="V83" s="360"/>
    </row>
    <row r="84" spans="1:24" x14ac:dyDescent="0.25">
      <c r="A84" s="483">
        <v>23052025</v>
      </c>
      <c r="B84" t="s">
        <v>6277</v>
      </c>
      <c r="C84" s="28"/>
      <c r="D84" s="233">
        <v>45800</v>
      </c>
      <c r="E84" s="28"/>
      <c r="F84" s="28" t="s">
        <v>1931</v>
      </c>
      <c r="G84" t="s">
        <v>6353</v>
      </c>
      <c r="H84" s="30" t="s">
        <v>6468</v>
      </c>
      <c r="I84" s="798">
        <v>24024</v>
      </c>
      <c r="J84" s="3">
        <f t="shared" si="2"/>
        <v>21141</v>
      </c>
      <c r="K84" t="s">
        <v>6055</v>
      </c>
      <c r="L84" s="88"/>
      <c r="M84"/>
      <c r="U84" s="30"/>
      <c r="V84" s="30"/>
    </row>
    <row r="85" spans="1:24" x14ac:dyDescent="0.25">
      <c r="A85" s="483"/>
      <c r="C85" s="28"/>
      <c r="D85" s="233"/>
      <c r="E85" s="28"/>
      <c r="F85" s="28"/>
      <c r="G85" s="30" t="s">
        <v>6478</v>
      </c>
      <c r="H85" s="30" t="s">
        <v>6480</v>
      </c>
      <c r="I85" s="798">
        <v>32335</v>
      </c>
      <c r="J85" s="3">
        <f t="shared" si="2"/>
        <v>28455</v>
      </c>
      <c r="K85" t="s">
        <v>6055</v>
      </c>
      <c r="L85" s="88"/>
      <c r="M85"/>
      <c r="U85" s="30"/>
      <c r="V85" s="30"/>
    </row>
    <row r="86" spans="1:24" x14ac:dyDescent="0.25">
      <c r="A86" s="483">
        <v>20062025</v>
      </c>
      <c r="B86" t="s">
        <v>6466</v>
      </c>
      <c r="C86" s="28" t="s">
        <v>4437</v>
      </c>
      <c r="D86" s="233">
        <v>45828</v>
      </c>
      <c r="E86" s="28"/>
      <c r="F86" s="28" t="s">
        <v>1931</v>
      </c>
      <c r="G86" t="s">
        <v>6479</v>
      </c>
      <c r="H86" s="30" t="s">
        <v>6481</v>
      </c>
      <c r="I86" s="798">
        <v>24024</v>
      </c>
      <c r="J86" s="3">
        <f t="shared" si="2"/>
        <v>21141</v>
      </c>
      <c r="K86" t="s">
        <v>6055</v>
      </c>
      <c r="L86" s="798"/>
      <c r="M86"/>
      <c r="T86" t="s">
        <v>6151</v>
      </c>
      <c r="U86" s="360">
        <v>0.32291666666666669</v>
      </c>
      <c r="V86" s="360">
        <v>0.65833333333333333</v>
      </c>
    </row>
    <row r="87" spans="1:24" x14ac:dyDescent="0.25">
      <c r="A87" s="483"/>
      <c r="C87" s="28"/>
      <c r="D87" s="233"/>
      <c r="E87" s="28"/>
      <c r="F87" s="28"/>
      <c r="G87" s="30" t="s">
        <v>6988</v>
      </c>
      <c r="H87" s="30" t="s">
        <v>6989</v>
      </c>
      <c r="I87" s="798">
        <v>32335</v>
      </c>
      <c r="J87" s="3">
        <f t="shared" si="2"/>
        <v>28455</v>
      </c>
      <c r="K87" t="s">
        <v>6055</v>
      </c>
      <c r="L87" s="798"/>
      <c r="M87"/>
      <c r="U87" s="360"/>
      <c r="V87" s="360"/>
    </row>
    <row r="88" spans="1:24" x14ac:dyDescent="0.25">
      <c r="A88" s="483">
        <v>21082025</v>
      </c>
      <c r="B88" t="s">
        <v>6277</v>
      </c>
      <c r="C88" s="28"/>
      <c r="D88" s="233">
        <v>45890</v>
      </c>
      <c r="E88" s="28"/>
      <c r="F88" s="28" t="s">
        <v>1931</v>
      </c>
      <c r="G88" t="s">
        <v>6987</v>
      </c>
      <c r="H88" s="30" t="s">
        <v>6990</v>
      </c>
      <c r="I88" s="798">
        <v>24024</v>
      </c>
      <c r="J88" s="3">
        <f t="shared" si="2"/>
        <v>21141</v>
      </c>
      <c r="K88" t="s">
        <v>6055</v>
      </c>
      <c r="L88" s="798"/>
      <c r="M88" s="32"/>
      <c r="U88" s="360"/>
      <c r="V88" s="360"/>
    </row>
    <row r="89" spans="1:24" x14ac:dyDescent="0.25">
      <c r="A89" s="483"/>
      <c r="C89" s="28"/>
      <c r="D89" s="233"/>
      <c r="E89" s="28"/>
      <c r="F89" s="28"/>
      <c r="G89" s="30" t="s">
        <v>6928</v>
      </c>
      <c r="H89" s="30" t="s">
        <v>6991</v>
      </c>
      <c r="I89" s="798">
        <v>32335</v>
      </c>
      <c r="J89" s="3">
        <f t="shared" si="2"/>
        <v>28455</v>
      </c>
      <c r="K89" t="s">
        <v>6055</v>
      </c>
      <c r="L89" s="798"/>
      <c r="M89" s="32"/>
      <c r="U89" s="360"/>
      <c r="V89" s="360"/>
    </row>
    <row r="90" spans="1:24" x14ac:dyDescent="0.25">
      <c r="A90" s="483" t="s">
        <v>6909</v>
      </c>
      <c r="B90" t="s">
        <v>3388</v>
      </c>
      <c r="C90" s="28" t="s">
        <v>4218</v>
      </c>
      <c r="D90" s="233">
        <v>45915</v>
      </c>
      <c r="E90" s="28"/>
      <c r="F90" s="28" t="s">
        <v>1931</v>
      </c>
      <c r="G90" t="s">
        <v>6929</v>
      </c>
      <c r="H90" s="30" t="s">
        <v>6992</v>
      </c>
      <c r="I90" s="798">
        <v>24024</v>
      </c>
      <c r="J90" s="3">
        <f t="shared" si="2"/>
        <v>21141</v>
      </c>
      <c r="K90" t="s">
        <v>6055</v>
      </c>
      <c r="L90" s="798"/>
      <c r="M90" s="32"/>
      <c r="T90" t="s">
        <v>5131</v>
      </c>
      <c r="U90" s="360"/>
      <c r="V90" s="360"/>
    </row>
    <row r="91" spans="1:24" x14ac:dyDescent="0.25">
      <c r="A91" s="483"/>
      <c r="C91" s="28"/>
      <c r="D91" s="233"/>
      <c r="E91" s="28"/>
      <c r="F91" s="28"/>
      <c r="G91" s="30" t="s">
        <v>7188</v>
      </c>
      <c r="H91" s="30" t="s">
        <v>7190</v>
      </c>
      <c r="I91" s="798">
        <v>32335</v>
      </c>
      <c r="J91" s="3">
        <f t="shared" si="2"/>
        <v>28455</v>
      </c>
      <c r="K91" t="s">
        <v>6055</v>
      </c>
      <c r="L91" s="798"/>
      <c r="M91" s="32"/>
      <c r="U91" s="360"/>
      <c r="V91" s="360"/>
    </row>
    <row r="92" spans="1:24" x14ac:dyDescent="0.25">
      <c r="A92" s="483">
        <v>26092025</v>
      </c>
      <c r="B92" t="s">
        <v>3388</v>
      </c>
      <c r="C92" s="28" t="s">
        <v>4218</v>
      </c>
      <c r="D92" s="233">
        <v>45926</v>
      </c>
      <c r="E92" s="28"/>
      <c r="F92" s="28" t="s">
        <v>1931</v>
      </c>
      <c r="G92" t="s">
        <v>7189</v>
      </c>
      <c r="H92" s="30" t="s">
        <v>7191</v>
      </c>
      <c r="I92" s="798">
        <v>24024</v>
      </c>
      <c r="J92" s="3">
        <f t="shared" si="2"/>
        <v>21141</v>
      </c>
      <c r="K92" t="s">
        <v>6055</v>
      </c>
      <c r="L92" s="798"/>
      <c r="M92" s="88"/>
      <c r="T92" t="s">
        <v>6347</v>
      </c>
      <c r="U92" s="360">
        <v>0.33958333333333335</v>
      </c>
      <c r="V92" s="360"/>
    </row>
    <row r="93" spans="1:24" hidden="1" x14ac:dyDescent="0.25">
      <c r="A93" s="483" t="s">
        <v>8105</v>
      </c>
      <c r="B93" t="s">
        <v>3388</v>
      </c>
      <c r="C93" s="28" t="s">
        <v>4218</v>
      </c>
      <c r="D93" s="233">
        <v>46154</v>
      </c>
      <c r="E93" s="28"/>
      <c r="F93" s="28" t="s">
        <v>1931</v>
      </c>
      <c r="G93" s="88" t="s">
        <v>8138</v>
      </c>
      <c r="H93" s="30" t="s">
        <v>8395</v>
      </c>
      <c r="I93" s="798">
        <v>62275</v>
      </c>
      <c r="J93" s="3">
        <f t="shared" si="2"/>
        <v>54802</v>
      </c>
      <c r="K93" t="s">
        <v>17</v>
      </c>
      <c r="L93" s="233">
        <v>46227</v>
      </c>
      <c r="M93"/>
      <c r="N93" s="798"/>
      <c r="V93" t="s">
        <v>7842</v>
      </c>
      <c r="W93" s="360">
        <v>0.66527777777777775</v>
      </c>
      <c r="X93" s="360"/>
    </row>
    <row r="94" spans="1:24" x14ac:dyDescent="0.25">
      <c r="A94" s="256"/>
      <c r="D94" s="374"/>
      <c r="G94" s="30"/>
      <c r="I94" s="313"/>
      <c r="J94" s="32"/>
      <c r="L94" s="359"/>
      <c r="T94" s="14"/>
    </row>
    <row r="95" spans="1:24" x14ac:dyDescent="0.25">
      <c r="H95" t="s">
        <v>4480</v>
      </c>
      <c r="I95" s="27">
        <f>SUBTOTAL(9,I3:I94)</f>
        <v>281795</v>
      </c>
      <c r="J95" s="149"/>
      <c r="L95" s="122"/>
    </row>
    <row r="96" spans="1:24" ht="15.75" thickBot="1" x14ac:dyDescent="0.3">
      <c r="G96" s="30"/>
      <c r="M96" s="372"/>
    </row>
    <row r="97" spans="1:22" ht="21" customHeight="1" thickBot="1" x14ac:dyDescent="0.3">
      <c r="B97" s="1547" t="s">
        <v>4961</v>
      </c>
      <c r="C97" s="1548"/>
      <c r="D97" s="1549"/>
      <c r="E97" s="1548"/>
      <c r="F97" s="1550"/>
      <c r="G97" s="1548"/>
      <c r="H97" s="1548"/>
      <c r="I97" s="1551"/>
    </row>
    <row r="98" spans="1:22" hidden="1" x14ac:dyDescent="0.25">
      <c r="A98" s="483" t="s">
        <v>4875</v>
      </c>
      <c r="B98" t="s">
        <v>4877</v>
      </c>
      <c r="C98" s="28" t="s">
        <v>13</v>
      </c>
      <c r="D98" s="233">
        <v>45569</v>
      </c>
      <c r="F98" s="28" t="s">
        <v>1931</v>
      </c>
      <c r="G98" t="s">
        <v>5006</v>
      </c>
      <c r="H98" s="1496" t="s">
        <v>5024</v>
      </c>
      <c r="I98" s="32">
        <v>55224</v>
      </c>
      <c r="J98" s="3">
        <v>24024</v>
      </c>
      <c r="K98" t="s">
        <v>17</v>
      </c>
      <c r="L98" s="233">
        <v>45604</v>
      </c>
      <c r="M98" s="28" t="s">
        <v>81</v>
      </c>
    </row>
    <row r="99" spans="1:22" hidden="1" x14ac:dyDescent="0.25">
      <c r="A99" s="483" t="s">
        <v>4980</v>
      </c>
      <c r="B99" t="s">
        <v>4877</v>
      </c>
      <c r="C99" s="28" t="s">
        <v>13</v>
      </c>
      <c r="D99" s="233">
        <v>45583</v>
      </c>
      <c r="F99" s="28" t="s">
        <v>1931</v>
      </c>
      <c r="G99" s="30" t="s">
        <v>5005</v>
      </c>
      <c r="H99" s="1491"/>
      <c r="I99" s="236">
        <v>55224</v>
      </c>
      <c r="J99" s="3">
        <f t="shared" ref="J99:J105" si="3">+I99-ROUND(I99*0.12,0)</f>
        <v>48597</v>
      </c>
      <c r="K99" t="s">
        <v>17</v>
      </c>
      <c r="L99" s="233">
        <v>45604</v>
      </c>
      <c r="M99" s="28" t="s">
        <v>81</v>
      </c>
      <c r="T99" t="s">
        <v>4911</v>
      </c>
      <c r="U99" s="360">
        <v>0.2951388888888889</v>
      </c>
      <c r="V99" s="30"/>
    </row>
    <row r="100" spans="1:22" hidden="1" x14ac:dyDescent="0.25">
      <c r="A100" s="483">
        <v>22102024</v>
      </c>
      <c r="B100" t="s">
        <v>4877</v>
      </c>
      <c r="C100" s="28" t="s">
        <v>4218</v>
      </c>
      <c r="D100" s="233">
        <v>45587</v>
      </c>
      <c r="F100" s="28" t="s">
        <v>1931</v>
      </c>
      <c r="G100" s="30" t="s">
        <v>5008</v>
      </c>
      <c r="H100" s="1491"/>
      <c r="I100" s="236">
        <v>55224</v>
      </c>
      <c r="J100" s="3">
        <f t="shared" si="3"/>
        <v>48597</v>
      </c>
      <c r="K100" t="s">
        <v>17</v>
      </c>
      <c r="L100" s="233">
        <v>45604</v>
      </c>
      <c r="M100" s="28" t="s">
        <v>81</v>
      </c>
      <c r="T100" t="s">
        <v>4097</v>
      </c>
      <c r="U100" s="360">
        <v>0.29375000000000001</v>
      </c>
      <c r="V100" s="360">
        <v>0.61944444444444446</v>
      </c>
    </row>
    <row r="101" spans="1:22" hidden="1" x14ac:dyDescent="0.25">
      <c r="A101" s="483">
        <v>22102024</v>
      </c>
      <c r="B101" t="s">
        <v>4877</v>
      </c>
      <c r="C101" s="28" t="s">
        <v>410</v>
      </c>
      <c r="D101" s="233">
        <v>45587</v>
      </c>
      <c r="F101" s="28" t="s">
        <v>1931</v>
      </c>
      <c r="G101" s="30" t="s">
        <v>5007</v>
      </c>
      <c r="H101" s="1491"/>
      <c r="I101" s="236">
        <v>55224</v>
      </c>
      <c r="J101" s="3">
        <f t="shared" si="3"/>
        <v>48597</v>
      </c>
      <c r="K101" t="s">
        <v>17</v>
      </c>
      <c r="L101" s="233">
        <v>45604</v>
      </c>
      <c r="M101" s="28" t="s">
        <v>81</v>
      </c>
      <c r="T101" t="s">
        <v>4853</v>
      </c>
      <c r="U101" s="360">
        <v>0.29791666666666666</v>
      </c>
      <c r="V101" s="360">
        <v>0.62638888888888888</v>
      </c>
    </row>
    <row r="102" spans="1:22" hidden="1" x14ac:dyDescent="0.25">
      <c r="A102" s="483" t="s">
        <v>5096</v>
      </c>
      <c r="B102" t="s">
        <v>4877</v>
      </c>
      <c r="C102" s="233" t="s">
        <v>4218</v>
      </c>
      <c r="D102" s="233">
        <v>45608</v>
      </c>
      <c r="E102" s="28"/>
      <c r="F102" s="28" t="s">
        <v>1931</v>
      </c>
      <c r="G102" t="s">
        <v>5170</v>
      </c>
      <c r="H102" s="28" t="s">
        <v>5171</v>
      </c>
      <c r="I102" s="88">
        <v>55224</v>
      </c>
      <c r="J102" s="3">
        <f t="shared" si="3"/>
        <v>48597</v>
      </c>
      <c r="K102" t="s">
        <v>17</v>
      </c>
      <c r="L102" s="359">
        <v>45636</v>
      </c>
      <c r="M102"/>
      <c r="T102" t="s">
        <v>2050</v>
      </c>
      <c r="U102" s="360">
        <v>0.34513888888888888</v>
      </c>
      <c r="V102" s="360">
        <v>0.67152777777777772</v>
      </c>
    </row>
    <row r="103" spans="1:22" hidden="1" x14ac:dyDescent="0.25">
      <c r="A103" s="483">
        <v>26112024</v>
      </c>
      <c r="B103" t="s">
        <v>5204</v>
      </c>
      <c r="C103" s="233" t="s">
        <v>13</v>
      </c>
      <c r="D103" s="233">
        <v>45622</v>
      </c>
      <c r="E103" s="28"/>
      <c r="F103" s="28" t="s">
        <v>1931</v>
      </c>
      <c r="G103" t="s">
        <v>5286</v>
      </c>
      <c r="H103" s="28" t="s">
        <v>5288</v>
      </c>
      <c r="I103" s="88">
        <v>55224</v>
      </c>
      <c r="J103" s="3">
        <f t="shared" si="3"/>
        <v>48597</v>
      </c>
      <c r="K103" t="s">
        <v>17</v>
      </c>
      <c r="L103" s="233">
        <v>45656</v>
      </c>
      <c r="M103"/>
      <c r="T103" t="s">
        <v>4417</v>
      </c>
      <c r="U103" s="360">
        <v>0.46388888888888885</v>
      </c>
      <c r="V103" s="360"/>
    </row>
    <row r="104" spans="1:22" hidden="1" x14ac:dyDescent="0.25">
      <c r="A104" s="483">
        <v>30112024</v>
      </c>
      <c r="B104" t="s">
        <v>2285</v>
      </c>
      <c r="C104" s="233" t="s">
        <v>13</v>
      </c>
      <c r="D104" s="233">
        <v>45626</v>
      </c>
      <c r="E104" s="28"/>
      <c r="F104" s="28" t="s">
        <v>1931</v>
      </c>
      <c r="G104" t="s">
        <v>5287</v>
      </c>
      <c r="H104" s="28" t="s">
        <v>5289</v>
      </c>
      <c r="I104" s="88">
        <v>55224</v>
      </c>
      <c r="J104" s="3">
        <f t="shared" si="3"/>
        <v>48597</v>
      </c>
      <c r="K104" t="s">
        <v>17</v>
      </c>
      <c r="L104" s="233">
        <v>45656</v>
      </c>
      <c r="M104"/>
      <c r="T104" t="s">
        <v>4853</v>
      </c>
      <c r="U104" s="360">
        <v>0.62152777777777779</v>
      </c>
      <c r="V104" s="360">
        <v>0.91041666666666676</v>
      </c>
    </row>
    <row r="105" spans="1:22" hidden="1" x14ac:dyDescent="0.25">
      <c r="A105" s="483">
        <v>12122024</v>
      </c>
      <c r="B105" t="s">
        <v>2285</v>
      </c>
      <c r="C105" s="233" t="s">
        <v>13</v>
      </c>
      <c r="D105" s="233">
        <v>45638</v>
      </c>
      <c r="E105" s="28"/>
      <c r="F105" s="28" t="s">
        <v>1931</v>
      </c>
      <c r="G105" t="s">
        <v>5361</v>
      </c>
      <c r="H105" s="28" t="s">
        <v>5461</v>
      </c>
      <c r="I105" s="88">
        <v>55224</v>
      </c>
      <c r="J105" s="3">
        <f t="shared" si="3"/>
        <v>48597</v>
      </c>
      <c r="K105" t="s">
        <v>17</v>
      </c>
      <c r="L105" s="233">
        <v>45670</v>
      </c>
      <c r="M105"/>
      <c r="T105" t="s">
        <v>5004</v>
      </c>
      <c r="U105" s="360">
        <v>0.6777777777777777</v>
      </c>
      <c r="V105" s="360">
        <v>0.99791666666666667</v>
      </c>
    </row>
    <row r="106" spans="1:22" x14ac:dyDescent="0.25">
      <c r="H106" s="61"/>
      <c r="I106" s="149"/>
    </row>
    <row r="107" spans="1:22" x14ac:dyDescent="0.25">
      <c r="G107" s="17"/>
      <c r="H107" s="61"/>
      <c r="I107" s="27">
        <f>SUBTOTAL(9,I98:I106)</f>
        <v>0</v>
      </c>
    </row>
    <row r="108" spans="1:22" x14ac:dyDescent="0.25">
      <c r="D108" s="1011"/>
      <c r="H108" s="13"/>
    </row>
    <row r="109" spans="1:22" x14ac:dyDescent="0.25">
      <c r="G109" s="1581" t="s">
        <v>581</v>
      </c>
      <c r="H109" s="1581"/>
      <c r="I109" s="27">
        <f>+I95+I107</f>
        <v>281795</v>
      </c>
    </row>
    <row r="110" spans="1:22" x14ac:dyDescent="0.25">
      <c r="H110" s="13"/>
    </row>
    <row r="111" spans="1:22" x14ac:dyDescent="0.25">
      <c r="I111" t="s">
        <v>4961</v>
      </c>
      <c r="J111" s="32"/>
      <c r="K111" s="28"/>
      <c r="L111" s="28" t="s">
        <v>2468</v>
      </c>
    </row>
    <row r="112" spans="1:22" x14ac:dyDescent="0.25">
      <c r="G112" s="6"/>
      <c r="I112" s="28" t="s">
        <v>219</v>
      </c>
      <c r="J112" s="32">
        <f>55224*8</f>
        <v>441792</v>
      </c>
      <c r="K112" s="28">
        <v>8</v>
      </c>
      <c r="L112" s="122">
        <v>45656</v>
      </c>
    </row>
    <row r="113" spans="9:12" x14ac:dyDescent="0.25">
      <c r="I113" s="28" t="s">
        <v>2048</v>
      </c>
      <c r="J113" s="32">
        <v>441792</v>
      </c>
      <c r="K113" s="28">
        <f>+J113/55224</f>
        <v>8</v>
      </c>
      <c r="L113" s="122">
        <f>+L112</f>
        <v>45656</v>
      </c>
    </row>
    <row r="114" spans="9:12" x14ac:dyDescent="0.25">
      <c r="I114" s="344" t="s">
        <v>2128</v>
      </c>
      <c r="J114" s="345">
        <f>+J112-J113</f>
        <v>0</v>
      </c>
      <c r="K114" s="344">
        <f>+K112-K113</f>
        <v>0</v>
      </c>
    </row>
    <row r="116" spans="9:12" x14ac:dyDescent="0.25">
      <c r="J116" s="32"/>
    </row>
  </sheetData>
  <autoFilter ref="A2:Z114" xr:uid="{00000000-0009-0000-0000-000023000000}">
    <filterColumn colId="10">
      <filters blank="1">
        <filter val="0"/>
        <filter val="8"/>
        <filter val="ENVIADO WHATSAPP REFERENCIAS"/>
      </filters>
    </filterColumn>
    <filterColumn colId="13" showButton="0"/>
    <filterColumn colId="14" showButton="0"/>
    <filterColumn colId="15" showButton="0"/>
  </autoFilter>
  <mergeCells count="10">
    <mergeCell ref="B97:I97"/>
    <mergeCell ref="G109:H109"/>
    <mergeCell ref="N2:Q2"/>
    <mergeCell ref="R3:U3"/>
    <mergeCell ref="B9:B10"/>
    <mergeCell ref="C9:C10"/>
    <mergeCell ref="D9:D10"/>
    <mergeCell ref="F9:F10"/>
    <mergeCell ref="E9:E10"/>
    <mergeCell ref="H98:H10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8305" r:id="rId4" name="Button 1">
              <controlPr defaultSize="0" print="0" autoFill="0" autoPict="0" macro="[0]!RETORNAR">
                <anchor moveWithCells="1" sizeWithCells="1">
                  <from>
                    <xdr:col>0</xdr:col>
                    <xdr:colOff>38100</xdr:colOff>
                    <xdr:row>0</xdr:row>
                    <xdr:rowOff>47625</xdr:rowOff>
                  </from>
                  <to>
                    <xdr:col>1</xdr:col>
                    <xdr:colOff>638175</xdr:colOff>
                    <xdr:row>0</xdr:row>
                    <xdr:rowOff>314325</xdr:rowOff>
                  </to>
                </anchor>
              </controlPr>
            </control>
          </mc:Choice>
        </mc:AlternateContent>
        <mc:AlternateContent xmlns:mc="http://schemas.openxmlformats.org/markup-compatibility/2006">
          <mc:Choice Requires="x14">
            <control shapeId="268402" r:id="rId5" name="Botón 114">
              <controlPr defaultSize="0" print="0" autoFill="0" autoPict="0" macro="[0]!IR_VENTAS_B200_2026">
                <anchor moveWithCells="1" sizeWithCells="1">
                  <from>
                    <xdr:col>0</xdr:col>
                    <xdr:colOff>885825</xdr:colOff>
                    <xdr:row>115</xdr:row>
                    <xdr:rowOff>104775</xdr:rowOff>
                  </from>
                  <to>
                    <xdr:col>2</xdr:col>
                    <xdr:colOff>219075</xdr:colOff>
                    <xdr:row>118</xdr:row>
                    <xdr:rowOff>133350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16" filterMode="1"/>
  <dimension ref="A1:P6"/>
  <sheetViews>
    <sheetView workbookViewId="0">
      <selection activeCell="B12" sqref="B12"/>
    </sheetView>
  </sheetViews>
  <sheetFormatPr baseColWidth="10" defaultColWidth="10.85546875" defaultRowHeight="15" x14ac:dyDescent="0.25"/>
  <cols>
    <col min="1" max="1" width="16.5703125" customWidth="1"/>
    <col min="6" max="6" width="44.85546875" customWidth="1"/>
    <col min="7" max="7" width="22.7109375" customWidth="1"/>
    <col min="8" max="8" width="12" bestFit="1" customWidth="1"/>
  </cols>
  <sheetData>
    <row r="1" spans="1:16" ht="38.450000000000003" customHeight="1" x14ac:dyDescent="0.25"/>
    <row r="2" spans="1:16" x14ac:dyDescent="0.25">
      <c r="A2" s="1" t="s">
        <v>0</v>
      </c>
      <c r="B2" s="1" t="s">
        <v>1</v>
      </c>
      <c r="C2" s="1" t="s">
        <v>2</v>
      </c>
      <c r="D2" s="1"/>
      <c r="E2" s="1" t="s">
        <v>3</v>
      </c>
      <c r="F2" s="1" t="s">
        <v>4</v>
      </c>
      <c r="G2" s="1" t="s">
        <v>5</v>
      </c>
      <c r="H2" s="1" t="s">
        <v>6</v>
      </c>
      <c r="I2" s="1" t="s">
        <v>1780</v>
      </c>
      <c r="J2" s="1" t="s">
        <v>8</v>
      </c>
      <c r="K2" s="1" t="s">
        <v>3997</v>
      </c>
      <c r="L2" s="1" t="s">
        <v>10</v>
      </c>
      <c r="M2" s="1480" t="s">
        <v>11</v>
      </c>
      <c r="N2" s="1480"/>
      <c r="O2" s="1480"/>
      <c r="P2" s="1480"/>
    </row>
    <row r="3" spans="1:16" hidden="1" x14ac:dyDescent="0.25">
      <c r="A3" t="s">
        <v>544</v>
      </c>
      <c r="B3" t="s">
        <v>27</v>
      </c>
      <c r="C3" s="374">
        <v>44587</v>
      </c>
      <c r="D3">
        <v>2.6</v>
      </c>
      <c r="E3" t="s">
        <v>545</v>
      </c>
      <c r="F3" t="s">
        <v>546</v>
      </c>
      <c r="G3" t="s">
        <v>550</v>
      </c>
      <c r="H3" s="3">
        <v>20925</v>
      </c>
      <c r="J3" t="s">
        <v>977</v>
      </c>
      <c r="K3" s="2">
        <v>44783</v>
      </c>
    </row>
    <row r="4" spans="1:16" x14ac:dyDescent="0.25">
      <c r="C4" s="2"/>
      <c r="H4" s="3"/>
      <c r="K4" s="2"/>
    </row>
    <row r="5" spans="1:16" x14ac:dyDescent="0.25">
      <c r="G5" t="s">
        <v>356</v>
      </c>
      <c r="H5" s="9">
        <f>SUBTOTAL(9,H3:H4)</f>
        <v>0</v>
      </c>
      <c r="K5" s="2"/>
    </row>
    <row r="6" spans="1:16" x14ac:dyDescent="0.25">
      <c r="L6" s="3"/>
    </row>
  </sheetData>
  <autoFilter ref="B2:P6" xr:uid="{00000000-0009-0000-0000-000024000000}">
    <filterColumn colId="8">
      <filters blank="1"/>
    </filterColumn>
    <filterColumn colId="11" showButton="0"/>
    <filterColumn colId="12" showButton="0"/>
    <filterColumn colId="13" showButton="0"/>
  </autoFilter>
  <mergeCells count="1">
    <mergeCell ref="M2: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2518" r:id="rId4" name="Button 1">
              <controlPr defaultSize="0" print="0" autoFill="0" autoPict="0" macro="[0]!RETORNAR">
                <anchor moveWithCells="1" sizeWithCells="1">
                  <from>
                    <xdr:col>0</xdr:col>
                    <xdr:colOff>38100</xdr:colOff>
                    <xdr:row>0</xdr:row>
                    <xdr:rowOff>47625</xdr:rowOff>
                  </from>
                  <to>
                    <xdr:col>1</xdr:col>
                    <xdr:colOff>695325</xdr:colOff>
                    <xdr:row>0</xdr:row>
                    <xdr:rowOff>314325</xdr:rowOff>
                  </to>
                </anchor>
              </controlPr>
            </control>
          </mc:Choice>
        </mc:AlternateContent>
        <mc:AlternateContent xmlns:mc="http://schemas.openxmlformats.org/markup-compatibility/2006">
          <mc:Choice Requires="x14">
            <control shapeId="192522" r:id="rId5" name="Botón 10">
              <controlPr defaultSize="0" print="0" autoFill="0" autoPict="0" macro="[0]!IR_VENTAS_B200_2026">
                <anchor moveWithCells="1" sizeWithCells="1">
                  <from>
                    <xdr:col>0</xdr:col>
                    <xdr:colOff>762000</xdr:colOff>
                    <xdr:row>11</xdr:row>
                    <xdr:rowOff>0</xdr:rowOff>
                  </from>
                  <to>
                    <xdr:col>2</xdr:col>
                    <xdr:colOff>152400</xdr:colOff>
                    <xdr:row>14</xdr:row>
                    <xdr:rowOff>28575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15" filterMode="1"/>
  <dimension ref="A1:V68"/>
  <sheetViews>
    <sheetView zoomScale="78" zoomScaleNormal="78" workbookViewId="0">
      <selection activeCell="B74" sqref="B74"/>
    </sheetView>
  </sheetViews>
  <sheetFormatPr baseColWidth="10" defaultColWidth="10.85546875" defaultRowHeight="15" x14ac:dyDescent="0.25"/>
  <cols>
    <col min="1" max="1" width="15.28515625" customWidth="1"/>
    <col min="2" max="2" width="21.85546875" customWidth="1"/>
    <col min="3" max="3" width="16.85546875" customWidth="1"/>
    <col min="4" max="4" width="10.85546875" style="30"/>
    <col min="5" max="5" width="6.85546875" customWidth="1"/>
    <col min="6" max="6" width="8.140625" bestFit="1" customWidth="1"/>
    <col min="7" max="7" width="48.28515625" customWidth="1"/>
    <col min="8" max="8" width="29.85546875" customWidth="1"/>
    <col min="9" max="9" width="16.5703125" customWidth="1"/>
  </cols>
  <sheetData>
    <row r="1" spans="1:22" ht="32.1" customHeight="1" x14ac:dyDescent="0.25"/>
    <row r="2" spans="1:22" x14ac:dyDescent="0.25">
      <c r="B2" s="1" t="s">
        <v>0</v>
      </c>
      <c r="C2" s="1" t="s">
        <v>1</v>
      </c>
      <c r="D2" s="115" t="s">
        <v>2</v>
      </c>
      <c r="E2" s="1"/>
      <c r="F2" s="1" t="s">
        <v>3</v>
      </c>
      <c r="G2" s="1" t="s">
        <v>4</v>
      </c>
      <c r="H2" s="1" t="s">
        <v>5</v>
      </c>
      <c r="I2" s="1" t="s">
        <v>6</v>
      </c>
      <c r="J2" s="1" t="s">
        <v>1780</v>
      </c>
      <c r="K2" s="1" t="s">
        <v>8</v>
      </c>
      <c r="L2" s="1" t="s">
        <v>3997</v>
      </c>
      <c r="M2" s="1" t="s">
        <v>10</v>
      </c>
      <c r="N2" s="1480" t="s">
        <v>11</v>
      </c>
      <c r="O2" s="1480"/>
      <c r="P2" s="1480"/>
      <c r="Q2" s="1480"/>
    </row>
    <row r="3" spans="1:22" hidden="1" x14ac:dyDescent="0.25">
      <c r="B3" t="s">
        <v>543</v>
      </c>
      <c r="C3" t="s">
        <v>67</v>
      </c>
      <c r="D3" s="122">
        <v>44585</v>
      </c>
      <c r="E3">
        <v>3.2</v>
      </c>
      <c r="F3" t="s">
        <v>294</v>
      </c>
      <c r="G3" t="s">
        <v>590</v>
      </c>
      <c r="H3" t="s">
        <v>871</v>
      </c>
      <c r="I3" s="3">
        <v>40430</v>
      </c>
      <c r="K3" t="s">
        <v>17</v>
      </c>
      <c r="L3" s="2">
        <v>44712</v>
      </c>
    </row>
    <row r="4" spans="1:22" hidden="1" x14ac:dyDescent="0.25">
      <c r="A4" s="115">
        <v>20052022</v>
      </c>
      <c r="B4" t="s">
        <v>858</v>
      </c>
      <c r="C4" t="s">
        <v>693</v>
      </c>
      <c r="D4" s="122">
        <v>44701</v>
      </c>
      <c r="E4">
        <v>3.2</v>
      </c>
      <c r="F4" t="s">
        <v>294</v>
      </c>
      <c r="G4" t="s">
        <v>279</v>
      </c>
      <c r="H4" t="s">
        <v>1025</v>
      </c>
      <c r="I4" s="140">
        <v>40430</v>
      </c>
      <c r="J4" s="140"/>
      <c r="K4" s="32" t="s">
        <v>17</v>
      </c>
      <c r="L4" s="2">
        <v>44760</v>
      </c>
      <c r="M4" t="s">
        <v>81</v>
      </c>
      <c r="O4" t="s">
        <v>690</v>
      </c>
      <c r="P4" s="14">
        <v>0.3527777777777778</v>
      </c>
      <c r="Q4" s="14"/>
    </row>
    <row r="5" spans="1:22" hidden="1" x14ac:dyDescent="0.25">
      <c r="A5" s="115">
        <v>21072022</v>
      </c>
      <c r="B5" s="169" t="s">
        <v>1038</v>
      </c>
      <c r="C5" s="21" t="s">
        <v>410</v>
      </c>
      <c r="D5" s="122">
        <v>44763</v>
      </c>
      <c r="E5">
        <v>3.2</v>
      </c>
      <c r="F5" s="163" t="s">
        <v>294</v>
      </c>
      <c r="G5" s="163" t="s">
        <v>1217</v>
      </c>
      <c r="H5" t="s">
        <v>1221</v>
      </c>
      <c r="I5" s="159">
        <v>40430</v>
      </c>
      <c r="J5" s="159"/>
      <c r="K5" s="32" t="s">
        <v>17</v>
      </c>
      <c r="L5" s="2">
        <v>44819</v>
      </c>
      <c r="O5" s="163" t="s">
        <v>795</v>
      </c>
      <c r="P5" s="14">
        <v>0.64097222222222217</v>
      </c>
    </row>
    <row r="6" spans="1:22" hidden="1" x14ac:dyDescent="0.25">
      <c r="A6" s="115">
        <v>21072022</v>
      </c>
      <c r="B6" s="169" t="s">
        <v>1038</v>
      </c>
      <c r="C6" s="21" t="s">
        <v>693</v>
      </c>
      <c r="D6" s="122">
        <v>44763</v>
      </c>
      <c r="E6">
        <v>3.2</v>
      </c>
      <c r="F6" s="163" t="s">
        <v>294</v>
      </c>
      <c r="G6" s="163" t="s">
        <v>1157</v>
      </c>
      <c r="H6" t="s">
        <v>1222</v>
      </c>
      <c r="I6" s="159">
        <v>40430</v>
      </c>
      <c r="J6" s="159"/>
      <c r="K6" s="32" t="s">
        <v>17</v>
      </c>
      <c r="L6" s="2">
        <v>44819</v>
      </c>
      <c r="O6" s="163" t="s">
        <v>690</v>
      </c>
      <c r="P6" s="14"/>
    </row>
    <row r="7" spans="1:22" hidden="1" x14ac:dyDescent="0.25">
      <c r="A7" s="116" t="s">
        <v>1079</v>
      </c>
      <c r="B7" s="169" t="s">
        <v>1081</v>
      </c>
      <c r="C7" s="21" t="s">
        <v>410</v>
      </c>
      <c r="D7" s="122">
        <v>44776</v>
      </c>
      <c r="E7">
        <v>3.2</v>
      </c>
      <c r="F7" s="163" t="s">
        <v>294</v>
      </c>
      <c r="G7" s="163" t="s">
        <v>1158</v>
      </c>
      <c r="H7" t="s">
        <v>1223</v>
      </c>
      <c r="I7" s="159">
        <v>39648</v>
      </c>
      <c r="J7" s="159"/>
      <c r="K7" s="32" t="s">
        <v>17</v>
      </c>
      <c r="L7" s="2">
        <v>44819</v>
      </c>
      <c r="O7" s="163" t="s">
        <v>655</v>
      </c>
      <c r="P7" s="14"/>
      <c r="Q7" s="14"/>
    </row>
    <row r="8" spans="1:22" s="21" customFormat="1" hidden="1" x14ac:dyDescent="0.25">
      <c r="A8" s="154">
        <v>26092022</v>
      </c>
      <c r="B8" s="169" t="s">
        <v>1274</v>
      </c>
      <c r="C8" s="169" t="s">
        <v>693</v>
      </c>
      <c r="D8" s="123">
        <v>44830</v>
      </c>
      <c r="E8" s="181"/>
      <c r="F8" s="21" t="s">
        <v>294</v>
      </c>
      <c r="G8" s="21" t="s">
        <v>1321</v>
      </c>
      <c r="H8" s="21" t="s">
        <v>1580</v>
      </c>
      <c r="I8" s="181">
        <v>39648</v>
      </c>
      <c r="J8" s="181"/>
      <c r="K8" s="181" t="s">
        <v>17</v>
      </c>
      <c r="L8" s="18">
        <v>44883</v>
      </c>
      <c r="O8" s="21" t="s">
        <v>893</v>
      </c>
      <c r="P8" s="157">
        <v>0.28333333333333333</v>
      </c>
    </row>
    <row r="9" spans="1:22" s="21" customFormat="1" hidden="1" x14ac:dyDescent="0.25">
      <c r="A9" s="168">
        <v>19102022</v>
      </c>
      <c r="B9" t="s">
        <v>1577</v>
      </c>
      <c r="C9" s="30" t="s">
        <v>27</v>
      </c>
      <c r="D9" s="123">
        <v>44853</v>
      </c>
      <c r="E9" s="181"/>
      <c r="F9" s="21" t="s">
        <v>294</v>
      </c>
      <c r="G9" s="21" t="s">
        <v>1665</v>
      </c>
      <c r="H9" s="21" t="s">
        <v>1664</v>
      </c>
      <c r="I9" s="181">
        <v>39648</v>
      </c>
      <c r="J9" s="181"/>
      <c r="K9" s="160" t="s">
        <v>17</v>
      </c>
      <c r="L9" s="18">
        <v>44943</v>
      </c>
      <c r="O9" s="21" t="s">
        <v>677</v>
      </c>
      <c r="P9" s="157">
        <v>0.38680555555555557</v>
      </c>
      <c r="Q9" s="157">
        <v>0.62847222222222221</v>
      </c>
    </row>
    <row r="10" spans="1:22" hidden="1" x14ac:dyDescent="0.25">
      <c r="A10" s="116">
        <v>27112022</v>
      </c>
      <c r="B10" t="s">
        <v>1577</v>
      </c>
      <c r="C10" s="30" t="s">
        <v>27</v>
      </c>
      <c r="D10" s="122">
        <v>44892</v>
      </c>
      <c r="E10" s="88"/>
      <c r="F10" t="s">
        <v>294</v>
      </c>
      <c r="G10" s="21" t="s">
        <v>1517</v>
      </c>
      <c r="H10" s="21" t="s">
        <v>1617</v>
      </c>
      <c r="I10" s="160">
        <v>39648</v>
      </c>
      <c r="J10" s="160"/>
      <c r="K10" s="160" t="s">
        <v>17</v>
      </c>
      <c r="L10" s="18">
        <v>44943</v>
      </c>
      <c r="O10" s="21" t="s">
        <v>922</v>
      </c>
      <c r="P10" s="157">
        <v>0.63055555555555554</v>
      </c>
      <c r="Q10" s="157">
        <v>0.89861111111111114</v>
      </c>
    </row>
    <row r="11" spans="1:22" hidden="1" x14ac:dyDescent="0.25">
      <c r="A11" s="116" t="s">
        <v>1719</v>
      </c>
      <c r="B11" t="s">
        <v>1577</v>
      </c>
      <c r="C11" t="s">
        <v>13</v>
      </c>
      <c r="D11" s="122">
        <v>44928</v>
      </c>
      <c r="F11" t="s">
        <v>294</v>
      </c>
      <c r="G11" s="21" t="s">
        <v>1775</v>
      </c>
      <c r="H11" s="21" t="s">
        <v>1982</v>
      </c>
      <c r="I11" s="32">
        <v>39600</v>
      </c>
      <c r="J11" s="32"/>
      <c r="K11" s="160" t="s">
        <v>17</v>
      </c>
      <c r="L11" s="2">
        <v>44999</v>
      </c>
    </row>
    <row r="12" spans="1:22" hidden="1" x14ac:dyDescent="0.25">
      <c r="A12" s="246">
        <v>17012023</v>
      </c>
      <c r="B12" t="s">
        <v>1577</v>
      </c>
      <c r="C12" t="s">
        <v>13</v>
      </c>
      <c r="D12" s="122">
        <v>44943</v>
      </c>
      <c r="F12" t="s">
        <v>294</v>
      </c>
      <c r="G12" t="s">
        <v>1774</v>
      </c>
      <c r="H12" s="21" t="s">
        <v>2349</v>
      </c>
      <c r="I12" s="159">
        <v>39600</v>
      </c>
      <c r="J12" s="159">
        <f t="shared" ref="J12:J27" si="0">+I12*0.88</f>
        <v>34848</v>
      </c>
      <c r="K12" s="88" t="s">
        <v>17</v>
      </c>
      <c r="L12" s="122">
        <v>45055</v>
      </c>
      <c r="S12" t="s">
        <v>1712</v>
      </c>
      <c r="T12" s="14">
        <v>0.30763888888888891</v>
      </c>
      <c r="U12" s="14">
        <v>0.52500000000000002</v>
      </c>
    </row>
    <row r="13" spans="1:22" hidden="1" x14ac:dyDescent="0.25">
      <c r="A13" s="95" t="s">
        <v>2175</v>
      </c>
      <c r="B13" t="s">
        <v>2174</v>
      </c>
      <c r="C13" t="s">
        <v>693</v>
      </c>
      <c r="D13" s="122">
        <v>45025</v>
      </c>
      <c r="F13" t="s">
        <v>294</v>
      </c>
      <c r="G13" t="s">
        <v>2230</v>
      </c>
      <c r="H13" s="21" t="s">
        <v>2235</v>
      </c>
      <c r="I13" s="88">
        <v>38161</v>
      </c>
      <c r="J13" s="159">
        <f t="shared" si="0"/>
        <v>33581.68</v>
      </c>
      <c r="K13" s="88" t="s">
        <v>17</v>
      </c>
      <c r="L13" s="122">
        <v>45057</v>
      </c>
      <c r="T13" t="s">
        <v>893</v>
      </c>
      <c r="U13" s="14">
        <v>0.3833333333333333</v>
      </c>
      <c r="V13" s="14">
        <v>0.62013888888888891</v>
      </c>
    </row>
    <row r="14" spans="1:22" hidden="1" x14ac:dyDescent="0.25">
      <c r="A14" s="256" t="s">
        <v>2327</v>
      </c>
      <c r="B14" t="s">
        <v>2174</v>
      </c>
      <c r="C14" t="s">
        <v>410</v>
      </c>
      <c r="D14" s="122">
        <v>45050</v>
      </c>
      <c r="F14" s="28" t="s">
        <v>294</v>
      </c>
      <c r="G14" s="30" t="s">
        <v>2564</v>
      </c>
      <c r="H14" s="30" t="s">
        <v>2610</v>
      </c>
      <c r="I14" s="236">
        <v>32075</v>
      </c>
      <c r="J14" s="159">
        <f t="shared" si="0"/>
        <v>28226</v>
      </c>
      <c r="K14" t="s">
        <v>17</v>
      </c>
      <c r="L14" s="122">
        <v>45119</v>
      </c>
      <c r="T14" t="s">
        <v>1816</v>
      </c>
      <c r="U14" s="14"/>
      <c r="V14" s="14"/>
    </row>
    <row r="15" spans="1:22" hidden="1" x14ac:dyDescent="0.25">
      <c r="A15" s="95" t="s">
        <v>2470</v>
      </c>
      <c r="B15" t="s">
        <v>2469</v>
      </c>
      <c r="C15" t="s">
        <v>693</v>
      </c>
      <c r="D15" s="122">
        <v>45084</v>
      </c>
      <c r="F15" s="28" t="s">
        <v>294</v>
      </c>
      <c r="G15" s="30" t="s">
        <v>2565</v>
      </c>
      <c r="H15" s="21" t="s">
        <v>2574</v>
      </c>
      <c r="I15" s="313">
        <v>38161.199999999997</v>
      </c>
      <c r="J15" s="159">
        <f t="shared" si="0"/>
        <v>33581.856</v>
      </c>
      <c r="K15" t="s">
        <v>17</v>
      </c>
      <c r="L15" s="122">
        <v>45119</v>
      </c>
      <c r="T15" t="s">
        <v>2380</v>
      </c>
      <c r="U15" s="14">
        <v>0.35694444444444445</v>
      </c>
    </row>
    <row r="16" spans="1:22" hidden="1" x14ac:dyDescent="0.25">
      <c r="A16" s="256">
        <v>27062023</v>
      </c>
      <c r="B16" t="s">
        <v>2469</v>
      </c>
      <c r="C16" t="s">
        <v>410</v>
      </c>
      <c r="D16" s="122">
        <v>45104</v>
      </c>
      <c r="F16" s="28" t="s">
        <v>294</v>
      </c>
      <c r="G16" s="30" t="s">
        <v>2594</v>
      </c>
      <c r="H16" s="30" t="s">
        <v>2609</v>
      </c>
      <c r="I16" s="368">
        <v>36500</v>
      </c>
      <c r="J16" s="159">
        <f t="shared" si="0"/>
        <v>32120</v>
      </c>
      <c r="K16" t="s">
        <v>17</v>
      </c>
      <c r="L16" s="122">
        <v>45119</v>
      </c>
      <c r="T16" s="14" t="s">
        <v>916</v>
      </c>
      <c r="U16" s="14">
        <v>0.47569444444444442</v>
      </c>
    </row>
    <row r="17" spans="1:22" hidden="1" x14ac:dyDescent="0.25">
      <c r="A17" s="256">
        <v>27072023</v>
      </c>
      <c r="B17" t="s">
        <v>2469</v>
      </c>
      <c r="C17" t="s">
        <v>410</v>
      </c>
      <c r="D17" s="122">
        <v>45134</v>
      </c>
      <c r="F17" s="28" t="s">
        <v>294</v>
      </c>
      <c r="G17" s="30" t="s">
        <v>2694</v>
      </c>
      <c r="H17" t="s">
        <v>2810</v>
      </c>
      <c r="I17" s="61">
        <v>35568</v>
      </c>
      <c r="J17">
        <f t="shared" si="0"/>
        <v>31299.84</v>
      </c>
      <c r="K17" t="s">
        <v>17</v>
      </c>
      <c r="L17" s="122">
        <v>45170</v>
      </c>
      <c r="T17" s="14" t="s">
        <v>2380</v>
      </c>
      <c r="U17" s="14">
        <v>0.38750000000000001</v>
      </c>
      <c r="V17" s="14"/>
    </row>
    <row r="18" spans="1:22" s="30" customFormat="1" hidden="1" x14ac:dyDescent="0.25">
      <c r="A18" s="256">
        <v>18082023</v>
      </c>
      <c r="B18" s="30" t="s">
        <v>2469</v>
      </c>
      <c r="C18" s="30" t="s">
        <v>13</v>
      </c>
      <c r="D18" s="374">
        <v>45156</v>
      </c>
      <c r="F18" s="28" t="s">
        <v>294</v>
      </c>
      <c r="G18" s="30" t="s">
        <v>2859</v>
      </c>
      <c r="H18" s="30" t="s">
        <v>2891</v>
      </c>
      <c r="I18" s="236">
        <v>35568</v>
      </c>
      <c r="J18">
        <f t="shared" si="0"/>
        <v>31299.84</v>
      </c>
      <c r="K18" s="30" t="s">
        <v>17</v>
      </c>
      <c r="L18" s="374">
        <v>45184</v>
      </c>
      <c r="T18" s="360" t="s">
        <v>1029</v>
      </c>
      <c r="U18" s="360">
        <v>0.30833333333333335</v>
      </c>
      <c r="V18" s="360">
        <v>0.51180555555555551</v>
      </c>
    </row>
    <row r="19" spans="1:22" s="30" customFormat="1" hidden="1" x14ac:dyDescent="0.25">
      <c r="A19" s="30">
        <v>31082023</v>
      </c>
      <c r="B19" s="30" t="s">
        <v>2174</v>
      </c>
      <c r="C19" s="30" t="s">
        <v>410</v>
      </c>
      <c r="D19" s="374">
        <v>45169</v>
      </c>
      <c r="F19" s="30" t="s">
        <v>294</v>
      </c>
      <c r="G19" s="30" t="s">
        <v>2858</v>
      </c>
      <c r="H19" s="30" t="s">
        <v>2909</v>
      </c>
      <c r="I19" s="236">
        <v>35568</v>
      </c>
      <c r="J19">
        <f t="shared" si="0"/>
        <v>31299.84</v>
      </c>
      <c r="K19" s="30" t="s">
        <v>17</v>
      </c>
      <c r="L19" s="374">
        <v>45196</v>
      </c>
      <c r="T19" s="360" t="s">
        <v>989</v>
      </c>
      <c r="U19" s="360">
        <v>0.28402777777777777</v>
      </c>
      <c r="V19" s="360"/>
    </row>
    <row r="20" spans="1:22" s="30" customFormat="1" hidden="1" x14ac:dyDescent="0.25">
      <c r="D20" s="359"/>
      <c r="G20" s="30" t="s">
        <v>2924</v>
      </c>
      <c r="H20" s="30" t="s">
        <v>3098</v>
      </c>
      <c r="I20" s="236">
        <v>93.92</v>
      </c>
      <c r="J20" s="32">
        <f t="shared" si="0"/>
        <v>82.649600000000007</v>
      </c>
      <c r="K20" s="30" t="s">
        <v>17</v>
      </c>
      <c r="L20" s="374">
        <v>45229</v>
      </c>
      <c r="T20" s="360"/>
      <c r="U20" s="360"/>
      <c r="V20" s="360"/>
    </row>
    <row r="21" spans="1:22" s="30" customFormat="1" hidden="1" x14ac:dyDescent="0.25">
      <c r="D21" s="359"/>
      <c r="G21" s="30" t="s">
        <v>2924</v>
      </c>
      <c r="H21" s="30" t="s">
        <v>3099</v>
      </c>
      <c r="I21" s="236">
        <v>28056.98</v>
      </c>
      <c r="J21" s="32">
        <f t="shared" si="0"/>
        <v>24690.142400000001</v>
      </c>
      <c r="K21" s="30" t="s">
        <v>17</v>
      </c>
      <c r="L21" s="374">
        <v>45229</v>
      </c>
      <c r="T21" s="360"/>
      <c r="U21" s="360"/>
      <c r="V21" s="360"/>
    </row>
    <row r="22" spans="1:22" hidden="1" x14ac:dyDescent="0.25">
      <c r="A22" s="256" t="s">
        <v>2853</v>
      </c>
      <c r="B22" t="s">
        <v>2854</v>
      </c>
      <c r="C22" t="s">
        <v>13</v>
      </c>
      <c r="D22" s="374">
        <v>45172</v>
      </c>
      <c r="F22" s="30" t="s">
        <v>294</v>
      </c>
      <c r="G22" s="30" t="s">
        <v>2924</v>
      </c>
      <c r="H22" s="30" t="s">
        <v>3100</v>
      </c>
      <c r="I22" s="313">
        <v>7417.1</v>
      </c>
      <c r="J22" s="32">
        <f t="shared" si="0"/>
        <v>6527.0480000000007</v>
      </c>
      <c r="K22" s="30" t="s">
        <v>17</v>
      </c>
      <c r="L22" s="374">
        <v>45229</v>
      </c>
      <c r="T22" s="14" t="s">
        <v>1816</v>
      </c>
      <c r="U22" s="14">
        <v>0.29097222222222224</v>
      </c>
      <c r="V22" s="14">
        <v>0.49583333333333335</v>
      </c>
    </row>
    <row r="23" spans="1:22" s="30" customFormat="1" hidden="1" x14ac:dyDescent="0.25">
      <c r="A23" s="256">
        <v>11102023</v>
      </c>
      <c r="B23" s="30" t="s">
        <v>2469</v>
      </c>
      <c r="C23" s="30" t="s">
        <v>13</v>
      </c>
      <c r="D23" s="122">
        <v>45210</v>
      </c>
      <c r="F23" s="30" t="s">
        <v>294</v>
      </c>
      <c r="G23" s="30" t="s">
        <v>3114</v>
      </c>
      <c r="H23" s="30" t="s">
        <v>3446</v>
      </c>
      <c r="I23" s="236">
        <v>35568</v>
      </c>
      <c r="J23" s="32">
        <f>+I23*0.88</f>
        <v>31299.84</v>
      </c>
      <c r="K23" s="30" t="s">
        <v>17</v>
      </c>
      <c r="L23" s="122">
        <v>45386</v>
      </c>
      <c r="T23" s="360" t="s">
        <v>916</v>
      </c>
      <c r="U23" s="360">
        <v>0.4458333333333333</v>
      </c>
      <c r="V23" s="360"/>
    </row>
    <row r="24" spans="1:22" hidden="1" x14ac:dyDescent="0.25">
      <c r="A24" s="256">
        <v>25102023</v>
      </c>
      <c r="B24" t="s">
        <v>2174</v>
      </c>
      <c r="C24" t="s">
        <v>13</v>
      </c>
      <c r="D24" s="122">
        <v>45224</v>
      </c>
      <c r="F24" t="s">
        <v>294</v>
      </c>
      <c r="G24" t="s">
        <v>3444</v>
      </c>
      <c r="H24" s="30" t="s">
        <v>3445</v>
      </c>
      <c r="I24" s="414">
        <v>35568</v>
      </c>
      <c r="J24" s="32">
        <f t="shared" si="0"/>
        <v>31299.84</v>
      </c>
      <c r="K24" s="30" t="s">
        <v>17</v>
      </c>
      <c r="L24" s="122">
        <v>45386</v>
      </c>
      <c r="T24" t="s">
        <v>2050</v>
      </c>
      <c r="U24" s="14">
        <v>0.29375000000000001</v>
      </c>
      <c r="V24" s="14">
        <v>0.49027777777777781</v>
      </c>
    </row>
    <row r="25" spans="1:22" hidden="1" x14ac:dyDescent="0.25">
      <c r="A25" s="256">
        <v>31102023</v>
      </c>
      <c r="B25" t="s">
        <v>2174</v>
      </c>
      <c r="C25" t="s">
        <v>13</v>
      </c>
      <c r="D25" s="122">
        <v>45230</v>
      </c>
      <c r="F25" s="28" t="s">
        <v>294</v>
      </c>
      <c r="G25" s="30" t="s">
        <v>3442</v>
      </c>
      <c r="H25" s="30" t="s">
        <v>3443</v>
      </c>
      <c r="I25" s="313">
        <v>35568</v>
      </c>
      <c r="J25" s="32">
        <f t="shared" si="0"/>
        <v>31299.84</v>
      </c>
      <c r="K25" s="465" t="s">
        <v>17</v>
      </c>
      <c r="L25" s="122">
        <v>45391</v>
      </c>
      <c r="T25" s="14" t="s">
        <v>2380</v>
      </c>
      <c r="U25" s="14">
        <v>0.66805555555555562</v>
      </c>
      <c r="V25" s="14"/>
    </row>
    <row r="26" spans="1:22" hidden="1" x14ac:dyDescent="0.25">
      <c r="A26" s="256" t="s">
        <v>3165</v>
      </c>
      <c r="B26" t="s">
        <v>2469</v>
      </c>
      <c r="C26" t="s">
        <v>410</v>
      </c>
      <c r="D26" s="122">
        <v>45235</v>
      </c>
      <c r="F26" s="28" t="s">
        <v>294</v>
      </c>
      <c r="G26" s="30" t="s">
        <v>3440</v>
      </c>
      <c r="H26" s="30" t="s">
        <v>3441</v>
      </c>
      <c r="I26" s="236">
        <v>35568</v>
      </c>
      <c r="J26" s="32">
        <f t="shared" si="0"/>
        <v>31299.84</v>
      </c>
      <c r="K26" t="s">
        <v>17</v>
      </c>
      <c r="L26" s="122">
        <v>45404</v>
      </c>
      <c r="T26" s="14" t="s">
        <v>2380</v>
      </c>
      <c r="U26" s="14">
        <v>0.66666666666666663</v>
      </c>
      <c r="V26" s="14">
        <v>0.88750000000000007</v>
      </c>
    </row>
    <row r="27" spans="1:22" s="21" customFormat="1" hidden="1" x14ac:dyDescent="0.25">
      <c r="A27" s="184">
        <v>10112023</v>
      </c>
      <c r="B27" s="21" t="s">
        <v>2469</v>
      </c>
      <c r="C27" s="21" t="s">
        <v>13</v>
      </c>
      <c r="D27" s="123">
        <v>45240</v>
      </c>
      <c r="F27" s="28" t="s">
        <v>294</v>
      </c>
      <c r="G27" s="30" t="s">
        <v>3655</v>
      </c>
      <c r="H27" s="169" t="s">
        <v>3671</v>
      </c>
      <c r="I27" s="181">
        <v>35568</v>
      </c>
      <c r="J27" s="32">
        <f t="shared" si="0"/>
        <v>31299.84</v>
      </c>
      <c r="K27" t="s">
        <v>17</v>
      </c>
      <c r="L27" s="122">
        <v>45411</v>
      </c>
      <c r="T27" s="519" t="s">
        <v>2380</v>
      </c>
      <c r="U27" s="157">
        <v>0.44027777777777777</v>
      </c>
      <c r="V27" s="157">
        <v>0.66319444444444442</v>
      </c>
    </row>
    <row r="28" spans="1:22" hidden="1" x14ac:dyDescent="0.25">
      <c r="A28" s="430" t="s">
        <v>3400</v>
      </c>
      <c r="B28" t="s">
        <v>2469</v>
      </c>
      <c r="C28" t="s">
        <v>410</v>
      </c>
      <c r="D28" s="122">
        <v>45288</v>
      </c>
      <c r="F28" s="28" t="s">
        <v>294</v>
      </c>
      <c r="G28" s="30" t="s">
        <v>3610</v>
      </c>
      <c r="H28" s="169" t="s">
        <v>3672</v>
      </c>
      <c r="I28" s="368">
        <v>36000</v>
      </c>
      <c r="J28" s="32">
        <f>+I28*0.88</f>
        <v>31680</v>
      </c>
      <c r="K28" t="s">
        <v>17</v>
      </c>
      <c r="L28" s="122">
        <v>45411</v>
      </c>
      <c r="T28" s="14" t="s">
        <v>1656</v>
      </c>
      <c r="U28" s="14">
        <v>0.36458333333333331</v>
      </c>
      <c r="V28" s="14">
        <v>0.54791666666666672</v>
      </c>
    </row>
    <row r="29" spans="1:22" s="21" customFormat="1" hidden="1" x14ac:dyDescent="0.25">
      <c r="A29" s="184">
        <v>31012024</v>
      </c>
      <c r="B29" t="s">
        <v>2469</v>
      </c>
      <c r="C29" s="30" t="s">
        <v>3414</v>
      </c>
      <c r="D29" s="528">
        <v>45322</v>
      </c>
      <c r="F29" s="28" t="s">
        <v>294</v>
      </c>
      <c r="G29" s="30" t="s">
        <v>3654</v>
      </c>
      <c r="H29" s="169" t="s">
        <v>3892</v>
      </c>
      <c r="I29" s="465">
        <v>36000</v>
      </c>
      <c r="J29" s="32">
        <f>+I29*0.88</f>
        <v>31680</v>
      </c>
      <c r="K29" s="465" t="s">
        <v>17</v>
      </c>
      <c r="L29" s="122">
        <v>45391</v>
      </c>
      <c r="T29" s="157" t="s">
        <v>3463</v>
      </c>
      <c r="U29" s="488">
        <v>0.29791666666666666</v>
      </c>
      <c r="V29" s="488"/>
    </row>
    <row r="30" spans="1:22" hidden="1" x14ac:dyDescent="0.25">
      <c r="A30" s="95" t="s">
        <v>4595</v>
      </c>
      <c r="B30" t="s">
        <v>2469</v>
      </c>
      <c r="C30" s="28" t="s">
        <v>13</v>
      </c>
      <c r="D30" s="233">
        <v>45509</v>
      </c>
      <c r="F30" s="28" t="s">
        <v>294</v>
      </c>
      <c r="G30" s="30" t="s">
        <v>4644</v>
      </c>
      <c r="H30" s="30" t="s">
        <v>4703</v>
      </c>
      <c r="I30" s="368">
        <v>39040</v>
      </c>
      <c r="J30" s="32">
        <f>+I30*0.88</f>
        <v>34355.199999999997</v>
      </c>
      <c r="K30" s="359" t="s">
        <v>17</v>
      </c>
      <c r="L30" s="233">
        <v>45548</v>
      </c>
      <c r="M30" t="s">
        <v>81</v>
      </c>
      <c r="T30" t="s">
        <v>4396</v>
      </c>
      <c r="U30" s="360">
        <v>0.84652777777777777</v>
      </c>
      <c r="V30" s="360">
        <v>0.99861111111111101</v>
      </c>
    </row>
    <row r="31" spans="1:22" hidden="1" x14ac:dyDescent="0.25">
      <c r="A31" s="95">
        <v>20082024</v>
      </c>
      <c r="B31" t="s">
        <v>2469</v>
      </c>
      <c r="C31" s="28" t="s">
        <v>13</v>
      </c>
      <c r="D31" s="233">
        <v>45524</v>
      </c>
      <c r="F31" s="28" t="s">
        <v>294</v>
      </c>
      <c r="G31" s="30" t="s">
        <v>4704</v>
      </c>
      <c r="H31" s="30" t="s">
        <v>4705</v>
      </c>
      <c r="I31" s="368">
        <v>37465</v>
      </c>
      <c r="J31" s="32">
        <f>+I31*0.88</f>
        <v>32969.199999999997</v>
      </c>
      <c r="K31" s="359" t="s">
        <v>17</v>
      </c>
      <c r="L31" s="233">
        <v>45566</v>
      </c>
      <c r="T31" t="s">
        <v>2050</v>
      </c>
      <c r="U31" s="360"/>
      <c r="V31" s="360"/>
    </row>
    <row r="32" spans="1:22" hidden="1" x14ac:dyDescent="0.25">
      <c r="A32" s="95">
        <v>5092024</v>
      </c>
      <c r="B32" t="s">
        <v>2469</v>
      </c>
      <c r="C32" s="28" t="s">
        <v>13</v>
      </c>
      <c r="D32" s="233">
        <v>45540</v>
      </c>
      <c r="F32" s="28" t="s">
        <v>294</v>
      </c>
      <c r="G32" s="30" t="s">
        <v>4770</v>
      </c>
      <c r="H32" s="30" t="s">
        <v>4790</v>
      </c>
      <c r="I32" s="236">
        <v>36350</v>
      </c>
      <c r="J32" s="32">
        <f>+I32*0.88</f>
        <v>31988</v>
      </c>
      <c r="K32" s="359" t="s">
        <v>17</v>
      </c>
      <c r="L32" s="233">
        <v>45567</v>
      </c>
      <c r="T32" t="s">
        <v>4139</v>
      </c>
      <c r="U32" s="360">
        <v>0.32569444444444445</v>
      </c>
      <c r="V32" s="360">
        <v>0.52569444444444446</v>
      </c>
    </row>
    <row r="33" spans="1:22" hidden="1" x14ac:dyDescent="0.25">
      <c r="A33" s="95"/>
      <c r="C33" s="28"/>
      <c r="D33" s="233">
        <v>45589</v>
      </c>
      <c r="F33" s="28" t="s">
        <v>294</v>
      </c>
      <c r="G33" s="30" t="s">
        <v>5120</v>
      </c>
      <c r="H33" s="30" t="s">
        <v>5121</v>
      </c>
      <c r="I33" s="236">
        <v>7326.02</v>
      </c>
      <c r="J33" s="3">
        <f t="shared" ref="J33:J48" si="1">+I33-ROUND(I33*0.12,0)</f>
        <v>6447.02</v>
      </c>
      <c r="K33" s="359" t="s">
        <v>17</v>
      </c>
      <c r="L33" s="233">
        <v>45636</v>
      </c>
      <c r="U33" s="360"/>
      <c r="V33" s="360"/>
    </row>
    <row r="34" spans="1:22" hidden="1" x14ac:dyDescent="0.25">
      <c r="A34" s="483">
        <v>24102024</v>
      </c>
      <c r="B34" t="s">
        <v>2469</v>
      </c>
      <c r="C34" s="28" t="s">
        <v>410</v>
      </c>
      <c r="D34" s="233">
        <v>45589</v>
      </c>
      <c r="F34" s="28" t="s">
        <v>294</v>
      </c>
      <c r="G34" s="30" t="s">
        <v>5120</v>
      </c>
      <c r="H34" s="30" t="s">
        <v>5122</v>
      </c>
      <c r="I34" s="236">
        <v>28358.98</v>
      </c>
      <c r="J34" s="3">
        <f t="shared" si="1"/>
        <v>24955.98</v>
      </c>
      <c r="K34" s="359" t="s">
        <v>17</v>
      </c>
      <c r="L34" s="233">
        <v>45636</v>
      </c>
      <c r="T34" t="s">
        <v>1644</v>
      </c>
      <c r="U34" s="360"/>
      <c r="V34" s="360"/>
    </row>
    <row r="35" spans="1:22" hidden="1" x14ac:dyDescent="0.25">
      <c r="A35" s="483">
        <v>26102024</v>
      </c>
      <c r="B35" t="s">
        <v>2469</v>
      </c>
      <c r="C35" s="28" t="s">
        <v>4218</v>
      </c>
      <c r="D35" s="233">
        <v>45591</v>
      </c>
      <c r="F35" s="28" t="s">
        <v>294</v>
      </c>
      <c r="G35" s="30" t="s">
        <v>5236</v>
      </c>
      <c r="H35" t="s">
        <v>5235</v>
      </c>
      <c r="I35" s="313">
        <v>35685</v>
      </c>
      <c r="J35" s="3">
        <f t="shared" si="1"/>
        <v>31403</v>
      </c>
      <c r="K35" s="236" t="s">
        <v>17</v>
      </c>
      <c r="L35" s="233">
        <v>45639</v>
      </c>
      <c r="T35" t="s">
        <v>4345</v>
      </c>
      <c r="U35" s="360">
        <v>0.59444444444444444</v>
      </c>
      <c r="V35" s="360">
        <v>0.79583333333333339</v>
      </c>
    </row>
    <row r="36" spans="1:22" hidden="1" x14ac:dyDescent="0.25">
      <c r="A36" s="483" t="s">
        <v>5089</v>
      </c>
      <c r="B36" t="s">
        <v>2174</v>
      </c>
      <c r="C36" s="233" t="s">
        <v>410</v>
      </c>
      <c r="D36" s="233">
        <v>45605</v>
      </c>
      <c r="E36" s="28"/>
      <c r="F36" s="30" t="s">
        <v>294</v>
      </c>
      <c r="G36" t="s">
        <v>5386</v>
      </c>
      <c r="H36" t="s">
        <v>5387</v>
      </c>
      <c r="I36" s="88">
        <v>35685</v>
      </c>
      <c r="J36" s="3">
        <f t="shared" si="1"/>
        <v>31403</v>
      </c>
      <c r="K36" t="s">
        <v>17</v>
      </c>
      <c r="L36" s="233">
        <v>45659</v>
      </c>
      <c r="T36" t="s">
        <v>2050</v>
      </c>
      <c r="U36" s="360">
        <v>0.59791666666666665</v>
      </c>
      <c r="V36" s="360">
        <v>0.81388888888888899</v>
      </c>
    </row>
    <row r="37" spans="1:22" hidden="1" x14ac:dyDescent="0.25">
      <c r="A37" s="483">
        <v>17122024</v>
      </c>
      <c r="B37" t="s">
        <v>5360</v>
      </c>
      <c r="C37" s="233" t="s">
        <v>4218</v>
      </c>
      <c r="D37" s="233">
        <v>45643</v>
      </c>
      <c r="E37" s="28"/>
      <c r="F37" s="30" t="s">
        <v>294</v>
      </c>
      <c r="G37" t="s">
        <v>5372</v>
      </c>
      <c r="H37" t="s">
        <v>5389</v>
      </c>
      <c r="I37" s="88">
        <v>35685</v>
      </c>
      <c r="J37" s="3">
        <f t="shared" si="1"/>
        <v>31403</v>
      </c>
      <c r="K37" t="s">
        <v>17</v>
      </c>
      <c r="L37" s="233">
        <v>45670</v>
      </c>
      <c r="T37" t="s">
        <v>2050</v>
      </c>
      <c r="U37" s="360">
        <v>0.67152777777777783</v>
      </c>
      <c r="V37" s="360">
        <v>0.87152777777777779</v>
      </c>
    </row>
    <row r="38" spans="1:22" s="19" customFormat="1" hidden="1" x14ac:dyDescent="0.25">
      <c r="A38" s="690">
        <v>28122024</v>
      </c>
      <c r="B38" s="19" t="s">
        <v>5360</v>
      </c>
      <c r="C38" s="691" t="s">
        <v>13</v>
      </c>
      <c r="D38" s="691">
        <v>45654</v>
      </c>
      <c r="E38" s="472"/>
      <c r="F38" s="472" t="s">
        <v>294</v>
      </c>
      <c r="G38" s="19" t="s">
        <v>5455</v>
      </c>
      <c r="H38" s="19" t="s">
        <v>7096</v>
      </c>
      <c r="I38" s="140">
        <v>35685</v>
      </c>
      <c r="J38" s="692">
        <f t="shared" si="1"/>
        <v>31403</v>
      </c>
      <c r="K38" s="19" t="s">
        <v>17</v>
      </c>
      <c r="L38" s="691">
        <v>45960</v>
      </c>
      <c r="T38" s="19" t="s">
        <v>5021</v>
      </c>
      <c r="U38" s="693">
        <v>0.50347222222222221</v>
      </c>
      <c r="V38" s="693">
        <v>0.69027777777777777</v>
      </c>
    </row>
    <row r="39" spans="1:22" hidden="1" x14ac:dyDescent="0.25">
      <c r="A39" s="483">
        <v>9012025</v>
      </c>
      <c r="B39" t="s">
        <v>2469</v>
      </c>
      <c r="C39" s="233" t="s">
        <v>4218</v>
      </c>
      <c r="D39" s="233">
        <v>45666</v>
      </c>
      <c r="E39" s="28"/>
      <c r="F39" s="28" t="s">
        <v>294</v>
      </c>
      <c r="G39" s="19" t="s">
        <v>5631</v>
      </c>
      <c r="H39" s="365" t="s">
        <v>5900</v>
      </c>
      <c r="I39" s="140">
        <v>36743.24</v>
      </c>
      <c r="J39" s="3">
        <f t="shared" si="1"/>
        <v>32334.239999999998</v>
      </c>
      <c r="K39" t="s">
        <v>17</v>
      </c>
      <c r="L39" s="587">
        <v>45769</v>
      </c>
      <c r="T39" t="s">
        <v>5500</v>
      </c>
      <c r="U39" s="360"/>
      <c r="V39" s="360"/>
    </row>
    <row r="40" spans="1:22" hidden="1" x14ac:dyDescent="0.25">
      <c r="A40" s="483">
        <v>21022024</v>
      </c>
      <c r="B40" t="s">
        <v>2469</v>
      </c>
      <c r="C40" s="28" t="s">
        <v>13</v>
      </c>
      <c r="D40" s="233">
        <v>45709</v>
      </c>
      <c r="E40" s="28"/>
      <c r="F40" s="28" t="s">
        <v>294</v>
      </c>
      <c r="G40" s="365" t="s">
        <v>5722</v>
      </c>
      <c r="H40" s="365" t="s">
        <v>6235</v>
      </c>
      <c r="I40" s="140">
        <v>35685</v>
      </c>
      <c r="J40" s="3">
        <f t="shared" si="1"/>
        <v>31403</v>
      </c>
      <c r="K40" t="s">
        <v>17</v>
      </c>
      <c r="L40" s="233">
        <v>45796</v>
      </c>
      <c r="T40" t="s">
        <v>4911</v>
      </c>
      <c r="U40" s="360">
        <v>0.78402777777777777</v>
      </c>
      <c r="V40" s="360">
        <v>0.96944444444444444</v>
      </c>
    </row>
    <row r="41" spans="1:22" hidden="1" x14ac:dyDescent="0.25">
      <c r="A41" s="483">
        <v>19032025</v>
      </c>
      <c r="B41" t="s">
        <v>5360</v>
      </c>
      <c r="C41" s="28" t="s">
        <v>13</v>
      </c>
      <c r="D41" s="233">
        <v>45735</v>
      </c>
      <c r="E41" s="28"/>
      <c r="F41" s="28" t="s">
        <v>294</v>
      </c>
      <c r="G41" s="19" t="s">
        <v>5899</v>
      </c>
      <c r="H41" s="365" t="s">
        <v>6234</v>
      </c>
      <c r="I41" s="140">
        <v>35685</v>
      </c>
      <c r="J41" s="3">
        <f t="shared" si="1"/>
        <v>31403</v>
      </c>
      <c r="K41" s="19" t="s">
        <v>17</v>
      </c>
      <c r="L41" s="1085">
        <v>45789</v>
      </c>
      <c r="T41" t="s">
        <v>4345</v>
      </c>
      <c r="U41" s="360">
        <v>0.48541666666666666</v>
      </c>
      <c r="V41" s="360">
        <v>0.6875</v>
      </c>
    </row>
    <row r="42" spans="1:22" hidden="1" x14ac:dyDescent="0.25">
      <c r="A42" s="483" t="s">
        <v>6236</v>
      </c>
      <c r="B42" t="s">
        <v>2469</v>
      </c>
      <c r="C42" s="28" t="s">
        <v>4437</v>
      </c>
      <c r="D42" s="233">
        <v>45794</v>
      </c>
      <c r="E42" s="28"/>
      <c r="F42" s="28" t="s">
        <v>294</v>
      </c>
      <c r="G42" t="s">
        <v>6287</v>
      </c>
      <c r="H42" s="30" t="s">
        <v>6288</v>
      </c>
      <c r="I42" s="798">
        <v>36350</v>
      </c>
      <c r="J42" s="3">
        <f t="shared" si="1"/>
        <v>31988</v>
      </c>
      <c r="K42" t="s">
        <v>17</v>
      </c>
      <c r="L42" s="233">
        <v>45835</v>
      </c>
      <c r="T42" t="s">
        <v>5131</v>
      </c>
      <c r="U42" s="30">
        <v>13.57</v>
      </c>
      <c r="V42" s="360">
        <v>0.79999999999999993</v>
      </c>
    </row>
    <row r="43" spans="1:22" hidden="1" x14ac:dyDescent="0.25">
      <c r="A43" s="483" t="s">
        <v>6346</v>
      </c>
      <c r="B43" t="s">
        <v>2469</v>
      </c>
      <c r="C43" s="28" t="s">
        <v>660</v>
      </c>
      <c r="D43" s="233">
        <v>45813</v>
      </c>
      <c r="E43" s="28"/>
      <c r="F43" s="28" t="s">
        <v>294</v>
      </c>
      <c r="G43" t="s">
        <v>6359</v>
      </c>
      <c r="H43" s="30" t="s">
        <v>6449</v>
      </c>
      <c r="I43" s="798">
        <v>36350</v>
      </c>
      <c r="J43" s="3">
        <f t="shared" si="1"/>
        <v>31988</v>
      </c>
      <c r="K43" t="s">
        <v>17</v>
      </c>
      <c r="L43" s="233">
        <v>45846</v>
      </c>
      <c r="T43" t="s">
        <v>6347</v>
      </c>
      <c r="U43" s="360">
        <v>0.54513888888888895</v>
      </c>
      <c r="V43" s="30"/>
    </row>
    <row r="44" spans="1:22" hidden="1" x14ac:dyDescent="0.25">
      <c r="A44" s="483">
        <v>30062025</v>
      </c>
      <c r="B44" t="s">
        <v>2174</v>
      </c>
      <c r="C44" s="28" t="s">
        <v>660</v>
      </c>
      <c r="D44" s="233">
        <v>45838</v>
      </c>
      <c r="E44" s="28"/>
      <c r="F44" s="28" t="s">
        <v>294</v>
      </c>
      <c r="G44" t="s">
        <v>6552</v>
      </c>
      <c r="H44" s="30" t="s">
        <v>6553</v>
      </c>
      <c r="I44" s="798">
        <v>36350</v>
      </c>
      <c r="J44" s="3">
        <f t="shared" si="1"/>
        <v>31988</v>
      </c>
      <c r="K44" t="s">
        <v>17</v>
      </c>
      <c r="L44" s="233">
        <v>45868</v>
      </c>
      <c r="T44" t="s">
        <v>6151</v>
      </c>
      <c r="U44" s="360">
        <v>0.37708333333333338</v>
      </c>
      <c r="V44" s="30"/>
    </row>
    <row r="45" spans="1:22" hidden="1" x14ac:dyDescent="0.25">
      <c r="A45" s="483">
        <v>30062025</v>
      </c>
      <c r="B45" t="s">
        <v>2174</v>
      </c>
      <c r="C45" s="28" t="s">
        <v>278</v>
      </c>
      <c r="D45" s="233">
        <v>45838</v>
      </c>
      <c r="E45" s="28"/>
      <c r="F45" s="28" t="s">
        <v>294</v>
      </c>
      <c r="G45" t="s">
        <v>6555</v>
      </c>
      <c r="H45" s="30" t="s">
        <v>6556</v>
      </c>
      <c r="I45" s="798">
        <v>36350</v>
      </c>
      <c r="J45" s="3">
        <f t="shared" si="1"/>
        <v>31988</v>
      </c>
      <c r="K45" t="s">
        <v>17</v>
      </c>
      <c r="L45" s="233">
        <v>45868</v>
      </c>
      <c r="T45" t="s">
        <v>6503</v>
      </c>
      <c r="U45" s="30"/>
      <c r="V45" s="30"/>
    </row>
    <row r="46" spans="1:22" hidden="1" x14ac:dyDescent="0.25">
      <c r="A46" s="483" t="s">
        <v>6541</v>
      </c>
      <c r="B46" t="s">
        <v>2469</v>
      </c>
      <c r="C46" s="28" t="s">
        <v>278</v>
      </c>
      <c r="D46" s="233">
        <v>45845</v>
      </c>
      <c r="E46" s="28"/>
      <c r="F46" s="28" t="s">
        <v>294</v>
      </c>
      <c r="G46" t="s">
        <v>6554</v>
      </c>
      <c r="H46" s="30" t="s">
        <v>7439</v>
      </c>
      <c r="I46" s="798">
        <v>36350</v>
      </c>
      <c r="J46" s="3">
        <f t="shared" si="1"/>
        <v>31988</v>
      </c>
      <c r="K46" t="s">
        <v>17</v>
      </c>
      <c r="L46" s="233">
        <v>46386</v>
      </c>
      <c r="T46" t="s">
        <v>6151</v>
      </c>
      <c r="U46" s="360">
        <v>0.67499999999999993</v>
      </c>
      <c r="V46" s="360">
        <v>0.89166666666666661</v>
      </c>
    </row>
    <row r="47" spans="1:22" x14ac:dyDescent="0.25">
      <c r="A47" s="483">
        <v>21102025</v>
      </c>
      <c r="B47" t="s">
        <v>2469</v>
      </c>
      <c r="C47" s="28" t="s">
        <v>410</v>
      </c>
      <c r="D47" s="233">
        <v>45951</v>
      </c>
      <c r="E47" s="28"/>
      <c r="F47" s="28" t="s">
        <v>294</v>
      </c>
      <c r="G47" s="1067" t="s">
        <v>7216</v>
      </c>
      <c r="I47" s="313">
        <v>36350</v>
      </c>
      <c r="J47" s="3">
        <f t="shared" si="1"/>
        <v>31988</v>
      </c>
      <c r="L47" s="88"/>
      <c r="M47" s="88"/>
      <c r="T47" t="s">
        <v>6294</v>
      </c>
      <c r="U47" s="360">
        <v>0.29791666666666666</v>
      </c>
      <c r="V47" s="360">
        <v>0.49374999999999997</v>
      </c>
    </row>
    <row r="48" spans="1:22" x14ac:dyDescent="0.25">
      <c r="A48" s="483">
        <v>13112025</v>
      </c>
      <c r="B48" t="s">
        <v>2469</v>
      </c>
      <c r="C48" s="28" t="s">
        <v>4218</v>
      </c>
      <c r="D48" s="233">
        <v>45974</v>
      </c>
      <c r="E48" s="28"/>
      <c r="F48" s="28" t="s">
        <v>294</v>
      </c>
      <c r="G48" s="1067" t="s">
        <v>7285</v>
      </c>
      <c r="I48" s="798">
        <v>36350</v>
      </c>
      <c r="J48" s="3">
        <f t="shared" si="1"/>
        <v>31988</v>
      </c>
      <c r="L48" s="88"/>
      <c r="M48" s="88"/>
      <c r="T48" t="s">
        <v>6214</v>
      </c>
      <c r="U48" s="360">
        <v>0.29930555555555555</v>
      </c>
      <c r="V48" s="360"/>
    </row>
    <row r="50" spans="1:22" x14ac:dyDescent="0.25">
      <c r="A50" s="95"/>
      <c r="D50" s="359"/>
      <c r="F50" s="28"/>
      <c r="G50" s="30"/>
      <c r="I50" s="313"/>
      <c r="J50" s="159"/>
      <c r="L50" s="88"/>
      <c r="U50" s="14"/>
    </row>
    <row r="51" spans="1:22" x14ac:dyDescent="0.25">
      <c r="A51" s="256"/>
      <c r="D51" s="359"/>
      <c r="I51" s="88"/>
      <c r="K51" s="88"/>
      <c r="L51" s="88"/>
      <c r="U51" s="14"/>
      <c r="V51" s="14"/>
    </row>
    <row r="52" spans="1:22" x14ac:dyDescent="0.25">
      <c r="A52" s="95"/>
      <c r="D52" s="462"/>
      <c r="I52" s="32"/>
      <c r="J52" s="32"/>
    </row>
    <row r="53" spans="1:22" x14ac:dyDescent="0.25">
      <c r="H53" t="s">
        <v>3218</v>
      </c>
      <c r="I53" s="27">
        <f>SUBTOTAL(9,I3:I52)</f>
        <v>72700</v>
      </c>
    </row>
    <row r="54" spans="1:22" x14ac:dyDescent="0.25">
      <c r="M54" s="3"/>
    </row>
    <row r="57" spans="1:22" ht="15.75" thickBot="1" x14ac:dyDescent="0.3"/>
    <row r="58" spans="1:22" ht="15.75" thickBot="1" x14ac:dyDescent="0.3">
      <c r="A58" s="1487" t="s">
        <v>1283</v>
      </c>
      <c r="B58" s="1488"/>
      <c r="C58" s="1488"/>
      <c r="D58" s="1503"/>
      <c r="E58" s="1488"/>
      <c r="F58" s="1488"/>
      <c r="G58" s="1488"/>
      <c r="H58" s="1489"/>
    </row>
    <row r="60" spans="1:22" hidden="1" x14ac:dyDescent="0.25">
      <c r="A60" s="115">
        <v>25092022</v>
      </c>
      <c r="B60" s="169" t="s">
        <v>1274</v>
      </c>
      <c r="C60" s="169">
        <v>2221</v>
      </c>
      <c r="D60" s="122">
        <v>44829</v>
      </c>
      <c r="E60" s="88"/>
      <c r="F60" t="s">
        <v>294</v>
      </c>
      <c r="G60" s="21" t="s">
        <v>1320</v>
      </c>
      <c r="H60" t="s">
        <v>1332</v>
      </c>
      <c r="I60" s="160">
        <v>39648</v>
      </c>
      <c r="J60" s="32">
        <f>+I60*0.88</f>
        <v>34890.239999999998</v>
      </c>
      <c r="K60" s="88" t="s">
        <v>17</v>
      </c>
      <c r="L60" s="2">
        <v>44879</v>
      </c>
      <c r="O60" s="21" t="s">
        <v>1041</v>
      </c>
      <c r="P60" s="157">
        <v>0.35138888888888892</v>
      </c>
      <c r="Q60" s="157">
        <v>0.61805555555555558</v>
      </c>
    </row>
    <row r="61" spans="1:22" hidden="1" x14ac:dyDescent="0.25">
      <c r="A61" s="116" t="s">
        <v>1339</v>
      </c>
      <c r="B61" s="169" t="s">
        <v>954</v>
      </c>
      <c r="C61" s="30" t="s">
        <v>410</v>
      </c>
      <c r="D61" s="122">
        <v>44840</v>
      </c>
      <c r="E61" s="88"/>
      <c r="F61" t="s">
        <v>294</v>
      </c>
      <c r="G61" s="21" t="s">
        <v>1389</v>
      </c>
      <c r="H61" t="s">
        <v>1397</v>
      </c>
      <c r="I61" s="160">
        <v>39648</v>
      </c>
      <c r="J61" s="32">
        <f>+I61*0.88</f>
        <v>34890.239999999998</v>
      </c>
      <c r="K61" s="88" t="s">
        <v>17</v>
      </c>
      <c r="L61" s="2">
        <v>44879</v>
      </c>
      <c r="O61" s="21" t="s">
        <v>922</v>
      </c>
      <c r="P61" s="157">
        <v>0.30833333333333335</v>
      </c>
      <c r="Q61" s="21"/>
    </row>
    <row r="62" spans="1:22" x14ac:dyDescent="0.25">
      <c r="A62" s="95"/>
      <c r="D62" s="462"/>
      <c r="I62" s="32"/>
      <c r="J62" s="32"/>
    </row>
    <row r="63" spans="1:22" x14ac:dyDescent="0.25">
      <c r="A63" s="116"/>
      <c r="B63" s="169"/>
      <c r="C63" s="30"/>
      <c r="D63" s="359"/>
      <c r="E63" s="88"/>
      <c r="G63" s="21"/>
      <c r="I63" s="160"/>
      <c r="J63" s="160"/>
      <c r="K63" s="160"/>
      <c r="O63" s="21"/>
      <c r="P63" s="157"/>
      <c r="Q63" s="157"/>
    </row>
    <row r="64" spans="1:22" x14ac:dyDescent="0.25">
      <c r="H64" s="32"/>
      <c r="I64" s="2"/>
    </row>
    <row r="65" spans="8:9" x14ac:dyDescent="0.25">
      <c r="H65" t="s">
        <v>359</v>
      </c>
      <c r="I65" s="138">
        <f>SUBTOTAL(9,I60:I64)</f>
        <v>0</v>
      </c>
    </row>
    <row r="67" spans="8:9" ht="15.75" thickBot="1" x14ac:dyDescent="0.3"/>
    <row r="68" spans="8:9" ht="15.75" thickBot="1" x14ac:dyDescent="0.3">
      <c r="H68" t="s">
        <v>581</v>
      </c>
      <c r="I68" s="207">
        <f>+I53+I65</f>
        <v>72700</v>
      </c>
    </row>
  </sheetData>
  <autoFilter ref="A2:Q68" xr:uid="{00000000-0009-0000-0000-000025000000}">
    <filterColumn colId="10">
      <filters blank="1"/>
    </filterColumn>
    <filterColumn colId="13" showButton="0"/>
    <filterColumn colId="14" showButton="0"/>
    <filterColumn colId="15" showButton="0"/>
  </autoFilter>
  <mergeCells count="2">
    <mergeCell ref="N2:Q2"/>
    <mergeCell ref="A58:H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6758" r:id="rId4" name="Button 1">
              <controlPr defaultSize="0" print="0" autoFill="0" autoPict="0" macro="[0]!RETORNAR">
                <anchor moveWithCells="1" sizeWithCells="1">
                  <from>
                    <xdr:col>0</xdr:col>
                    <xdr:colOff>38100</xdr:colOff>
                    <xdr:row>0</xdr:row>
                    <xdr:rowOff>47625</xdr:rowOff>
                  </from>
                  <to>
                    <xdr:col>1</xdr:col>
                    <xdr:colOff>781050</xdr:colOff>
                    <xdr:row>0</xdr:row>
                    <xdr:rowOff>314325</xdr:rowOff>
                  </to>
                </anchor>
              </controlPr>
            </control>
          </mc:Choice>
        </mc:AlternateContent>
        <mc:AlternateContent xmlns:mc="http://schemas.openxmlformats.org/markup-compatibility/2006">
          <mc:Choice Requires="x14">
            <control shapeId="586767" r:id="rId5" name="Botón 15">
              <controlPr defaultSize="0" print="0" autoFill="0" autoPict="0" macro="[0]!IR_VENTAS_B200_2026">
                <anchor moveWithCells="1" sizeWithCells="1">
                  <from>
                    <xdr:col>0</xdr:col>
                    <xdr:colOff>1057275</xdr:colOff>
                    <xdr:row>70</xdr:row>
                    <xdr:rowOff>57150</xdr:rowOff>
                  </from>
                  <to>
                    <xdr:col>1</xdr:col>
                    <xdr:colOff>1295400</xdr:colOff>
                    <xdr:row>73</xdr:row>
                    <xdr:rowOff>85725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49" filterMode="1"/>
  <dimension ref="A1:X45"/>
  <sheetViews>
    <sheetView zoomScale="85" zoomScaleNormal="85" workbookViewId="0">
      <selection activeCell="J38" sqref="J38"/>
    </sheetView>
  </sheetViews>
  <sheetFormatPr baseColWidth="10" defaultColWidth="10.85546875" defaultRowHeight="15" x14ac:dyDescent="0.25"/>
  <cols>
    <col min="1" max="1" width="16.140625" customWidth="1"/>
    <col min="5" max="5" width="4.140625" customWidth="1"/>
    <col min="6" max="6" width="8.85546875" customWidth="1"/>
    <col min="7" max="7" width="44.85546875" customWidth="1"/>
    <col min="8" max="8" width="15.140625" customWidth="1"/>
    <col min="9" max="9" width="14" bestFit="1" customWidth="1"/>
    <col min="10" max="10" width="11.42578125" customWidth="1"/>
  </cols>
  <sheetData>
    <row r="1" spans="1:22" ht="40.5" customHeight="1" x14ac:dyDescent="0.25"/>
    <row r="2" spans="1:22" s="28" customFormat="1" x14ac:dyDescent="0.25">
      <c r="A2" s="28" t="s">
        <v>706</v>
      </c>
      <c r="B2" s="25" t="s">
        <v>0</v>
      </c>
      <c r="C2" s="25" t="s">
        <v>1</v>
      </c>
      <c r="D2" s="25" t="s">
        <v>2</v>
      </c>
      <c r="E2" s="25"/>
      <c r="F2" s="25" t="s">
        <v>3</v>
      </c>
      <c r="G2" s="25" t="s">
        <v>4</v>
      </c>
      <c r="H2" s="25" t="s">
        <v>5</v>
      </c>
      <c r="I2" s="25" t="s">
        <v>6</v>
      </c>
      <c r="J2" s="25" t="s">
        <v>1780</v>
      </c>
      <c r="K2" s="25" t="s">
        <v>8</v>
      </c>
      <c r="L2" s="25" t="s">
        <v>3997</v>
      </c>
      <c r="M2" s="25" t="s">
        <v>10</v>
      </c>
      <c r="N2" s="1480" t="s">
        <v>11</v>
      </c>
      <c r="O2" s="1480"/>
      <c r="P2" s="1480"/>
      <c r="Q2" s="1480"/>
    </row>
    <row r="3" spans="1:22" hidden="1" x14ac:dyDescent="0.25">
      <c r="A3" s="115">
        <v>20092022</v>
      </c>
      <c r="B3" s="169" t="s">
        <v>1260</v>
      </c>
      <c r="C3" s="30" t="s">
        <v>410</v>
      </c>
      <c r="D3" s="122">
        <v>44824</v>
      </c>
      <c r="E3" s="88"/>
      <c r="F3" t="s">
        <v>1258</v>
      </c>
      <c r="G3" s="21" t="s">
        <v>1490</v>
      </c>
      <c r="H3" t="s">
        <v>1567</v>
      </c>
      <c r="I3" s="160">
        <v>23729</v>
      </c>
      <c r="J3" s="160"/>
      <c r="K3" s="88" t="s">
        <v>17</v>
      </c>
      <c r="L3" s="122">
        <v>44959</v>
      </c>
      <c r="O3" s="21" t="s">
        <v>922</v>
      </c>
      <c r="P3" s="21"/>
      <c r="Q3" s="21"/>
    </row>
    <row r="4" spans="1:22" hidden="1" x14ac:dyDescent="0.25">
      <c r="A4" s="115"/>
      <c r="B4" s="169"/>
      <c r="C4" s="30"/>
      <c r="D4" s="122"/>
      <c r="E4" s="88"/>
      <c r="G4" s="21" t="s">
        <v>1490</v>
      </c>
      <c r="H4" t="s">
        <v>1555</v>
      </c>
      <c r="I4" s="160">
        <v>26321</v>
      </c>
      <c r="J4" s="160"/>
      <c r="K4" s="88" t="s">
        <v>17</v>
      </c>
      <c r="L4" s="122">
        <v>44959</v>
      </c>
      <c r="O4" s="21"/>
      <c r="P4" s="21"/>
      <c r="Q4" s="21"/>
    </row>
    <row r="5" spans="1:22" hidden="1" x14ac:dyDescent="0.25">
      <c r="A5" s="116">
        <v>11112022</v>
      </c>
      <c r="B5" s="169" t="s">
        <v>1465</v>
      </c>
      <c r="C5" s="30" t="s">
        <v>410</v>
      </c>
      <c r="D5" s="122">
        <v>44876</v>
      </c>
      <c r="E5" s="88"/>
      <c r="F5" t="s">
        <v>1466</v>
      </c>
      <c r="G5" s="21" t="s">
        <v>1648</v>
      </c>
      <c r="H5" t="s">
        <v>1647</v>
      </c>
      <c r="I5" s="160">
        <v>50050</v>
      </c>
      <c r="J5" s="160">
        <f t="shared" ref="J5:J11" si="0">+I5*0.88</f>
        <v>44044</v>
      </c>
      <c r="K5" s="88" t="s">
        <v>17</v>
      </c>
      <c r="L5" s="122">
        <v>44959</v>
      </c>
      <c r="O5" s="21" t="s">
        <v>929</v>
      </c>
      <c r="P5" s="157">
        <v>0.34097222222222223</v>
      </c>
      <c r="Q5" s="157">
        <v>0.60347222222222219</v>
      </c>
    </row>
    <row r="6" spans="1:22" hidden="1" x14ac:dyDescent="0.25">
      <c r="A6" s="116">
        <v>23112022</v>
      </c>
      <c r="B6" s="169" t="s">
        <v>1465</v>
      </c>
      <c r="C6" s="169" t="s">
        <v>693</v>
      </c>
      <c r="D6" s="122">
        <v>44888</v>
      </c>
      <c r="E6" s="88"/>
      <c r="F6" t="s">
        <v>1466</v>
      </c>
      <c r="G6" s="21" t="s">
        <v>1598</v>
      </c>
      <c r="H6" t="s">
        <v>1708</v>
      </c>
      <c r="I6" s="160">
        <v>50050</v>
      </c>
      <c r="J6" s="160">
        <f t="shared" si="0"/>
        <v>44044</v>
      </c>
      <c r="K6" s="88" t="s">
        <v>17</v>
      </c>
      <c r="L6" s="122">
        <v>45033</v>
      </c>
      <c r="O6" s="21" t="s">
        <v>653</v>
      </c>
      <c r="P6" s="157">
        <v>0.61527777777777781</v>
      </c>
      <c r="Q6" s="157">
        <v>0.90347222222222223</v>
      </c>
    </row>
    <row r="7" spans="1:22" hidden="1" x14ac:dyDescent="0.25">
      <c r="A7" s="116"/>
      <c r="B7" s="169"/>
      <c r="C7" s="169"/>
      <c r="D7" s="122"/>
      <c r="E7" s="88"/>
      <c r="G7" t="s">
        <v>2408</v>
      </c>
      <c r="H7" t="s">
        <v>2447</v>
      </c>
      <c r="I7" s="160">
        <v>44209</v>
      </c>
      <c r="J7" s="160">
        <f t="shared" si="0"/>
        <v>38903.919999999998</v>
      </c>
      <c r="K7" s="88" t="s">
        <v>17</v>
      </c>
      <c r="L7" s="122">
        <v>45096</v>
      </c>
      <c r="O7" s="21"/>
      <c r="P7" s="157"/>
      <c r="Q7" s="157"/>
    </row>
    <row r="8" spans="1:22" hidden="1" x14ac:dyDescent="0.25">
      <c r="A8" s="95" t="s">
        <v>2011</v>
      </c>
      <c r="B8" t="s">
        <v>2007</v>
      </c>
      <c r="C8" t="s">
        <v>13</v>
      </c>
      <c r="D8" s="122">
        <v>44994</v>
      </c>
      <c r="F8" t="s">
        <v>2008</v>
      </c>
      <c r="G8" t="s">
        <v>2408</v>
      </c>
      <c r="H8" t="s">
        <v>2448</v>
      </c>
      <c r="I8" s="88">
        <v>5141</v>
      </c>
      <c r="J8" s="160">
        <f t="shared" si="0"/>
        <v>4524.08</v>
      </c>
      <c r="K8" s="88" t="s">
        <v>17</v>
      </c>
      <c r="L8" s="122">
        <v>45096</v>
      </c>
      <c r="S8" t="s">
        <v>1029</v>
      </c>
      <c r="T8" s="14">
        <v>0.28680555555555554</v>
      </c>
    </row>
    <row r="9" spans="1:22" hidden="1" x14ac:dyDescent="0.25">
      <c r="A9" s="95">
        <v>15112023</v>
      </c>
      <c r="B9" t="s">
        <v>3190</v>
      </c>
      <c r="C9" t="s">
        <v>13</v>
      </c>
      <c r="D9" s="122">
        <v>45245</v>
      </c>
      <c r="F9" t="s">
        <v>1258</v>
      </c>
      <c r="G9" t="s">
        <v>3371</v>
      </c>
      <c r="H9" t="s">
        <v>3373</v>
      </c>
      <c r="I9" s="414">
        <v>49350</v>
      </c>
      <c r="J9" s="160">
        <f t="shared" si="0"/>
        <v>43428</v>
      </c>
      <c r="K9" t="s">
        <v>17</v>
      </c>
      <c r="L9" s="122">
        <v>45322</v>
      </c>
      <c r="T9" s="14" t="s">
        <v>2037</v>
      </c>
      <c r="U9" s="14">
        <v>0.28819444444444448</v>
      </c>
      <c r="V9" s="14">
        <v>0.54861111111111105</v>
      </c>
    </row>
    <row r="10" spans="1:22" hidden="1" x14ac:dyDescent="0.25">
      <c r="A10" t="s">
        <v>3275</v>
      </c>
      <c r="B10" t="s">
        <v>3274</v>
      </c>
      <c r="C10" t="s">
        <v>13</v>
      </c>
      <c r="D10" s="122">
        <v>45266</v>
      </c>
      <c r="E10" s="88"/>
      <c r="F10" t="s">
        <v>2008</v>
      </c>
      <c r="G10" t="s">
        <v>3372</v>
      </c>
      <c r="H10" t="s">
        <v>3374</v>
      </c>
      <c r="I10" s="88">
        <v>49350</v>
      </c>
      <c r="J10" s="160">
        <f t="shared" si="0"/>
        <v>43428</v>
      </c>
      <c r="K10" t="s">
        <v>17</v>
      </c>
      <c r="L10" s="122">
        <v>45322</v>
      </c>
      <c r="T10" t="s">
        <v>3151</v>
      </c>
      <c r="U10">
        <v>0.27569444444444446</v>
      </c>
    </row>
    <row r="11" spans="1:22" hidden="1" x14ac:dyDescent="0.25">
      <c r="A11" s="430" t="s">
        <v>3330</v>
      </c>
      <c r="B11" t="s">
        <v>3331</v>
      </c>
      <c r="C11" t="s">
        <v>278</v>
      </c>
      <c r="D11" s="122">
        <v>45278</v>
      </c>
      <c r="F11" s="28" t="s">
        <v>2008</v>
      </c>
      <c r="G11" s="30" t="s">
        <v>3353</v>
      </c>
      <c r="H11" t="s">
        <v>3375</v>
      </c>
      <c r="I11" s="236">
        <v>49350</v>
      </c>
      <c r="J11" s="160">
        <f t="shared" si="0"/>
        <v>43428</v>
      </c>
      <c r="K11" t="s">
        <v>17</v>
      </c>
      <c r="L11" s="122">
        <v>45322</v>
      </c>
      <c r="T11" s="14" t="s">
        <v>2050</v>
      </c>
      <c r="U11" s="14">
        <v>0.27430555555555552</v>
      </c>
      <c r="V11" s="14"/>
    </row>
    <row r="12" spans="1:22" hidden="1" x14ac:dyDescent="0.25">
      <c r="A12" s="483">
        <v>12052024</v>
      </c>
      <c r="B12" t="s">
        <v>3331</v>
      </c>
      <c r="C12" s="28"/>
      <c r="D12" s="233">
        <v>45424</v>
      </c>
      <c r="F12" s="28" t="s">
        <v>2008</v>
      </c>
      <c r="G12" s="30" t="s">
        <v>4485</v>
      </c>
      <c r="H12" s="30" t="s">
        <v>5245</v>
      </c>
      <c r="I12" s="236">
        <v>47250</v>
      </c>
      <c r="J12" s="3">
        <f t="shared" ref="J12:J38" si="1">+I12-ROUND(I12*0.12,0)</f>
        <v>41580</v>
      </c>
      <c r="K12" t="s">
        <v>17</v>
      </c>
      <c r="L12" s="122">
        <v>45629</v>
      </c>
      <c r="T12" s="14" t="s">
        <v>922</v>
      </c>
      <c r="U12" s="360">
        <v>0.28819444444444448</v>
      </c>
      <c r="V12" s="360">
        <v>0.52916666666666667</v>
      </c>
    </row>
    <row r="13" spans="1:22" hidden="1" x14ac:dyDescent="0.25">
      <c r="A13" s="509">
        <v>27062024</v>
      </c>
      <c r="B13" t="s">
        <v>3331</v>
      </c>
      <c r="C13" s="28" t="s">
        <v>13</v>
      </c>
      <c r="D13" s="233">
        <v>45470</v>
      </c>
      <c r="F13" s="28" t="s">
        <v>2008</v>
      </c>
      <c r="G13" s="30" t="s">
        <v>4486</v>
      </c>
      <c r="H13" s="30" t="s">
        <v>5246</v>
      </c>
      <c r="I13" s="237">
        <v>47250</v>
      </c>
      <c r="J13" s="3">
        <f t="shared" si="1"/>
        <v>41580</v>
      </c>
      <c r="K13" t="s">
        <v>17</v>
      </c>
      <c r="L13" s="122">
        <v>45629</v>
      </c>
      <c r="T13" s="14" t="s">
        <v>4070</v>
      </c>
      <c r="U13" s="360">
        <v>0.2638888888888889</v>
      </c>
      <c r="V13" s="360">
        <v>0.51874999999999993</v>
      </c>
    </row>
    <row r="14" spans="1:22" hidden="1" x14ac:dyDescent="0.25">
      <c r="A14" s="483" t="s">
        <v>4463</v>
      </c>
      <c r="B14" t="s">
        <v>4464</v>
      </c>
      <c r="C14" s="28" t="s">
        <v>4437</v>
      </c>
      <c r="D14" s="233">
        <v>45478</v>
      </c>
      <c r="F14" s="28" t="s">
        <v>2008</v>
      </c>
      <c r="G14" s="30" t="s">
        <v>5267</v>
      </c>
      <c r="H14" s="30" t="s">
        <v>5268</v>
      </c>
      <c r="I14" s="236">
        <v>47250</v>
      </c>
      <c r="J14" s="3">
        <f t="shared" si="1"/>
        <v>41580</v>
      </c>
      <c r="K14" t="s">
        <v>17</v>
      </c>
      <c r="L14" s="122">
        <v>45643</v>
      </c>
      <c r="T14" s="14" t="s">
        <v>4417</v>
      </c>
      <c r="U14" s="360">
        <v>0.51180555555555551</v>
      </c>
      <c r="V14" s="30"/>
    </row>
    <row r="15" spans="1:22" hidden="1" x14ac:dyDescent="0.25">
      <c r="A15" s="483" t="s">
        <v>4483</v>
      </c>
      <c r="B15" t="s">
        <v>4464</v>
      </c>
      <c r="C15" s="28" t="s">
        <v>410</v>
      </c>
      <c r="D15" s="233">
        <v>45482</v>
      </c>
      <c r="F15" s="28" t="s">
        <v>2008</v>
      </c>
      <c r="G15" s="30" t="s">
        <v>4487</v>
      </c>
      <c r="H15" s="30" t="s">
        <v>5269</v>
      </c>
      <c r="I15" s="236">
        <v>47250</v>
      </c>
      <c r="J15" s="3">
        <f t="shared" si="1"/>
        <v>41580</v>
      </c>
      <c r="K15" t="s">
        <v>17</v>
      </c>
      <c r="L15" s="122">
        <v>45645</v>
      </c>
      <c r="T15" s="14" t="s">
        <v>4345</v>
      </c>
      <c r="U15" s="360">
        <v>0.39513888888888887</v>
      </c>
      <c r="V15" s="30"/>
    </row>
    <row r="16" spans="1:22" hidden="1" x14ac:dyDescent="0.25">
      <c r="A16" s="483">
        <v>21072024</v>
      </c>
      <c r="B16" t="s">
        <v>4554</v>
      </c>
      <c r="C16" s="28" t="s">
        <v>13</v>
      </c>
      <c r="D16" s="233">
        <v>45494</v>
      </c>
      <c r="F16" s="28" t="s">
        <v>2008</v>
      </c>
      <c r="G16" s="30" t="s">
        <v>4633</v>
      </c>
      <c r="H16" s="30" t="s">
        <v>5244</v>
      </c>
      <c r="I16" s="236">
        <v>47250</v>
      </c>
      <c r="J16" s="3">
        <f t="shared" si="1"/>
        <v>41580</v>
      </c>
      <c r="K16" t="s">
        <v>17</v>
      </c>
      <c r="L16" s="122">
        <v>45629</v>
      </c>
      <c r="T16" s="14" t="s">
        <v>4345</v>
      </c>
      <c r="U16" s="360">
        <v>0.30208333333333331</v>
      </c>
      <c r="V16" s="360">
        <v>0.6166666666666667</v>
      </c>
    </row>
    <row r="17" spans="1:22" hidden="1" x14ac:dyDescent="0.25">
      <c r="A17" s="483" t="s">
        <v>4576</v>
      </c>
      <c r="B17" t="s">
        <v>4554</v>
      </c>
      <c r="C17" s="28" t="s">
        <v>410</v>
      </c>
      <c r="D17" s="233">
        <v>45505</v>
      </c>
      <c r="F17" s="28" t="s">
        <v>2008</v>
      </c>
      <c r="G17" s="30" t="s">
        <v>4632</v>
      </c>
      <c r="H17" s="30" t="s">
        <v>5243</v>
      </c>
      <c r="I17" s="236">
        <v>47250</v>
      </c>
      <c r="J17" s="3">
        <f t="shared" si="1"/>
        <v>41580</v>
      </c>
      <c r="K17" t="s">
        <v>17</v>
      </c>
      <c r="L17" s="122">
        <v>45629</v>
      </c>
      <c r="T17" t="s">
        <v>4277</v>
      </c>
      <c r="U17" s="360">
        <v>0.40972222222222227</v>
      </c>
      <c r="V17" s="30"/>
    </row>
    <row r="18" spans="1:22" hidden="1" x14ac:dyDescent="0.25">
      <c r="A18" s="483">
        <v>18082024</v>
      </c>
      <c r="B18" t="s">
        <v>4662</v>
      </c>
      <c r="C18" s="28" t="s">
        <v>410</v>
      </c>
      <c r="D18" s="233">
        <v>45522</v>
      </c>
      <c r="F18" s="28" t="s">
        <v>2008</v>
      </c>
      <c r="G18" s="30" t="s">
        <v>4788</v>
      </c>
      <c r="H18" s="30" t="s">
        <v>5242</v>
      </c>
      <c r="I18" s="236">
        <v>47250</v>
      </c>
      <c r="J18" s="3">
        <f t="shared" si="1"/>
        <v>41580</v>
      </c>
      <c r="K18" t="s">
        <v>17</v>
      </c>
      <c r="L18" s="122">
        <v>45631</v>
      </c>
      <c r="T18" t="s">
        <v>2050</v>
      </c>
      <c r="U18" s="360">
        <v>0.32291666666666669</v>
      </c>
      <c r="V18" s="360">
        <v>0.57013888888888886</v>
      </c>
    </row>
    <row r="19" spans="1:22" hidden="1" x14ac:dyDescent="0.25">
      <c r="A19" s="483">
        <v>27092024</v>
      </c>
      <c r="B19" t="s">
        <v>4849</v>
      </c>
      <c r="C19" s="28" t="s">
        <v>13</v>
      </c>
      <c r="D19" s="233">
        <v>45562</v>
      </c>
      <c r="F19" s="28" t="s">
        <v>2008</v>
      </c>
      <c r="G19" s="30" t="s">
        <v>4901</v>
      </c>
      <c r="H19" s="30" t="s">
        <v>5270</v>
      </c>
      <c r="I19" s="236">
        <v>47250</v>
      </c>
      <c r="J19" s="3">
        <f t="shared" si="1"/>
        <v>41580</v>
      </c>
      <c r="K19" t="s">
        <v>17</v>
      </c>
      <c r="L19" s="122">
        <v>45645</v>
      </c>
      <c r="T19" t="s">
        <v>4850</v>
      </c>
      <c r="U19" s="360">
        <v>0.29236111111111113</v>
      </c>
      <c r="V19" s="360">
        <v>0.5444444444444444</v>
      </c>
    </row>
    <row r="20" spans="1:22" hidden="1" x14ac:dyDescent="0.25">
      <c r="A20" s="483">
        <v>9012025</v>
      </c>
      <c r="B20" t="s">
        <v>3331</v>
      </c>
      <c r="C20" s="233" t="s">
        <v>4218</v>
      </c>
      <c r="D20" s="233">
        <v>45666</v>
      </c>
      <c r="E20" s="28"/>
      <c r="F20" s="28" t="s">
        <v>2008</v>
      </c>
      <c r="G20" t="s">
        <v>5632</v>
      </c>
      <c r="H20" s="30" t="s">
        <v>6760</v>
      </c>
      <c r="I20" s="88">
        <v>18556</v>
      </c>
      <c r="J20" s="3">
        <f t="shared" si="1"/>
        <v>16329</v>
      </c>
      <c r="K20" t="s">
        <v>17</v>
      </c>
      <c r="L20" s="233">
        <v>45894</v>
      </c>
      <c r="T20" t="s">
        <v>4617</v>
      </c>
      <c r="U20" s="360">
        <v>0.36874999999999997</v>
      </c>
      <c r="V20" s="360"/>
    </row>
    <row r="21" spans="1:22" hidden="1" x14ac:dyDescent="0.25">
      <c r="A21" s="483">
        <v>9012025</v>
      </c>
      <c r="B21" t="s">
        <v>3331</v>
      </c>
      <c r="C21" s="233" t="s">
        <v>4218</v>
      </c>
      <c r="D21" s="233">
        <v>45666</v>
      </c>
      <c r="E21" s="28"/>
      <c r="F21" s="28" t="s">
        <v>2008</v>
      </c>
      <c r="G21" t="s">
        <v>5632</v>
      </c>
      <c r="H21" s="30" t="s">
        <v>6761</v>
      </c>
      <c r="I21" s="88">
        <v>22629</v>
      </c>
      <c r="J21" s="3">
        <f t="shared" ref="J21" si="2">+I21-ROUND(I21*0.12,0)</f>
        <v>19914</v>
      </c>
      <c r="K21" t="s">
        <v>17</v>
      </c>
      <c r="L21" s="233">
        <v>45894</v>
      </c>
      <c r="T21" t="s">
        <v>4617</v>
      </c>
      <c r="U21" s="360">
        <v>0.36874999999999997</v>
      </c>
      <c r="V21" s="360"/>
    </row>
    <row r="22" spans="1:22" hidden="1" x14ac:dyDescent="0.25">
      <c r="A22" s="483">
        <v>9012025</v>
      </c>
      <c r="B22" t="s">
        <v>3331</v>
      </c>
      <c r="C22" s="233" t="s">
        <v>4218</v>
      </c>
      <c r="D22" s="233">
        <v>45666</v>
      </c>
      <c r="E22" s="28"/>
      <c r="F22" s="28" t="s">
        <v>2008</v>
      </c>
      <c r="G22" t="s">
        <v>5632</v>
      </c>
      <c r="H22" s="30" t="s">
        <v>6763</v>
      </c>
      <c r="I22" s="88">
        <v>6065</v>
      </c>
      <c r="J22" s="3">
        <f t="shared" si="1"/>
        <v>5337</v>
      </c>
      <c r="K22" t="s">
        <v>17</v>
      </c>
      <c r="L22" s="233">
        <v>45902</v>
      </c>
      <c r="T22" t="s">
        <v>4617</v>
      </c>
      <c r="U22" s="360">
        <v>0.36874999999999997</v>
      </c>
      <c r="V22" s="360"/>
    </row>
    <row r="23" spans="1:22" hidden="1" x14ac:dyDescent="0.25">
      <c r="A23" s="483">
        <v>24012025</v>
      </c>
      <c r="B23" t="s">
        <v>4849</v>
      </c>
      <c r="C23" s="28" t="s">
        <v>4218</v>
      </c>
      <c r="D23" s="233">
        <v>45681</v>
      </c>
      <c r="F23" s="28" t="s">
        <v>2008</v>
      </c>
      <c r="G23" t="s">
        <v>6641</v>
      </c>
      <c r="H23" s="30" t="s">
        <v>6644</v>
      </c>
      <c r="I23" s="313">
        <v>14116</v>
      </c>
      <c r="J23" s="3">
        <f t="shared" si="1"/>
        <v>12422</v>
      </c>
      <c r="K23" t="s">
        <v>17</v>
      </c>
      <c r="L23" s="233">
        <v>45877</v>
      </c>
      <c r="T23" t="s">
        <v>4867</v>
      </c>
      <c r="U23" s="360">
        <v>0.42430555555555555</v>
      </c>
      <c r="V23" s="30"/>
    </row>
    <row r="24" spans="1:22" hidden="1" x14ac:dyDescent="0.25">
      <c r="A24" s="483">
        <v>24012025</v>
      </c>
      <c r="B24" t="s">
        <v>4849</v>
      </c>
      <c r="C24" s="28" t="s">
        <v>4218</v>
      </c>
      <c r="D24" s="233">
        <v>45681</v>
      </c>
      <c r="F24" s="28" t="s">
        <v>2008</v>
      </c>
      <c r="G24" t="s">
        <v>6641</v>
      </c>
      <c r="H24" s="30" t="s">
        <v>6645</v>
      </c>
      <c r="I24" s="313">
        <v>20141</v>
      </c>
      <c r="J24" s="3">
        <f t="shared" si="1"/>
        <v>17724</v>
      </c>
      <c r="K24" t="s">
        <v>17</v>
      </c>
      <c r="L24" s="233">
        <v>45877</v>
      </c>
      <c r="T24" t="s">
        <v>4867</v>
      </c>
      <c r="U24" s="360">
        <v>0.42430555555555555</v>
      </c>
      <c r="V24" s="30"/>
    </row>
    <row r="25" spans="1:22" hidden="1" x14ac:dyDescent="0.25">
      <c r="A25" s="483">
        <v>24012025</v>
      </c>
      <c r="B25" t="s">
        <v>4849</v>
      </c>
      <c r="C25" s="28" t="s">
        <v>4218</v>
      </c>
      <c r="D25" s="233">
        <v>45681</v>
      </c>
      <c r="F25" s="28" t="s">
        <v>2008</v>
      </c>
      <c r="G25" t="s">
        <v>6641</v>
      </c>
      <c r="H25" s="30" t="s">
        <v>6646</v>
      </c>
      <c r="I25" s="313">
        <v>12993</v>
      </c>
      <c r="J25" s="3">
        <f t="shared" ref="J25" si="3">+I25-ROUND(I25*0.12,0)</f>
        <v>11434</v>
      </c>
      <c r="K25" t="s">
        <v>17</v>
      </c>
      <c r="L25" s="233">
        <v>45877</v>
      </c>
      <c r="T25" t="s">
        <v>4867</v>
      </c>
      <c r="U25" s="360">
        <v>0.42430555555555555</v>
      </c>
      <c r="V25" s="30"/>
    </row>
    <row r="26" spans="1:22" hidden="1" x14ac:dyDescent="0.25">
      <c r="A26" s="483" t="s">
        <v>5604</v>
      </c>
      <c r="B26" t="s">
        <v>4662</v>
      </c>
      <c r="C26" s="28" t="s">
        <v>410</v>
      </c>
      <c r="D26" s="233">
        <v>45690</v>
      </c>
      <c r="F26" s="28" t="s">
        <v>5605</v>
      </c>
      <c r="G26" s="30" t="s">
        <v>6759</v>
      </c>
      <c r="H26" s="30" t="s">
        <v>6764</v>
      </c>
      <c r="I26" s="88">
        <v>55600</v>
      </c>
      <c r="J26" s="3">
        <f t="shared" si="1"/>
        <v>48928</v>
      </c>
      <c r="K26" t="s">
        <v>17</v>
      </c>
      <c r="L26" s="233">
        <v>45894</v>
      </c>
      <c r="T26" t="s">
        <v>4417</v>
      </c>
      <c r="U26" s="360">
        <v>0.29583333333333334</v>
      </c>
      <c r="V26" s="360">
        <v>0.70486111111111116</v>
      </c>
    </row>
    <row r="27" spans="1:22" hidden="1" x14ac:dyDescent="0.25">
      <c r="A27" s="483" t="s">
        <v>5604</v>
      </c>
      <c r="B27" t="s">
        <v>4662</v>
      </c>
      <c r="C27" s="28" t="s">
        <v>13</v>
      </c>
      <c r="D27" s="233">
        <v>45690</v>
      </c>
      <c r="F27" s="28" t="s">
        <v>5605</v>
      </c>
      <c r="G27" s="30" t="s">
        <v>5633</v>
      </c>
      <c r="H27" s="30" t="s">
        <v>6878</v>
      </c>
      <c r="I27" s="88">
        <v>55600</v>
      </c>
      <c r="J27" s="3">
        <f t="shared" si="1"/>
        <v>48928</v>
      </c>
      <c r="K27" t="s">
        <v>17</v>
      </c>
      <c r="L27" s="233">
        <v>45873</v>
      </c>
      <c r="T27" t="s">
        <v>4853</v>
      </c>
      <c r="U27" s="360">
        <v>0.38263888888888892</v>
      </c>
      <c r="V27" s="360">
        <v>0.7909722222222223</v>
      </c>
    </row>
    <row r="28" spans="1:22" hidden="1" x14ac:dyDescent="0.25">
      <c r="A28" s="483">
        <v>10022024</v>
      </c>
      <c r="B28" t="s">
        <v>4662</v>
      </c>
      <c r="C28" s="28" t="s">
        <v>4218</v>
      </c>
      <c r="D28" s="233">
        <v>45698</v>
      </c>
      <c r="E28" s="28"/>
      <c r="F28" s="28" t="s">
        <v>2008</v>
      </c>
      <c r="G28" s="30" t="s">
        <v>5763</v>
      </c>
      <c r="H28" s="30" t="s">
        <v>6642</v>
      </c>
      <c r="I28" s="798">
        <v>47250</v>
      </c>
      <c r="J28" s="3">
        <f t="shared" si="1"/>
        <v>41580</v>
      </c>
      <c r="K28" t="s">
        <v>17</v>
      </c>
      <c r="L28" s="233">
        <v>45877</v>
      </c>
      <c r="T28" t="s">
        <v>4297</v>
      </c>
      <c r="U28" s="360">
        <v>0.54027777777777775</v>
      </c>
      <c r="V28" s="360">
        <v>0.77916666666666667</v>
      </c>
    </row>
    <row r="29" spans="1:22" hidden="1" x14ac:dyDescent="0.25">
      <c r="A29" s="483">
        <v>21032025</v>
      </c>
      <c r="B29" t="s">
        <v>4662</v>
      </c>
      <c r="C29" s="28"/>
      <c r="D29" s="233">
        <v>45737</v>
      </c>
      <c r="E29" s="28"/>
      <c r="F29" s="28" t="s">
        <v>2008</v>
      </c>
      <c r="G29" t="s">
        <v>6135</v>
      </c>
      <c r="H29" s="30" t="s">
        <v>6647</v>
      </c>
      <c r="I29" s="798">
        <v>47250</v>
      </c>
      <c r="J29" s="3">
        <f t="shared" si="1"/>
        <v>41580</v>
      </c>
      <c r="K29" t="s">
        <v>17</v>
      </c>
      <c r="L29" s="233">
        <v>45877</v>
      </c>
      <c r="U29" s="30"/>
      <c r="V29" s="30"/>
    </row>
    <row r="30" spans="1:22" hidden="1" x14ac:dyDescent="0.25">
      <c r="A30" s="483">
        <v>29042024</v>
      </c>
      <c r="B30" t="s">
        <v>4662</v>
      </c>
      <c r="C30" s="28" t="s">
        <v>13</v>
      </c>
      <c r="D30" s="233">
        <v>45776</v>
      </c>
      <c r="E30" s="28"/>
      <c r="F30" s="28" t="s">
        <v>2008</v>
      </c>
      <c r="G30" t="s">
        <v>6133</v>
      </c>
      <c r="H30" s="30" t="s">
        <v>6643</v>
      </c>
      <c r="I30" s="798">
        <v>47250</v>
      </c>
      <c r="J30" s="3">
        <f t="shared" si="1"/>
        <v>41580</v>
      </c>
      <c r="K30" t="s">
        <v>17</v>
      </c>
      <c r="L30" s="233">
        <v>45877</v>
      </c>
      <c r="T30" t="s">
        <v>4853</v>
      </c>
      <c r="U30" s="360">
        <v>0.40833333333333338</v>
      </c>
      <c r="V30" s="360">
        <v>0.67986111111111114</v>
      </c>
    </row>
    <row r="31" spans="1:22" hidden="1" x14ac:dyDescent="0.25">
      <c r="A31" s="483" t="s">
        <v>6130</v>
      </c>
      <c r="B31" t="s">
        <v>4662</v>
      </c>
      <c r="C31" s="28" t="s">
        <v>4437</v>
      </c>
      <c r="D31" s="233">
        <v>45784</v>
      </c>
      <c r="E31" s="28"/>
      <c r="F31" s="28" t="s">
        <v>2008</v>
      </c>
      <c r="G31" t="s">
        <v>6134</v>
      </c>
      <c r="H31" s="30" t="s">
        <v>6644</v>
      </c>
      <c r="I31" s="798">
        <v>47250</v>
      </c>
      <c r="J31" s="3">
        <f t="shared" si="1"/>
        <v>41580</v>
      </c>
      <c r="K31" t="s">
        <v>17</v>
      </c>
      <c r="L31" s="233">
        <v>45877</v>
      </c>
      <c r="T31" t="s">
        <v>5004</v>
      </c>
      <c r="U31" s="360">
        <v>0.40763888888888888</v>
      </c>
      <c r="V31" s="360">
        <v>0.67361111111111116</v>
      </c>
    </row>
    <row r="32" spans="1:22" hidden="1" x14ac:dyDescent="0.25">
      <c r="A32" s="483" t="s">
        <v>6348</v>
      </c>
      <c r="B32" t="s">
        <v>4464</v>
      </c>
      <c r="C32" s="28" t="s">
        <v>4437</v>
      </c>
      <c r="D32" s="233">
        <v>45814</v>
      </c>
      <c r="E32" s="28"/>
      <c r="F32" s="28" t="s">
        <v>2008</v>
      </c>
      <c r="G32" t="s">
        <v>6399</v>
      </c>
      <c r="H32" s="28" t="s">
        <v>7239</v>
      </c>
      <c r="I32" s="798">
        <v>47250</v>
      </c>
      <c r="J32" s="3">
        <f t="shared" si="1"/>
        <v>41580</v>
      </c>
      <c r="K32" t="s">
        <v>17</v>
      </c>
      <c r="L32" s="233">
        <v>45979</v>
      </c>
      <c r="T32" t="s">
        <v>6349</v>
      </c>
      <c r="U32" s="360"/>
      <c r="V32" s="360"/>
    </row>
    <row r="33" spans="1:24" hidden="1" x14ac:dyDescent="0.25">
      <c r="A33" s="483" t="s">
        <v>6765</v>
      </c>
      <c r="B33" t="s">
        <v>4849</v>
      </c>
      <c r="C33" s="28" t="s">
        <v>13</v>
      </c>
      <c r="D33" s="233">
        <v>45878</v>
      </c>
      <c r="E33" s="28"/>
      <c r="F33" s="28" t="s">
        <v>2008</v>
      </c>
      <c r="G33" s="1067" t="s">
        <v>6837</v>
      </c>
      <c r="H33" s="28" t="s">
        <v>7240</v>
      </c>
      <c r="I33" s="313">
        <v>47250</v>
      </c>
      <c r="J33" s="3">
        <f t="shared" si="1"/>
        <v>41580</v>
      </c>
      <c r="K33" t="s">
        <v>17</v>
      </c>
      <c r="L33" s="233">
        <v>45979</v>
      </c>
      <c r="M33" s="88"/>
      <c r="T33" t="s">
        <v>5026</v>
      </c>
      <c r="U33" s="360">
        <v>0.3354166666666667</v>
      </c>
      <c r="V33" s="360">
        <v>0.59583333333333333</v>
      </c>
    </row>
    <row r="34" spans="1:24" hidden="1" x14ac:dyDescent="0.25">
      <c r="A34" s="483" t="s">
        <v>6881</v>
      </c>
      <c r="B34" t="s">
        <v>3331</v>
      </c>
      <c r="C34" s="28" t="s">
        <v>4218</v>
      </c>
      <c r="D34" s="233">
        <v>45905</v>
      </c>
      <c r="E34" s="28"/>
      <c r="F34" s="28" t="s">
        <v>2008</v>
      </c>
      <c r="G34" s="1067" t="s">
        <v>6930</v>
      </c>
      <c r="H34" s="28" t="s">
        <v>7238</v>
      </c>
      <c r="I34" s="313">
        <v>47250</v>
      </c>
      <c r="J34" s="3">
        <f t="shared" si="1"/>
        <v>41580</v>
      </c>
      <c r="K34" t="s">
        <v>17</v>
      </c>
      <c r="L34" s="233">
        <v>45980</v>
      </c>
      <c r="M34" s="88"/>
      <c r="T34" t="s">
        <v>6151</v>
      </c>
      <c r="U34" s="360">
        <v>0.36388888888888887</v>
      </c>
      <c r="V34" s="360"/>
    </row>
    <row r="35" spans="1:24" hidden="1" x14ac:dyDescent="0.25">
      <c r="A35" s="483">
        <v>25092025</v>
      </c>
      <c r="B35" t="s">
        <v>4662</v>
      </c>
      <c r="C35" s="28" t="s">
        <v>410</v>
      </c>
      <c r="D35" s="233">
        <v>45925</v>
      </c>
      <c r="E35" s="28"/>
      <c r="F35" s="28" t="s">
        <v>2008</v>
      </c>
      <c r="G35" s="1067" t="s">
        <v>7104</v>
      </c>
      <c r="H35" s="28" t="s">
        <v>7364</v>
      </c>
      <c r="I35" s="313">
        <v>47250</v>
      </c>
      <c r="J35" s="3">
        <f t="shared" si="1"/>
        <v>41580</v>
      </c>
      <c r="K35" t="s">
        <v>17</v>
      </c>
      <c r="L35" s="233">
        <v>46009</v>
      </c>
      <c r="M35" s="88"/>
      <c r="T35" t="s">
        <v>5021</v>
      </c>
      <c r="U35" s="360">
        <v>0.29791666666666666</v>
      </c>
      <c r="V35" s="360">
        <v>0.52430555555555558</v>
      </c>
    </row>
    <row r="36" spans="1:24" hidden="1" x14ac:dyDescent="0.25">
      <c r="A36" s="483">
        <v>23022026</v>
      </c>
      <c r="B36" t="s">
        <v>4662</v>
      </c>
      <c r="C36" s="28" t="s">
        <v>4218</v>
      </c>
      <c r="D36" s="233">
        <v>46076</v>
      </c>
      <c r="E36" s="28"/>
      <c r="F36" s="28" t="s">
        <v>5605</v>
      </c>
      <c r="G36" s="1067" t="s">
        <v>7754</v>
      </c>
      <c r="H36" s="28" t="s">
        <v>8269</v>
      </c>
      <c r="I36" s="798">
        <v>54870</v>
      </c>
      <c r="J36" s="3">
        <f t="shared" si="1"/>
        <v>48286</v>
      </c>
      <c r="K36" t="s">
        <v>17</v>
      </c>
      <c r="L36" s="233">
        <v>46211</v>
      </c>
      <c r="M36" s="88"/>
      <c r="U36" s="360"/>
      <c r="V36" s="360"/>
    </row>
    <row r="37" spans="1:24" hidden="1" x14ac:dyDescent="0.25">
      <c r="A37" s="483" t="s">
        <v>7778</v>
      </c>
      <c r="B37" t="s">
        <v>4724</v>
      </c>
      <c r="C37" s="28" t="s">
        <v>410</v>
      </c>
      <c r="D37" s="233">
        <v>46084</v>
      </c>
      <c r="E37" s="28"/>
      <c r="F37" s="28" t="s">
        <v>2008</v>
      </c>
      <c r="G37" s="1067" t="s">
        <v>7912</v>
      </c>
      <c r="H37" s="28" t="s">
        <v>8270</v>
      </c>
      <c r="I37" s="915">
        <v>47250</v>
      </c>
      <c r="J37" s="3">
        <f t="shared" si="1"/>
        <v>41580</v>
      </c>
      <c r="K37" t="s">
        <v>17</v>
      </c>
      <c r="L37" s="233">
        <v>46211</v>
      </c>
      <c r="M37" s="88"/>
      <c r="T37" t="s">
        <v>7763</v>
      </c>
      <c r="U37" s="360">
        <v>0.34027777777777773</v>
      </c>
      <c r="V37" s="360">
        <v>0.57152777777777775</v>
      </c>
    </row>
    <row r="38" spans="1:24" hidden="1" x14ac:dyDescent="0.25">
      <c r="A38" s="483">
        <v>21052026</v>
      </c>
      <c r="B38" t="s">
        <v>4662</v>
      </c>
      <c r="C38" s="28" t="s">
        <v>13</v>
      </c>
      <c r="D38" s="233">
        <v>46163</v>
      </c>
      <c r="E38" s="28"/>
      <c r="F38" s="28" t="s">
        <v>2008</v>
      </c>
      <c r="G38" s="88" t="s">
        <v>8159</v>
      </c>
      <c r="H38" s="28" t="s">
        <v>8557</v>
      </c>
      <c r="I38" s="798">
        <v>54500</v>
      </c>
      <c r="J38" s="3">
        <f t="shared" si="1"/>
        <v>47960</v>
      </c>
      <c r="K38" t="s">
        <v>17</v>
      </c>
      <c r="L38" s="233">
        <v>46274</v>
      </c>
      <c r="N38" s="798"/>
      <c r="V38" t="s">
        <v>6952</v>
      </c>
      <c r="W38" s="360">
        <v>0.60486111111111118</v>
      </c>
      <c r="X38" s="360"/>
    </row>
    <row r="39" spans="1:24" x14ac:dyDescent="0.25">
      <c r="A39" s="1448" t="s">
        <v>8542</v>
      </c>
      <c r="B39" s="21" t="s">
        <v>4662</v>
      </c>
      <c r="C39" s="31" t="s">
        <v>410</v>
      </c>
      <c r="D39" s="233">
        <v>46261</v>
      </c>
      <c r="E39" s="28"/>
      <c r="F39" s="313" t="s">
        <v>2008</v>
      </c>
      <c r="G39" s="88" t="s">
        <v>8565</v>
      </c>
      <c r="I39" s="915">
        <v>54500</v>
      </c>
      <c r="J39" s="3">
        <f>+I39-ROUND(I39*0.12,0)</f>
        <v>47960</v>
      </c>
      <c r="N39" s="558"/>
      <c r="O39" s="88"/>
      <c r="V39" t="s">
        <v>6067</v>
      </c>
      <c r="W39" s="360">
        <v>0.26597222222222222</v>
      </c>
      <c r="X39" s="30"/>
    </row>
    <row r="40" spans="1:24" s="19" customFormat="1" x14ac:dyDescent="0.25">
      <c r="A40" s="1475" t="s">
        <v>8584</v>
      </c>
      <c r="B40" s="163" t="s">
        <v>4662</v>
      </c>
      <c r="C40" s="1476" t="s">
        <v>410</v>
      </c>
      <c r="D40" s="691">
        <v>46268</v>
      </c>
      <c r="E40" s="472"/>
      <c r="F40" s="1101" t="s">
        <v>2008</v>
      </c>
      <c r="G40" s="140" t="s">
        <v>279</v>
      </c>
      <c r="I40" s="1477">
        <v>54500</v>
      </c>
      <c r="J40" s="692">
        <f>+I40-ROUND(I40*0.12,0)</f>
        <v>47960</v>
      </c>
      <c r="N40" s="983"/>
      <c r="O40" s="140"/>
      <c r="V40" s="19" t="s">
        <v>7548</v>
      </c>
      <c r="W40" s="693">
        <v>0.66111111111111109</v>
      </c>
      <c r="X40" s="365"/>
    </row>
    <row r="41" spans="1:24" x14ac:dyDescent="0.25">
      <c r="A41" s="483"/>
      <c r="C41" s="28"/>
      <c r="D41" s="233"/>
      <c r="E41" s="28"/>
      <c r="F41" s="28"/>
      <c r="G41" s="1067"/>
      <c r="I41" s="88"/>
      <c r="J41" s="88"/>
      <c r="K41" s="313"/>
      <c r="L41" s="798"/>
      <c r="M41" s="32"/>
      <c r="U41" s="360"/>
      <c r="V41" s="360"/>
    </row>
    <row r="42" spans="1:24" x14ac:dyDescent="0.25">
      <c r="A42" s="430"/>
      <c r="D42" s="122"/>
      <c r="F42" s="28"/>
      <c r="G42" s="30"/>
      <c r="I42" s="236"/>
      <c r="J42" s="160"/>
      <c r="L42" s="122"/>
      <c r="T42" s="14"/>
      <c r="U42" s="14"/>
      <c r="V42" s="14"/>
    </row>
    <row r="43" spans="1:24" ht="15.75" thickBot="1" x14ac:dyDescent="0.3">
      <c r="D43" s="122"/>
      <c r="E43" s="32"/>
      <c r="H43" s="32"/>
      <c r="L43" s="6"/>
    </row>
    <row r="44" spans="1:24" ht="15.75" thickBot="1" x14ac:dyDescent="0.3">
      <c r="D44" s="1487" t="s">
        <v>3218</v>
      </c>
      <c r="E44" s="1488"/>
      <c r="F44" s="1488"/>
      <c r="G44" s="1488"/>
      <c r="H44" s="1489"/>
      <c r="I44" s="560">
        <f>SUBTOTAL(9,I3:I43)</f>
        <v>109000</v>
      </c>
    </row>
    <row r="45" spans="1:24" x14ac:dyDescent="0.25">
      <c r="M45" s="3"/>
    </row>
  </sheetData>
  <autoFilter ref="A2:U45" xr:uid="{00000000-0009-0000-0000-000026000000}">
    <filterColumn colId="10">
      <filters blank="1"/>
    </filterColumn>
    <filterColumn colId="13" showButton="0"/>
    <filterColumn colId="14" showButton="0"/>
    <filterColumn colId="15" showButton="0"/>
  </autoFilter>
  <mergeCells count="2">
    <mergeCell ref="N2:Q2"/>
    <mergeCell ref="D44:H4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8102" r:id="rId4" name="Button 1">
              <controlPr defaultSize="0" print="0" autoFill="0" autoPict="0" macro="[0]!RETORNAR">
                <anchor moveWithCells="1" sizeWithCells="1">
                  <from>
                    <xdr:col>0</xdr:col>
                    <xdr:colOff>38100</xdr:colOff>
                    <xdr:row>0</xdr:row>
                    <xdr:rowOff>47625</xdr:rowOff>
                  </from>
                  <to>
                    <xdr:col>1</xdr:col>
                    <xdr:colOff>714375</xdr:colOff>
                    <xdr:row>0</xdr:row>
                    <xdr:rowOff>314325</xdr:rowOff>
                  </to>
                </anchor>
              </controlPr>
            </control>
          </mc:Choice>
        </mc:AlternateContent>
        <mc:AlternateContent xmlns:mc="http://schemas.openxmlformats.org/markup-compatibility/2006">
          <mc:Choice Requires="x14">
            <control shapeId="388116" r:id="rId5" name="Botón 20">
              <controlPr defaultSize="0" print="0" autoFill="0" autoPict="0" macro="[0]!IR_VENTAS_B200_2026">
                <anchor moveWithCells="1" sizeWithCells="1">
                  <from>
                    <xdr:col>0</xdr:col>
                    <xdr:colOff>628650</xdr:colOff>
                    <xdr:row>49</xdr:row>
                    <xdr:rowOff>104775</xdr:rowOff>
                  </from>
                  <to>
                    <xdr:col>2</xdr:col>
                    <xdr:colOff>47625</xdr:colOff>
                    <xdr:row>52</xdr:row>
                    <xdr:rowOff>142875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17" filterMode="1"/>
  <dimension ref="A1:X38"/>
  <sheetViews>
    <sheetView topLeftCell="B1" workbookViewId="0">
      <selection activeCell="H30" sqref="H30"/>
    </sheetView>
  </sheetViews>
  <sheetFormatPr baseColWidth="10" defaultColWidth="10.85546875" defaultRowHeight="15" x14ac:dyDescent="0.25"/>
  <cols>
    <col min="1" max="1" width="0" hidden="1" customWidth="1"/>
    <col min="2" max="2" width="30.42578125" customWidth="1"/>
    <col min="3" max="3" width="0" style="28" hidden="1" customWidth="1"/>
    <col min="5" max="5" width="0" hidden="1" customWidth="1"/>
    <col min="6" max="6" width="20.5703125" hidden="1" customWidth="1"/>
    <col min="7" max="7" width="44.85546875" customWidth="1"/>
    <col min="8" max="8" width="22.7109375" style="28" customWidth="1"/>
    <col min="9" max="9" width="12" bestFit="1" customWidth="1"/>
    <col min="10" max="10" width="18.85546875" customWidth="1"/>
    <col min="12" max="12" width="30.7109375" customWidth="1"/>
  </cols>
  <sheetData>
    <row r="1" spans="1:22" ht="32.1" customHeight="1" x14ac:dyDescent="0.25"/>
    <row r="2" spans="1:22" x14ac:dyDescent="0.25">
      <c r="B2" s="1" t="s">
        <v>0</v>
      </c>
      <c r="C2" s="25" t="s">
        <v>1</v>
      </c>
      <c r="D2" s="1" t="s">
        <v>2</v>
      </c>
      <c r="E2" s="1"/>
      <c r="F2" s="1" t="s">
        <v>3</v>
      </c>
      <c r="G2" s="1" t="s">
        <v>4</v>
      </c>
      <c r="H2" s="25" t="s">
        <v>5</v>
      </c>
      <c r="I2" s="1" t="s">
        <v>6</v>
      </c>
      <c r="J2" s="1" t="s">
        <v>1780</v>
      </c>
      <c r="K2" s="1" t="s">
        <v>8</v>
      </c>
      <c r="L2" s="1" t="s">
        <v>3997</v>
      </c>
      <c r="M2" s="1" t="s">
        <v>10</v>
      </c>
      <c r="N2" s="1480" t="s">
        <v>11</v>
      </c>
      <c r="O2" s="1480"/>
      <c r="P2" s="1480"/>
      <c r="Q2" s="1480"/>
    </row>
    <row r="3" spans="1:22" hidden="1" x14ac:dyDescent="0.25">
      <c r="B3" t="s">
        <v>993</v>
      </c>
      <c r="C3" t="s">
        <v>67</v>
      </c>
      <c r="D3" s="122">
        <v>44605</v>
      </c>
      <c r="E3">
        <v>2.2000000000000002</v>
      </c>
      <c r="F3" t="s">
        <v>563</v>
      </c>
      <c r="G3" t="s">
        <v>564</v>
      </c>
      <c r="H3" s="28" t="s">
        <v>567</v>
      </c>
      <c r="I3" s="3">
        <v>28084</v>
      </c>
      <c r="J3" s="3">
        <f t="shared" ref="J3:J8" si="0">+I3-ROUND(I3*0.12,0)</f>
        <v>24714</v>
      </c>
      <c r="K3" t="s">
        <v>17</v>
      </c>
      <c r="L3" s="6">
        <v>44631</v>
      </c>
    </row>
    <row r="4" spans="1:22" hidden="1" x14ac:dyDescent="0.25">
      <c r="B4" t="s">
        <v>993</v>
      </c>
      <c r="C4"/>
      <c r="D4" s="122">
        <v>44624</v>
      </c>
      <c r="E4">
        <v>2.2000000000000002</v>
      </c>
      <c r="F4" t="s">
        <v>584</v>
      </c>
      <c r="G4" t="s">
        <v>622</v>
      </c>
      <c r="H4" s="28" t="s">
        <v>631</v>
      </c>
      <c r="I4" s="32">
        <v>28084</v>
      </c>
      <c r="J4" s="3">
        <f t="shared" si="0"/>
        <v>24714</v>
      </c>
      <c r="K4" t="s">
        <v>17</v>
      </c>
      <c r="L4" s="6">
        <v>44631</v>
      </c>
    </row>
    <row r="5" spans="1:22" hidden="1" x14ac:dyDescent="0.25">
      <c r="A5" s="115">
        <v>26062022</v>
      </c>
      <c r="B5" t="s">
        <v>993</v>
      </c>
      <c r="C5" s="177" t="s">
        <v>410</v>
      </c>
      <c r="D5" s="122">
        <v>44738</v>
      </c>
      <c r="E5">
        <v>2.2000000000000002</v>
      </c>
      <c r="F5" s="163" t="s">
        <v>584</v>
      </c>
      <c r="G5" s="163" t="s">
        <v>994</v>
      </c>
      <c r="H5" s="209" t="s">
        <v>995</v>
      </c>
      <c r="I5" s="159">
        <v>26450</v>
      </c>
      <c r="J5" s="3">
        <f t="shared" si="0"/>
        <v>23276</v>
      </c>
      <c r="K5" s="32" t="s">
        <v>17</v>
      </c>
      <c r="L5" s="2">
        <v>44831</v>
      </c>
      <c r="P5" s="163" t="s">
        <v>989</v>
      </c>
      <c r="Q5" s="14">
        <v>0.37847222222222227</v>
      </c>
      <c r="R5" s="14">
        <v>0.56319444444444444</v>
      </c>
    </row>
    <row r="6" spans="1:22" hidden="1" x14ac:dyDescent="0.25">
      <c r="A6" s="115">
        <v>28062022</v>
      </c>
      <c r="B6" t="s">
        <v>993</v>
      </c>
      <c r="C6" s="177">
        <v>828</v>
      </c>
      <c r="D6" s="122">
        <v>44740</v>
      </c>
      <c r="E6">
        <v>2.2000000000000002</v>
      </c>
      <c r="F6" s="163" t="s">
        <v>584</v>
      </c>
      <c r="G6" s="163" t="s">
        <v>1021</v>
      </c>
      <c r="H6" s="472" t="s">
        <v>1341</v>
      </c>
      <c r="I6" s="159">
        <v>28025</v>
      </c>
      <c r="J6" s="3">
        <f t="shared" si="0"/>
        <v>24662</v>
      </c>
      <c r="K6" s="32" t="s">
        <v>17</v>
      </c>
      <c r="L6" s="2">
        <v>44859</v>
      </c>
      <c r="O6" s="163"/>
      <c r="P6" s="14">
        <v>0.46458333333333335</v>
      </c>
      <c r="Q6" s="14">
        <v>0.65972222222222221</v>
      </c>
    </row>
    <row r="7" spans="1:22" hidden="1" x14ac:dyDescent="0.25">
      <c r="A7" s="116">
        <v>21082022</v>
      </c>
      <c r="B7" t="s">
        <v>993</v>
      </c>
      <c r="C7" s="169" t="s">
        <v>693</v>
      </c>
      <c r="D7" s="123">
        <v>44794</v>
      </c>
      <c r="E7" s="88"/>
      <c r="F7" s="21" t="s">
        <v>1142</v>
      </c>
      <c r="G7" s="21" t="s">
        <v>1233</v>
      </c>
      <c r="H7" s="28" t="s">
        <v>1340</v>
      </c>
      <c r="I7" s="160">
        <v>29980.720000000001</v>
      </c>
      <c r="J7" s="3">
        <f t="shared" si="0"/>
        <v>26382.720000000001</v>
      </c>
      <c r="K7" s="88" t="s">
        <v>17</v>
      </c>
      <c r="L7" s="2">
        <v>44859</v>
      </c>
      <c r="O7" s="163" t="s">
        <v>677</v>
      </c>
      <c r="P7" s="157">
        <v>0.50763888888888886</v>
      </c>
      <c r="Q7" s="157">
        <v>0.70416666666666661</v>
      </c>
    </row>
    <row r="8" spans="1:22" hidden="1" x14ac:dyDescent="0.25">
      <c r="A8" s="116">
        <v>16112022</v>
      </c>
      <c r="B8" s="169" t="s">
        <v>1491</v>
      </c>
      <c r="C8" s="30" t="s">
        <v>410</v>
      </c>
      <c r="D8" s="122">
        <v>44881</v>
      </c>
      <c r="E8" s="88"/>
      <c r="F8" t="s">
        <v>584</v>
      </c>
      <c r="G8" s="21" t="s">
        <v>1494</v>
      </c>
      <c r="H8" s="28" t="s">
        <v>1493</v>
      </c>
      <c r="I8" s="160">
        <v>30208</v>
      </c>
      <c r="J8" s="3">
        <f t="shared" si="0"/>
        <v>26583</v>
      </c>
      <c r="K8" s="88" t="s">
        <v>17</v>
      </c>
      <c r="L8" s="2">
        <v>44883</v>
      </c>
      <c r="O8" s="21" t="s">
        <v>916</v>
      </c>
      <c r="P8" s="157">
        <v>0.27430555555555552</v>
      </c>
      <c r="Q8" s="157">
        <v>0.47430555555555554</v>
      </c>
    </row>
    <row r="9" spans="1:22" x14ac:dyDescent="0.25">
      <c r="A9" s="116"/>
      <c r="C9" s="169"/>
      <c r="D9" s="123"/>
      <c r="E9" s="88"/>
      <c r="F9" s="21"/>
      <c r="G9" s="21"/>
      <c r="I9" s="160"/>
      <c r="J9" s="160"/>
      <c r="K9" s="160"/>
      <c r="O9" s="163"/>
      <c r="P9" s="157"/>
      <c r="Q9" s="157"/>
    </row>
    <row r="10" spans="1:22" x14ac:dyDescent="0.25">
      <c r="H10" s="28" t="s">
        <v>1234</v>
      </c>
      <c r="I10" s="9">
        <f>SUBTOTAL(9,I3:I8)</f>
        <v>0</v>
      </c>
    </row>
    <row r="11" spans="1:22" ht="15.75" thickBot="1" x14ac:dyDescent="0.3">
      <c r="M11" s="3"/>
    </row>
    <row r="12" spans="1:22" ht="15.75" thickBot="1" x14ac:dyDescent="0.3">
      <c r="D12" s="1585" t="s">
        <v>7504</v>
      </c>
      <c r="E12" s="1492"/>
      <c r="F12" s="1492"/>
      <c r="G12" s="1487"/>
      <c r="H12" s="1488"/>
      <c r="I12" s="1489"/>
    </row>
    <row r="13" spans="1:22" hidden="1" x14ac:dyDescent="0.25">
      <c r="A13" s="483" t="s">
        <v>7245</v>
      </c>
      <c r="B13" t="s">
        <v>7247</v>
      </c>
      <c r="C13" s="28" t="s">
        <v>4218</v>
      </c>
      <c r="D13" s="233">
        <v>45969</v>
      </c>
      <c r="E13" s="28"/>
      <c r="F13" s="28" t="s">
        <v>563</v>
      </c>
      <c r="G13" s="1067" t="s">
        <v>7286</v>
      </c>
      <c r="H13" s="28" t="s">
        <v>7287</v>
      </c>
      <c r="I13" s="798">
        <v>27700</v>
      </c>
      <c r="J13" s="3">
        <f t="shared" ref="J13:J30" si="1">+I13-ROUND(I13*0.12,0)</f>
        <v>24376</v>
      </c>
      <c r="K13" t="s">
        <v>17</v>
      </c>
      <c r="L13" s="233">
        <v>45989</v>
      </c>
      <c r="M13" s="88"/>
      <c r="T13" t="s">
        <v>4853</v>
      </c>
      <c r="U13" s="360">
        <v>0.30833333333333335</v>
      </c>
      <c r="V13" s="360">
        <v>0.54305555555555551</v>
      </c>
    </row>
    <row r="14" spans="1:22" hidden="1" x14ac:dyDescent="0.25">
      <c r="A14" s="483">
        <v>15112025</v>
      </c>
      <c r="B14" t="s">
        <v>7247</v>
      </c>
      <c r="C14" s="28" t="s">
        <v>615</v>
      </c>
      <c r="D14" s="233">
        <v>45976</v>
      </c>
      <c r="E14" s="28"/>
      <c r="F14" s="28" t="s">
        <v>563</v>
      </c>
      <c r="G14" s="1067" t="s">
        <v>7290</v>
      </c>
      <c r="H14" s="28" t="s">
        <v>7288</v>
      </c>
      <c r="I14" s="798">
        <v>27700</v>
      </c>
      <c r="J14" s="3">
        <f t="shared" si="1"/>
        <v>24376</v>
      </c>
      <c r="K14" t="s">
        <v>17</v>
      </c>
      <c r="L14" s="233">
        <v>45989</v>
      </c>
      <c r="M14" s="88"/>
      <c r="T14" s="926" t="s">
        <v>7261</v>
      </c>
      <c r="U14" s="360">
        <v>0.40277777777777773</v>
      </c>
      <c r="V14" s="360">
        <v>0.57916666666666672</v>
      </c>
    </row>
    <row r="15" spans="1:22" hidden="1" x14ac:dyDescent="0.25">
      <c r="A15" s="483">
        <v>16112025</v>
      </c>
      <c r="B15" t="s">
        <v>7247</v>
      </c>
      <c r="C15" s="28" t="s">
        <v>4218</v>
      </c>
      <c r="D15" s="233">
        <v>45977</v>
      </c>
      <c r="E15" s="28"/>
      <c r="F15" s="28" t="s">
        <v>563</v>
      </c>
      <c r="G15" s="1067" t="s">
        <v>7291</v>
      </c>
      <c r="H15" s="28" t="s">
        <v>7289</v>
      </c>
      <c r="I15" s="798">
        <v>27700</v>
      </c>
      <c r="J15" s="3">
        <f t="shared" si="1"/>
        <v>24376</v>
      </c>
      <c r="K15" t="s">
        <v>17</v>
      </c>
      <c r="L15" s="233">
        <v>46001</v>
      </c>
      <c r="M15" s="88"/>
      <c r="T15" s="926" t="s">
        <v>5131</v>
      </c>
      <c r="U15" s="360">
        <v>0.26041666666666669</v>
      </c>
      <c r="V15" s="360">
        <v>0.42430555555555555</v>
      </c>
    </row>
    <row r="16" spans="1:22" hidden="1" x14ac:dyDescent="0.25">
      <c r="A16" s="495">
        <v>18112025</v>
      </c>
      <c r="B16" t="s">
        <v>7247</v>
      </c>
      <c r="C16" s="28" t="s">
        <v>4218</v>
      </c>
      <c r="D16" s="233">
        <v>45979</v>
      </c>
      <c r="E16" s="28"/>
      <c r="F16" s="28" t="s">
        <v>563</v>
      </c>
      <c r="G16" s="1067" t="s">
        <v>7357</v>
      </c>
      <c r="H16" s="28" t="s">
        <v>7450</v>
      </c>
      <c r="I16" s="798">
        <v>27700</v>
      </c>
      <c r="J16" s="3">
        <f t="shared" si="1"/>
        <v>24376</v>
      </c>
      <c r="K16" t="s">
        <v>17</v>
      </c>
      <c r="L16" s="233">
        <v>46034</v>
      </c>
      <c r="M16" s="88"/>
      <c r="T16" t="s">
        <v>7274</v>
      </c>
      <c r="U16" s="360">
        <v>0.59305555555555556</v>
      </c>
      <c r="V16" s="360"/>
    </row>
    <row r="17" spans="1:24" hidden="1" x14ac:dyDescent="0.25">
      <c r="A17" s="483">
        <v>23122025</v>
      </c>
      <c r="B17" t="s">
        <v>7247</v>
      </c>
      <c r="C17" s="28" t="s">
        <v>4218</v>
      </c>
      <c r="D17" s="233">
        <v>46014</v>
      </c>
      <c r="E17" s="28"/>
      <c r="F17" s="28" t="s">
        <v>563</v>
      </c>
      <c r="G17" s="1067" t="s">
        <v>7452</v>
      </c>
      <c r="H17" s="28" t="s">
        <v>7451</v>
      </c>
      <c r="I17" s="240">
        <v>27700</v>
      </c>
      <c r="J17" s="3">
        <f t="shared" si="1"/>
        <v>24376</v>
      </c>
      <c r="K17" t="s">
        <v>17</v>
      </c>
      <c r="L17" s="233">
        <v>46034</v>
      </c>
      <c r="M17" s="88"/>
      <c r="T17" s="5" t="s">
        <v>7078</v>
      </c>
      <c r="U17" s="360">
        <v>0.40763888888888888</v>
      </c>
      <c r="V17" s="360">
        <v>0.6118055555555556</v>
      </c>
    </row>
    <row r="18" spans="1:24" s="19" customFormat="1" hidden="1" x14ac:dyDescent="0.25">
      <c r="A18" s="495" t="s">
        <v>7507</v>
      </c>
      <c r="B18" s="19" t="s">
        <v>7508</v>
      </c>
      <c r="C18" s="494" t="s">
        <v>4218</v>
      </c>
      <c r="D18" s="691">
        <v>46030</v>
      </c>
      <c r="E18" s="127"/>
      <c r="F18" s="127" t="s">
        <v>563</v>
      </c>
      <c r="G18" s="1084" t="s">
        <v>7522</v>
      </c>
      <c r="H18" s="472" t="s">
        <v>7851</v>
      </c>
      <c r="I18" s="1237">
        <v>27700</v>
      </c>
      <c r="J18" s="3">
        <f t="shared" si="1"/>
        <v>24376</v>
      </c>
      <c r="K18" s="19" t="s">
        <v>17</v>
      </c>
      <c r="L18" s="691">
        <v>46100</v>
      </c>
      <c r="M18" s="140"/>
      <c r="T18" s="19" t="s">
        <v>7122</v>
      </c>
      <c r="U18" s="693">
        <v>0.29166666666666669</v>
      </c>
      <c r="V18" s="693">
        <v>0.47500000000000003</v>
      </c>
    </row>
    <row r="19" spans="1:24" hidden="1" x14ac:dyDescent="0.25">
      <c r="A19" s="690" t="s">
        <v>7652</v>
      </c>
      <c r="B19" s="19" t="s">
        <v>7656</v>
      </c>
      <c r="C19" s="472" t="s">
        <v>4218</v>
      </c>
      <c r="D19" s="691">
        <v>46067</v>
      </c>
      <c r="E19" s="472"/>
      <c r="F19" s="472" t="s">
        <v>563</v>
      </c>
      <c r="G19" s="1084" t="s">
        <v>7672</v>
      </c>
      <c r="H19" s="472" t="s">
        <v>7852</v>
      </c>
      <c r="I19" s="1101">
        <v>27700</v>
      </c>
      <c r="J19" s="3">
        <f t="shared" si="1"/>
        <v>24376</v>
      </c>
      <c r="K19" s="19" t="s">
        <v>17</v>
      </c>
      <c r="L19" s="691">
        <v>46101</v>
      </c>
      <c r="M19" s="88"/>
      <c r="T19" t="s">
        <v>4867</v>
      </c>
      <c r="U19" s="693">
        <v>0.39583333333333331</v>
      </c>
      <c r="V19" s="360">
        <v>0.58402777777777781</v>
      </c>
    </row>
    <row r="20" spans="1:24" hidden="1" x14ac:dyDescent="0.25">
      <c r="A20" s="483">
        <v>21022026</v>
      </c>
      <c r="B20" t="s">
        <v>7696</v>
      </c>
      <c r="C20" s="28" t="s">
        <v>410</v>
      </c>
      <c r="D20" s="233">
        <v>46074</v>
      </c>
      <c r="E20" s="28"/>
      <c r="F20" s="28" t="s">
        <v>563</v>
      </c>
      <c r="G20" s="1067" t="s">
        <v>7792</v>
      </c>
      <c r="H20" s="472" t="s">
        <v>7853</v>
      </c>
      <c r="I20" s="915">
        <v>27700</v>
      </c>
      <c r="J20" s="3">
        <f t="shared" si="1"/>
        <v>24376</v>
      </c>
      <c r="K20" s="19" t="s">
        <v>17</v>
      </c>
      <c r="L20" s="691">
        <v>46101</v>
      </c>
      <c r="M20" s="88"/>
      <c r="T20" t="s">
        <v>7335</v>
      </c>
      <c r="U20" s="360">
        <v>0.2673611111111111</v>
      </c>
      <c r="V20" s="360">
        <v>0.46458333333333335</v>
      </c>
    </row>
    <row r="21" spans="1:24" hidden="1" x14ac:dyDescent="0.25">
      <c r="A21" s="483" t="s">
        <v>7860</v>
      </c>
      <c r="B21" s="21" t="s">
        <v>7508</v>
      </c>
      <c r="C21" s="28" t="s">
        <v>13</v>
      </c>
      <c r="D21" s="233">
        <v>46101</v>
      </c>
      <c r="E21" s="28"/>
      <c r="F21" s="28" t="s">
        <v>563</v>
      </c>
      <c r="G21" s="1175" t="s">
        <v>7894</v>
      </c>
      <c r="H21" s="28" t="s">
        <v>7996</v>
      </c>
      <c r="I21" s="915">
        <v>27700</v>
      </c>
      <c r="J21" s="3">
        <f t="shared" si="1"/>
        <v>24376</v>
      </c>
      <c r="K21" s="19" t="s">
        <v>17</v>
      </c>
      <c r="L21" s="691">
        <v>46135</v>
      </c>
      <c r="M21" s="558"/>
      <c r="N21" s="88"/>
      <c r="U21" s="21" t="s">
        <v>4983</v>
      </c>
      <c r="V21" s="360">
        <v>0.2902777777777778</v>
      </c>
      <c r="W21" s="360"/>
    </row>
    <row r="22" spans="1:24" hidden="1" x14ac:dyDescent="0.25">
      <c r="A22" s="483" t="s">
        <v>7880</v>
      </c>
      <c r="B22" s="21" t="s">
        <v>7656</v>
      </c>
      <c r="C22" s="28" t="s">
        <v>13</v>
      </c>
      <c r="D22" s="233">
        <v>46107</v>
      </c>
      <c r="E22" s="28"/>
      <c r="F22" s="28" t="s">
        <v>563</v>
      </c>
      <c r="G22" s="1175" t="s">
        <v>7895</v>
      </c>
      <c r="H22" s="28" t="s">
        <v>8015</v>
      </c>
      <c r="I22" s="915">
        <v>27700</v>
      </c>
      <c r="J22" s="3">
        <f t="shared" si="1"/>
        <v>24376</v>
      </c>
      <c r="K22" s="21" t="s">
        <v>17</v>
      </c>
      <c r="L22" s="233">
        <v>46140</v>
      </c>
      <c r="M22" s="558"/>
      <c r="N22" s="88"/>
      <c r="U22" t="s">
        <v>7335</v>
      </c>
      <c r="V22" s="360">
        <v>0.49236111111111108</v>
      </c>
      <c r="W22" s="360"/>
    </row>
    <row r="23" spans="1:24" hidden="1" x14ac:dyDescent="0.25">
      <c r="A23" s="483">
        <v>22052026</v>
      </c>
      <c r="B23" t="s">
        <v>7696</v>
      </c>
      <c r="C23" s="28" t="s">
        <v>13</v>
      </c>
      <c r="D23" s="233">
        <v>46164</v>
      </c>
      <c r="E23" s="28"/>
      <c r="F23" s="28" t="s">
        <v>563</v>
      </c>
      <c r="G23" s="414" t="s">
        <v>8160</v>
      </c>
      <c r="H23" s="28" t="s">
        <v>8165</v>
      </c>
      <c r="I23" s="798">
        <v>27700</v>
      </c>
      <c r="J23" s="3">
        <f t="shared" si="1"/>
        <v>24376</v>
      </c>
      <c r="K23" s="1345" t="s">
        <v>17</v>
      </c>
      <c r="L23" s="233">
        <v>46184</v>
      </c>
      <c r="N23" s="798"/>
      <c r="V23" t="s">
        <v>4297</v>
      </c>
      <c r="W23" s="360">
        <v>0.46875</v>
      </c>
      <c r="X23" s="360"/>
    </row>
    <row r="24" spans="1:24" hidden="1" x14ac:dyDescent="0.25">
      <c r="A24" s="483">
        <v>26052026</v>
      </c>
      <c r="B24" t="s">
        <v>1491</v>
      </c>
      <c r="C24" s="28" t="s">
        <v>4218</v>
      </c>
      <c r="D24" s="233">
        <v>46168</v>
      </c>
      <c r="E24" s="28"/>
      <c r="F24" s="28" t="s">
        <v>563</v>
      </c>
      <c r="G24" s="414" t="s">
        <v>8161</v>
      </c>
      <c r="H24" s="28" t="s">
        <v>8197</v>
      </c>
      <c r="I24" s="798">
        <v>27700</v>
      </c>
      <c r="J24" s="3">
        <f t="shared" si="1"/>
        <v>24376</v>
      </c>
      <c r="K24" s="1345" t="s">
        <v>17</v>
      </c>
      <c r="L24" s="233">
        <v>46189</v>
      </c>
      <c r="N24" s="798"/>
      <c r="V24" t="s">
        <v>8158</v>
      </c>
      <c r="W24" s="360"/>
      <c r="X24" s="360"/>
    </row>
    <row r="25" spans="1:24" s="21" customFormat="1" hidden="1" x14ac:dyDescent="0.25">
      <c r="A25" s="483" t="s">
        <v>8187</v>
      </c>
      <c r="B25" s="21" t="s">
        <v>8188</v>
      </c>
      <c r="C25" s="177" t="s">
        <v>4218</v>
      </c>
      <c r="D25" s="233">
        <v>46179</v>
      </c>
      <c r="E25" s="177"/>
      <c r="F25" s="177" t="s">
        <v>563</v>
      </c>
      <c r="G25" s="519" t="s">
        <v>8198</v>
      </c>
      <c r="H25" s="177" t="s">
        <v>8199</v>
      </c>
      <c r="I25" s="911">
        <v>27700</v>
      </c>
      <c r="J25" s="3">
        <f t="shared" si="1"/>
        <v>24376</v>
      </c>
      <c r="K25" s="1345" t="s">
        <v>17</v>
      </c>
      <c r="L25" s="233">
        <v>46189</v>
      </c>
      <c r="V25" s="21" t="s">
        <v>8125</v>
      </c>
      <c r="W25" s="488">
        <v>0.26250000000000001</v>
      </c>
      <c r="X25" s="488">
        <v>0.44930555555555557</v>
      </c>
    </row>
    <row r="26" spans="1:24" hidden="1" x14ac:dyDescent="0.25">
      <c r="A26" s="483" t="s">
        <v>8302</v>
      </c>
      <c r="B26" t="s">
        <v>8303</v>
      </c>
      <c r="C26" s="31" t="s">
        <v>410</v>
      </c>
      <c r="D26" s="233">
        <v>46208</v>
      </c>
      <c r="E26" s="28"/>
      <c r="F26" s="313" t="s">
        <v>563</v>
      </c>
      <c r="G26" s="414" t="s">
        <v>8327</v>
      </c>
      <c r="H26" s="28" t="s">
        <v>8347</v>
      </c>
      <c r="I26" s="911">
        <v>27700</v>
      </c>
      <c r="J26" s="3">
        <f t="shared" si="1"/>
        <v>24376</v>
      </c>
      <c r="K26" s="1345" t="s">
        <v>17</v>
      </c>
      <c r="L26" s="233">
        <v>46224</v>
      </c>
      <c r="N26" s="88"/>
      <c r="O26" s="88"/>
      <c r="V26" t="s">
        <v>7942</v>
      </c>
      <c r="W26" s="360">
        <v>0.52083333333333337</v>
      </c>
      <c r="X26" s="360">
        <v>0.74375000000000002</v>
      </c>
    </row>
    <row r="27" spans="1:24" hidden="1" x14ac:dyDescent="0.25">
      <c r="A27" s="483"/>
      <c r="B27" t="s">
        <v>8303</v>
      </c>
      <c r="C27" s="31"/>
      <c r="D27" s="233">
        <v>46221</v>
      </c>
      <c r="E27" s="28"/>
      <c r="F27" s="313"/>
      <c r="G27" s="414" t="s">
        <v>8367</v>
      </c>
      <c r="H27" s="28" t="s">
        <v>8506</v>
      </c>
      <c r="I27" s="911">
        <v>27700</v>
      </c>
      <c r="J27" s="3">
        <f t="shared" si="1"/>
        <v>24376</v>
      </c>
      <c r="K27" s="1345" t="s">
        <v>17</v>
      </c>
      <c r="L27" s="233">
        <v>46253</v>
      </c>
      <c r="N27" s="88"/>
      <c r="O27" s="88"/>
      <c r="W27" s="360"/>
      <c r="X27" s="360"/>
    </row>
    <row r="28" spans="1:24" hidden="1" x14ac:dyDescent="0.25">
      <c r="A28" s="483"/>
      <c r="B28" s="21" t="s">
        <v>8538</v>
      </c>
      <c r="C28" s="31"/>
      <c r="D28" s="233">
        <v>46222</v>
      </c>
      <c r="E28" s="28"/>
      <c r="F28" s="313"/>
      <c r="G28" s="414" t="s">
        <v>8368</v>
      </c>
      <c r="H28" s="28" t="s">
        <v>8505</v>
      </c>
      <c r="I28" s="911">
        <v>27700</v>
      </c>
      <c r="J28" s="3">
        <f t="shared" si="1"/>
        <v>24376</v>
      </c>
      <c r="K28" t="s">
        <v>17</v>
      </c>
      <c r="L28" s="233">
        <v>46260</v>
      </c>
      <c r="N28" s="88"/>
      <c r="O28" s="88"/>
      <c r="W28" s="360"/>
      <c r="X28" s="360"/>
    </row>
    <row r="29" spans="1:24" hidden="1" x14ac:dyDescent="0.25">
      <c r="A29" s="495"/>
      <c r="B29" s="21" t="s">
        <v>8538</v>
      </c>
      <c r="C29" s="127"/>
      <c r="D29" s="233">
        <v>46234</v>
      </c>
      <c r="E29" s="127"/>
      <c r="F29" s="127"/>
      <c r="G29" s="1067" t="s">
        <v>8396</v>
      </c>
      <c r="H29" s="28" t="s">
        <v>8504</v>
      </c>
      <c r="I29" s="798">
        <v>27700</v>
      </c>
      <c r="J29" s="3">
        <f t="shared" si="1"/>
        <v>24376</v>
      </c>
      <c r="K29" t="s">
        <v>17</v>
      </c>
      <c r="L29" s="233">
        <v>46260</v>
      </c>
      <c r="M29" s="88"/>
      <c r="U29" s="360"/>
      <c r="V29" s="360"/>
    </row>
    <row r="30" spans="1:24" hidden="1" x14ac:dyDescent="0.25">
      <c r="A30" s="1448" t="s">
        <v>8426</v>
      </c>
      <c r="B30" s="21" t="s">
        <v>8538</v>
      </c>
      <c r="C30" s="31" t="s">
        <v>13</v>
      </c>
      <c r="D30" s="233">
        <v>46238</v>
      </c>
      <c r="E30" s="28"/>
      <c r="F30" s="313" t="s">
        <v>563</v>
      </c>
      <c r="G30" s="414" t="s">
        <v>8502</v>
      </c>
      <c r="H30" s="28" t="s">
        <v>8503</v>
      </c>
      <c r="I30" s="798">
        <v>27700</v>
      </c>
      <c r="J30" s="3">
        <f t="shared" si="1"/>
        <v>24376</v>
      </c>
      <c r="K30" t="s">
        <v>17</v>
      </c>
      <c r="L30" s="233">
        <v>46260</v>
      </c>
      <c r="M30" s="558"/>
      <c r="N30" s="558"/>
      <c r="O30" s="88"/>
      <c r="V30" t="s">
        <v>7942</v>
      </c>
      <c r="W30" s="360">
        <v>0.29305555555555557</v>
      </c>
      <c r="X30" s="30"/>
    </row>
    <row r="31" spans="1:24" x14ac:dyDescent="0.25">
      <c r="A31" s="483"/>
      <c r="D31" s="233"/>
      <c r="E31" s="28"/>
      <c r="F31" s="28"/>
      <c r="H31" s="1087"/>
      <c r="I31" s="1131"/>
      <c r="J31" s="88"/>
      <c r="K31" s="798"/>
      <c r="L31" s="88"/>
      <c r="M31" s="88"/>
      <c r="U31" s="360"/>
      <c r="V31" s="360"/>
    </row>
    <row r="32" spans="1:24" ht="15.75" thickBot="1" x14ac:dyDescent="0.3">
      <c r="A32" s="483"/>
      <c r="D32" s="233"/>
      <c r="E32" s="28"/>
      <c r="F32" s="28"/>
      <c r="H32" s="1087"/>
      <c r="I32" s="1131"/>
      <c r="J32" s="88"/>
      <c r="K32" s="798"/>
      <c r="L32" s="88"/>
      <c r="M32" s="88"/>
      <c r="U32" s="360"/>
      <c r="V32" s="360"/>
    </row>
    <row r="33" spans="1:22" ht="15.75" thickBot="1" x14ac:dyDescent="0.3">
      <c r="A33" s="483"/>
      <c r="D33" s="233"/>
      <c r="E33" s="28"/>
      <c r="F33" s="28"/>
      <c r="H33" s="1087" t="s">
        <v>3218</v>
      </c>
      <c r="I33" s="242">
        <f>SUBTOTAL(9,I13:I32)</f>
        <v>0</v>
      </c>
      <c r="J33" s="88"/>
      <c r="K33" s="798"/>
      <c r="L33" s="88"/>
      <c r="M33" s="88"/>
      <c r="U33" s="360"/>
      <c r="V33" s="360"/>
    </row>
    <row r="34" spans="1:22" x14ac:dyDescent="0.25">
      <c r="A34" s="483"/>
      <c r="D34" s="233"/>
      <c r="E34" s="28"/>
      <c r="F34" s="28"/>
      <c r="H34" s="1087"/>
      <c r="I34" s="1131"/>
      <c r="J34" s="88"/>
      <c r="K34" s="798"/>
      <c r="L34" s="88"/>
      <c r="M34" s="88"/>
      <c r="U34" s="360"/>
      <c r="V34" s="360"/>
    </row>
    <row r="35" spans="1:22" x14ac:dyDescent="0.25">
      <c r="J35" s="102"/>
      <c r="K35" s="1219" t="s">
        <v>7392</v>
      </c>
      <c r="L35" s="724"/>
      <c r="M35" s="28" t="s">
        <v>2468</v>
      </c>
    </row>
    <row r="36" spans="1:22" x14ac:dyDescent="0.25">
      <c r="J36" s="102" t="s">
        <v>219</v>
      </c>
      <c r="K36" s="793">
        <f>415500+83100</f>
        <v>498600</v>
      </c>
      <c r="L36" s="1216">
        <v>18</v>
      </c>
      <c r="M36" s="122">
        <v>46238</v>
      </c>
    </row>
    <row r="37" spans="1:22" x14ac:dyDescent="0.25">
      <c r="J37" s="102" t="s">
        <v>2048</v>
      </c>
      <c r="K37" s="793">
        <v>498600</v>
      </c>
      <c r="L37" s="1217">
        <f>+K37/27700</f>
        <v>18</v>
      </c>
      <c r="M37" s="122">
        <f>+M36</f>
        <v>46238</v>
      </c>
    </row>
    <row r="38" spans="1:22" x14ac:dyDescent="0.25">
      <c r="J38" s="728" t="s">
        <v>2128</v>
      </c>
      <c r="K38" s="1218">
        <f>+K36-K37</f>
        <v>0</v>
      </c>
      <c r="L38" s="1220">
        <f>+L36-L37</f>
        <v>0</v>
      </c>
    </row>
  </sheetData>
  <autoFilter ref="B2:Q38" xr:uid="{00000000-0009-0000-0000-000027000000}">
    <filterColumn colId="9">
      <filters blank="1">
        <filter val="-"/>
        <filter val="498,600.00"/>
        <filter val="CONTRATO N° 04-2025-HSRA"/>
      </filters>
    </filterColumn>
    <filterColumn colId="12" showButton="0"/>
    <filterColumn colId="13" showButton="0"/>
    <filterColumn colId="14" showButton="0"/>
  </autoFilter>
  <mergeCells count="2">
    <mergeCell ref="N2:Q2"/>
    <mergeCell ref="D12:I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4154" r:id="rId4" name="Button 1">
              <controlPr defaultSize="0" print="0" autoFill="0" autoPict="0" macro="[0]!RETORNAR">
                <anchor moveWithCells="1" sizeWithCells="1">
                  <from>
                    <xdr:col>1</xdr:col>
                    <xdr:colOff>38100</xdr:colOff>
                    <xdr:row>0</xdr:row>
                    <xdr:rowOff>47625</xdr:rowOff>
                  </from>
                  <to>
                    <xdr:col>1</xdr:col>
                    <xdr:colOff>1847850</xdr:colOff>
                    <xdr:row>0</xdr:row>
                    <xdr:rowOff>314325</xdr:rowOff>
                  </to>
                </anchor>
              </controlPr>
            </control>
          </mc:Choice>
        </mc:AlternateContent>
        <mc:AlternateContent xmlns:mc="http://schemas.openxmlformats.org/markup-compatibility/2006">
          <mc:Choice Requires="x14">
            <control shapeId="134158" r:id="rId5" name="Botón 14">
              <controlPr defaultSize="0" print="0" autoFill="0" autoPict="0" macro="[0]!IR_VENTAS_B200_2026">
                <anchor moveWithCells="1" sizeWithCells="1">
                  <from>
                    <xdr:col>1</xdr:col>
                    <xdr:colOff>885825</xdr:colOff>
                    <xdr:row>40</xdr:row>
                    <xdr:rowOff>85725</xdr:rowOff>
                  </from>
                  <to>
                    <xdr:col>3</xdr:col>
                    <xdr:colOff>57150</xdr:colOff>
                    <xdr:row>43</xdr:row>
                    <xdr:rowOff>114300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Hoja13" filterMode="1"/>
  <dimension ref="A1:V37"/>
  <sheetViews>
    <sheetView workbookViewId="0">
      <selection activeCell="A27" sqref="A27:M27"/>
    </sheetView>
  </sheetViews>
  <sheetFormatPr baseColWidth="10" defaultColWidth="10.85546875" defaultRowHeight="15" x14ac:dyDescent="0.25"/>
  <cols>
    <col min="1" max="1" width="15" customWidth="1"/>
    <col min="7" max="7" width="60.7109375" customWidth="1"/>
    <col min="8" max="8" width="20.7109375" customWidth="1"/>
    <col min="9" max="9" width="12" bestFit="1" customWidth="1"/>
    <col min="11" max="11" width="10.85546875" style="30"/>
  </cols>
  <sheetData>
    <row r="1" spans="1:20" ht="29.45" customHeight="1" x14ac:dyDescent="0.25"/>
    <row r="2" spans="1:20" x14ac:dyDescent="0.25">
      <c r="B2" s="1" t="s">
        <v>0</v>
      </c>
      <c r="C2" s="1" t="s">
        <v>1</v>
      </c>
      <c r="D2" s="1" t="s">
        <v>2</v>
      </c>
      <c r="E2" s="1"/>
      <c r="F2" s="1" t="s">
        <v>3</v>
      </c>
      <c r="G2" s="1" t="s">
        <v>4</v>
      </c>
      <c r="H2" s="1" t="s">
        <v>5</v>
      </c>
      <c r="I2" s="1" t="s">
        <v>6</v>
      </c>
      <c r="J2" s="1" t="s">
        <v>1780</v>
      </c>
      <c r="K2" s="115" t="s">
        <v>8</v>
      </c>
      <c r="L2" s="1" t="s">
        <v>3997</v>
      </c>
      <c r="M2" s="1" t="s">
        <v>10</v>
      </c>
      <c r="N2" s="1480" t="s">
        <v>11</v>
      </c>
      <c r="O2" s="1480"/>
      <c r="P2" s="1480"/>
      <c r="Q2" s="1480"/>
    </row>
    <row r="3" spans="1:20" ht="15" hidden="1" customHeight="1" x14ac:dyDescent="0.25">
      <c r="B3" s="1491" t="s">
        <v>403</v>
      </c>
      <c r="C3" s="1491" t="s">
        <v>27</v>
      </c>
      <c r="D3" s="239">
        <v>44525</v>
      </c>
      <c r="E3" s="1491">
        <v>3.3</v>
      </c>
      <c r="F3" s="1491" t="s">
        <v>113</v>
      </c>
      <c r="G3" t="s">
        <v>417</v>
      </c>
      <c r="H3" t="s">
        <v>418</v>
      </c>
      <c r="I3" s="3">
        <v>33165</v>
      </c>
      <c r="J3" s="3">
        <f t="shared" ref="J3:J22" si="0">+I3-ROUND(I3*0.12,0)</f>
        <v>29185</v>
      </c>
      <c r="K3" s="30" t="s">
        <v>17</v>
      </c>
      <c r="L3" s="239">
        <v>44539</v>
      </c>
      <c r="M3" t="s">
        <v>224</v>
      </c>
    </row>
    <row r="4" spans="1:20" ht="15" hidden="1" customHeight="1" x14ac:dyDescent="0.25">
      <c r="B4" s="1491"/>
      <c r="C4" s="1491"/>
      <c r="D4" s="239"/>
      <c r="E4" s="1491"/>
      <c r="F4" s="1491"/>
      <c r="G4" t="s">
        <v>419</v>
      </c>
      <c r="H4" t="s">
        <v>420</v>
      </c>
      <c r="I4" s="3">
        <v>6835</v>
      </c>
      <c r="J4" s="3">
        <f t="shared" si="0"/>
        <v>6015</v>
      </c>
      <c r="K4" s="30" t="s">
        <v>17</v>
      </c>
      <c r="L4" s="239">
        <v>44539</v>
      </c>
      <c r="M4" t="s">
        <v>224</v>
      </c>
    </row>
    <row r="5" spans="1:20" ht="15" hidden="1" customHeight="1" x14ac:dyDescent="0.25">
      <c r="B5" s="1491" t="s">
        <v>403</v>
      </c>
      <c r="C5" s="1491" t="s">
        <v>67</v>
      </c>
      <c r="D5" s="239">
        <v>44541</v>
      </c>
      <c r="E5" s="1491">
        <v>3.3</v>
      </c>
      <c r="F5" t="s">
        <v>113</v>
      </c>
      <c r="G5" t="s">
        <v>404</v>
      </c>
      <c r="H5" t="s">
        <v>405</v>
      </c>
      <c r="I5" s="3">
        <v>33165</v>
      </c>
      <c r="J5" s="3">
        <f t="shared" si="0"/>
        <v>29185</v>
      </c>
      <c r="K5" s="30" t="s">
        <v>17</v>
      </c>
      <c r="L5" s="239">
        <v>44564</v>
      </c>
      <c r="M5" t="s">
        <v>224</v>
      </c>
      <c r="Q5" t="s">
        <v>556</v>
      </c>
    </row>
    <row r="6" spans="1:20" ht="15" hidden="1" customHeight="1" x14ac:dyDescent="0.25">
      <c r="B6" s="1491"/>
      <c r="C6" s="1491"/>
      <c r="D6" s="239"/>
      <c r="E6" s="1491"/>
      <c r="H6" t="s">
        <v>406</v>
      </c>
      <c r="I6" s="3">
        <v>6835</v>
      </c>
      <c r="J6" s="3">
        <f t="shared" si="0"/>
        <v>6015</v>
      </c>
      <c r="K6" s="30" t="s">
        <v>17</v>
      </c>
      <c r="L6" s="239">
        <v>44557</v>
      </c>
      <c r="M6" t="s">
        <v>224</v>
      </c>
    </row>
    <row r="7" spans="1:20" s="21" customFormat="1" ht="15" hidden="1" customHeight="1" x14ac:dyDescent="0.25">
      <c r="B7" s="21" t="s">
        <v>891</v>
      </c>
      <c r="C7" s="21" t="s">
        <v>693</v>
      </c>
      <c r="D7" s="239">
        <v>44720</v>
      </c>
      <c r="E7" s="1491">
        <v>3.3</v>
      </c>
      <c r="F7" s="21" t="s">
        <v>113</v>
      </c>
      <c r="G7" s="21" t="s">
        <v>1111</v>
      </c>
      <c r="H7" s="21" t="s">
        <v>1096</v>
      </c>
      <c r="I7" s="88">
        <v>33165</v>
      </c>
      <c r="J7" s="3">
        <f t="shared" si="0"/>
        <v>29185</v>
      </c>
      <c r="K7" s="30" t="s">
        <v>17</v>
      </c>
      <c r="L7" s="239">
        <v>44796</v>
      </c>
      <c r="M7"/>
      <c r="N7"/>
      <c r="O7"/>
      <c r="P7" t="s">
        <v>843</v>
      </c>
      <c r="Q7" s="14">
        <v>0.34861111111111115</v>
      </c>
      <c r="R7" s="14">
        <v>7.013888888888889E-2</v>
      </c>
      <c r="S7"/>
      <c r="T7"/>
    </row>
    <row r="8" spans="1:20" s="21" customFormat="1" ht="15" hidden="1" customHeight="1" x14ac:dyDescent="0.25">
      <c r="D8" s="239"/>
      <c r="E8" s="1491"/>
      <c r="G8" s="21" t="s">
        <v>1151</v>
      </c>
      <c r="H8" s="21" t="s">
        <v>1247</v>
      </c>
      <c r="I8" s="3">
        <v>5905</v>
      </c>
      <c r="J8" s="3">
        <f t="shared" si="0"/>
        <v>5196</v>
      </c>
      <c r="K8" s="30" t="s">
        <v>17</v>
      </c>
      <c r="L8" s="239">
        <v>44827</v>
      </c>
      <c r="M8" t="s">
        <v>224</v>
      </c>
      <c r="N8"/>
      <c r="O8"/>
      <c r="P8"/>
      <c r="Q8" s="14"/>
      <c r="R8" s="14"/>
      <c r="S8"/>
      <c r="T8"/>
    </row>
    <row r="9" spans="1:20" s="163" customFormat="1" ht="15" hidden="1" customHeight="1" x14ac:dyDescent="0.25">
      <c r="D9" s="239"/>
      <c r="E9" s="1491">
        <v>3.3</v>
      </c>
      <c r="G9" s="163" t="s">
        <v>1109</v>
      </c>
      <c r="H9" s="163" t="s">
        <v>1112</v>
      </c>
      <c r="I9" s="3">
        <v>30000</v>
      </c>
      <c r="J9" s="3">
        <f t="shared" si="0"/>
        <v>26400</v>
      </c>
      <c r="K9" s="30" t="s">
        <v>17</v>
      </c>
      <c r="L9" s="239">
        <v>44796</v>
      </c>
      <c r="M9"/>
      <c r="N9" s="19"/>
      <c r="O9" s="19"/>
      <c r="P9" s="19"/>
      <c r="Q9" s="141"/>
      <c r="R9" s="141"/>
      <c r="S9" s="19"/>
      <c r="T9" s="19"/>
    </row>
    <row r="10" spans="1:20" ht="15" hidden="1" customHeight="1" x14ac:dyDescent="0.25">
      <c r="B10" s="169" t="s">
        <v>1004</v>
      </c>
      <c r="C10" s="21" t="s">
        <v>693</v>
      </c>
      <c r="D10" s="239">
        <v>44746</v>
      </c>
      <c r="E10" s="1491"/>
      <c r="F10" s="163" t="s">
        <v>1005</v>
      </c>
      <c r="G10" s="163" t="s">
        <v>1110</v>
      </c>
      <c r="H10" s="163" t="s">
        <v>1113</v>
      </c>
      <c r="I10" s="88">
        <v>9070</v>
      </c>
      <c r="J10" s="3">
        <f t="shared" si="0"/>
        <v>7982</v>
      </c>
      <c r="K10" s="30" t="s">
        <v>17</v>
      </c>
      <c r="L10" s="239">
        <v>44796</v>
      </c>
      <c r="P10" s="19" t="s">
        <v>989</v>
      </c>
      <c r="Q10" s="14">
        <v>0.44722222222222219</v>
      </c>
      <c r="R10" s="14">
        <v>0.66666666666666663</v>
      </c>
    </row>
    <row r="11" spans="1:20" ht="15" hidden="1" customHeight="1" x14ac:dyDescent="0.25">
      <c r="B11" s="169"/>
      <c r="C11" s="21"/>
      <c r="D11" s="239"/>
      <c r="E11" s="1491">
        <v>3.3</v>
      </c>
      <c r="F11" s="163"/>
      <c r="G11" s="163" t="s">
        <v>1107</v>
      </c>
      <c r="H11" s="163" t="s">
        <v>1114</v>
      </c>
      <c r="I11" s="88">
        <v>30604.05</v>
      </c>
      <c r="J11" s="3">
        <f t="shared" si="0"/>
        <v>26932.05</v>
      </c>
      <c r="K11" s="30" t="s">
        <v>17</v>
      </c>
      <c r="L11" s="239">
        <v>44796</v>
      </c>
      <c r="P11" s="19"/>
      <c r="Q11" s="14"/>
      <c r="R11" s="14"/>
    </row>
    <row r="12" spans="1:20" ht="15" hidden="1" customHeight="1" x14ac:dyDescent="0.25">
      <c r="B12" s="169" t="s">
        <v>1004</v>
      </c>
      <c r="C12" s="21" t="s">
        <v>693</v>
      </c>
      <c r="D12" s="239">
        <v>44749</v>
      </c>
      <c r="E12" s="1491"/>
      <c r="F12" s="163" t="s">
        <v>113</v>
      </c>
      <c r="G12" s="163" t="s">
        <v>1108</v>
      </c>
      <c r="H12" s="163" t="s">
        <v>1115</v>
      </c>
      <c r="I12" s="88">
        <v>8465.9500000000007</v>
      </c>
      <c r="J12" s="3">
        <f t="shared" si="0"/>
        <v>7449.9500000000007</v>
      </c>
      <c r="K12" s="30" t="s">
        <v>17</v>
      </c>
      <c r="L12" s="239">
        <v>44796</v>
      </c>
      <c r="P12" s="19" t="s">
        <v>893</v>
      </c>
      <c r="Q12" s="14">
        <v>0.37847222222222227</v>
      </c>
      <c r="R12" s="14">
        <v>0.64444444444444449</v>
      </c>
    </row>
    <row r="13" spans="1:20" ht="15" hidden="1" customHeight="1" x14ac:dyDescent="0.25">
      <c r="A13" s="115">
        <v>23092022</v>
      </c>
      <c r="B13" s="169" t="s">
        <v>1273</v>
      </c>
      <c r="C13" s="169" t="s">
        <v>693</v>
      </c>
      <c r="D13" s="239">
        <v>44827</v>
      </c>
      <c r="E13" s="10">
        <v>3.3</v>
      </c>
      <c r="F13" t="s">
        <v>1272</v>
      </c>
      <c r="G13" t="s">
        <v>1322</v>
      </c>
      <c r="H13" s="21" t="s">
        <v>1324</v>
      </c>
      <c r="I13" s="88">
        <v>39884</v>
      </c>
      <c r="J13" s="3">
        <f t="shared" si="0"/>
        <v>35098</v>
      </c>
      <c r="K13" s="236" t="s">
        <v>17</v>
      </c>
      <c r="L13" s="239">
        <v>44854</v>
      </c>
      <c r="P13" t="s">
        <v>795</v>
      </c>
      <c r="Q13" s="14">
        <v>0.3444444444444445</v>
      </c>
    </row>
    <row r="14" spans="1:20" hidden="1" x14ac:dyDescent="0.25">
      <c r="A14" s="116">
        <v>22102022</v>
      </c>
      <c r="B14" s="169" t="s">
        <v>1273</v>
      </c>
      <c r="C14" s="169" t="s">
        <v>693</v>
      </c>
      <c r="D14" s="239">
        <v>44856</v>
      </c>
      <c r="E14" s="88"/>
      <c r="F14" t="s">
        <v>113</v>
      </c>
      <c r="G14" s="21" t="s">
        <v>1525</v>
      </c>
      <c r="H14" t="s">
        <v>1526</v>
      </c>
      <c r="I14" s="88">
        <v>33842.57</v>
      </c>
      <c r="J14" s="3">
        <f t="shared" si="0"/>
        <v>29781.57</v>
      </c>
      <c r="K14" s="236" t="s">
        <v>17</v>
      </c>
      <c r="L14" s="239">
        <v>44907</v>
      </c>
      <c r="O14" t="s">
        <v>893</v>
      </c>
      <c r="P14" s="14">
        <v>0.55069444444444449</v>
      </c>
      <c r="Q14" s="14">
        <v>0.72499999999999998</v>
      </c>
    </row>
    <row r="15" spans="1:20" hidden="1" x14ac:dyDescent="0.25">
      <c r="B15" s="116"/>
      <c r="C15" s="169"/>
      <c r="D15" s="21"/>
      <c r="E15" s="10"/>
      <c r="F15" s="163"/>
      <c r="G15" s="21" t="s">
        <v>1529</v>
      </c>
      <c r="H15" s="163" t="s">
        <v>2726</v>
      </c>
      <c r="I15" s="88">
        <v>6041.43</v>
      </c>
      <c r="J15" s="3">
        <f t="shared" si="0"/>
        <v>5316.43</v>
      </c>
      <c r="K15" s="236" t="s">
        <v>17</v>
      </c>
      <c r="L15" s="239">
        <v>44916</v>
      </c>
      <c r="P15" s="19"/>
      <c r="Q15" s="14"/>
      <c r="R15" s="14"/>
    </row>
    <row r="16" spans="1:20" hidden="1" x14ac:dyDescent="0.25">
      <c r="B16" s="116"/>
      <c r="C16" s="169"/>
      <c r="D16" s="21"/>
      <c r="E16" s="10"/>
      <c r="F16" s="163"/>
      <c r="G16" s="21" t="s">
        <v>1529</v>
      </c>
      <c r="H16" s="163" t="s">
        <v>3277</v>
      </c>
      <c r="I16" s="88">
        <v>814</v>
      </c>
      <c r="J16" s="3">
        <f t="shared" si="0"/>
        <v>716</v>
      </c>
      <c r="K16" s="236" t="s">
        <v>17</v>
      </c>
      <c r="L16" s="239">
        <v>45226</v>
      </c>
      <c r="P16" s="19"/>
      <c r="Q16" s="14"/>
      <c r="R16" s="14"/>
    </row>
    <row r="17" spans="1:22" hidden="1" x14ac:dyDescent="0.25">
      <c r="A17" s="115">
        <v>22122022</v>
      </c>
      <c r="B17" t="s">
        <v>1619</v>
      </c>
      <c r="C17" s="30" t="s">
        <v>27</v>
      </c>
      <c r="D17" s="122">
        <v>44917</v>
      </c>
      <c r="E17" s="88"/>
      <c r="F17" t="s">
        <v>113</v>
      </c>
      <c r="G17" s="21" t="s">
        <v>2218</v>
      </c>
      <c r="H17" s="163" t="s">
        <v>2727</v>
      </c>
      <c r="I17" s="88">
        <v>39884</v>
      </c>
      <c r="J17" s="3">
        <f t="shared" si="0"/>
        <v>35098</v>
      </c>
      <c r="K17" s="236" t="s">
        <v>17</v>
      </c>
      <c r="L17" s="239">
        <v>45265</v>
      </c>
      <c r="S17" s="2" t="s">
        <v>929</v>
      </c>
      <c r="T17" s="14">
        <v>0.52361111111111114</v>
      </c>
      <c r="U17" s="21"/>
    </row>
    <row r="18" spans="1:22" hidden="1" x14ac:dyDescent="0.25">
      <c r="A18" s="256">
        <v>16032023</v>
      </c>
      <c r="B18" t="s">
        <v>2027</v>
      </c>
      <c r="C18" t="s">
        <v>410</v>
      </c>
      <c r="D18" s="122">
        <v>45001</v>
      </c>
      <c r="F18" t="s">
        <v>113</v>
      </c>
      <c r="G18" t="s">
        <v>2219</v>
      </c>
      <c r="H18" s="163" t="s">
        <v>2725</v>
      </c>
      <c r="I18" s="88">
        <v>39578</v>
      </c>
      <c r="J18" s="3">
        <f t="shared" si="0"/>
        <v>34829</v>
      </c>
      <c r="K18" s="236" t="s">
        <v>17</v>
      </c>
      <c r="L18" s="239">
        <v>45026</v>
      </c>
      <c r="S18" t="s">
        <v>916</v>
      </c>
      <c r="T18" s="14">
        <v>0.55555555555555558</v>
      </c>
      <c r="U18" s="14"/>
    </row>
    <row r="19" spans="1:22" hidden="1" x14ac:dyDescent="0.25">
      <c r="A19" s="95" t="s">
        <v>2438</v>
      </c>
      <c r="B19" t="s">
        <v>2442</v>
      </c>
      <c r="C19" t="s">
        <v>410</v>
      </c>
      <c r="D19" s="122">
        <v>45079</v>
      </c>
      <c r="F19" s="30" t="s">
        <v>113</v>
      </c>
      <c r="G19" s="30" t="s">
        <v>2567</v>
      </c>
      <c r="H19" s="30" t="s">
        <v>2573</v>
      </c>
      <c r="I19" s="368">
        <v>39070</v>
      </c>
      <c r="J19" s="3">
        <f t="shared" si="0"/>
        <v>34382</v>
      </c>
      <c r="K19" s="30" t="s">
        <v>17</v>
      </c>
      <c r="L19" s="239">
        <v>45114</v>
      </c>
      <c r="T19" t="s">
        <v>1644</v>
      </c>
      <c r="U19" s="14">
        <v>0.42569444444444443</v>
      </c>
    </row>
    <row r="20" spans="1:22" hidden="1" x14ac:dyDescent="0.25">
      <c r="A20" s="483">
        <v>12012025</v>
      </c>
      <c r="B20" t="s">
        <v>5509</v>
      </c>
      <c r="C20" s="233" t="s">
        <v>13</v>
      </c>
      <c r="D20" s="233">
        <v>45669</v>
      </c>
      <c r="E20" s="28"/>
      <c r="F20" s="28" t="s">
        <v>113</v>
      </c>
      <c r="G20" t="s">
        <v>5757</v>
      </c>
      <c r="H20" s="163" t="s">
        <v>5760</v>
      </c>
      <c r="I20" s="88">
        <v>39800</v>
      </c>
      <c r="J20" s="3">
        <f t="shared" si="0"/>
        <v>35024</v>
      </c>
      <c r="K20" t="s">
        <v>17</v>
      </c>
      <c r="L20" s="233">
        <v>45733</v>
      </c>
      <c r="T20" t="s">
        <v>2050</v>
      </c>
      <c r="U20" s="360">
        <v>0.50347222222222221</v>
      </c>
      <c r="V20" s="360">
        <v>0.71597222222222223</v>
      </c>
    </row>
    <row r="21" spans="1:22" hidden="1" x14ac:dyDescent="0.25">
      <c r="A21" s="483" t="s">
        <v>5607</v>
      </c>
      <c r="B21" t="s">
        <v>5608</v>
      </c>
      <c r="C21" s="28"/>
      <c r="D21" s="233">
        <v>45692</v>
      </c>
      <c r="F21" s="28" t="s">
        <v>113</v>
      </c>
      <c r="G21" t="s">
        <v>5758</v>
      </c>
      <c r="H21" s="163" t="s">
        <v>5761</v>
      </c>
      <c r="I21" s="313">
        <v>41181</v>
      </c>
      <c r="J21" s="3">
        <f t="shared" si="0"/>
        <v>36239</v>
      </c>
      <c r="K21" t="s">
        <v>17</v>
      </c>
      <c r="L21" s="233">
        <v>45733</v>
      </c>
      <c r="T21" t="s">
        <v>4911</v>
      </c>
      <c r="U21" s="360">
        <v>0.51041666666666663</v>
      </c>
      <c r="V21" s="360">
        <v>0.58611111111111114</v>
      </c>
    </row>
    <row r="22" spans="1:22" hidden="1" x14ac:dyDescent="0.25">
      <c r="A22" s="483">
        <v>26022025</v>
      </c>
      <c r="B22" t="s">
        <v>5720</v>
      </c>
      <c r="C22" s="28" t="s">
        <v>13</v>
      </c>
      <c r="D22" s="233">
        <v>45714</v>
      </c>
      <c r="E22" s="28"/>
      <c r="F22" s="28" t="s">
        <v>113</v>
      </c>
      <c r="G22" t="s">
        <v>5759</v>
      </c>
      <c r="H22" s="163" t="s">
        <v>5762</v>
      </c>
      <c r="I22" s="313">
        <v>38580</v>
      </c>
      <c r="J22" s="3">
        <f t="shared" si="0"/>
        <v>33950</v>
      </c>
      <c r="K22" t="s">
        <v>17</v>
      </c>
      <c r="L22" s="233">
        <v>45733</v>
      </c>
      <c r="T22" t="s">
        <v>5393</v>
      </c>
      <c r="U22" s="360">
        <v>0.34930555555555554</v>
      </c>
      <c r="V22" s="360">
        <v>0.5756944444444444</v>
      </c>
    </row>
    <row r="23" spans="1:22" hidden="1" x14ac:dyDescent="0.25">
      <c r="A23" s="483">
        <v>10032025</v>
      </c>
      <c r="B23" t="s">
        <v>5780</v>
      </c>
      <c r="C23" s="28" t="s">
        <v>13</v>
      </c>
      <c r="D23" s="233">
        <v>45726</v>
      </c>
      <c r="E23" s="28"/>
      <c r="F23" s="28" t="s">
        <v>113</v>
      </c>
      <c r="G23" s="30" t="s">
        <v>5852</v>
      </c>
      <c r="H23" s="30" t="s">
        <v>5853</v>
      </c>
      <c r="I23" s="798">
        <v>38100</v>
      </c>
      <c r="J23" s="3">
        <f>+I23-ROUND(I23*0.12,0)</f>
        <v>33528</v>
      </c>
      <c r="K23" t="s">
        <v>17</v>
      </c>
      <c r="L23" s="233">
        <v>45747</v>
      </c>
      <c r="T23" t="s">
        <v>5776</v>
      </c>
      <c r="U23" s="360">
        <v>0.35694444444444445</v>
      </c>
      <c r="V23" s="30"/>
    </row>
    <row r="24" spans="1:22" hidden="1" x14ac:dyDescent="0.25">
      <c r="A24" s="483">
        <v>22062025</v>
      </c>
      <c r="B24" t="s">
        <v>5910</v>
      </c>
      <c r="C24" s="28" t="s">
        <v>278</v>
      </c>
      <c r="D24" s="233">
        <v>45830</v>
      </c>
      <c r="E24" s="28"/>
      <c r="F24" s="28" t="s">
        <v>113</v>
      </c>
      <c r="G24" t="s">
        <v>6566</v>
      </c>
      <c r="H24" s="28" t="s">
        <v>7793</v>
      </c>
      <c r="I24" s="32">
        <v>39255</v>
      </c>
      <c r="J24" s="3">
        <f>+I24-ROUND(I24*0.12,0)</f>
        <v>34544</v>
      </c>
      <c r="K24" s="233" t="s">
        <v>17</v>
      </c>
      <c r="L24" s="233">
        <v>46106</v>
      </c>
      <c r="T24" t="s">
        <v>4297</v>
      </c>
      <c r="U24" s="360">
        <v>0.36388888888888887</v>
      </c>
      <c r="V24" s="360">
        <v>0.56041666666666667</v>
      </c>
    </row>
    <row r="25" spans="1:22" hidden="1" x14ac:dyDescent="0.25">
      <c r="A25" s="483" t="s">
        <v>6584</v>
      </c>
      <c r="B25" t="s">
        <v>5910</v>
      </c>
      <c r="C25" s="28" t="s">
        <v>660</v>
      </c>
      <c r="D25" s="233">
        <v>45851</v>
      </c>
      <c r="E25" s="28"/>
      <c r="F25" s="28" t="s">
        <v>113</v>
      </c>
      <c r="G25" t="s">
        <v>6674</v>
      </c>
      <c r="H25" s="28" t="s">
        <v>7793</v>
      </c>
      <c r="I25" s="798">
        <v>39255</v>
      </c>
      <c r="J25" s="3">
        <f>+I25-ROUND(I25*0.12,0)</f>
        <v>34544</v>
      </c>
      <c r="K25" s="233" t="s">
        <v>17</v>
      </c>
      <c r="L25" s="233">
        <v>46106</v>
      </c>
      <c r="T25" t="s">
        <v>4345</v>
      </c>
      <c r="U25" s="360">
        <v>0.42083333333333334</v>
      </c>
      <c r="V25" s="360">
        <v>0.7055555555555556</v>
      </c>
    </row>
    <row r="26" spans="1:22" hidden="1" x14ac:dyDescent="0.25">
      <c r="A26" s="483" t="s">
        <v>6709</v>
      </c>
      <c r="B26" t="s">
        <v>5780</v>
      </c>
      <c r="C26" s="28" t="s">
        <v>4218</v>
      </c>
      <c r="D26" s="233">
        <v>45874</v>
      </c>
      <c r="E26" s="28"/>
      <c r="F26" s="28" t="s">
        <v>113</v>
      </c>
      <c r="G26" s="1067" t="s">
        <v>6728</v>
      </c>
      <c r="H26" s="28" t="s">
        <v>7793</v>
      </c>
      <c r="I26" s="61">
        <v>38100</v>
      </c>
      <c r="J26" s="3">
        <f>+I26-ROUND(I26*0.12,0)</f>
        <v>33528</v>
      </c>
      <c r="K26" s="233" t="s">
        <v>17</v>
      </c>
      <c r="L26" s="233">
        <v>46106</v>
      </c>
      <c r="M26" s="32"/>
      <c r="T26" t="s">
        <v>6294</v>
      </c>
      <c r="U26" s="360">
        <v>0.33958333333333335</v>
      </c>
      <c r="V26" s="360"/>
    </row>
    <row r="27" spans="1:22" x14ac:dyDescent="0.25">
      <c r="A27" s="1448" t="s">
        <v>8642</v>
      </c>
      <c r="B27" s="21" t="s">
        <v>8643</v>
      </c>
      <c r="C27" s="31" t="s">
        <v>13</v>
      </c>
      <c r="D27" s="233">
        <v>46283</v>
      </c>
      <c r="E27" s="28"/>
      <c r="F27" s="313" t="s">
        <v>563</v>
      </c>
      <c r="H27" s="88" t="s">
        <v>279</v>
      </c>
      <c r="K27"/>
      <c r="M27" s="915">
        <v>44500</v>
      </c>
      <c r="U27" s="360"/>
      <c r="V27" s="360"/>
    </row>
    <row r="28" spans="1:22" x14ac:dyDescent="0.25">
      <c r="A28" s="483"/>
      <c r="C28" s="28"/>
      <c r="D28" s="233"/>
      <c r="E28" s="28"/>
      <c r="F28" s="28"/>
      <c r="G28" s="1067"/>
      <c r="H28" s="28"/>
      <c r="I28" s="61"/>
      <c r="J28" s="3"/>
      <c r="K28" s="233"/>
      <c r="L28" s="233"/>
      <c r="M28" s="32"/>
      <c r="U28" s="360"/>
      <c r="V28" s="360"/>
    </row>
    <row r="29" spans="1:22" ht="15.75" thickBot="1" x14ac:dyDescent="0.3">
      <c r="B29" s="116"/>
      <c r="C29" s="169"/>
      <c r="D29" s="21"/>
      <c r="E29" s="31"/>
      <c r="I29" s="88"/>
      <c r="J29" s="149"/>
      <c r="K29" s="236"/>
      <c r="L29" s="122"/>
      <c r="P29" s="19"/>
      <c r="Q29" s="14"/>
      <c r="R29" s="14"/>
    </row>
    <row r="30" spans="1:22" ht="15.75" thickBot="1" x14ac:dyDescent="0.3">
      <c r="H30" s="28" t="s">
        <v>1292</v>
      </c>
      <c r="I30" s="560">
        <f>SUBTOTAL(9,I3:I26)</f>
        <v>0</v>
      </c>
      <c r="L30" s="122"/>
    </row>
    <row r="31" spans="1:22" x14ac:dyDescent="0.25">
      <c r="L31" s="122"/>
    </row>
    <row r="32" spans="1:22" x14ac:dyDescent="0.25">
      <c r="I32" s="7"/>
      <c r="J32" s="3"/>
      <c r="L32" s="122"/>
    </row>
    <row r="33" spans="12:12" x14ac:dyDescent="0.25">
      <c r="L33" s="6"/>
    </row>
    <row r="34" spans="12:12" x14ac:dyDescent="0.25">
      <c r="L34" s="6"/>
    </row>
    <row r="35" spans="12:12" x14ac:dyDescent="0.25">
      <c r="L35" s="6"/>
    </row>
    <row r="36" spans="12:12" x14ac:dyDescent="0.25">
      <c r="L36" s="6"/>
    </row>
    <row r="37" spans="12:12" x14ac:dyDescent="0.25">
      <c r="L37" s="6"/>
    </row>
  </sheetData>
  <autoFilter ref="B2:Q29" xr:uid="{00000000-0009-0000-0000-000028000000}">
    <filterColumn colId="9">
      <filters blank="1"/>
    </filterColumn>
    <filterColumn colId="12" showButton="0"/>
    <filterColumn colId="13" showButton="0"/>
    <filterColumn colId="14" showButton="0"/>
  </autoFilter>
  <mergeCells count="11">
    <mergeCell ref="B5:B6"/>
    <mergeCell ref="C5:C6"/>
    <mergeCell ref="B3:B4"/>
    <mergeCell ref="C3:C4"/>
    <mergeCell ref="E3:E4"/>
    <mergeCell ref="E9:E10"/>
    <mergeCell ref="E7:E8"/>
    <mergeCell ref="E5:E6"/>
    <mergeCell ref="E11:E12"/>
    <mergeCell ref="N2:Q2"/>
    <mergeCell ref="F3:F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2984" r:id="rId4" name="Button 1">
              <controlPr defaultSize="0" print="0" autoFill="0" autoPict="0" macro="[0]!RETORNAR">
                <anchor moveWithCells="1" sizeWithCells="1">
                  <from>
                    <xdr:col>0</xdr:col>
                    <xdr:colOff>38100</xdr:colOff>
                    <xdr:row>0</xdr:row>
                    <xdr:rowOff>47625</xdr:rowOff>
                  </from>
                  <to>
                    <xdr:col>2</xdr:col>
                    <xdr:colOff>47625</xdr:colOff>
                    <xdr:row>0</xdr:row>
                    <xdr:rowOff>314325</xdr:rowOff>
                  </to>
                </anchor>
              </controlPr>
            </control>
          </mc:Choice>
        </mc:AlternateContent>
        <mc:AlternateContent xmlns:mc="http://schemas.openxmlformats.org/markup-compatibility/2006">
          <mc:Choice Requires="x14">
            <control shapeId="382990" r:id="rId5" name="Botón 14">
              <controlPr defaultSize="0" print="0" autoFill="0" autoPict="0" macro="[0]!IR_VENTAS_B200_2026">
                <anchor moveWithCells="1" sizeWithCells="1">
                  <from>
                    <xdr:col>0</xdr:col>
                    <xdr:colOff>952500</xdr:colOff>
                    <xdr:row>33</xdr:row>
                    <xdr:rowOff>133350</xdr:rowOff>
                  </from>
                  <to>
                    <xdr:col>2</xdr:col>
                    <xdr:colOff>447675</xdr:colOff>
                    <xdr:row>36</xdr:row>
                    <xdr:rowOff>161925</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22" filterMode="1"/>
  <dimension ref="A1:XFB155"/>
  <sheetViews>
    <sheetView topLeftCell="C1" zoomScale="70" zoomScaleNormal="70" workbookViewId="0">
      <selection activeCell="K133" sqref="K133"/>
    </sheetView>
  </sheetViews>
  <sheetFormatPr baseColWidth="10" defaultColWidth="10.85546875" defaultRowHeight="15" x14ac:dyDescent="0.25"/>
  <cols>
    <col min="1" max="1" width="15.140625" customWidth="1"/>
    <col min="2" max="2" width="33.7109375" customWidth="1"/>
    <col min="4" max="4" width="12.85546875" customWidth="1"/>
    <col min="6" max="6" width="24.28515625" style="30" customWidth="1"/>
    <col min="7" max="7" width="39.140625" style="30" customWidth="1"/>
    <col min="8" max="8" width="16.7109375" style="30" customWidth="1"/>
    <col min="9" max="9" width="13.28515625" style="32" customWidth="1"/>
    <col min="10" max="10" width="10.85546875" style="32"/>
    <col min="11" max="11" width="13.5703125" style="368" customWidth="1"/>
  </cols>
  <sheetData>
    <row r="1" spans="1:20" ht="36.6" customHeight="1" x14ac:dyDescent="0.25"/>
    <row r="2" spans="1:20" x14ac:dyDescent="0.25">
      <c r="A2" t="s">
        <v>706</v>
      </c>
      <c r="B2" s="1" t="s">
        <v>0</v>
      </c>
      <c r="C2" s="1" t="s">
        <v>1</v>
      </c>
      <c r="D2" s="1" t="s">
        <v>2</v>
      </c>
      <c r="E2" s="1"/>
      <c r="F2" s="115" t="s">
        <v>3</v>
      </c>
      <c r="G2" s="115" t="s">
        <v>4</v>
      </c>
      <c r="H2" s="115" t="s">
        <v>5</v>
      </c>
      <c r="I2" s="1" t="s">
        <v>7</v>
      </c>
      <c r="J2" s="87" t="s">
        <v>1780</v>
      </c>
      <c r="K2" s="1274" t="s">
        <v>8</v>
      </c>
      <c r="L2" s="1" t="s">
        <v>3997</v>
      </c>
      <c r="M2" s="1" t="s">
        <v>10</v>
      </c>
      <c r="N2" s="1480" t="s">
        <v>11</v>
      </c>
      <c r="O2" s="1480"/>
      <c r="P2" s="1480"/>
      <c r="Q2" s="1480"/>
    </row>
    <row r="3" spans="1:20" hidden="1" x14ac:dyDescent="0.25">
      <c r="B3" t="s">
        <v>572</v>
      </c>
      <c r="C3" t="s">
        <v>27</v>
      </c>
      <c r="D3" s="122">
        <v>44616</v>
      </c>
      <c r="E3">
        <v>3.2</v>
      </c>
      <c r="F3" s="30" t="s">
        <v>143</v>
      </c>
      <c r="H3" s="30" t="s">
        <v>599</v>
      </c>
      <c r="I3" s="32">
        <v>6985.6</v>
      </c>
      <c r="J3" s="32">
        <f t="shared" ref="J3:J34" si="0">+I3*0.88</f>
        <v>6147.3280000000004</v>
      </c>
      <c r="K3" s="368" t="s">
        <v>17</v>
      </c>
      <c r="L3" s="122">
        <v>44621</v>
      </c>
    </row>
    <row r="4" spans="1:20" hidden="1" x14ac:dyDescent="0.25">
      <c r="B4" t="s">
        <v>572</v>
      </c>
      <c r="C4" t="s">
        <v>67</v>
      </c>
      <c r="D4" s="122">
        <v>44616</v>
      </c>
      <c r="E4">
        <v>3.2</v>
      </c>
      <c r="F4" s="30" t="s">
        <v>294</v>
      </c>
      <c r="H4" s="30" t="s">
        <v>600</v>
      </c>
      <c r="I4" s="32">
        <v>6985.6</v>
      </c>
      <c r="J4" s="32">
        <f t="shared" si="0"/>
        <v>6147.3280000000004</v>
      </c>
      <c r="K4" s="368" t="s">
        <v>17</v>
      </c>
      <c r="L4" s="122">
        <v>44621</v>
      </c>
    </row>
    <row r="5" spans="1:20" hidden="1" x14ac:dyDescent="0.25">
      <c r="B5" t="s">
        <v>572</v>
      </c>
      <c r="C5" t="s">
        <v>27</v>
      </c>
      <c r="D5" s="122">
        <v>44616</v>
      </c>
      <c r="E5">
        <v>2.6</v>
      </c>
      <c r="F5" s="30" t="s">
        <v>594</v>
      </c>
      <c r="H5" s="30" t="s">
        <v>601</v>
      </c>
      <c r="I5" s="32">
        <v>5675.8</v>
      </c>
      <c r="J5" s="32">
        <f t="shared" si="0"/>
        <v>4994.7040000000006</v>
      </c>
      <c r="K5" s="368" t="s">
        <v>17</v>
      </c>
      <c r="L5" s="122">
        <v>44621</v>
      </c>
    </row>
    <row r="6" spans="1:20" hidden="1" x14ac:dyDescent="0.25">
      <c r="B6" t="s">
        <v>572</v>
      </c>
      <c r="C6" t="s">
        <v>27</v>
      </c>
      <c r="D6" s="122">
        <v>44617</v>
      </c>
      <c r="E6">
        <v>2.6</v>
      </c>
      <c r="F6" s="30" t="s">
        <v>594</v>
      </c>
      <c r="H6" s="30" t="s">
        <v>602</v>
      </c>
      <c r="I6" s="32">
        <v>5675.8</v>
      </c>
      <c r="J6" s="32">
        <f t="shared" si="0"/>
        <v>4994.7040000000006</v>
      </c>
      <c r="K6" s="368" t="s">
        <v>17</v>
      </c>
      <c r="L6" s="122">
        <v>44621</v>
      </c>
    </row>
    <row r="7" spans="1:20" hidden="1" x14ac:dyDescent="0.25">
      <c r="B7" t="s">
        <v>572</v>
      </c>
      <c r="C7" t="s">
        <v>27</v>
      </c>
      <c r="D7" s="122">
        <v>44622</v>
      </c>
      <c r="E7">
        <v>3.2</v>
      </c>
      <c r="F7" s="30" t="s">
        <v>294</v>
      </c>
      <c r="H7" s="30" t="s">
        <v>624</v>
      </c>
      <c r="I7" s="32">
        <v>6985</v>
      </c>
      <c r="J7" s="32">
        <f t="shared" si="0"/>
        <v>6146.8</v>
      </c>
      <c r="K7" s="368" t="s">
        <v>17</v>
      </c>
      <c r="L7" s="122">
        <v>44627</v>
      </c>
    </row>
    <row r="8" spans="1:20" hidden="1" x14ac:dyDescent="0.25">
      <c r="B8" t="s">
        <v>572</v>
      </c>
      <c r="C8" t="s">
        <v>27</v>
      </c>
      <c r="D8" s="122">
        <v>44630</v>
      </c>
      <c r="F8" s="30" t="s">
        <v>632</v>
      </c>
      <c r="G8" s="30" t="s">
        <v>277</v>
      </c>
      <c r="H8" s="30" t="s">
        <v>644</v>
      </c>
      <c r="I8" s="32">
        <v>7203.9</v>
      </c>
      <c r="J8" s="32">
        <f t="shared" si="0"/>
        <v>6339.4319999999998</v>
      </c>
      <c r="K8" s="368" t="s">
        <v>17</v>
      </c>
      <c r="L8" s="122">
        <v>44636</v>
      </c>
    </row>
    <row r="9" spans="1:20" hidden="1" x14ac:dyDescent="0.25">
      <c r="B9" t="s">
        <v>572</v>
      </c>
      <c r="C9" t="s">
        <v>27</v>
      </c>
      <c r="D9" s="122">
        <v>44631</v>
      </c>
      <c r="F9" s="30" t="s">
        <v>635</v>
      </c>
      <c r="G9" s="30" t="s">
        <v>277</v>
      </c>
      <c r="H9" s="30" t="s">
        <v>646</v>
      </c>
      <c r="I9" s="32">
        <v>4366</v>
      </c>
      <c r="J9" s="32">
        <f t="shared" si="0"/>
        <v>3842.08</v>
      </c>
      <c r="K9" s="368" t="s">
        <v>17</v>
      </c>
      <c r="L9" s="122">
        <v>44636</v>
      </c>
    </row>
    <row r="10" spans="1:20" hidden="1" x14ac:dyDescent="0.25">
      <c r="B10" t="s">
        <v>572</v>
      </c>
      <c r="C10" t="s">
        <v>27</v>
      </c>
      <c r="D10" s="122">
        <v>44633</v>
      </c>
      <c r="F10" s="30" t="s">
        <v>68</v>
      </c>
      <c r="G10" s="30" t="s">
        <v>277</v>
      </c>
      <c r="H10" s="30" t="s">
        <v>645</v>
      </c>
      <c r="I10" s="32">
        <v>8245.4</v>
      </c>
      <c r="J10" s="32">
        <f t="shared" si="0"/>
        <v>7255.9519999999993</v>
      </c>
      <c r="K10" s="368" t="s">
        <v>17</v>
      </c>
      <c r="L10" s="122">
        <v>44636</v>
      </c>
    </row>
    <row r="11" spans="1:20" hidden="1" x14ac:dyDescent="0.25">
      <c r="B11" t="s">
        <v>572</v>
      </c>
      <c r="C11" t="s">
        <v>660</v>
      </c>
      <c r="D11" s="122">
        <v>44639</v>
      </c>
      <c r="E11" s="32"/>
      <c r="F11" s="30" t="s">
        <v>661</v>
      </c>
      <c r="H11" s="30" t="s">
        <v>669</v>
      </c>
      <c r="I11" s="32">
        <v>9168.6</v>
      </c>
      <c r="J11" s="32">
        <f t="shared" si="0"/>
        <v>8068.3680000000004</v>
      </c>
      <c r="K11" s="368" t="s">
        <v>17</v>
      </c>
      <c r="L11" s="122">
        <v>44645</v>
      </c>
      <c r="M11" t="s">
        <v>81</v>
      </c>
    </row>
    <row r="12" spans="1:20" hidden="1" x14ac:dyDescent="0.25">
      <c r="B12" t="s">
        <v>572</v>
      </c>
      <c r="C12" t="s">
        <v>660</v>
      </c>
      <c r="D12" s="122">
        <v>44640</v>
      </c>
      <c r="E12" s="32"/>
      <c r="F12" s="30" t="s">
        <v>425</v>
      </c>
      <c r="H12" s="30" t="s">
        <v>670</v>
      </c>
      <c r="I12" s="32">
        <v>5239.2</v>
      </c>
      <c r="J12" s="32">
        <f t="shared" si="0"/>
        <v>4610.4960000000001</v>
      </c>
      <c r="K12" s="368" t="s">
        <v>17</v>
      </c>
      <c r="L12" s="122">
        <v>44645</v>
      </c>
      <c r="M12" t="s">
        <v>81</v>
      </c>
    </row>
    <row r="13" spans="1:20" hidden="1" x14ac:dyDescent="0.25">
      <c r="B13" t="s">
        <v>572</v>
      </c>
      <c r="C13" t="s">
        <v>67</v>
      </c>
      <c r="D13" s="122">
        <v>44643</v>
      </c>
      <c r="E13" s="32"/>
      <c r="F13" s="30" t="s">
        <v>676</v>
      </c>
      <c r="H13" s="30" t="s">
        <v>691</v>
      </c>
      <c r="I13" s="32">
        <v>9168.6</v>
      </c>
      <c r="J13" s="32">
        <f t="shared" si="0"/>
        <v>8068.3680000000004</v>
      </c>
      <c r="K13" s="368" t="s">
        <v>17</v>
      </c>
      <c r="L13" s="122">
        <v>44653</v>
      </c>
      <c r="M13" t="s">
        <v>81</v>
      </c>
      <c r="N13" t="s">
        <v>652</v>
      </c>
      <c r="O13" s="14">
        <v>0.39999999999999997</v>
      </c>
    </row>
    <row r="14" spans="1:20" hidden="1" x14ac:dyDescent="0.25">
      <c r="B14" t="s">
        <v>572</v>
      </c>
      <c r="C14" t="s">
        <v>67</v>
      </c>
      <c r="D14" s="122">
        <v>44644</v>
      </c>
      <c r="E14" s="32"/>
      <c r="F14" s="30" t="s">
        <v>675</v>
      </c>
      <c r="H14" s="30" t="s">
        <v>692</v>
      </c>
      <c r="I14" s="32">
        <v>8295.4</v>
      </c>
      <c r="J14" s="32">
        <f t="shared" si="0"/>
        <v>7299.9519999999993</v>
      </c>
      <c r="K14" s="368" t="s">
        <v>17</v>
      </c>
      <c r="L14" s="122">
        <v>44653</v>
      </c>
      <c r="M14" t="s">
        <v>81</v>
      </c>
      <c r="N14" t="s">
        <v>651</v>
      </c>
    </row>
    <row r="15" spans="1:20" hidden="1" x14ac:dyDescent="0.25">
      <c r="B15" t="s">
        <v>572</v>
      </c>
      <c r="C15" t="s">
        <v>27</v>
      </c>
      <c r="D15" s="122">
        <v>44646</v>
      </c>
      <c r="E15" s="32"/>
      <c r="F15" s="30" t="s">
        <v>687</v>
      </c>
      <c r="G15" s="30" t="s">
        <v>277</v>
      </c>
      <c r="H15" s="30" t="s">
        <v>736</v>
      </c>
      <c r="I15" s="32">
        <v>4366</v>
      </c>
      <c r="J15" s="32">
        <f t="shared" si="0"/>
        <v>3842.08</v>
      </c>
      <c r="K15" s="236" t="s">
        <v>17</v>
      </c>
      <c r="L15" s="122">
        <v>44674</v>
      </c>
      <c r="N15" t="s">
        <v>653</v>
      </c>
      <c r="O15" s="14">
        <v>0.37013888888888885</v>
      </c>
      <c r="P15" s="14">
        <v>0.49513888888888885</v>
      </c>
      <c r="S15" t="s">
        <v>686</v>
      </c>
      <c r="T15" s="14">
        <v>0.27083333333333331</v>
      </c>
    </row>
    <row r="16" spans="1:20" hidden="1" x14ac:dyDescent="0.25">
      <c r="A16" s="115">
        <v>1042022</v>
      </c>
      <c r="B16" t="s">
        <v>572</v>
      </c>
      <c r="C16" t="s">
        <v>693</v>
      </c>
      <c r="D16" s="122">
        <v>44652</v>
      </c>
      <c r="E16" s="32">
        <v>3.2</v>
      </c>
      <c r="F16" s="30" t="s">
        <v>595</v>
      </c>
      <c r="G16" s="30" t="s">
        <v>277</v>
      </c>
      <c r="H16" s="30" t="s">
        <v>735</v>
      </c>
      <c r="I16" s="32">
        <v>6549</v>
      </c>
      <c r="J16" s="32">
        <f t="shared" si="0"/>
        <v>5763.12</v>
      </c>
      <c r="K16" s="236" t="s">
        <v>17</v>
      </c>
      <c r="L16" s="122">
        <v>44674</v>
      </c>
      <c r="N16" t="s">
        <v>652</v>
      </c>
      <c r="O16" s="14">
        <v>0.56458333333333333</v>
      </c>
      <c r="P16" s="14">
        <v>0.73125000000000007</v>
      </c>
      <c r="S16" t="s">
        <v>707</v>
      </c>
    </row>
    <row r="17" spans="1:22" hidden="1" x14ac:dyDescent="0.25">
      <c r="A17" s="116" t="s">
        <v>731</v>
      </c>
      <c r="B17" t="s">
        <v>572</v>
      </c>
      <c r="C17" t="s">
        <v>693</v>
      </c>
      <c r="D17" s="122">
        <v>44658</v>
      </c>
      <c r="E17" s="32">
        <v>3.2</v>
      </c>
      <c r="F17" s="30" t="s">
        <v>595</v>
      </c>
      <c r="G17" s="30" t="s">
        <v>277</v>
      </c>
      <c r="H17" s="30" t="s">
        <v>778</v>
      </c>
      <c r="I17" s="32">
        <v>6549</v>
      </c>
      <c r="J17" s="32">
        <f t="shared" si="0"/>
        <v>5763.12</v>
      </c>
      <c r="K17" s="236" t="s">
        <v>17</v>
      </c>
      <c r="L17" s="122">
        <v>44674</v>
      </c>
      <c r="N17" t="s">
        <v>690</v>
      </c>
      <c r="O17" s="14">
        <v>0.38194444444444442</v>
      </c>
      <c r="P17" s="14">
        <v>0.57291666666666663</v>
      </c>
      <c r="S17" t="s">
        <v>725</v>
      </c>
    </row>
    <row r="18" spans="1:22" hidden="1" x14ac:dyDescent="0.25">
      <c r="A18" s="115">
        <v>13042022</v>
      </c>
      <c r="B18" t="s">
        <v>572</v>
      </c>
      <c r="C18" t="s">
        <v>693</v>
      </c>
      <c r="D18" s="122">
        <v>44664</v>
      </c>
      <c r="E18" s="32">
        <v>2.6</v>
      </c>
      <c r="F18" s="30" t="s">
        <v>545</v>
      </c>
      <c r="G18" s="30" t="s">
        <v>277</v>
      </c>
      <c r="H18" s="30" t="s">
        <v>777</v>
      </c>
      <c r="I18" s="32">
        <v>5675.8</v>
      </c>
      <c r="J18" s="32">
        <f t="shared" si="0"/>
        <v>4994.7040000000006</v>
      </c>
      <c r="K18" s="236" t="s">
        <v>17</v>
      </c>
      <c r="L18" s="122">
        <v>44674</v>
      </c>
      <c r="N18" t="s">
        <v>653</v>
      </c>
      <c r="O18" s="14">
        <v>0.36805555555555558</v>
      </c>
      <c r="P18" s="14">
        <v>0.53888888888888886</v>
      </c>
    </row>
    <row r="19" spans="1:22" hidden="1" x14ac:dyDescent="0.25">
      <c r="A19" s="115">
        <v>21042022</v>
      </c>
      <c r="B19" t="s">
        <v>572</v>
      </c>
      <c r="C19" t="s">
        <v>410</v>
      </c>
      <c r="D19" s="122">
        <v>44673</v>
      </c>
      <c r="E19" s="32"/>
      <c r="F19" s="30" t="s">
        <v>113</v>
      </c>
      <c r="G19" s="30" t="s">
        <v>277</v>
      </c>
      <c r="H19" s="30" t="s">
        <v>814</v>
      </c>
      <c r="I19" s="32">
        <v>7203.9</v>
      </c>
      <c r="J19" s="32">
        <f t="shared" si="0"/>
        <v>6339.4319999999998</v>
      </c>
      <c r="K19" s="236" t="s">
        <v>17</v>
      </c>
      <c r="L19" s="122">
        <v>44685</v>
      </c>
    </row>
    <row r="20" spans="1:22" hidden="1" x14ac:dyDescent="0.25">
      <c r="A20" s="115">
        <v>22042022</v>
      </c>
      <c r="B20" t="s">
        <v>572</v>
      </c>
      <c r="C20" t="s">
        <v>410</v>
      </c>
      <c r="D20" s="122">
        <v>44673</v>
      </c>
      <c r="E20" s="32"/>
      <c r="F20" s="30" t="s">
        <v>294</v>
      </c>
      <c r="G20" s="30" t="s">
        <v>277</v>
      </c>
      <c r="H20" s="30" t="s">
        <v>815</v>
      </c>
      <c r="I20" s="32">
        <v>6985.6</v>
      </c>
      <c r="J20" s="32">
        <f t="shared" si="0"/>
        <v>6147.3280000000004</v>
      </c>
      <c r="K20" s="236" t="s">
        <v>17</v>
      </c>
      <c r="L20" s="122">
        <v>44685</v>
      </c>
      <c r="O20" t="s">
        <v>653</v>
      </c>
      <c r="P20" s="14">
        <v>0.29791666666666666</v>
      </c>
      <c r="Q20" s="14">
        <v>0.58819444444444446</v>
      </c>
    </row>
    <row r="21" spans="1:22" hidden="1" x14ac:dyDescent="0.25">
      <c r="A21" s="115">
        <v>22042022</v>
      </c>
      <c r="B21" t="s">
        <v>572</v>
      </c>
      <c r="C21" t="s">
        <v>410</v>
      </c>
      <c r="D21" s="122">
        <v>44673</v>
      </c>
      <c r="E21" s="32"/>
      <c r="F21" s="30" t="s">
        <v>796</v>
      </c>
      <c r="G21" s="30" t="s">
        <v>277</v>
      </c>
      <c r="H21" s="30" t="s">
        <v>813</v>
      </c>
      <c r="I21" s="32">
        <v>3274.5</v>
      </c>
      <c r="J21" s="32">
        <f t="shared" si="0"/>
        <v>2881.56</v>
      </c>
      <c r="K21" s="236" t="s">
        <v>17</v>
      </c>
      <c r="L21" s="122">
        <v>44685</v>
      </c>
      <c r="O21" t="s">
        <v>653</v>
      </c>
      <c r="P21" s="14">
        <v>0.63680555555555551</v>
      </c>
    </row>
    <row r="22" spans="1:22" hidden="1" x14ac:dyDescent="0.25">
      <c r="A22" s="115">
        <v>23042022</v>
      </c>
      <c r="B22" t="s">
        <v>572</v>
      </c>
      <c r="C22" t="s">
        <v>410</v>
      </c>
      <c r="D22" s="122">
        <v>44674</v>
      </c>
      <c r="E22" s="32"/>
      <c r="F22" s="30" t="s">
        <v>798</v>
      </c>
      <c r="G22" s="30" t="s">
        <v>277</v>
      </c>
      <c r="H22" s="30" t="s">
        <v>812</v>
      </c>
      <c r="I22" s="32">
        <v>4366</v>
      </c>
      <c r="J22" s="32">
        <f t="shared" si="0"/>
        <v>3842.08</v>
      </c>
      <c r="K22" s="236" t="s">
        <v>17</v>
      </c>
      <c r="L22" s="122">
        <v>44685</v>
      </c>
      <c r="O22" t="s">
        <v>677</v>
      </c>
      <c r="P22" s="14">
        <v>0.34652777777777777</v>
      </c>
      <c r="Q22" s="14">
        <v>0.4826388888888889</v>
      </c>
    </row>
    <row r="23" spans="1:22" hidden="1" x14ac:dyDescent="0.25">
      <c r="A23" s="115">
        <v>4052022</v>
      </c>
      <c r="B23" t="s">
        <v>572</v>
      </c>
      <c r="C23" t="s">
        <v>410</v>
      </c>
      <c r="D23" s="122">
        <v>44685</v>
      </c>
      <c r="E23" s="32"/>
      <c r="F23" s="30" t="s">
        <v>821</v>
      </c>
      <c r="G23" s="30" t="s">
        <v>277</v>
      </c>
      <c r="H23" s="30" t="s">
        <v>851</v>
      </c>
      <c r="I23" s="32">
        <v>8732</v>
      </c>
      <c r="J23" s="32">
        <f t="shared" si="0"/>
        <v>7684.16</v>
      </c>
      <c r="K23" s="236" t="s">
        <v>17</v>
      </c>
      <c r="L23" s="122">
        <v>44699</v>
      </c>
      <c r="O23" t="s">
        <v>769</v>
      </c>
      <c r="P23" s="14">
        <v>0.68333333333333324</v>
      </c>
      <c r="Q23" s="14">
        <v>0.91041666666666676</v>
      </c>
    </row>
    <row r="24" spans="1:22" hidden="1" x14ac:dyDescent="0.25">
      <c r="A24" s="116" t="s">
        <v>827</v>
      </c>
      <c r="B24" t="s">
        <v>572</v>
      </c>
      <c r="C24" t="s">
        <v>410</v>
      </c>
      <c r="D24" s="122">
        <v>44690</v>
      </c>
      <c r="E24" s="32"/>
      <c r="F24" s="30" t="s">
        <v>545</v>
      </c>
      <c r="G24" s="30" t="s">
        <v>277</v>
      </c>
      <c r="H24" s="30" t="s">
        <v>852</v>
      </c>
      <c r="I24" s="32">
        <v>5675.8</v>
      </c>
      <c r="J24" s="32">
        <f t="shared" si="0"/>
        <v>4994.7040000000006</v>
      </c>
      <c r="K24" s="236" t="s">
        <v>17</v>
      </c>
      <c r="L24" s="122">
        <v>44699</v>
      </c>
      <c r="O24" t="s">
        <v>690</v>
      </c>
      <c r="P24" s="14">
        <v>0.34652777777777777</v>
      </c>
      <c r="Q24" s="14">
        <v>0.51597222222222217</v>
      </c>
    </row>
    <row r="25" spans="1:22" hidden="1" x14ac:dyDescent="0.25">
      <c r="A25" s="115">
        <v>11052022</v>
      </c>
      <c r="B25" t="s">
        <v>572</v>
      </c>
      <c r="C25" t="s">
        <v>410</v>
      </c>
      <c r="D25" s="122">
        <v>44691</v>
      </c>
      <c r="E25" s="32"/>
      <c r="F25" s="30" t="s">
        <v>545</v>
      </c>
      <c r="G25" s="30" t="s">
        <v>277</v>
      </c>
      <c r="H25" s="30" t="s">
        <v>853</v>
      </c>
      <c r="I25" s="32">
        <v>5675.8</v>
      </c>
      <c r="J25" s="32">
        <f t="shared" si="0"/>
        <v>4994.7040000000006</v>
      </c>
      <c r="K25" s="236" t="s">
        <v>17</v>
      </c>
      <c r="L25" s="122">
        <v>44699</v>
      </c>
      <c r="O25" t="s">
        <v>652</v>
      </c>
      <c r="P25" s="14">
        <v>0.66041666666666665</v>
      </c>
      <c r="Q25" s="14">
        <v>0.89374999999999993</v>
      </c>
    </row>
    <row r="26" spans="1:22" hidden="1" x14ac:dyDescent="0.25">
      <c r="A26" s="115">
        <v>1062022</v>
      </c>
      <c r="B26" t="s">
        <v>572</v>
      </c>
      <c r="C26" s="21" t="s">
        <v>693</v>
      </c>
      <c r="D26" s="122">
        <v>44713</v>
      </c>
      <c r="E26" s="32"/>
      <c r="F26" s="30" t="s">
        <v>877</v>
      </c>
      <c r="G26" s="30" t="s">
        <v>597</v>
      </c>
      <c r="H26" s="365" t="s">
        <v>901</v>
      </c>
      <c r="I26" s="32">
        <f>1850*2*1.18</f>
        <v>4366</v>
      </c>
      <c r="J26" s="32">
        <f t="shared" si="0"/>
        <v>3842.08</v>
      </c>
      <c r="K26" s="236" t="s">
        <v>17</v>
      </c>
      <c r="L26" s="122">
        <v>44721</v>
      </c>
      <c r="O26" t="s">
        <v>651</v>
      </c>
      <c r="P26" s="14">
        <v>0.62152777777777779</v>
      </c>
    </row>
    <row r="27" spans="1:22" hidden="1" x14ac:dyDescent="0.25">
      <c r="A27" s="116" t="s">
        <v>1090</v>
      </c>
      <c r="B27" s="169" t="s">
        <v>572</v>
      </c>
      <c r="C27" s="21" t="s">
        <v>693</v>
      </c>
      <c r="D27" s="122">
        <v>44780</v>
      </c>
      <c r="E27" s="32"/>
      <c r="F27" s="464" t="s">
        <v>1102</v>
      </c>
      <c r="G27" s="464" t="s">
        <v>277</v>
      </c>
      <c r="H27" s="30" t="s">
        <v>1128</v>
      </c>
      <c r="I27" s="159">
        <v>5020.8999999999996</v>
      </c>
      <c r="J27" s="32">
        <f t="shared" si="0"/>
        <v>4418.3919999999998</v>
      </c>
      <c r="K27" s="236" t="s">
        <v>17</v>
      </c>
      <c r="L27" s="122">
        <v>44811</v>
      </c>
      <c r="O27" s="163" t="s">
        <v>652</v>
      </c>
      <c r="P27" s="157">
        <v>0.37291666666666662</v>
      </c>
      <c r="Q27" s="157">
        <v>0.50763888888888886</v>
      </c>
    </row>
    <row r="28" spans="1:22" hidden="1" x14ac:dyDescent="0.25">
      <c r="A28" s="116">
        <v>11112022</v>
      </c>
      <c r="B28" s="169" t="s">
        <v>572</v>
      </c>
      <c r="C28" s="30" t="s">
        <v>410</v>
      </c>
      <c r="D28" s="122">
        <v>44876</v>
      </c>
      <c r="E28" s="88"/>
      <c r="F28" s="30" t="s">
        <v>1468</v>
      </c>
      <c r="G28" s="169" t="s">
        <v>277</v>
      </c>
      <c r="H28" s="30" t="s">
        <v>1507</v>
      </c>
      <c r="I28" s="160">
        <f>3*2000*1.18</f>
        <v>7080</v>
      </c>
      <c r="J28" s="32">
        <f t="shared" si="0"/>
        <v>6230.4</v>
      </c>
      <c r="K28" s="236" t="s">
        <v>17</v>
      </c>
      <c r="L28" s="122">
        <v>44925</v>
      </c>
      <c r="M28" t="s">
        <v>81</v>
      </c>
      <c r="O28" s="21" t="s">
        <v>929</v>
      </c>
      <c r="P28" s="157">
        <v>0.64097222222222217</v>
      </c>
      <c r="Q28" s="157">
        <v>0.79027777777777775</v>
      </c>
    </row>
    <row r="29" spans="1:22" hidden="1" x14ac:dyDescent="0.25">
      <c r="A29" s="246">
        <v>27012023</v>
      </c>
      <c r="B29" t="s">
        <v>572</v>
      </c>
      <c r="C29" t="s">
        <v>410</v>
      </c>
      <c r="D29" s="122">
        <v>44953</v>
      </c>
      <c r="F29" s="30" t="s">
        <v>425</v>
      </c>
      <c r="G29" s="30" t="s">
        <v>277</v>
      </c>
      <c r="H29" s="30" t="s">
        <v>1832</v>
      </c>
      <c r="I29" s="32">
        <f>2.4*2000*1.18</f>
        <v>5664</v>
      </c>
      <c r="J29" s="32">
        <f t="shared" si="0"/>
        <v>4984.32</v>
      </c>
      <c r="K29" s="368" t="s">
        <v>17</v>
      </c>
      <c r="L29" s="122">
        <v>45001</v>
      </c>
      <c r="S29" t="s">
        <v>929</v>
      </c>
      <c r="T29" s="14">
        <v>0.39097222222222222</v>
      </c>
    </row>
    <row r="30" spans="1:22" hidden="1" x14ac:dyDescent="0.25">
      <c r="A30" s="256">
        <v>24062023</v>
      </c>
      <c r="B30" t="s">
        <v>572</v>
      </c>
      <c r="C30" t="s">
        <v>410</v>
      </c>
      <c r="D30" s="122">
        <v>45101</v>
      </c>
      <c r="F30" s="30" t="s">
        <v>207</v>
      </c>
      <c r="G30" s="30" t="s">
        <v>277</v>
      </c>
      <c r="H30" s="30" t="s">
        <v>2578</v>
      </c>
      <c r="I30" s="61">
        <v>7080</v>
      </c>
      <c r="J30" s="32">
        <f t="shared" si="0"/>
        <v>6230.4</v>
      </c>
      <c r="K30" s="368" t="s">
        <v>17</v>
      </c>
      <c r="L30" s="122">
        <v>45133</v>
      </c>
      <c r="T30" s="14" t="s">
        <v>916</v>
      </c>
      <c r="U30" s="14">
        <v>0.57291666666666663</v>
      </c>
      <c r="V30" s="14">
        <v>0.75902777777777775</v>
      </c>
    </row>
    <row r="31" spans="1:22" hidden="1" x14ac:dyDescent="0.25">
      <c r="A31" s="256" t="s">
        <v>2591</v>
      </c>
      <c r="B31" t="s">
        <v>572</v>
      </c>
      <c r="C31" t="s">
        <v>13</v>
      </c>
      <c r="D31" s="122">
        <v>45112</v>
      </c>
      <c r="F31" s="30" t="s">
        <v>285</v>
      </c>
      <c r="G31" s="30" t="s">
        <v>277</v>
      </c>
      <c r="H31" s="30" t="s">
        <v>2712</v>
      </c>
      <c r="I31" s="32">
        <v>9440</v>
      </c>
      <c r="J31" s="32">
        <f t="shared" si="0"/>
        <v>8307.2000000000007</v>
      </c>
      <c r="K31" s="368" t="s">
        <v>17</v>
      </c>
      <c r="L31" s="122">
        <v>45126</v>
      </c>
      <c r="T31" t="s">
        <v>1029</v>
      </c>
      <c r="U31" s="14">
        <v>0.36527777777777781</v>
      </c>
      <c r="V31" s="14">
        <v>0.65069444444444446</v>
      </c>
    </row>
    <row r="32" spans="1:22" hidden="1" x14ac:dyDescent="0.25">
      <c r="A32" s="256" t="s">
        <v>2596</v>
      </c>
      <c r="B32" t="s">
        <v>572</v>
      </c>
      <c r="C32" t="s">
        <v>410</v>
      </c>
      <c r="D32" s="122">
        <v>45114</v>
      </c>
      <c r="F32" s="30" t="s">
        <v>545</v>
      </c>
      <c r="G32" s="30" t="s">
        <v>277</v>
      </c>
      <c r="H32" s="30" t="s">
        <v>2631</v>
      </c>
      <c r="I32" s="32">
        <f>2.6*2000*1.18</f>
        <v>6136</v>
      </c>
      <c r="J32" s="32">
        <f t="shared" si="0"/>
        <v>5399.68</v>
      </c>
      <c r="K32" s="368" t="s">
        <v>17</v>
      </c>
      <c r="L32" s="122">
        <v>45133</v>
      </c>
      <c r="T32" s="14" t="s">
        <v>1816</v>
      </c>
      <c r="U32" s="14">
        <v>0.53125</v>
      </c>
    </row>
    <row r="33" spans="1:22" hidden="1" x14ac:dyDescent="0.25">
      <c r="A33" s="256">
        <v>31072023</v>
      </c>
      <c r="B33" t="s">
        <v>572</v>
      </c>
      <c r="C33" t="s">
        <v>410</v>
      </c>
      <c r="D33" s="122">
        <v>45138</v>
      </c>
      <c r="F33" s="30" t="s">
        <v>796</v>
      </c>
      <c r="G33" s="30" t="s">
        <v>277</v>
      </c>
      <c r="H33" s="30" t="s">
        <v>2711</v>
      </c>
      <c r="I33" s="32">
        <v>3540</v>
      </c>
      <c r="J33" s="32">
        <f t="shared" si="0"/>
        <v>3115.2</v>
      </c>
      <c r="K33" s="368" t="s">
        <v>17</v>
      </c>
      <c r="L33" s="122">
        <v>45139</v>
      </c>
      <c r="T33" s="14" t="s">
        <v>2380</v>
      </c>
      <c r="U33" s="14">
        <v>0.25972222222222224</v>
      </c>
      <c r="V33" s="14">
        <v>0.33333333333333331</v>
      </c>
    </row>
    <row r="34" spans="1:22" hidden="1" x14ac:dyDescent="0.25">
      <c r="A34" s="256" t="s">
        <v>2698</v>
      </c>
      <c r="B34" t="s">
        <v>572</v>
      </c>
      <c r="C34" t="s">
        <v>410</v>
      </c>
      <c r="D34" s="122">
        <v>45140</v>
      </c>
      <c r="F34" s="30" t="s">
        <v>1608</v>
      </c>
      <c r="G34" s="30" t="s">
        <v>277</v>
      </c>
      <c r="H34" s="30" t="s">
        <v>2713</v>
      </c>
      <c r="I34" s="32">
        <f>2*2000*1.18</f>
        <v>4720</v>
      </c>
      <c r="J34" s="32">
        <f t="shared" si="0"/>
        <v>4153.6000000000004</v>
      </c>
      <c r="K34" s="368" t="s">
        <v>17</v>
      </c>
      <c r="L34" s="122">
        <v>45147</v>
      </c>
      <c r="T34" s="14" t="s">
        <v>2380</v>
      </c>
      <c r="U34" s="14">
        <v>0.33888888888888885</v>
      </c>
      <c r="V34" s="14"/>
    </row>
    <row r="35" spans="1:22" hidden="1" x14ac:dyDescent="0.25">
      <c r="A35" s="256">
        <v>10082023</v>
      </c>
      <c r="B35" t="s">
        <v>572</v>
      </c>
      <c r="C35" t="s">
        <v>410</v>
      </c>
      <c r="D35" s="122">
        <v>45148</v>
      </c>
      <c r="F35" s="30" t="s">
        <v>68</v>
      </c>
      <c r="G35" s="30" t="s">
        <v>277</v>
      </c>
      <c r="H35" s="30" t="s">
        <v>2828</v>
      </c>
      <c r="I35" s="88">
        <f>4*2000*1.18</f>
        <v>9440</v>
      </c>
      <c r="J35" s="313">
        <f t="shared" ref="J35:J66" si="1">+I35*0.88</f>
        <v>8307.2000000000007</v>
      </c>
      <c r="K35" s="368" t="s">
        <v>17</v>
      </c>
      <c r="L35" s="122">
        <v>45177</v>
      </c>
      <c r="T35" s="14" t="s">
        <v>893</v>
      </c>
      <c r="U35" s="14">
        <v>0.25833333333333336</v>
      </c>
      <c r="V35" s="14">
        <v>0.5083333333333333</v>
      </c>
    </row>
    <row r="36" spans="1:22" hidden="1" x14ac:dyDescent="0.25">
      <c r="A36" s="256">
        <v>26092023</v>
      </c>
      <c r="B36" t="s">
        <v>572</v>
      </c>
      <c r="C36" t="s">
        <v>13</v>
      </c>
      <c r="D36" s="122">
        <v>45195</v>
      </c>
      <c r="F36" s="30" t="s">
        <v>207</v>
      </c>
      <c r="G36" s="30" t="s">
        <v>277</v>
      </c>
      <c r="H36" s="30" t="s">
        <v>2967</v>
      </c>
      <c r="I36" s="414">
        <f>1750*3*1.18</f>
        <v>6195</v>
      </c>
      <c r="J36" s="313">
        <f t="shared" si="1"/>
        <v>5451.6</v>
      </c>
      <c r="K36" s="368" t="s">
        <v>17</v>
      </c>
      <c r="L36" s="122">
        <v>45196</v>
      </c>
      <c r="T36" s="14" t="s">
        <v>1644</v>
      </c>
      <c r="U36" s="14">
        <v>0.45694444444444443</v>
      </c>
      <c r="V36" s="14">
        <v>0.68611111111111101</v>
      </c>
    </row>
    <row r="37" spans="1:22" hidden="1" x14ac:dyDescent="0.25">
      <c r="A37" s="95" t="s">
        <v>2993</v>
      </c>
      <c r="B37" t="s">
        <v>572</v>
      </c>
      <c r="C37" t="s">
        <v>13</v>
      </c>
      <c r="D37" s="122">
        <v>45203</v>
      </c>
      <c r="F37" s="30" t="s">
        <v>2008</v>
      </c>
      <c r="G37" s="30" t="s">
        <v>277</v>
      </c>
      <c r="H37" s="30" t="s">
        <v>3001</v>
      </c>
      <c r="I37" s="414">
        <v>8879.5</v>
      </c>
      <c r="J37" s="32">
        <f t="shared" si="1"/>
        <v>7813.96</v>
      </c>
      <c r="K37" s="236" t="s">
        <v>17</v>
      </c>
      <c r="L37" s="2">
        <v>45230</v>
      </c>
      <c r="T37" s="14" t="s">
        <v>1225</v>
      </c>
      <c r="U37" s="14">
        <v>0.2590277777777778</v>
      </c>
      <c r="V37" s="14">
        <v>0.50069444444444444</v>
      </c>
    </row>
    <row r="38" spans="1:22" hidden="1" x14ac:dyDescent="0.25">
      <c r="A38" s="256">
        <v>16102023</v>
      </c>
      <c r="B38" t="s">
        <v>572</v>
      </c>
      <c r="C38" t="s">
        <v>410</v>
      </c>
      <c r="D38" s="122">
        <v>45215</v>
      </c>
      <c r="F38" s="30" t="s">
        <v>113</v>
      </c>
      <c r="G38" s="30" t="s">
        <v>277</v>
      </c>
      <c r="H38" s="30" t="s">
        <v>3061</v>
      </c>
      <c r="I38" s="88">
        <f>3.3*1750*1.18</f>
        <v>6814.5</v>
      </c>
      <c r="J38" s="32">
        <f t="shared" si="1"/>
        <v>5996.76</v>
      </c>
      <c r="K38" s="236" t="s">
        <v>17</v>
      </c>
      <c r="L38" s="2">
        <v>45230</v>
      </c>
      <c r="T38" s="14" t="s">
        <v>989</v>
      </c>
      <c r="U38" s="14">
        <v>0.33958333333333335</v>
      </c>
      <c r="V38" s="14">
        <v>0.50277777777777777</v>
      </c>
    </row>
    <row r="39" spans="1:22" hidden="1" x14ac:dyDescent="0.25">
      <c r="A39" s="256">
        <v>28102023</v>
      </c>
      <c r="B39" t="s">
        <v>572</v>
      </c>
      <c r="C39" t="s">
        <v>410</v>
      </c>
      <c r="D39" s="122">
        <v>45227</v>
      </c>
      <c r="F39" s="30" t="s">
        <v>207</v>
      </c>
      <c r="G39" s="30" t="s">
        <v>277</v>
      </c>
      <c r="H39" s="30" t="s">
        <v>3170</v>
      </c>
      <c r="I39" s="414">
        <f>1750*3*1.18</f>
        <v>6195</v>
      </c>
      <c r="J39" s="313">
        <f t="shared" si="1"/>
        <v>5451.6</v>
      </c>
      <c r="K39" s="368" t="s">
        <v>17</v>
      </c>
      <c r="L39" s="122">
        <v>45287</v>
      </c>
      <c r="T39" s="14" t="s">
        <v>1029</v>
      </c>
      <c r="U39" s="14">
        <v>0.4694444444444445</v>
      </c>
      <c r="V39" s="14">
        <v>0.62916666666666665</v>
      </c>
    </row>
    <row r="40" spans="1:22" hidden="1" x14ac:dyDescent="0.25">
      <c r="A40" s="430" t="s">
        <v>3385</v>
      </c>
      <c r="B40" t="s">
        <v>572</v>
      </c>
      <c r="C40" t="s">
        <v>410</v>
      </c>
      <c r="D40" s="122">
        <v>45285</v>
      </c>
      <c r="F40" s="30" t="s">
        <v>207</v>
      </c>
      <c r="G40" s="30" t="s">
        <v>277</v>
      </c>
      <c r="H40" s="30" t="s">
        <v>3449</v>
      </c>
      <c r="I40" s="32">
        <v>6195</v>
      </c>
      <c r="J40" s="313">
        <f t="shared" si="1"/>
        <v>5451.6</v>
      </c>
      <c r="K40" s="236" t="s">
        <v>17</v>
      </c>
      <c r="T40" s="14" t="s">
        <v>2037</v>
      </c>
      <c r="U40" s="14">
        <v>0.30138888888888887</v>
      </c>
      <c r="V40" s="14">
        <v>0.50277777777777777</v>
      </c>
    </row>
    <row r="41" spans="1:22" hidden="1" x14ac:dyDescent="0.25">
      <c r="A41" s="200">
        <v>20032024</v>
      </c>
      <c r="B41" t="s">
        <v>572</v>
      </c>
      <c r="C41" t="s">
        <v>809</v>
      </c>
      <c r="D41" s="122">
        <v>45371</v>
      </c>
      <c r="F41" t="s">
        <v>425</v>
      </c>
      <c r="G41" t="s">
        <v>277</v>
      </c>
      <c r="H41" s="30" t="s">
        <v>3934</v>
      </c>
      <c r="I41" s="414">
        <v>5782</v>
      </c>
      <c r="J41" s="202">
        <f t="shared" si="1"/>
        <v>5088.16</v>
      </c>
      <c r="K41" s="368" t="s">
        <v>17</v>
      </c>
      <c r="L41" s="122">
        <v>45372</v>
      </c>
      <c r="T41" s="14" t="s">
        <v>3889</v>
      </c>
      <c r="U41" s="14">
        <v>0.47222222222222227</v>
      </c>
      <c r="V41" s="14"/>
    </row>
    <row r="42" spans="1:22" hidden="1" x14ac:dyDescent="0.25">
      <c r="A42" s="509" t="s">
        <v>3984</v>
      </c>
      <c r="B42" s="30" t="s">
        <v>572</v>
      </c>
      <c r="C42" s="28" t="s">
        <v>410</v>
      </c>
      <c r="D42" s="233">
        <v>45390</v>
      </c>
      <c r="F42" s="28" t="s">
        <v>207</v>
      </c>
      <c r="G42" s="30" t="s">
        <v>277</v>
      </c>
      <c r="H42" s="30" t="s">
        <v>3992</v>
      </c>
      <c r="I42" s="251">
        <v>6195</v>
      </c>
      <c r="J42" s="313">
        <f t="shared" si="1"/>
        <v>5451.6</v>
      </c>
      <c r="K42" s="368" t="s">
        <v>17</v>
      </c>
      <c r="L42" s="233">
        <v>45427</v>
      </c>
      <c r="T42" s="14"/>
      <c r="U42" s="360"/>
      <c r="V42" s="360"/>
    </row>
    <row r="43" spans="1:22" hidden="1" x14ac:dyDescent="0.25">
      <c r="A43" s="483">
        <v>15052024</v>
      </c>
      <c r="B43" s="30" t="s">
        <v>4402</v>
      </c>
      <c r="C43" s="28" t="s">
        <v>13</v>
      </c>
      <c r="D43" s="233">
        <v>45427</v>
      </c>
      <c r="F43" s="28" t="s">
        <v>207</v>
      </c>
      <c r="G43" s="30" t="s">
        <v>277</v>
      </c>
      <c r="H43" s="30" t="s">
        <v>4401</v>
      </c>
      <c r="I43" s="88">
        <v>6195</v>
      </c>
      <c r="J43" s="313">
        <f t="shared" si="1"/>
        <v>5451.6</v>
      </c>
      <c r="K43" s="368" t="s">
        <v>17</v>
      </c>
      <c r="L43" s="233">
        <v>45468</v>
      </c>
      <c r="T43" s="14"/>
      <c r="U43" s="360"/>
      <c r="V43" s="360"/>
    </row>
    <row r="44" spans="1:22" hidden="1" x14ac:dyDescent="0.25">
      <c r="A44" s="509">
        <v>29062024</v>
      </c>
      <c r="B44" t="s">
        <v>4402</v>
      </c>
      <c r="C44" s="28" t="s">
        <v>410</v>
      </c>
      <c r="D44" s="233">
        <v>45472</v>
      </c>
      <c r="F44" s="28" t="s">
        <v>2008</v>
      </c>
      <c r="G44" s="28" t="s">
        <v>4441</v>
      </c>
      <c r="H44" s="30" t="s">
        <v>4648</v>
      </c>
      <c r="I44" s="251">
        <v>11659</v>
      </c>
      <c r="J44" s="313">
        <f t="shared" si="1"/>
        <v>10259.92</v>
      </c>
      <c r="K44" s="368" t="s">
        <v>17</v>
      </c>
      <c r="L44" s="233">
        <v>45475</v>
      </c>
      <c r="M44" t="s">
        <v>81</v>
      </c>
      <c r="T44" s="14" t="s">
        <v>4259</v>
      </c>
      <c r="U44" s="360">
        <v>0.26458333333333334</v>
      </c>
      <c r="V44" s="360">
        <v>0.59722222222222221</v>
      </c>
    </row>
    <row r="45" spans="1:22" hidden="1" x14ac:dyDescent="0.25">
      <c r="A45" s="483" t="s">
        <v>4474</v>
      </c>
      <c r="B45" t="s">
        <v>572</v>
      </c>
      <c r="C45" s="28" t="s">
        <v>13</v>
      </c>
      <c r="D45" s="233">
        <v>45479</v>
      </c>
      <c r="F45" s="28" t="s">
        <v>207</v>
      </c>
      <c r="G45" s="30" t="s">
        <v>4481</v>
      </c>
      <c r="H45" s="30" t="s">
        <v>4555</v>
      </c>
      <c r="I45" s="313">
        <v>8968</v>
      </c>
      <c r="J45" s="313">
        <f t="shared" si="1"/>
        <v>7891.84</v>
      </c>
      <c r="K45" s="368" t="s">
        <v>17</v>
      </c>
      <c r="L45" s="233">
        <v>45497</v>
      </c>
      <c r="T45" s="14" t="s">
        <v>4297</v>
      </c>
      <c r="U45" s="360">
        <v>0.26041666666666669</v>
      </c>
      <c r="V45" s="360">
        <v>0.47986111111111113</v>
      </c>
    </row>
    <row r="46" spans="1:22" hidden="1" x14ac:dyDescent="0.25">
      <c r="A46" s="483">
        <v>23072024</v>
      </c>
      <c r="B46" t="s">
        <v>572</v>
      </c>
      <c r="C46" s="28" t="s">
        <v>13</v>
      </c>
      <c r="D46" s="233">
        <v>45496</v>
      </c>
      <c r="F46" s="28" t="s">
        <v>207</v>
      </c>
      <c r="G46" s="30" t="s">
        <v>4556</v>
      </c>
      <c r="H46" s="30" t="s">
        <v>4557</v>
      </c>
      <c r="I46" s="313">
        <v>8968</v>
      </c>
      <c r="J46" s="313">
        <f t="shared" si="1"/>
        <v>7891.84</v>
      </c>
      <c r="K46" s="368" t="s">
        <v>17</v>
      </c>
      <c r="L46" s="233">
        <v>45518</v>
      </c>
      <c r="T46" s="14" t="s">
        <v>4297</v>
      </c>
      <c r="U46" s="360">
        <v>0.44444444444444442</v>
      </c>
      <c r="V46" s="360">
        <v>0.6430555555555556</v>
      </c>
    </row>
    <row r="47" spans="1:22" hidden="1" x14ac:dyDescent="0.25">
      <c r="A47" s="95" t="s">
        <v>4579</v>
      </c>
      <c r="B47" t="s">
        <v>572</v>
      </c>
      <c r="C47" s="28" t="s">
        <v>4218</v>
      </c>
      <c r="D47" s="233">
        <v>45507</v>
      </c>
      <c r="F47" s="28" t="s">
        <v>207</v>
      </c>
      <c r="G47" s="30" t="s">
        <v>4582</v>
      </c>
      <c r="H47" s="30" t="s">
        <v>4583</v>
      </c>
      <c r="I47" s="236">
        <v>8968</v>
      </c>
      <c r="J47" s="313">
        <f t="shared" si="1"/>
        <v>7891.84</v>
      </c>
      <c r="K47" s="368" t="s">
        <v>17</v>
      </c>
      <c r="L47" s="233">
        <v>45518</v>
      </c>
      <c r="T47" t="s">
        <v>4070</v>
      </c>
      <c r="U47" s="360">
        <v>0.62291666666666667</v>
      </c>
      <c r="V47" s="360">
        <v>0.77222222222222225</v>
      </c>
    </row>
    <row r="48" spans="1:22" hidden="1" x14ac:dyDescent="0.25">
      <c r="A48" s="95">
        <v>15082024</v>
      </c>
      <c r="B48" t="s">
        <v>572</v>
      </c>
      <c r="C48" s="28" t="s">
        <v>410</v>
      </c>
      <c r="D48" s="233">
        <v>45519</v>
      </c>
      <c r="F48" s="28" t="s">
        <v>207</v>
      </c>
      <c r="G48" s="30" t="s">
        <v>4725</v>
      </c>
      <c r="H48" s="30" t="s">
        <v>4649</v>
      </c>
      <c r="I48" s="236">
        <v>8861</v>
      </c>
      <c r="J48" s="313">
        <f t="shared" si="1"/>
        <v>7797.68</v>
      </c>
      <c r="K48" s="236" t="s">
        <v>17</v>
      </c>
      <c r="L48" s="233">
        <v>45551</v>
      </c>
      <c r="T48" t="s">
        <v>4097</v>
      </c>
      <c r="U48" s="360">
        <v>0.59305555555555556</v>
      </c>
      <c r="V48" s="360"/>
    </row>
    <row r="49" spans="1:22" hidden="1" x14ac:dyDescent="0.25">
      <c r="A49" s="95">
        <v>2092024</v>
      </c>
      <c r="B49" t="s">
        <v>572</v>
      </c>
      <c r="C49" s="28" t="s">
        <v>13</v>
      </c>
      <c r="D49" s="233">
        <v>45537</v>
      </c>
      <c r="F49" s="28" t="s">
        <v>2008</v>
      </c>
      <c r="G49" s="30" t="s">
        <v>4726</v>
      </c>
      <c r="H49" s="30" t="s">
        <v>4727</v>
      </c>
      <c r="I49" s="88">
        <v>11658.4</v>
      </c>
      <c r="J49" s="313">
        <f t="shared" si="1"/>
        <v>10259.392</v>
      </c>
      <c r="K49" s="236" t="s">
        <v>17</v>
      </c>
      <c r="L49" s="233">
        <v>45551</v>
      </c>
      <c r="T49" t="s">
        <v>4617</v>
      </c>
      <c r="U49" s="360">
        <v>0.34791666666666665</v>
      </c>
      <c r="V49" s="360">
        <v>0.61250000000000004</v>
      </c>
    </row>
    <row r="50" spans="1:22" hidden="1" x14ac:dyDescent="0.25">
      <c r="A50" s="95">
        <v>6092024</v>
      </c>
      <c r="B50" t="s">
        <v>572</v>
      </c>
      <c r="C50" s="28" t="s">
        <v>13</v>
      </c>
      <c r="D50" s="233">
        <v>45541</v>
      </c>
      <c r="F50" s="28" t="s">
        <v>207</v>
      </c>
      <c r="G50" s="30" t="s">
        <v>4740</v>
      </c>
      <c r="H50" s="30" t="s">
        <v>4741</v>
      </c>
      <c r="I50" s="236">
        <v>8968</v>
      </c>
      <c r="J50" s="313">
        <f t="shared" si="1"/>
        <v>7891.84</v>
      </c>
      <c r="K50" s="236" t="s">
        <v>17</v>
      </c>
      <c r="L50" s="233">
        <v>45589</v>
      </c>
      <c r="T50" t="s">
        <v>4417</v>
      </c>
      <c r="U50" s="360">
        <v>0.31180555555555556</v>
      </c>
      <c r="V50" s="360">
        <v>0.52777777777777779</v>
      </c>
    </row>
    <row r="51" spans="1:22" hidden="1" x14ac:dyDescent="0.25">
      <c r="A51" s="95">
        <v>18092024</v>
      </c>
      <c r="B51" t="s">
        <v>572</v>
      </c>
      <c r="C51" s="28" t="s">
        <v>13</v>
      </c>
      <c r="D51" s="233">
        <v>45553</v>
      </c>
      <c r="F51" s="28" t="s">
        <v>207</v>
      </c>
      <c r="G51" s="30" t="s">
        <v>5056</v>
      </c>
      <c r="H51" s="30" t="s">
        <v>4843</v>
      </c>
      <c r="I51" s="236">
        <v>8968</v>
      </c>
      <c r="J51" s="313">
        <f t="shared" si="1"/>
        <v>7891.84</v>
      </c>
      <c r="K51" s="236" t="s">
        <v>17</v>
      </c>
      <c r="L51" s="233">
        <v>45609</v>
      </c>
      <c r="T51" t="s">
        <v>4138</v>
      </c>
      <c r="U51" s="360">
        <v>0.25069444444444444</v>
      </c>
      <c r="V51" s="30"/>
    </row>
    <row r="52" spans="1:22" hidden="1" x14ac:dyDescent="0.25">
      <c r="A52" s="95">
        <v>24092024</v>
      </c>
      <c r="B52" t="s">
        <v>572</v>
      </c>
      <c r="C52" s="28" t="s">
        <v>13</v>
      </c>
      <c r="D52" s="233">
        <v>45559</v>
      </c>
      <c r="F52" s="28" t="s">
        <v>317</v>
      </c>
      <c r="G52" s="30" t="s">
        <v>4841</v>
      </c>
      <c r="H52" s="30" t="s">
        <v>4844</v>
      </c>
      <c r="I52" s="236">
        <v>11658.4</v>
      </c>
      <c r="J52" s="313">
        <f t="shared" si="1"/>
        <v>10259.392</v>
      </c>
      <c r="K52" s="236" t="s">
        <v>17</v>
      </c>
      <c r="L52" s="233">
        <v>45623</v>
      </c>
      <c r="T52" t="s">
        <v>1644</v>
      </c>
      <c r="U52" s="360"/>
      <c r="V52" s="30"/>
    </row>
    <row r="53" spans="1:22" hidden="1" x14ac:dyDescent="0.25">
      <c r="A53" s="542">
        <v>25102024</v>
      </c>
      <c r="B53" t="s">
        <v>572</v>
      </c>
      <c r="C53" s="28" t="s">
        <v>13</v>
      </c>
      <c r="D53" s="233">
        <v>45590</v>
      </c>
      <c r="F53" s="28" t="s">
        <v>207</v>
      </c>
      <c r="G53" s="30" t="s">
        <v>5022</v>
      </c>
      <c r="H53" s="30" t="s">
        <v>5023</v>
      </c>
      <c r="I53" s="313">
        <v>8968</v>
      </c>
      <c r="J53" s="313">
        <f t="shared" si="1"/>
        <v>7891.84</v>
      </c>
      <c r="K53" s="236" t="s">
        <v>17</v>
      </c>
      <c r="L53" s="233">
        <v>45623</v>
      </c>
      <c r="T53" t="s">
        <v>4345</v>
      </c>
      <c r="U53" s="360">
        <v>0.3666666666666667</v>
      </c>
      <c r="V53" s="360"/>
    </row>
    <row r="54" spans="1:22" hidden="1" x14ac:dyDescent="0.25">
      <c r="A54" s="542" t="s">
        <v>5097</v>
      </c>
      <c r="B54" t="s">
        <v>572</v>
      </c>
      <c r="C54" s="233" t="s">
        <v>13</v>
      </c>
      <c r="D54" s="233">
        <v>45609</v>
      </c>
      <c r="E54" s="28"/>
      <c r="F54" s="28" t="s">
        <v>207</v>
      </c>
      <c r="G54" t="s">
        <v>5124</v>
      </c>
      <c r="H54" s="30" t="s">
        <v>5125</v>
      </c>
      <c r="I54" s="313">
        <v>8968</v>
      </c>
      <c r="J54" s="313">
        <f t="shared" si="1"/>
        <v>7891.84</v>
      </c>
      <c r="K54" s="236" t="s">
        <v>17</v>
      </c>
      <c r="L54" s="233">
        <v>45672</v>
      </c>
      <c r="T54" t="s">
        <v>2050</v>
      </c>
      <c r="U54" s="360">
        <v>0.59444444444444444</v>
      </c>
      <c r="V54" s="360"/>
    </row>
    <row r="55" spans="1:22" hidden="1" x14ac:dyDescent="0.25">
      <c r="A55" s="542">
        <v>26112024</v>
      </c>
      <c r="B55" t="s">
        <v>572</v>
      </c>
      <c r="C55" s="233" t="s">
        <v>4218</v>
      </c>
      <c r="D55" s="233">
        <v>45622</v>
      </c>
      <c r="E55" s="28"/>
      <c r="F55" s="28" t="s">
        <v>207</v>
      </c>
      <c r="G55" t="s">
        <v>5233</v>
      </c>
      <c r="H55" s="30" t="s">
        <v>5234</v>
      </c>
      <c r="I55" s="313">
        <v>8968</v>
      </c>
      <c r="J55" s="313">
        <f t="shared" si="1"/>
        <v>7891.84</v>
      </c>
      <c r="K55" s="236" t="s">
        <v>17</v>
      </c>
      <c r="L55" s="233">
        <v>45672</v>
      </c>
      <c r="T55" t="s">
        <v>5021</v>
      </c>
      <c r="U55" s="360">
        <v>0.24930555555555556</v>
      </c>
      <c r="V55" s="360">
        <v>0.49583333333333335</v>
      </c>
    </row>
    <row r="56" spans="1:22" hidden="1" x14ac:dyDescent="0.25">
      <c r="A56" s="542">
        <v>10122024</v>
      </c>
      <c r="B56" t="s">
        <v>572</v>
      </c>
      <c r="C56" s="233" t="s">
        <v>410</v>
      </c>
      <c r="D56" s="233">
        <v>45636</v>
      </c>
      <c r="E56" s="28"/>
      <c r="F56" s="28" t="s">
        <v>207</v>
      </c>
      <c r="G56" t="s">
        <v>5319</v>
      </c>
      <c r="H56" s="30" t="s">
        <v>5320</v>
      </c>
      <c r="I56" s="88">
        <v>8968</v>
      </c>
      <c r="J56" s="88">
        <f t="shared" si="1"/>
        <v>7891.84</v>
      </c>
      <c r="K56" s="236" t="s">
        <v>17</v>
      </c>
      <c r="L56" s="233">
        <v>45708</v>
      </c>
      <c r="U56" s="360"/>
      <c r="V56" s="360"/>
    </row>
    <row r="57" spans="1:22" hidden="1" x14ac:dyDescent="0.25">
      <c r="A57" s="483">
        <v>20022024</v>
      </c>
      <c r="B57" t="s">
        <v>572</v>
      </c>
      <c r="C57" s="28" t="s">
        <v>13</v>
      </c>
      <c r="D57" s="233">
        <v>45708</v>
      </c>
      <c r="E57" s="28"/>
      <c r="F57" s="28" t="s">
        <v>207</v>
      </c>
      <c r="G57" s="30" t="s">
        <v>5694</v>
      </c>
      <c r="H57" s="30" t="s">
        <v>5751</v>
      </c>
      <c r="I57" s="88">
        <v>8968</v>
      </c>
      <c r="J57" s="88">
        <f t="shared" si="1"/>
        <v>7891.84</v>
      </c>
      <c r="K57" s="236" t="s">
        <v>17</v>
      </c>
      <c r="L57" s="233">
        <v>45726</v>
      </c>
      <c r="T57" t="s">
        <v>4911</v>
      </c>
      <c r="U57" s="360">
        <v>0.2986111111111111</v>
      </c>
      <c r="V57" s="30"/>
    </row>
    <row r="58" spans="1:22" hidden="1" x14ac:dyDescent="0.25">
      <c r="A58" s="483">
        <v>27022025</v>
      </c>
      <c r="B58" t="s">
        <v>572</v>
      </c>
      <c r="C58" s="28" t="s">
        <v>13</v>
      </c>
      <c r="D58" s="233">
        <v>45715</v>
      </c>
      <c r="E58" s="28"/>
      <c r="F58" s="28" t="s">
        <v>294</v>
      </c>
      <c r="G58" s="30" t="s">
        <v>5750</v>
      </c>
      <c r="H58" s="236" t="s">
        <v>5752</v>
      </c>
      <c r="I58" s="88">
        <v>9697.1</v>
      </c>
      <c r="J58" s="88">
        <f t="shared" si="1"/>
        <v>8533.4480000000003</v>
      </c>
      <c r="K58" s="368" t="s">
        <v>17</v>
      </c>
      <c r="L58" s="233">
        <v>45732</v>
      </c>
      <c r="T58" t="s">
        <v>5026</v>
      </c>
      <c r="U58" s="360">
        <v>0.72152777777777777</v>
      </c>
      <c r="V58" s="360">
        <v>0.91041666666666676</v>
      </c>
    </row>
    <row r="59" spans="1:22" hidden="1" x14ac:dyDescent="0.25">
      <c r="A59" s="483">
        <v>11032025</v>
      </c>
      <c r="B59" t="s">
        <v>572</v>
      </c>
      <c r="C59" s="28" t="s">
        <v>410</v>
      </c>
      <c r="D59" s="233">
        <v>45727</v>
      </c>
      <c r="E59" s="28"/>
      <c r="F59" s="28" t="s">
        <v>285</v>
      </c>
      <c r="G59" s="30" t="s">
        <v>5809</v>
      </c>
      <c r="H59" s="30" t="s">
        <v>5811</v>
      </c>
      <c r="I59" s="798">
        <v>11210</v>
      </c>
      <c r="J59" s="88">
        <f t="shared" si="1"/>
        <v>9864.7999999999993</v>
      </c>
      <c r="K59" s="368" t="s">
        <v>17</v>
      </c>
      <c r="L59" s="233">
        <v>45752</v>
      </c>
      <c r="T59" t="s">
        <v>5776</v>
      </c>
      <c r="U59" s="360">
        <v>0.3</v>
      </c>
      <c r="V59" s="30"/>
    </row>
    <row r="60" spans="1:22" hidden="1" x14ac:dyDescent="0.25">
      <c r="A60" s="483">
        <v>11032025</v>
      </c>
      <c r="B60" t="s">
        <v>572</v>
      </c>
      <c r="C60" s="28" t="s">
        <v>4218</v>
      </c>
      <c r="D60" s="233">
        <v>45727</v>
      </c>
      <c r="E60" s="28"/>
      <c r="F60" s="28" t="s">
        <v>68</v>
      </c>
      <c r="G60" s="30" t="s">
        <v>5810</v>
      </c>
      <c r="H60" s="30" t="s">
        <v>5812</v>
      </c>
      <c r="I60" s="798">
        <v>11210</v>
      </c>
      <c r="J60" s="88">
        <f t="shared" si="1"/>
        <v>9864.7999999999993</v>
      </c>
      <c r="K60" s="368" t="s">
        <v>17</v>
      </c>
      <c r="L60" s="233">
        <v>45762</v>
      </c>
      <c r="T60" t="s">
        <v>5026</v>
      </c>
      <c r="U60" s="360">
        <v>0.42430555555555555</v>
      </c>
      <c r="V60" s="30"/>
    </row>
    <row r="61" spans="1:22" hidden="1" x14ac:dyDescent="0.25">
      <c r="A61" s="483">
        <v>17032025</v>
      </c>
      <c r="B61" t="s">
        <v>572</v>
      </c>
      <c r="C61" s="28" t="s">
        <v>13</v>
      </c>
      <c r="D61" s="233">
        <v>45733</v>
      </c>
      <c r="E61" s="28"/>
      <c r="F61" s="28" t="s">
        <v>317</v>
      </c>
      <c r="G61" t="s">
        <v>5862</v>
      </c>
      <c r="H61" s="30" t="s">
        <v>5863</v>
      </c>
      <c r="I61" s="798">
        <v>11658.4</v>
      </c>
      <c r="J61" s="88">
        <f t="shared" si="1"/>
        <v>10259.392</v>
      </c>
      <c r="K61" s="971" t="s">
        <v>17</v>
      </c>
      <c r="L61" s="233">
        <v>45768</v>
      </c>
      <c r="T61" t="s">
        <v>4345</v>
      </c>
      <c r="U61" s="360">
        <v>0.29236111111111113</v>
      </c>
      <c r="V61" s="360">
        <v>0.55069444444444449</v>
      </c>
    </row>
    <row r="62" spans="1:22" ht="14.1" hidden="1" customHeight="1" x14ac:dyDescent="0.25">
      <c r="A62" s="483">
        <v>25032025</v>
      </c>
      <c r="B62" s="21" t="s">
        <v>572</v>
      </c>
      <c r="C62" s="28" t="s">
        <v>13</v>
      </c>
      <c r="D62" s="233">
        <v>45741</v>
      </c>
      <c r="E62" s="28"/>
      <c r="F62" s="28" t="s">
        <v>207</v>
      </c>
      <c r="G62" t="s">
        <v>5982</v>
      </c>
      <c r="H62" s="30" t="s">
        <v>5984</v>
      </c>
      <c r="I62" s="798">
        <v>8968</v>
      </c>
      <c r="J62" s="88">
        <f t="shared" si="1"/>
        <v>7891.84</v>
      </c>
      <c r="K62" s="971" t="s">
        <v>17</v>
      </c>
      <c r="L62" s="233">
        <v>45790</v>
      </c>
      <c r="N62" s="149"/>
      <c r="T62" t="s">
        <v>5078</v>
      </c>
      <c r="U62" s="360">
        <v>0.37986111111111115</v>
      </c>
      <c r="V62" s="30"/>
    </row>
    <row r="63" spans="1:22" hidden="1" x14ac:dyDescent="0.25">
      <c r="A63" s="483" t="s">
        <v>5929</v>
      </c>
      <c r="B63" t="s">
        <v>572</v>
      </c>
      <c r="C63" s="28" t="s">
        <v>4218</v>
      </c>
      <c r="D63" s="233">
        <v>45752</v>
      </c>
      <c r="E63" s="28"/>
      <c r="F63" s="28" t="s">
        <v>207</v>
      </c>
      <c r="G63" t="s">
        <v>5983</v>
      </c>
      <c r="H63" s="30" t="s">
        <v>5985</v>
      </c>
      <c r="I63" s="798">
        <v>8968</v>
      </c>
      <c r="J63" s="967">
        <f t="shared" si="1"/>
        <v>7891.84</v>
      </c>
      <c r="K63" s="971" t="s">
        <v>17</v>
      </c>
      <c r="L63" s="233">
        <v>45798</v>
      </c>
      <c r="T63" t="s">
        <v>5021</v>
      </c>
      <c r="U63" s="360">
        <v>0.56111111111111112</v>
      </c>
      <c r="V63" s="360">
        <v>0.74652777777777779</v>
      </c>
    </row>
    <row r="64" spans="1:22" hidden="1" x14ac:dyDescent="0.25">
      <c r="A64" s="483" t="s">
        <v>6060</v>
      </c>
      <c r="B64" t="s">
        <v>572</v>
      </c>
      <c r="C64" s="28" t="s">
        <v>13</v>
      </c>
      <c r="D64" s="233">
        <v>45763</v>
      </c>
      <c r="E64" s="28"/>
      <c r="F64" s="28" t="s">
        <v>207</v>
      </c>
      <c r="G64" t="s">
        <v>6094</v>
      </c>
      <c r="H64" s="30" t="s">
        <v>6095</v>
      </c>
      <c r="I64" s="798">
        <v>8968</v>
      </c>
      <c r="J64" s="967">
        <f t="shared" si="1"/>
        <v>7891.84</v>
      </c>
      <c r="K64" s="971" t="s">
        <v>17</v>
      </c>
      <c r="L64" s="233">
        <v>45800</v>
      </c>
      <c r="M64" s="158"/>
      <c r="N64" s="158"/>
      <c r="T64" t="s">
        <v>4417</v>
      </c>
      <c r="U64" s="360">
        <v>0.25138888888888888</v>
      </c>
      <c r="V64" s="360">
        <v>0.47152777777777777</v>
      </c>
    </row>
    <row r="65" spans="1:22" hidden="1" x14ac:dyDescent="0.25">
      <c r="A65" s="483">
        <v>30042024</v>
      </c>
      <c r="B65" t="s">
        <v>572</v>
      </c>
      <c r="C65" s="28" t="s">
        <v>660</v>
      </c>
      <c r="D65" s="233">
        <v>45777</v>
      </c>
      <c r="E65" s="28"/>
      <c r="F65" s="28" t="s">
        <v>207</v>
      </c>
      <c r="G65" t="s">
        <v>6165</v>
      </c>
      <c r="H65" s="30" t="s">
        <v>6166</v>
      </c>
      <c r="I65" s="798">
        <v>8968</v>
      </c>
      <c r="J65" s="967">
        <f t="shared" si="1"/>
        <v>7891.84</v>
      </c>
      <c r="K65" s="971" t="s">
        <v>17</v>
      </c>
      <c r="L65" s="233">
        <v>45807</v>
      </c>
      <c r="N65" s="149"/>
      <c r="T65" t="s">
        <v>5078</v>
      </c>
      <c r="U65" s="360">
        <v>0.29791666666666666</v>
      </c>
    </row>
    <row r="66" spans="1:22" hidden="1" x14ac:dyDescent="0.25">
      <c r="A66" s="483">
        <v>30042024</v>
      </c>
      <c r="B66" t="s">
        <v>572</v>
      </c>
      <c r="C66" s="28" t="s">
        <v>13</v>
      </c>
      <c r="D66" s="233">
        <v>45777</v>
      </c>
      <c r="E66" s="28"/>
      <c r="F66" s="28" t="s">
        <v>207</v>
      </c>
      <c r="G66" t="s">
        <v>6164</v>
      </c>
      <c r="H66" s="30" t="s">
        <v>6167</v>
      </c>
      <c r="I66" s="798">
        <v>8968</v>
      </c>
      <c r="J66" s="88">
        <f t="shared" si="1"/>
        <v>7891.84</v>
      </c>
      <c r="K66" s="368" t="s">
        <v>17</v>
      </c>
      <c r="L66" s="233">
        <v>45823</v>
      </c>
      <c r="U66" s="30"/>
      <c r="V66" s="30"/>
    </row>
    <row r="67" spans="1:22" hidden="1" x14ac:dyDescent="0.25">
      <c r="A67" s="483" t="s">
        <v>6102</v>
      </c>
      <c r="B67" t="s">
        <v>572</v>
      </c>
      <c r="C67" s="28" t="s">
        <v>13</v>
      </c>
      <c r="D67" s="233">
        <v>45782</v>
      </c>
      <c r="E67" s="28"/>
      <c r="F67" s="28" t="s">
        <v>207</v>
      </c>
      <c r="G67" t="s">
        <v>6168</v>
      </c>
      <c r="H67" s="30" t="s">
        <v>6169</v>
      </c>
      <c r="I67" s="798">
        <v>8968</v>
      </c>
      <c r="J67" s="88">
        <f t="shared" ref="J67:J71" si="2">+I67*0.88</f>
        <v>7891.84</v>
      </c>
      <c r="K67" s="368" t="s">
        <v>17</v>
      </c>
      <c r="L67" s="233">
        <v>45823</v>
      </c>
      <c r="U67" s="30"/>
      <c r="V67" s="30"/>
    </row>
    <row r="68" spans="1:22" hidden="1" x14ac:dyDescent="0.25">
      <c r="A68" s="483" t="s">
        <v>6239</v>
      </c>
      <c r="B68" t="s">
        <v>572</v>
      </c>
      <c r="C68" s="28" t="s">
        <v>4437</v>
      </c>
      <c r="D68" s="233">
        <v>45796</v>
      </c>
      <c r="E68" s="28"/>
      <c r="F68" s="28" t="s">
        <v>317</v>
      </c>
      <c r="G68" t="s">
        <v>6251</v>
      </c>
      <c r="H68" s="30" t="s">
        <v>6270</v>
      </c>
      <c r="I68" s="798">
        <v>11658.4</v>
      </c>
      <c r="J68" s="88">
        <f t="shared" si="2"/>
        <v>10259.392</v>
      </c>
      <c r="K68" s="368" t="s">
        <v>17</v>
      </c>
      <c r="L68" s="233">
        <v>45960</v>
      </c>
      <c r="N68" s="32"/>
      <c r="T68" t="s">
        <v>4297</v>
      </c>
      <c r="U68" s="360">
        <v>0.31041666666666667</v>
      </c>
      <c r="V68" s="30"/>
    </row>
    <row r="69" spans="1:22" hidden="1" x14ac:dyDescent="0.25">
      <c r="A69" s="483">
        <v>25052025</v>
      </c>
      <c r="B69" t="s">
        <v>572</v>
      </c>
      <c r="C69" s="28" t="s">
        <v>278</v>
      </c>
      <c r="D69" s="233">
        <v>45802</v>
      </c>
      <c r="E69" s="28"/>
      <c r="F69" s="28" t="s">
        <v>207</v>
      </c>
      <c r="G69" t="s">
        <v>6310</v>
      </c>
      <c r="H69" s="30" t="s">
        <v>6394</v>
      </c>
      <c r="I69" s="1186">
        <v>8968</v>
      </c>
      <c r="J69" s="88">
        <f t="shared" si="2"/>
        <v>7891.84</v>
      </c>
      <c r="K69" s="971" t="s">
        <v>17</v>
      </c>
      <c r="L69" t="s">
        <v>7363</v>
      </c>
      <c r="N69" s="32"/>
      <c r="T69" t="s">
        <v>4911</v>
      </c>
      <c r="U69" s="360">
        <v>0.27013888888888887</v>
      </c>
      <c r="V69" s="360">
        <v>0.49722222222222223</v>
      </c>
    </row>
    <row r="70" spans="1:22" ht="15.75" hidden="1" thickBot="1" x14ac:dyDescent="0.3">
      <c r="A70" s="483" t="s">
        <v>6418</v>
      </c>
      <c r="B70" t="s">
        <v>6420</v>
      </c>
      <c r="C70" s="28" t="s">
        <v>4437</v>
      </c>
      <c r="D70" s="233">
        <v>45824</v>
      </c>
      <c r="E70" s="28"/>
      <c r="F70" s="28" t="s">
        <v>68</v>
      </c>
      <c r="G70" t="s">
        <v>6459</v>
      </c>
      <c r="H70" s="30" t="s">
        <v>6460</v>
      </c>
      <c r="I70" s="1187">
        <v>11800</v>
      </c>
      <c r="J70" s="88">
        <f t="shared" si="2"/>
        <v>10384</v>
      </c>
      <c r="K70" s="971" t="s">
        <v>17</v>
      </c>
      <c r="L70" t="s">
        <v>7363</v>
      </c>
      <c r="N70" s="32"/>
      <c r="T70" t="s">
        <v>4140</v>
      </c>
      <c r="U70" s="360">
        <v>0.3430555555555555</v>
      </c>
      <c r="V70" s="30"/>
    </row>
    <row r="71" spans="1:22" hidden="1" x14ac:dyDescent="0.25">
      <c r="A71" s="483" t="s">
        <v>6418</v>
      </c>
      <c r="B71" t="s">
        <v>6420</v>
      </c>
      <c r="C71" s="28" t="s">
        <v>278</v>
      </c>
      <c r="D71" s="233">
        <v>45824</v>
      </c>
      <c r="E71" s="28"/>
      <c r="F71" s="28" t="s">
        <v>113</v>
      </c>
      <c r="G71" t="s">
        <v>6458</v>
      </c>
      <c r="H71" s="373" t="s">
        <v>6461</v>
      </c>
      <c r="I71" s="935">
        <v>10148</v>
      </c>
      <c r="J71" s="89">
        <f t="shared" si="2"/>
        <v>8930.24</v>
      </c>
      <c r="K71" s="1336" t="s">
        <v>17</v>
      </c>
      <c r="L71" s="494">
        <v>45848</v>
      </c>
      <c r="T71" t="s">
        <v>6419</v>
      </c>
      <c r="U71" s="360">
        <v>0.37708333333333338</v>
      </c>
      <c r="V71" s="30"/>
    </row>
    <row r="72" spans="1:22" hidden="1" x14ac:dyDescent="0.25">
      <c r="A72" s="483">
        <v>23062025</v>
      </c>
      <c r="B72" t="s">
        <v>572</v>
      </c>
      <c r="C72" s="28" t="s">
        <v>278</v>
      </c>
      <c r="D72" s="233">
        <v>45831</v>
      </c>
      <c r="E72" s="28">
        <v>4</v>
      </c>
      <c r="F72" s="28" t="s">
        <v>68</v>
      </c>
      <c r="G72" t="s">
        <v>6475</v>
      </c>
      <c r="H72" s="30" t="s">
        <v>6476</v>
      </c>
      <c r="I72" s="798">
        <v>11800</v>
      </c>
      <c r="J72" s="88">
        <f>I72*0.88</f>
        <v>10384</v>
      </c>
      <c r="K72" s="971" t="s">
        <v>17</v>
      </c>
      <c r="L72" s="233">
        <v>45829</v>
      </c>
      <c r="T72" t="s">
        <v>6419</v>
      </c>
      <c r="U72" s="30">
        <v>7.34</v>
      </c>
      <c r="V72" s="30"/>
    </row>
    <row r="73" spans="1:22" hidden="1" x14ac:dyDescent="0.25">
      <c r="A73" s="483" t="s">
        <v>6542</v>
      </c>
      <c r="B73" t="s">
        <v>572</v>
      </c>
      <c r="C73" s="28" t="s">
        <v>4437</v>
      </c>
      <c r="D73" s="233">
        <v>45846</v>
      </c>
      <c r="E73" s="28">
        <v>4</v>
      </c>
      <c r="F73" s="28" t="s">
        <v>285</v>
      </c>
      <c r="G73" t="s">
        <v>6547</v>
      </c>
      <c r="H73" s="30" t="s">
        <v>6549</v>
      </c>
      <c r="I73" s="798">
        <f>5*2000*1.18</f>
        <v>11800</v>
      </c>
      <c r="J73" s="88">
        <f>I73*0.88</f>
        <v>10384</v>
      </c>
      <c r="K73" s="971" t="s">
        <v>17</v>
      </c>
      <c r="L73" s="233">
        <v>45846</v>
      </c>
      <c r="T73" t="s">
        <v>6419</v>
      </c>
      <c r="U73" s="30"/>
      <c r="V73" s="30"/>
    </row>
    <row r="74" spans="1:22" hidden="1" x14ac:dyDescent="0.25">
      <c r="A74" s="483" t="s">
        <v>6545</v>
      </c>
      <c r="B74" t="s">
        <v>572</v>
      </c>
      <c r="C74" s="28" t="s">
        <v>4437</v>
      </c>
      <c r="D74" s="233">
        <v>45847</v>
      </c>
      <c r="E74" s="28">
        <v>2.8</v>
      </c>
      <c r="F74" s="28" t="s">
        <v>6546</v>
      </c>
      <c r="G74" t="s">
        <v>6548</v>
      </c>
      <c r="H74" s="30" t="s">
        <v>6550</v>
      </c>
      <c r="I74" s="798">
        <v>8970</v>
      </c>
      <c r="J74" s="88">
        <v>28180.15</v>
      </c>
      <c r="K74" s="971" t="s">
        <v>17</v>
      </c>
      <c r="L74" s="233">
        <v>45847</v>
      </c>
      <c r="T74" t="s">
        <v>6145</v>
      </c>
      <c r="U74" s="30"/>
      <c r="V74" s="30"/>
    </row>
    <row r="75" spans="1:22" hidden="1" x14ac:dyDescent="0.25">
      <c r="A75" s="483" t="s">
        <v>6545</v>
      </c>
      <c r="B75" t="s">
        <v>572</v>
      </c>
      <c r="C75" s="28" t="s">
        <v>660</v>
      </c>
      <c r="D75" s="233">
        <v>45847</v>
      </c>
      <c r="E75" s="28"/>
      <c r="F75" s="28" t="s">
        <v>207</v>
      </c>
      <c r="G75" t="s">
        <v>6578</v>
      </c>
      <c r="H75" s="30" t="s">
        <v>6577</v>
      </c>
      <c r="I75" s="798">
        <f>4*2000*1.18</f>
        <v>9440</v>
      </c>
      <c r="J75" s="88">
        <f t="shared" ref="J75:J87" si="3">+I75*0.88</f>
        <v>8307.2000000000007</v>
      </c>
      <c r="K75" s="971" t="s">
        <v>17</v>
      </c>
      <c r="L75" s="233">
        <v>45847</v>
      </c>
      <c r="T75" t="s">
        <v>5021</v>
      </c>
      <c r="U75" s="360">
        <v>0.60347222222222219</v>
      </c>
      <c r="V75" s="360">
        <v>0.77500000000000002</v>
      </c>
    </row>
    <row r="76" spans="1:22" hidden="1" x14ac:dyDescent="0.25">
      <c r="A76" s="483" t="s">
        <v>6580</v>
      </c>
      <c r="B76" t="s">
        <v>572</v>
      </c>
      <c r="C76" s="28" t="s">
        <v>660</v>
      </c>
      <c r="D76" s="233">
        <v>45849</v>
      </c>
      <c r="E76" s="28"/>
      <c r="F76" s="28" t="s">
        <v>5326</v>
      </c>
      <c r="G76" t="s">
        <v>6403</v>
      </c>
      <c r="H76" s="373" t="s">
        <v>6630</v>
      </c>
      <c r="I76" s="935">
        <v>8970</v>
      </c>
      <c r="J76" s="89">
        <f t="shared" si="3"/>
        <v>7893.6</v>
      </c>
      <c r="K76" s="1336" t="s">
        <v>17</v>
      </c>
      <c r="L76" s="494">
        <v>45848</v>
      </c>
      <c r="O76" s="149"/>
      <c r="T76" t="s">
        <v>6151</v>
      </c>
      <c r="U76" s="30"/>
      <c r="V76" s="30"/>
    </row>
    <row r="77" spans="1:22" hidden="1" x14ac:dyDescent="0.25">
      <c r="A77" s="483" t="s">
        <v>6595</v>
      </c>
      <c r="B77" t="s">
        <v>572</v>
      </c>
      <c r="C77" s="28" t="s">
        <v>4437</v>
      </c>
      <c r="D77" s="233">
        <v>45854</v>
      </c>
      <c r="E77" s="28"/>
      <c r="F77" s="28" t="s">
        <v>3413</v>
      </c>
      <c r="G77" t="s">
        <v>6626</v>
      </c>
      <c r="H77" s="30" t="s">
        <v>6631</v>
      </c>
      <c r="I77" s="798">
        <v>7198</v>
      </c>
      <c r="J77" s="88">
        <f t="shared" si="3"/>
        <v>6334.24</v>
      </c>
      <c r="K77" s="971" t="s">
        <v>17</v>
      </c>
      <c r="L77" s="233">
        <v>45853</v>
      </c>
      <c r="T77" t="s">
        <v>6151</v>
      </c>
      <c r="U77" s="360">
        <v>0.59791666666666665</v>
      </c>
      <c r="V77" s="360"/>
    </row>
    <row r="78" spans="1:22" ht="15" hidden="1" customHeight="1" x14ac:dyDescent="0.25">
      <c r="A78" s="483" t="s">
        <v>6624</v>
      </c>
      <c r="B78" t="s">
        <v>572</v>
      </c>
      <c r="C78" s="28" t="s">
        <v>660</v>
      </c>
      <c r="D78" s="233">
        <v>45857</v>
      </c>
      <c r="E78" s="28"/>
      <c r="F78" s="28" t="s">
        <v>207</v>
      </c>
      <c r="G78" t="s">
        <v>6627</v>
      </c>
      <c r="H78" s="30" t="s">
        <v>6632</v>
      </c>
      <c r="I78" s="88">
        <v>9440</v>
      </c>
      <c r="J78" s="88">
        <f t="shared" si="3"/>
        <v>8307.2000000000007</v>
      </c>
      <c r="K78" s="971" t="s">
        <v>17</v>
      </c>
      <c r="L78" s="233">
        <v>45857</v>
      </c>
      <c r="M78" s="88"/>
      <c r="N78" s="17"/>
      <c r="T78" t="s">
        <v>4138</v>
      </c>
      <c r="U78" s="360">
        <v>0.61736111111111114</v>
      </c>
      <c r="V78" s="360">
        <v>0.77638888888888891</v>
      </c>
    </row>
    <row r="79" spans="1:22" hidden="1" x14ac:dyDescent="0.25">
      <c r="A79" s="483">
        <v>20072025</v>
      </c>
      <c r="B79" t="s">
        <v>572</v>
      </c>
      <c r="C79" s="28" t="s">
        <v>660</v>
      </c>
      <c r="D79" s="233">
        <v>45858</v>
      </c>
      <c r="E79" s="28"/>
      <c r="F79" s="28" t="s">
        <v>68</v>
      </c>
      <c r="G79" t="s">
        <v>6629</v>
      </c>
      <c r="H79" s="30" t="s">
        <v>6633</v>
      </c>
      <c r="I79" s="88">
        <v>11800</v>
      </c>
      <c r="J79" s="88">
        <f t="shared" si="3"/>
        <v>10384</v>
      </c>
      <c r="K79" s="971" t="s">
        <v>17</v>
      </c>
      <c r="L79" s="233">
        <v>45858</v>
      </c>
      <c r="M79" s="88"/>
      <c r="N79" s="17"/>
      <c r="T79" t="s">
        <v>5021</v>
      </c>
      <c r="U79" s="360">
        <v>17.510000000000002</v>
      </c>
      <c r="V79" s="360">
        <v>0.99652777777777779</v>
      </c>
    </row>
    <row r="80" spans="1:22" hidden="1" x14ac:dyDescent="0.25">
      <c r="A80" s="483">
        <v>21072025</v>
      </c>
      <c r="B80" t="s">
        <v>572</v>
      </c>
      <c r="C80" s="28" t="s">
        <v>660</v>
      </c>
      <c r="D80" s="233">
        <v>45859</v>
      </c>
      <c r="E80" s="28"/>
      <c r="F80" s="28" t="s">
        <v>106</v>
      </c>
      <c r="G80" t="s">
        <v>6628</v>
      </c>
      <c r="H80" s="30" t="s">
        <v>6634</v>
      </c>
      <c r="I80" s="798">
        <v>7080</v>
      </c>
      <c r="J80" s="88">
        <f t="shared" si="3"/>
        <v>6230.4</v>
      </c>
      <c r="K80" s="971" t="s">
        <v>17</v>
      </c>
      <c r="L80" s="233">
        <v>45858</v>
      </c>
      <c r="M80" s="88"/>
      <c r="T80" t="s">
        <v>6349</v>
      </c>
      <c r="U80" s="360">
        <v>0.30763888888888891</v>
      </c>
      <c r="V80" s="360"/>
    </row>
    <row r="81" spans="1:22" hidden="1" x14ac:dyDescent="0.25">
      <c r="A81" s="483">
        <v>24072025</v>
      </c>
      <c r="B81" t="s">
        <v>572</v>
      </c>
      <c r="C81" s="28" t="s">
        <v>660</v>
      </c>
      <c r="D81" s="233">
        <v>45862</v>
      </c>
      <c r="E81" s="28"/>
      <c r="F81" s="28" t="s">
        <v>317</v>
      </c>
      <c r="G81" t="s">
        <v>6715</v>
      </c>
      <c r="H81" s="30" t="s">
        <v>6720</v>
      </c>
      <c r="I81" s="798">
        <v>12272</v>
      </c>
      <c r="J81" s="88">
        <f t="shared" si="3"/>
        <v>10799.36</v>
      </c>
      <c r="K81" s="971" t="s">
        <v>17</v>
      </c>
      <c r="L81" s="233">
        <v>45862</v>
      </c>
      <c r="M81" s="32"/>
      <c r="P81" s="149"/>
      <c r="T81" t="s">
        <v>5004</v>
      </c>
      <c r="U81" s="360">
        <v>0.31666666666666665</v>
      </c>
      <c r="V81" s="360"/>
    </row>
    <row r="82" spans="1:22" hidden="1" x14ac:dyDescent="0.25">
      <c r="A82" s="483" t="s">
        <v>6707</v>
      </c>
      <c r="B82" t="s">
        <v>572</v>
      </c>
      <c r="C82" s="28" t="s">
        <v>410</v>
      </c>
      <c r="D82" s="233">
        <v>45873</v>
      </c>
      <c r="E82" s="28"/>
      <c r="F82" s="28" t="s">
        <v>317</v>
      </c>
      <c r="G82" s="1067" t="s">
        <v>6716</v>
      </c>
      <c r="H82" s="30" t="s">
        <v>6721</v>
      </c>
      <c r="I82" s="798">
        <v>12272</v>
      </c>
      <c r="J82" s="88">
        <f t="shared" si="3"/>
        <v>10799.36</v>
      </c>
      <c r="K82" s="971" t="s">
        <v>17</v>
      </c>
      <c r="L82" s="233">
        <v>45874</v>
      </c>
      <c r="M82" s="32"/>
      <c r="T82" t="s">
        <v>5026</v>
      </c>
      <c r="U82" s="360">
        <v>0.62708333333333333</v>
      </c>
      <c r="V82" s="360">
        <v>0.8666666666666667</v>
      </c>
    </row>
    <row r="83" spans="1:22" hidden="1" x14ac:dyDescent="0.25">
      <c r="A83" s="483" t="s">
        <v>6710</v>
      </c>
      <c r="B83" t="s">
        <v>572</v>
      </c>
      <c r="C83" s="28" t="s">
        <v>4218</v>
      </c>
      <c r="D83" s="233">
        <v>45875</v>
      </c>
      <c r="E83" s="28"/>
      <c r="F83" s="28" t="s">
        <v>68</v>
      </c>
      <c r="G83" s="1067" t="s">
        <v>6719</v>
      </c>
      <c r="H83" s="30" t="s">
        <v>6722</v>
      </c>
      <c r="I83" s="798">
        <v>11800</v>
      </c>
      <c r="J83" s="88">
        <f t="shared" si="3"/>
        <v>10384</v>
      </c>
      <c r="K83" s="971" t="s">
        <v>17</v>
      </c>
      <c r="L83" s="233">
        <v>45874</v>
      </c>
      <c r="M83" s="32"/>
      <c r="T83" t="s">
        <v>6347</v>
      </c>
      <c r="U83" s="360">
        <v>0.30972222222222223</v>
      </c>
      <c r="V83" s="360">
        <v>0.55277777777777781</v>
      </c>
    </row>
    <row r="84" spans="1:22" hidden="1" x14ac:dyDescent="0.25">
      <c r="A84" s="483" t="s">
        <v>6766</v>
      </c>
      <c r="B84" t="s">
        <v>572</v>
      </c>
      <c r="C84" s="28" t="s">
        <v>13</v>
      </c>
      <c r="D84" s="233">
        <v>45879</v>
      </c>
      <c r="E84" s="28"/>
      <c r="F84" s="28" t="s">
        <v>317</v>
      </c>
      <c r="G84" s="1067" t="s">
        <v>6772</v>
      </c>
      <c r="H84" s="30" t="s">
        <v>6773</v>
      </c>
      <c r="I84" s="798">
        <v>12272</v>
      </c>
      <c r="J84" s="88">
        <f t="shared" si="3"/>
        <v>10799.36</v>
      </c>
      <c r="K84" s="971" t="s">
        <v>17</v>
      </c>
      <c r="L84" s="233">
        <v>45878</v>
      </c>
      <c r="T84" t="s">
        <v>4297</v>
      </c>
      <c r="U84" s="360">
        <v>0.33194444444444443</v>
      </c>
      <c r="V84" s="360">
        <v>0.62916666666666665</v>
      </c>
    </row>
    <row r="85" spans="1:22" hidden="1" x14ac:dyDescent="0.25">
      <c r="A85" s="483">
        <v>20082025</v>
      </c>
      <c r="B85" t="s">
        <v>572</v>
      </c>
      <c r="C85" s="28" t="s">
        <v>13</v>
      </c>
      <c r="D85" s="233">
        <v>45889</v>
      </c>
      <c r="E85" s="28"/>
      <c r="F85" s="28" t="s">
        <v>207</v>
      </c>
      <c r="G85" s="1268" t="s">
        <v>6830</v>
      </c>
      <c r="H85" s="1269" t="s">
        <v>6855</v>
      </c>
      <c r="I85" s="798">
        <v>9440</v>
      </c>
      <c r="J85" s="88">
        <f t="shared" si="3"/>
        <v>8307.2000000000007</v>
      </c>
      <c r="K85" s="971" t="s">
        <v>17</v>
      </c>
      <c r="L85" s="233">
        <v>45889</v>
      </c>
      <c r="M85" s="32"/>
      <c r="P85" s="149"/>
      <c r="T85" t="s">
        <v>6294</v>
      </c>
      <c r="U85" s="360">
        <v>0.28472222222222221</v>
      </c>
      <c r="V85" s="360">
        <v>0.50694444444444442</v>
      </c>
    </row>
    <row r="86" spans="1:22" hidden="1" x14ac:dyDescent="0.25">
      <c r="A86" s="483">
        <v>21082025</v>
      </c>
      <c r="B86" t="s">
        <v>572</v>
      </c>
      <c r="C86" s="28" t="s">
        <v>13</v>
      </c>
      <c r="D86" s="233">
        <v>45890</v>
      </c>
      <c r="E86" s="28"/>
      <c r="F86" s="28" t="s">
        <v>207</v>
      </c>
      <c r="G86" s="1268" t="s">
        <v>6831</v>
      </c>
      <c r="H86" s="1269" t="s">
        <v>6856</v>
      </c>
      <c r="I86" s="798">
        <v>9440</v>
      </c>
      <c r="J86" s="88">
        <f t="shared" si="3"/>
        <v>8307.2000000000007</v>
      </c>
      <c r="K86" s="971" t="s">
        <v>17</v>
      </c>
      <c r="L86" s="233">
        <v>45889</v>
      </c>
      <c r="M86" s="32"/>
      <c r="T86" t="s">
        <v>6150</v>
      </c>
      <c r="U86" s="360">
        <v>0.27291666666666664</v>
      </c>
      <c r="V86" s="360"/>
    </row>
    <row r="87" spans="1:22" hidden="1" x14ac:dyDescent="0.25">
      <c r="A87" s="483" t="s">
        <v>6886</v>
      </c>
      <c r="B87" t="s">
        <v>572</v>
      </c>
      <c r="C87" s="28" t="s">
        <v>410</v>
      </c>
      <c r="D87" s="233">
        <v>45906</v>
      </c>
      <c r="E87" s="28"/>
      <c r="F87" s="28" t="s">
        <v>2008</v>
      </c>
      <c r="G87" s="1067" t="s">
        <v>6901</v>
      </c>
      <c r="H87" s="30" t="s">
        <v>6902</v>
      </c>
      <c r="I87" s="798">
        <v>12272</v>
      </c>
      <c r="J87" s="88">
        <f t="shared" si="3"/>
        <v>10799.36</v>
      </c>
      <c r="K87" s="236" t="s">
        <v>17</v>
      </c>
      <c r="L87" s="233">
        <v>45906</v>
      </c>
      <c r="M87" s="32"/>
      <c r="T87" t="s">
        <v>6874</v>
      </c>
      <c r="U87" s="360">
        <v>0.42638888888888887</v>
      </c>
      <c r="V87" s="360">
        <v>0.67222222222222217</v>
      </c>
    </row>
    <row r="88" spans="1:22" hidden="1" x14ac:dyDescent="0.25">
      <c r="A88" s="483" t="s">
        <v>6949</v>
      </c>
      <c r="B88" t="s">
        <v>572</v>
      </c>
      <c r="C88" s="28" t="s">
        <v>410</v>
      </c>
      <c r="D88" s="233">
        <v>45916</v>
      </c>
      <c r="E88" s="28"/>
      <c r="F88" s="28" t="s">
        <v>285</v>
      </c>
      <c r="G88" s="1067" t="s">
        <v>6950</v>
      </c>
      <c r="H88" s="30" t="s">
        <v>7027</v>
      </c>
      <c r="I88" s="88">
        <f>+J88*1.13636363636364</f>
        <v>11800.000000000038</v>
      </c>
      <c r="J88" s="798">
        <v>10384</v>
      </c>
      <c r="K88" s="236" t="s">
        <v>17</v>
      </c>
      <c r="L88" s="233">
        <v>45915</v>
      </c>
      <c r="M88" s="32"/>
      <c r="T88" t="s">
        <v>4853</v>
      </c>
      <c r="U88" s="360">
        <v>0.20138888888888887</v>
      </c>
      <c r="V88" s="360">
        <v>0.45</v>
      </c>
    </row>
    <row r="89" spans="1:22" hidden="1" x14ac:dyDescent="0.25">
      <c r="A89" s="483" t="s">
        <v>6962</v>
      </c>
      <c r="B89" t="s">
        <v>572</v>
      </c>
      <c r="C89" s="28" t="s">
        <v>4218</v>
      </c>
      <c r="D89" s="233">
        <v>45918</v>
      </c>
      <c r="E89" s="28"/>
      <c r="F89" s="28" t="s">
        <v>207</v>
      </c>
      <c r="G89" s="1268" t="s">
        <v>6984</v>
      </c>
      <c r="H89" s="1269" t="s">
        <v>6993</v>
      </c>
      <c r="I89" s="798">
        <v>9340.5400000000009</v>
      </c>
      <c r="J89" s="32">
        <f t="shared" ref="J89:J108" si="4">+I89*0.88</f>
        <v>8219.6752000000015</v>
      </c>
      <c r="K89" s="236" t="s">
        <v>17</v>
      </c>
      <c r="L89" s="233">
        <v>45918</v>
      </c>
      <c r="M89" s="32"/>
      <c r="U89" s="360"/>
      <c r="V89" s="360"/>
    </row>
    <row r="90" spans="1:22" hidden="1" x14ac:dyDescent="0.25">
      <c r="A90" s="483">
        <v>20092025</v>
      </c>
      <c r="B90" t="s">
        <v>572</v>
      </c>
      <c r="C90" s="28" t="s">
        <v>13</v>
      </c>
      <c r="D90" s="233">
        <v>45920</v>
      </c>
      <c r="E90" s="28"/>
      <c r="F90" s="28" t="s">
        <v>207</v>
      </c>
      <c r="G90" s="1067" t="s">
        <v>6994</v>
      </c>
      <c r="H90" s="30" t="s">
        <v>7028</v>
      </c>
      <c r="I90" s="88">
        <v>9340.5400000000009</v>
      </c>
      <c r="J90" s="88">
        <f t="shared" si="4"/>
        <v>8219.6752000000015</v>
      </c>
      <c r="K90" s="236" t="s">
        <v>17</v>
      </c>
      <c r="L90" s="233">
        <v>45920</v>
      </c>
      <c r="T90" t="s">
        <v>4297</v>
      </c>
      <c r="U90" s="360">
        <v>0.27916666666666667</v>
      </c>
      <c r="V90" s="360">
        <v>0.47500000000000003</v>
      </c>
    </row>
    <row r="91" spans="1:22" hidden="1" x14ac:dyDescent="0.25">
      <c r="A91" s="483">
        <v>21092025</v>
      </c>
      <c r="B91" t="s">
        <v>572</v>
      </c>
      <c r="C91" s="28" t="s">
        <v>4218</v>
      </c>
      <c r="D91" s="233">
        <v>45921</v>
      </c>
      <c r="E91" s="28"/>
      <c r="F91" s="28" t="s">
        <v>207</v>
      </c>
      <c r="G91" s="1067" t="s">
        <v>6985</v>
      </c>
      <c r="H91" s="30" t="s">
        <v>7029</v>
      </c>
      <c r="I91" s="88">
        <v>9306.44</v>
      </c>
      <c r="J91" s="88">
        <f t="shared" si="4"/>
        <v>8189.6672000000008</v>
      </c>
      <c r="K91" s="236" t="s">
        <v>17</v>
      </c>
      <c r="L91" s="233">
        <v>45921</v>
      </c>
      <c r="T91" t="s">
        <v>6678</v>
      </c>
      <c r="U91" s="360">
        <v>0.21666666666666667</v>
      </c>
      <c r="V91" s="360">
        <v>0.37361111111111112</v>
      </c>
    </row>
    <row r="92" spans="1:22" hidden="1" x14ac:dyDescent="0.25">
      <c r="A92" s="483">
        <v>22092025</v>
      </c>
      <c r="B92" t="s">
        <v>572</v>
      </c>
      <c r="C92" s="28" t="s">
        <v>13</v>
      </c>
      <c r="D92" s="233">
        <v>45922</v>
      </c>
      <c r="E92" s="28"/>
      <c r="F92" s="28" t="s">
        <v>317</v>
      </c>
      <c r="G92" s="1067" t="s">
        <v>6986</v>
      </c>
      <c r="H92" s="30" t="s">
        <v>6995</v>
      </c>
      <c r="I92" s="798">
        <v>12272</v>
      </c>
      <c r="J92" s="88">
        <f t="shared" si="4"/>
        <v>10799.36</v>
      </c>
      <c r="K92" s="236" t="s">
        <v>17</v>
      </c>
      <c r="L92" s="233">
        <v>45922</v>
      </c>
      <c r="M92" s="88"/>
      <c r="T92" t="s">
        <v>5131</v>
      </c>
      <c r="U92" s="360">
        <v>0.30902777777777779</v>
      </c>
      <c r="V92" s="360"/>
    </row>
    <row r="93" spans="1:22" s="19" customFormat="1" hidden="1" x14ac:dyDescent="0.25">
      <c r="A93" s="690" t="s">
        <v>7021</v>
      </c>
      <c r="B93" s="19" t="s">
        <v>572</v>
      </c>
      <c r="C93" s="472" t="s">
        <v>410</v>
      </c>
      <c r="D93" s="691">
        <v>45927</v>
      </c>
      <c r="E93" s="472"/>
      <c r="F93" s="472" t="s">
        <v>317</v>
      </c>
      <c r="G93" s="1084" t="s">
        <v>7026</v>
      </c>
      <c r="H93" s="30" t="s">
        <v>7030</v>
      </c>
      <c r="I93" s="984">
        <v>12177.272727272728</v>
      </c>
      <c r="J93" s="88">
        <f t="shared" si="4"/>
        <v>10716</v>
      </c>
      <c r="K93" s="366" t="s">
        <v>17</v>
      </c>
      <c r="L93" s="691">
        <v>45927</v>
      </c>
      <c r="M93" s="140"/>
      <c r="T93" s="19" t="s">
        <v>7022</v>
      </c>
      <c r="U93" s="693">
        <v>0.57708333333333328</v>
      </c>
      <c r="V93" s="693">
        <v>0.76597222222222228</v>
      </c>
    </row>
    <row r="94" spans="1:22" s="19" customFormat="1" hidden="1" x14ac:dyDescent="0.25">
      <c r="A94" s="690" t="s">
        <v>7023</v>
      </c>
      <c r="B94" s="19" t="s">
        <v>572</v>
      </c>
      <c r="C94" s="472" t="s">
        <v>13</v>
      </c>
      <c r="D94" s="691">
        <v>45928</v>
      </c>
      <c r="E94" s="472"/>
      <c r="F94" s="472" t="s">
        <v>207</v>
      </c>
      <c r="G94" s="1084" t="s">
        <v>7025</v>
      </c>
      <c r="H94" s="30" t="s">
        <v>7031</v>
      </c>
      <c r="I94" s="984">
        <v>9340.5400000000009</v>
      </c>
      <c r="J94" s="88">
        <f t="shared" si="4"/>
        <v>8219.6752000000015</v>
      </c>
      <c r="K94" s="366" t="s">
        <v>17</v>
      </c>
      <c r="L94" s="691">
        <v>45927</v>
      </c>
      <c r="M94" s="140"/>
      <c r="T94" s="19" t="s">
        <v>6952</v>
      </c>
      <c r="U94" s="693">
        <v>0.26805555555555555</v>
      </c>
      <c r="V94" s="693">
        <v>0.49166666666666664</v>
      </c>
    </row>
    <row r="95" spans="1:22" s="19" customFormat="1" hidden="1" x14ac:dyDescent="0.25">
      <c r="A95" s="690" t="s">
        <v>7039</v>
      </c>
      <c r="B95" s="19" t="s">
        <v>572</v>
      </c>
      <c r="C95" s="472" t="s">
        <v>13</v>
      </c>
      <c r="D95" s="691">
        <v>45932</v>
      </c>
      <c r="E95" s="472"/>
      <c r="F95" s="472" t="s">
        <v>317</v>
      </c>
      <c r="G95" s="1084" t="s">
        <v>7066</v>
      </c>
      <c r="H95" s="19" t="s">
        <v>7068</v>
      </c>
      <c r="I95" s="1101">
        <v>12272</v>
      </c>
      <c r="J95" s="88">
        <f t="shared" si="4"/>
        <v>10799.36</v>
      </c>
      <c r="K95" s="366" t="s">
        <v>17</v>
      </c>
      <c r="L95" s="691">
        <v>45932</v>
      </c>
      <c r="M95" s="140"/>
      <c r="T95" s="19" t="s">
        <v>4983</v>
      </c>
      <c r="U95" s="693">
        <v>0.57708333333333328</v>
      </c>
      <c r="V95" s="693"/>
    </row>
    <row r="96" spans="1:22" hidden="1" x14ac:dyDescent="0.25">
      <c r="A96" s="483" t="s">
        <v>7062</v>
      </c>
      <c r="B96" t="s">
        <v>572</v>
      </c>
      <c r="C96" s="28" t="s">
        <v>4218</v>
      </c>
      <c r="D96" s="233">
        <v>45934</v>
      </c>
      <c r="E96" s="28"/>
      <c r="F96" s="28" t="s">
        <v>207</v>
      </c>
      <c r="G96" s="1067" t="s">
        <v>7067</v>
      </c>
      <c r="H96" s="19" t="s">
        <v>7069</v>
      </c>
      <c r="I96" s="798">
        <f>8307.2*1.13636363636364</f>
        <v>9440.0000000000309</v>
      </c>
      <c r="J96" s="88">
        <f t="shared" si="4"/>
        <v>8307.200000000028</v>
      </c>
      <c r="K96" s="366" t="s">
        <v>17</v>
      </c>
      <c r="L96" s="691">
        <v>45934</v>
      </c>
      <c r="M96" s="88"/>
      <c r="T96" t="s">
        <v>6214</v>
      </c>
      <c r="U96" s="360">
        <v>0.48749999999999999</v>
      </c>
      <c r="V96" s="360">
        <v>0.68819444444444444</v>
      </c>
    </row>
    <row r="97" spans="1:16382" hidden="1" x14ac:dyDescent="0.25">
      <c r="A97" s="483" t="s">
        <v>7077</v>
      </c>
      <c r="B97" t="s">
        <v>572</v>
      </c>
      <c r="C97" s="28" t="s">
        <v>4218</v>
      </c>
      <c r="D97" s="233">
        <v>45938</v>
      </c>
      <c r="E97" s="28"/>
      <c r="F97" s="28" t="s">
        <v>207</v>
      </c>
      <c r="G97" s="1067" t="s">
        <v>7084</v>
      </c>
      <c r="H97" s="30" t="s">
        <v>7175</v>
      </c>
      <c r="I97" s="798">
        <v>9440</v>
      </c>
      <c r="J97" s="88">
        <f t="shared" si="4"/>
        <v>8307.2000000000007</v>
      </c>
      <c r="K97" s="236" t="s">
        <v>17</v>
      </c>
      <c r="L97" s="233">
        <v>45937</v>
      </c>
      <c r="M97" s="88"/>
      <c r="T97" t="s">
        <v>5989</v>
      </c>
      <c r="U97" s="360">
        <v>0.26111111111111113</v>
      </c>
      <c r="V97" s="360">
        <v>0.58333333333333337</v>
      </c>
    </row>
    <row r="98" spans="1:16382" hidden="1" x14ac:dyDescent="0.25">
      <c r="A98" s="483">
        <v>15102025</v>
      </c>
      <c r="B98" t="s">
        <v>572</v>
      </c>
      <c r="C98" s="28" t="s">
        <v>410</v>
      </c>
      <c r="D98" s="233">
        <v>45945</v>
      </c>
      <c r="E98" s="28"/>
      <c r="F98" s="28" t="s">
        <v>207</v>
      </c>
      <c r="G98" s="1067" t="s">
        <v>7176</v>
      </c>
      <c r="H98" s="30" t="s">
        <v>7221</v>
      </c>
      <c r="I98" s="88">
        <v>9340</v>
      </c>
      <c r="J98" s="88">
        <f t="shared" si="4"/>
        <v>8219.2000000000007</v>
      </c>
      <c r="K98" s="1360" t="s">
        <v>17</v>
      </c>
      <c r="L98" s="233">
        <v>45944</v>
      </c>
      <c r="M98" s="88"/>
      <c r="T98" t="s">
        <v>6067</v>
      </c>
      <c r="U98" s="360">
        <v>0.27569444444444446</v>
      </c>
      <c r="V98" s="360">
        <v>0.46736111111111112</v>
      </c>
    </row>
    <row r="99" spans="1:16382" hidden="1" x14ac:dyDescent="0.25">
      <c r="A99" s="483">
        <v>16102025</v>
      </c>
      <c r="B99" t="s">
        <v>572</v>
      </c>
      <c r="C99" s="28" t="s">
        <v>13</v>
      </c>
      <c r="D99" s="233">
        <v>45946</v>
      </c>
      <c r="E99" s="28"/>
      <c r="F99" s="28" t="s">
        <v>207</v>
      </c>
      <c r="G99" s="1067" t="s">
        <v>7177</v>
      </c>
      <c r="H99" s="30" t="s">
        <v>7220</v>
      </c>
      <c r="I99" s="180">
        <v>9333.0681818181838</v>
      </c>
      <c r="J99" s="88">
        <f t="shared" si="4"/>
        <v>8213.1000000000022</v>
      </c>
      <c r="K99" s="1360" t="s">
        <v>17</v>
      </c>
      <c r="L99" s="233">
        <v>45946</v>
      </c>
      <c r="M99" s="88"/>
      <c r="U99" s="360"/>
      <c r="V99" s="360"/>
    </row>
    <row r="100" spans="1:16382" hidden="1" x14ac:dyDescent="0.25">
      <c r="A100" s="483">
        <v>25102025</v>
      </c>
      <c r="B100" t="s">
        <v>572</v>
      </c>
      <c r="C100" s="28" t="s">
        <v>410</v>
      </c>
      <c r="D100" s="233">
        <v>45955</v>
      </c>
      <c r="E100" s="28"/>
      <c r="F100" s="28" t="s">
        <v>317</v>
      </c>
      <c r="G100" s="1067" t="s">
        <v>7178</v>
      </c>
      <c r="H100" s="30" t="s">
        <v>7219</v>
      </c>
      <c r="I100" s="88">
        <v>12490.000000000002</v>
      </c>
      <c r="J100" s="88">
        <f t="shared" si="4"/>
        <v>10991.200000000003</v>
      </c>
      <c r="K100" s="1360" t="s">
        <v>17</v>
      </c>
      <c r="L100" s="233">
        <v>45955</v>
      </c>
      <c r="M100" s="88"/>
      <c r="T100" t="s">
        <v>7105</v>
      </c>
      <c r="U100" s="360">
        <v>0.2902777777777778</v>
      </c>
      <c r="V100" s="360">
        <v>0.60486111111111118</v>
      </c>
    </row>
    <row r="101" spans="1:16382" hidden="1" x14ac:dyDescent="0.25">
      <c r="A101" s="483">
        <v>31102025</v>
      </c>
      <c r="B101" t="s">
        <v>572</v>
      </c>
      <c r="C101" s="28" t="s">
        <v>13</v>
      </c>
      <c r="D101" s="233">
        <v>45961</v>
      </c>
      <c r="E101" s="28"/>
      <c r="F101" s="28" t="s">
        <v>68</v>
      </c>
      <c r="G101" s="1067" t="s">
        <v>7217</v>
      </c>
      <c r="H101" s="30" t="s">
        <v>7218</v>
      </c>
      <c r="I101" s="88">
        <v>11328</v>
      </c>
      <c r="J101" s="88">
        <f t="shared" si="4"/>
        <v>9968.64</v>
      </c>
      <c r="K101" s="236" t="s">
        <v>17</v>
      </c>
      <c r="L101" s="233">
        <v>45960</v>
      </c>
      <c r="M101" s="88"/>
      <c r="T101" t="s">
        <v>6503</v>
      </c>
      <c r="U101" s="360">
        <v>0.35416666666666669</v>
      </c>
      <c r="V101" s="360"/>
    </row>
    <row r="102" spans="1:16382" hidden="1" x14ac:dyDescent="0.25">
      <c r="A102" s="483" t="s">
        <v>7245</v>
      </c>
      <c r="B102" t="s">
        <v>572</v>
      </c>
      <c r="C102" s="28" t="s">
        <v>13</v>
      </c>
      <c r="D102" s="233">
        <v>45969</v>
      </c>
      <c r="E102" s="28"/>
      <c r="F102" s="28" t="s">
        <v>207</v>
      </c>
      <c r="G102" s="1067" t="s">
        <v>7249</v>
      </c>
      <c r="H102" s="30" t="s">
        <v>7250</v>
      </c>
      <c r="I102" s="88">
        <f>8307.2*1.13636363636364</f>
        <v>9440.0000000000309</v>
      </c>
      <c r="J102" s="88">
        <f t="shared" si="4"/>
        <v>8307.200000000028</v>
      </c>
      <c r="K102" s="359" t="s">
        <v>17</v>
      </c>
      <c r="L102" s="233">
        <v>45969</v>
      </c>
      <c r="M102" s="88"/>
      <c r="T102" t="s">
        <v>7078</v>
      </c>
      <c r="U102" s="360">
        <v>0.29236111111111113</v>
      </c>
      <c r="V102" s="360">
        <v>0.50416666666666665</v>
      </c>
    </row>
    <row r="103" spans="1:16382" hidden="1" x14ac:dyDescent="0.25">
      <c r="A103" s="483">
        <v>23112025</v>
      </c>
      <c r="B103" t="s">
        <v>572</v>
      </c>
      <c r="C103" s="28" t="s">
        <v>4218</v>
      </c>
      <c r="D103" s="233">
        <v>45984</v>
      </c>
      <c r="E103" s="28"/>
      <c r="F103" s="28" t="s">
        <v>207</v>
      </c>
      <c r="G103" s="1067" t="s">
        <v>7425</v>
      </c>
      <c r="H103" s="30" t="s">
        <v>7424</v>
      </c>
      <c r="I103" s="88">
        <v>9440</v>
      </c>
      <c r="J103" s="88">
        <f t="shared" si="4"/>
        <v>8307.2000000000007</v>
      </c>
      <c r="K103" s="359" t="s">
        <v>17</v>
      </c>
      <c r="L103" s="233">
        <v>45984</v>
      </c>
      <c r="M103" s="88"/>
      <c r="R103" t="s">
        <v>4140</v>
      </c>
      <c r="S103" s="360">
        <v>0.41597222222222219</v>
      </c>
      <c r="T103" s="360">
        <v>0.62708333333333333</v>
      </c>
    </row>
    <row r="104" spans="1:16382" hidden="1" x14ac:dyDescent="0.25">
      <c r="A104" s="483">
        <v>27122025</v>
      </c>
      <c r="B104" t="s">
        <v>572</v>
      </c>
      <c r="C104" s="28" t="s">
        <v>4218</v>
      </c>
      <c r="D104" s="233">
        <v>46018</v>
      </c>
      <c r="E104" s="28"/>
      <c r="F104" s="28" t="s">
        <v>2008</v>
      </c>
      <c r="G104" s="1067" t="s">
        <v>7423</v>
      </c>
      <c r="H104" s="30" t="s">
        <v>7422</v>
      </c>
      <c r="I104" s="240">
        <v>12272</v>
      </c>
      <c r="J104" s="88">
        <f t="shared" si="4"/>
        <v>10799.36</v>
      </c>
      <c r="K104" s="971" t="s">
        <v>17</v>
      </c>
      <c r="L104" s="233">
        <v>46019</v>
      </c>
      <c r="M104" s="88"/>
      <c r="T104" t="s">
        <v>4140</v>
      </c>
      <c r="U104" s="360">
        <v>0.38819444444444445</v>
      </c>
      <c r="V104" s="360">
        <v>0.63888888888888895</v>
      </c>
    </row>
    <row r="105" spans="1:16382" hidden="1" x14ac:dyDescent="0.25">
      <c r="A105" s="483" t="s">
        <v>7651</v>
      </c>
      <c r="B105" t="s">
        <v>572</v>
      </c>
      <c r="C105" s="28" t="s">
        <v>4218</v>
      </c>
      <c r="D105" s="233">
        <v>46066</v>
      </c>
      <c r="E105" s="28"/>
      <c r="F105" s="28" t="s">
        <v>294</v>
      </c>
      <c r="G105" s="1067" t="s">
        <v>7688</v>
      </c>
      <c r="H105" t="s">
        <v>7689</v>
      </c>
      <c r="I105" s="240">
        <v>9440</v>
      </c>
      <c r="J105" s="88">
        <f t="shared" si="4"/>
        <v>8307.2000000000007</v>
      </c>
      <c r="K105" s="236" t="s">
        <v>17</v>
      </c>
      <c r="L105" s="233">
        <v>46066</v>
      </c>
      <c r="M105" s="88"/>
      <c r="T105" t="s">
        <v>5989</v>
      </c>
      <c r="U105" s="360">
        <v>0.4381944444444445</v>
      </c>
      <c r="V105" s="360"/>
    </row>
    <row r="106" spans="1:16382" hidden="1" x14ac:dyDescent="0.25">
      <c r="A106" s="483">
        <v>24022026</v>
      </c>
      <c r="B106" t="s">
        <v>572</v>
      </c>
      <c r="C106" s="28" t="s">
        <v>4218</v>
      </c>
      <c r="D106" s="233">
        <v>46077</v>
      </c>
      <c r="F106" s="28" t="s">
        <v>6072</v>
      </c>
      <c r="G106" s="1067" t="s">
        <v>8103</v>
      </c>
      <c r="H106" s="30" t="s">
        <v>7739</v>
      </c>
      <c r="I106" s="915">
        <f>19148.88*100/88</f>
        <v>21760.090909090908</v>
      </c>
      <c r="J106" s="88">
        <f t="shared" si="4"/>
        <v>19148.88</v>
      </c>
      <c r="K106" s="971" t="s">
        <v>17</v>
      </c>
      <c r="L106" s="233">
        <v>46076</v>
      </c>
      <c r="M106" s="88"/>
      <c r="T106" t="s">
        <v>7078</v>
      </c>
      <c r="U106" s="360">
        <v>0.34166666666666662</v>
      </c>
      <c r="V106" s="360">
        <v>0.71250000000000002</v>
      </c>
    </row>
    <row r="107" spans="1:16382" s="21" customFormat="1" hidden="1" x14ac:dyDescent="0.25">
      <c r="A107" s="483" t="s">
        <v>7916</v>
      </c>
      <c r="B107" t="s">
        <v>572</v>
      </c>
      <c r="C107" s="28" t="s">
        <v>13</v>
      </c>
      <c r="D107" s="233">
        <v>46117</v>
      </c>
      <c r="E107" s="28"/>
      <c r="F107" s="28" t="s">
        <v>207</v>
      </c>
      <c r="G107" s="1388" t="s">
        <v>7940</v>
      </c>
      <c r="H107" s="21" t="s">
        <v>7923</v>
      </c>
      <c r="I107" s="915">
        <v>11052</v>
      </c>
      <c r="J107" s="88">
        <f t="shared" si="4"/>
        <v>9725.76</v>
      </c>
      <c r="K107" s="1439" t="s">
        <v>17</v>
      </c>
      <c r="L107" s="798"/>
      <c r="N107" s="88"/>
      <c r="O107"/>
      <c r="P107"/>
      <c r="Q107"/>
      <c r="R107"/>
      <c r="S107" t="s">
        <v>4867</v>
      </c>
      <c r="T107" s="360">
        <v>0.27291666666666664</v>
      </c>
      <c r="U107" s="360">
        <v>0.49236111111111108</v>
      </c>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c r="KT107"/>
      <c r="KU107"/>
      <c r="KV107"/>
      <c r="KW107"/>
      <c r="KX107"/>
      <c r="KY107"/>
      <c r="KZ107"/>
      <c r="LA107"/>
      <c r="LB107"/>
      <c r="LC107"/>
      <c r="LD107"/>
      <c r="LE107"/>
      <c r="LF107"/>
      <c r="LG107"/>
      <c r="LH107"/>
      <c r="LI107"/>
      <c r="LJ107"/>
      <c r="LK107"/>
      <c r="LL107"/>
      <c r="LM107"/>
      <c r="LN107"/>
      <c r="LO107"/>
      <c r="LP107"/>
      <c r="LQ107"/>
      <c r="LR107"/>
      <c r="LS107"/>
      <c r="LT107"/>
      <c r="LU107"/>
      <c r="LV107"/>
      <c r="LW107"/>
      <c r="LX107"/>
      <c r="LY107"/>
      <c r="LZ107"/>
      <c r="MA107"/>
      <c r="MB107"/>
      <c r="MC107"/>
      <c r="MD107"/>
      <c r="ME107"/>
      <c r="MF107"/>
      <c r="MG107"/>
      <c r="MH107"/>
      <c r="MI107"/>
      <c r="MJ107"/>
      <c r="MK107"/>
      <c r="ML107"/>
      <c r="MM107"/>
      <c r="MN107"/>
      <c r="MO107"/>
      <c r="MP107"/>
      <c r="MQ107"/>
      <c r="MR107"/>
      <c r="MS107"/>
      <c r="MT107"/>
      <c r="MU107"/>
      <c r="MV107"/>
      <c r="MW107"/>
      <c r="MX107"/>
      <c r="MY107"/>
      <c r="MZ107"/>
      <c r="NA107"/>
      <c r="NB107"/>
      <c r="NC107"/>
      <c r="ND107"/>
      <c r="NE107"/>
      <c r="NF107"/>
      <c r="NG107"/>
      <c r="NH107"/>
      <c r="NI107"/>
      <c r="NJ107"/>
      <c r="NK107"/>
      <c r="NL107"/>
      <c r="NM107"/>
      <c r="NN107"/>
      <c r="NO107"/>
      <c r="NP107"/>
      <c r="NQ107"/>
      <c r="NR107"/>
      <c r="NS107"/>
      <c r="NT107"/>
      <c r="NU107"/>
      <c r="NV107"/>
      <c r="NW107"/>
      <c r="NX107"/>
      <c r="NY107"/>
      <c r="NZ107"/>
      <c r="OA107"/>
      <c r="OB107"/>
      <c r="OC107"/>
      <c r="OD107"/>
      <c r="OE107"/>
      <c r="OF107"/>
      <c r="OG107"/>
      <c r="OH107"/>
      <c r="OI107"/>
      <c r="OJ107"/>
      <c r="OK107"/>
      <c r="OL107"/>
      <c r="OM107"/>
      <c r="ON107"/>
      <c r="OO107"/>
      <c r="OP107"/>
      <c r="OQ107"/>
      <c r="OR107"/>
      <c r="OS107"/>
      <c r="OT107"/>
      <c r="OU107"/>
      <c r="OV107"/>
      <c r="OW107"/>
      <c r="OX107"/>
      <c r="OY107"/>
      <c r="OZ107"/>
      <c r="PA107"/>
      <c r="PB107"/>
      <c r="PC107"/>
      <c r="PD107"/>
      <c r="PE107"/>
      <c r="PF107"/>
      <c r="PG107"/>
      <c r="PH107"/>
      <c r="PI107"/>
      <c r="PJ107"/>
      <c r="PK107"/>
      <c r="PL107"/>
      <c r="PM107"/>
      <c r="PN107"/>
      <c r="PO107"/>
      <c r="PP107"/>
      <c r="PQ107"/>
      <c r="PR107"/>
      <c r="PS107"/>
      <c r="PT107"/>
      <c r="PU107"/>
      <c r="PV107"/>
      <c r="PW107"/>
      <c r="PX107"/>
      <c r="PY107"/>
      <c r="PZ107"/>
      <c r="QA107"/>
      <c r="QB107"/>
      <c r="QC107"/>
      <c r="QD107"/>
      <c r="QE107"/>
      <c r="QF107"/>
      <c r="QG107"/>
      <c r="QH107"/>
      <c r="QI107"/>
      <c r="QJ107"/>
      <c r="QK107"/>
      <c r="QL107"/>
      <c r="QM107"/>
      <c r="QN107"/>
      <c r="QO107"/>
      <c r="QP107"/>
      <c r="QQ107"/>
      <c r="QR107"/>
      <c r="QS107"/>
      <c r="QT107"/>
      <c r="QU107"/>
      <c r="QV107"/>
      <c r="QW107"/>
      <c r="QX107"/>
      <c r="QY107"/>
      <c r="QZ107"/>
      <c r="RA107"/>
      <c r="RB107"/>
      <c r="RC107"/>
      <c r="RD107"/>
      <c r="RE107"/>
      <c r="RF107"/>
      <c r="RG107"/>
      <c r="RH107"/>
      <c r="RI107"/>
      <c r="RJ107"/>
      <c r="RK107"/>
      <c r="RL107"/>
      <c r="RM107"/>
      <c r="RN107"/>
      <c r="RO107"/>
      <c r="RP107"/>
      <c r="RQ107"/>
      <c r="RR107"/>
      <c r="RS107"/>
      <c r="RT107"/>
      <c r="RU107"/>
      <c r="RV107"/>
      <c r="RW107"/>
      <c r="RX107"/>
      <c r="RY107"/>
      <c r="RZ107"/>
      <c r="SA107"/>
      <c r="SB107"/>
      <c r="SC107"/>
      <c r="SD107"/>
      <c r="SE107"/>
      <c r="SF107"/>
      <c r="SG107"/>
      <c r="SH107"/>
      <c r="SI107"/>
      <c r="SJ107"/>
      <c r="SK107"/>
      <c r="SL107"/>
      <c r="SM107"/>
      <c r="SN107"/>
      <c r="SO107"/>
      <c r="SP107"/>
      <c r="SQ107"/>
      <c r="SR107"/>
      <c r="SS107"/>
      <c r="ST107"/>
      <c r="SU107"/>
      <c r="SV107"/>
      <c r="SW107"/>
      <c r="SX107"/>
      <c r="SY107"/>
      <c r="SZ107"/>
      <c r="TA107"/>
      <c r="TB107"/>
      <c r="TC107"/>
      <c r="TD107"/>
      <c r="TE107"/>
      <c r="TF107"/>
      <c r="TG107"/>
      <c r="TH107"/>
      <c r="TI107"/>
      <c r="TJ107"/>
      <c r="TK107"/>
      <c r="TL107"/>
      <c r="TM107"/>
      <c r="TN107"/>
      <c r="TO107"/>
      <c r="TP107"/>
      <c r="TQ107"/>
      <c r="TR107"/>
      <c r="TS107"/>
      <c r="TT107"/>
      <c r="TU107"/>
      <c r="TV107"/>
      <c r="TW107"/>
      <c r="TX107"/>
      <c r="TY107"/>
      <c r="TZ107"/>
      <c r="UA107"/>
      <c r="UB107"/>
      <c r="UC107"/>
      <c r="UD107"/>
      <c r="UE107"/>
      <c r="UF107"/>
      <c r="UG107"/>
      <c r="UH107"/>
      <c r="UI107"/>
      <c r="UJ107"/>
      <c r="UK107"/>
      <c r="UL107"/>
      <c r="UM107"/>
      <c r="UN107"/>
      <c r="UO107"/>
      <c r="UP107"/>
      <c r="UQ107"/>
      <c r="UR107"/>
      <c r="US107"/>
      <c r="UT107"/>
      <c r="UU107"/>
      <c r="UV107"/>
      <c r="UW107"/>
      <c r="UX107"/>
      <c r="UY107"/>
      <c r="UZ107"/>
      <c r="VA107"/>
      <c r="VB107"/>
      <c r="VC107"/>
      <c r="VD107"/>
      <c r="VE107"/>
      <c r="VF107"/>
      <c r="VG107"/>
      <c r="VH107"/>
      <c r="VI107"/>
      <c r="VJ107"/>
      <c r="VK107"/>
      <c r="VL107"/>
      <c r="VM107"/>
      <c r="VN107"/>
      <c r="VO107"/>
      <c r="VP107"/>
      <c r="VQ107"/>
      <c r="VR107"/>
      <c r="VS107"/>
      <c r="VT107"/>
      <c r="VU107"/>
      <c r="VV107"/>
      <c r="VW107"/>
      <c r="VX107"/>
      <c r="VY107"/>
      <c r="VZ107"/>
      <c r="WA107"/>
      <c r="WB107"/>
      <c r="WC107"/>
      <c r="WD107"/>
      <c r="WE107"/>
      <c r="WF107"/>
      <c r="WG107"/>
      <c r="WH107"/>
      <c r="WI107"/>
      <c r="WJ107"/>
      <c r="WK107"/>
      <c r="WL107"/>
      <c r="WM107"/>
      <c r="WN107"/>
      <c r="WO107"/>
      <c r="WP107"/>
      <c r="WQ107"/>
      <c r="WR107"/>
      <c r="WS107"/>
      <c r="WT107"/>
      <c r="WU107"/>
      <c r="WV107"/>
      <c r="WW107"/>
      <c r="WX107"/>
      <c r="WY107"/>
      <c r="WZ107"/>
      <c r="XA107"/>
      <c r="XB107"/>
      <c r="XC107"/>
      <c r="XD107"/>
      <c r="XE107"/>
      <c r="XF107"/>
      <c r="XG107"/>
      <c r="XH107"/>
      <c r="XI107"/>
      <c r="XJ107"/>
      <c r="XK107"/>
      <c r="XL107"/>
      <c r="XM107"/>
      <c r="XN107"/>
      <c r="XO107"/>
      <c r="XP107"/>
      <c r="XQ107"/>
      <c r="XR107"/>
      <c r="XS107"/>
      <c r="XT107"/>
      <c r="XU107"/>
      <c r="XV107"/>
      <c r="XW107"/>
      <c r="XX107"/>
      <c r="XY107"/>
      <c r="XZ107"/>
      <c r="YA107"/>
      <c r="YB107"/>
      <c r="YC107"/>
      <c r="YD107"/>
      <c r="YE107"/>
      <c r="YF107"/>
      <c r="YG107"/>
      <c r="YH107"/>
      <c r="YI107"/>
      <c r="YJ107"/>
      <c r="YK107"/>
      <c r="YL107"/>
      <c r="YM107"/>
      <c r="YN107"/>
      <c r="YO107"/>
      <c r="YP107"/>
      <c r="YQ107"/>
      <c r="YR107"/>
      <c r="YS107"/>
      <c r="YT107"/>
      <c r="YU107"/>
      <c r="YV107"/>
      <c r="YW107"/>
      <c r="YX107"/>
      <c r="YY107"/>
      <c r="YZ107"/>
      <c r="ZA107"/>
      <c r="ZB107"/>
      <c r="ZC107"/>
      <c r="ZD107"/>
      <c r="ZE107"/>
      <c r="ZF107"/>
      <c r="ZG107"/>
      <c r="ZH107"/>
      <c r="ZI107"/>
      <c r="ZJ107"/>
      <c r="ZK107"/>
      <c r="ZL107"/>
      <c r="ZM107"/>
      <c r="ZN107"/>
      <c r="ZO107"/>
      <c r="ZP107"/>
      <c r="ZQ107"/>
      <c r="ZR107"/>
      <c r="ZS107"/>
      <c r="ZT107"/>
      <c r="ZU107"/>
      <c r="ZV107"/>
      <c r="ZW107"/>
      <c r="ZX107"/>
      <c r="ZY107"/>
      <c r="ZZ107"/>
      <c r="AAA107"/>
      <c r="AAB107"/>
      <c r="AAC107"/>
      <c r="AAD107"/>
      <c r="AAE107"/>
      <c r="AAF107"/>
      <c r="AAG107"/>
      <c r="AAH107"/>
      <c r="AAI107"/>
      <c r="AAJ107"/>
      <c r="AAK107"/>
      <c r="AAL107"/>
      <c r="AAM107"/>
      <c r="AAN107"/>
      <c r="AAO107"/>
      <c r="AAP107"/>
      <c r="AAQ107"/>
      <c r="AAR107"/>
      <c r="AAS107"/>
      <c r="AAT107"/>
      <c r="AAU107"/>
      <c r="AAV107"/>
      <c r="AAW107"/>
      <c r="AAX107"/>
      <c r="AAY107"/>
      <c r="AAZ107"/>
      <c r="ABA107"/>
      <c r="ABB107"/>
      <c r="ABC107"/>
      <c r="ABD107"/>
      <c r="ABE107"/>
      <c r="ABF107"/>
      <c r="ABG107"/>
      <c r="ABH107"/>
      <c r="ABI107"/>
      <c r="ABJ107"/>
      <c r="ABK107"/>
      <c r="ABL107"/>
      <c r="ABM107"/>
      <c r="ABN107"/>
      <c r="ABO107"/>
      <c r="ABP107"/>
      <c r="ABQ107"/>
      <c r="ABR107"/>
      <c r="ABS107"/>
      <c r="ABT107"/>
      <c r="ABU107"/>
      <c r="ABV107"/>
      <c r="ABW107"/>
      <c r="ABX107"/>
      <c r="ABY107"/>
      <c r="ABZ107"/>
      <c r="ACA107"/>
      <c r="ACB107"/>
      <c r="ACC107"/>
      <c r="ACD107"/>
      <c r="ACE107"/>
      <c r="ACF107"/>
      <c r="ACG107"/>
      <c r="ACH107"/>
      <c r="ACI107"/>
      <c r="ACJ107"/>
      <c r="ACK107"/>
      <c r="ACL107"/>
      <c r="ACM107"/>
      <c r="ACN107"/>
      <c r="ACO107"/>
      <c r="ACP107"/>
      <c r="ACQ107"/>
      <c r="ACR107"/>
      <c r="ACS107"/>
      <c r="ACT107"/>
      <c r="ACU107"/>
      <c r="ACV107"/>
      <c r="ACW107"/>
      <c r="ACX107"/>
      <c r="ACY107"/>
      <c r="ACZ107"/>
      <c r="ADA107"/>
      <c r="ADB107"/>
      <c r="ADC107"/>
      <c r="ADD107"/>
      <c r="ADE107"/>
      <c r="ADF107"/>
      <c r="ADG107"/>
      <c r="ADH107"/>
      <c r="ADI107"/>
      <c r="ADJ107"/>
      <c r="ADK107"/>
      <c r="ADL107"/>
      <c r="ADM107"/>
      <c r="ADN107"/>
      <c r="ADO107"/>
      <c r="ADP107"/>
      <c r="ADQ107"/>
      <c r="ADR107"/>
      <c r="ADS107"/>
      <c r="ADT107"/>
      <c r="ADU107"/>
      <c r="ADV107"/>
      <c r="ADW107"/>
      <c r="ADX107"/>
      <c r="ADY107"/>
      <c r="ADZ107"/>
      <c r="AEA107"/>
      <c r="AEB107"/>
      <c r="AEC107"/>
      <c r="AED107"/>
      <c r="AEE107"/>
      <c r="AEF107"/>
      <c r="AEG107"/>
      <c r="AEH107"/>
      <c r="AEI107"/>
      <c r="AEJ107"/>
      <c r="AEK107"/>
      <c r="AEL107"/>
      <c r="AEM107"/>
      <c r="AEN107"/>
      <c r="AEO107"/>
      <c r="AEP107"/>
      <c r="AEQ107"/>
      <c r="AER107"/>
      <c r="AES107"/>
      <c r="AET107"/>
      <c r="AEU107"/>
      <c r="AEV107"/>
      <c r="AEW107"/>
      <c r="AEX107"/>
      <c r="AEY107"/>
      <c r="AEZ107"/>
      <c r="AFA107"/>
      <c r="AFB107"/>
      <c r="AFC107"/>
      <c r="AFD107"/>
      <c r="AFE107"/>
      <c r="AFF107"/>
      <c r="AFG107"/>
      <c r="AFH107"/>
      <c r="AFI107"/>
      <c r="AFJ107"/>
      <c r="AFK107"/>
      <c r="AFL107"/>
      <c r="AFM107"/>
      <c r="AFN107"/>
      <c r="AFO107"/>
      <c r="AFP107"/>
      <c r="AFQ107"/>
      <c r="AFR107"/>
      <c r="AFS107"/>
      <c r="AFT107"/>
      <c r="AFU107"/>
      <c r="AFV107"/>
      <c r="AFW107"/>
      <c r="AFX107"/>
      <c r="AFY107"/>
      <c r="AFZ107"/>
      <c r="AGA107"/>
      <c r="AGB107"/>
      <c r="AGC107"/>
      <c r="AGD107"/>
      <c r="AGE107"/>
      <c r="AGF107"/>
      <c r="AGG107"/>
      <c r="AGH107"/>
      <c r="AGI107"/>
      <c r="AGJ107"/>
      <c r="AGK107"/>
      <c r="AGL107"/>
      <c r="AGM107"/>
      <c r="AGN107"/>
      <c r="AGO107"/>
      <c r="AGP107"/>
      <c r="AGQ107"/>
      <c r="AGR107"/>
      <c r="AGS107"/>
      <c r="AGT107"/>
      <c r="AGU107"/>
      <c r="AGV107"/>
      <c r="AGW107"/>
      <c r="AGX107"/>
      <c r="AGY107"/>
      <c r="AGZ107"/>
      <c r="AHA107"/>
      <c r="AHB107"/>
      <c r="AHC107"/>
      <c r="AHD107"/>
      <c r="AHE107"/>
      <c r="AHF107"/>
      <c r="AHG107"/>
      <c r="AHH107"/>
      <c r="AHI107"/>
      <c r="AHJ107"/>
      <c r="AHK107"/>
      <c r="AHL107"/>
      <c r="AHM107"/>
      <c r="AHN107"/>
      <c r="AHO107"/>
      <c r="AHP107"/>
      <c r="AHQ107"/>
      <c r="AHR107"/>
      <c r="AHS107"/>
      <c r="AHT107"/>
      <c r="AHU107"/>
      <c r="AHV107"/>
      <c r="AHW107"/>
      <c r="AHX107"/>
      <c r="AHY107"/>
      <c r="AHZ107"/>
      <c r="AIA107"/>
      <c r="AIB107"/>
      <c r="AIC107"/>
      <c r="AID107"/>
      <c r="AIE107"/>
      <c r="AIF107"/>
      <c r="AIG107"/>
      <c r="AIH107"/>
      <c r="AII107"/>
      <c r="AIJ107"/>
      <c r="AIK107"/>
      <c r="AIL107"/>
      <c r="AIM107"/>
      <c r="AIN107"/>
      <c r="AIO107"/>
      <c r="AIP107"/>
      <c r="AIQ107"/>
      <c r="AIR107"/>
      <c r="AIS107"/>
      <c r="AIT107"/>
      <c r="AIU107"/>
      <c r="AIV107"/>
      <c r="AIW107"/>
      <c r="AIX107"/>
      <c r="AIY107"/>
      <c r="AIZ107"/>
      <c r="AJA107"/>
      <c r="AJB107"/>
      <c r="AJC107"/>
      <c r="AJD107"/>
      <c r="AJE107"/>
      <c r="AJF107"/>
      <c r="AJG107"/>
      <c r="AJH107"/>
      <c r="AJI107"/>
      <c r="AJJ107"/>
      <c r="AJK107"/>
      <c r="AJL107"/>
      <c r="AJM107"/>
      <c r="AJN107"/>
      <c r="AJO107"/>
      <c r="AJP107"/>
      <c r="AJQ107"/>
      <c r="AJR107"/>
      <c r="AJS107"/>
      <c r="AJT107"/>
      <c r="AJU107"/>
      <c r="AJV107"/>
      <c r="AJW107"/>
      <c r="AJX107"/>
      <c r="AJY107"/>
      <c r="AJZ107"/>
      <c r="AKA107"/>
      <c r="AKB107"/>
      <c r="AKC107"/>
      <c r="AKD107"/>
      <c r="AKE107"/>
      <c r="AKF107"/>
      <c r="AKG107"/>
      <c r="AKH107"/>
      <c r="AKI107"/>
      <c r="AKJ107"/>
      <c r="AKK107"/>
      <c r="AKL107"/>
      <c r="AKM107"/>
      <c r="AKN107"/>
      <c r="AKO107"/>
      <c r="AKP107"/>
      <c r="AKQ107"/>
      <c r="AKR107"/>
      <c r="AKS107"/>
      <c r="AKT107"/>
      <c r="AKU107"/>
      <c r="AKV107"/>
      <c r="AKW107"/>
      <c r="AKX107"/>
      <c r="AKY107"/>
      <c r="AKZ107"/>
      <c r="ALA107"/>
      <c r="ALB107"/>
      <c r="ALC107"/>
      <c r="ALD107"/>
      <c r="ALE107"/>
      <c r="ALF107"/>
      <c r="ALG107"/>
      <c r="ALH107"/>
      <c r="ALI107"/>
      <c r="ALJ107"/>
      <c r="ALK107"/>
      <c r="ALL107"/>
      <c r="ALM107"/>
      <c r="ALN107"/>
      <c r="ALO107"/>
      <c r="ALP107"/>
      <c r="ALQ107"/>
      <c r="ALR107"/>
      <c r="ALS107"/>
      <c r="ALT107"/>
      <c r="ALU107"/>
      <c r="ALV107"/>
      <c r="ALW107"/>
      <c r="ALX107"/>
      <c r="ALY107"/>
      <c r="ALZ107"/>
      <c r="AMA107"/>
      <c r="AMB107"/>
      <c r="AMC107"/>
      <c r="AMD107"/>
      <c r="AME107"/>
      <c r="AMF107"/>
      <c r="AMG107"/>
      <c r="AMH107"/>
      <c r="AMI107"/>
      <c r="AMJ107"/>
      <c r="AMK107"/>
      <c r="AML107"/>
      <c r="AMM107"/>
      <c r="AMN107"/>
      <c r="AMO107"/>
      <c r="AMP107"/>
      <c r="AMQ107"/>
      <c r="AMR107"/>
      <c r="AMS107"/>
      <c r="AMT107"/>
      <c r="AMU107"/>
      <c r="AMV107"/>
      <c r="AMW107"/>
      <c r="AMX107"/>
      <c r="AMY107"/>
      <c r="AMZ107"/>
      <c r="ANA107"/>
      <c r="ANB107"/>
      <c r="ANC107"/>
      <c r="AND107"/>
      <c r="ANE107"/>
      <c r="ANF107"/>
      <c r="ANG107"/>
      <c r="ANH107"/>
      <c r="ANI107"/>
      <c r="ANJ107"/>
      <c r="ANK107"/>
      <c r="ANL107"/>
      <c r="ANM107"/>
      <c r="ANN107"/>
      <c r="ANO107"/>
      <c r="ANP107"/>
      <c r="ANQ107"/>
      <c r="ANR107"/>
      <c r="ANS107"/>
      <c r="ANT107"/>
      <c r="ANU107"/>
      <c r="ANV107"/>
      <c r="ANW107"/>
      <c r="ANX107"/>
      <c r="ANY107"/>
      <c r="ANZ107"/>
      <c r="AOA107"/>
      <c r="AOB107"/>
      <c r="AOC107"/>
      <c r="AOD107"/>
      <c r="AOE107"/>
      <c r="AOF107"/>
      <c r="AOG107"/>
      <c r="AOH107"/>
      <c r="AOI107"/>
      <c r="AOJ107"/>
      <c r="AOK107"/>
      <c r="AOL107"/>
      <c r="AOM107"/>
      <c r="AON107"/>
      <c r="AOO107"/>
      <c r="AOP107"/>
      <c r="AOQ107"/>
      <c r="AOR107"/>
      <c r="AOS107"/>
      <c r="AOT107"/>
      <c r="AOU107"/>
      <c r="AOV107"/>
      <c r="AOW107"/>
      <c r="AOX107"/>
      <c r="AOY107"/>
      <c r="AOZ107"/>
      <c r="APA107"/>
      <c r="APB107"/>
      <c r="APC107"/>
      <c r="APD107"/>
      <c r="APE107"/>
      <c r="APF107"/>
      <c r="APG107"/>
      <c r="APH107"/>
      <c r="API107"/>
      <c r="APJ107"/>
      <c r="APK107"/>
      <c r="APL107"/>
      <c r="APM107"/>
      <c r="APN107"/>
      <c r="APO107"/>
      <c r="APP107"/>
      <c r="APQ107"/>
      <c r="APR107"/>
      <c r="APS107"/>
      <c r="APT107"/>
      <c r="APU107"/>
      <c r="APV107"/>
      <c r="APW107"/>
      <c r="APX107"/>
      <c r="APY107"/>
      <c r="APZ107"/>
      <c r="AQA107"/>
      <c r="AQB107"/>
      <c r="AQC107"/>
      <c r="AQD107"/>
      <c r="AQE107"/>
      <c r="AQF107"/>
      <c r="AQG107"/>
      <c r="AQH107"/>
      <c r="AQI107"/>
      <c r="AQJ107"/>
      <c r="AQK107"/>
      <c r="AQL107"/>
      <c r="AQM107"/>
      <c r="AQN107"/>
      <c r="AQO107"/>
      <c r="AQP107"/>
      <c r="AQQ107"/>
      <c r="AQR107"/>
      <c r="AQS107"/>
      <c r="AQT107"/>
      <c r="AQU107"/>
      <c r="AQV107"/>
      <c r="AQW107"/>
      <c r="AQX107"/>
      <c r="AQY107"/>
      <c r="AQZ107"/>
      <c r="ARA107"/>
      <c r="ARB107"/>
      <c r="ARC107"/>
      <c r="ARD107"/>
      <c r="ARE107"/>
      <c r="ARF107"/>
      <c r="ARG107"/>
      <c r="ARH107"/>
      <c r="ARI107"/>
      <c r="ARJ107"/>
      <c r="ARK107"/>
      <c r="ARL107"/>
      <c r="ARM107"/>
      <c r="ARN107"/>
      <c r="ARO107"/>
      <c r="ARP107"/>
      <c r="ARQ107"/>
      <c r="ARR107"/>
      <c r="ARS107"/>
      <c r="ART107"/>
      <c r="ARU107"/>
      <c r="ARV107"/>
      <c r="ARW107"/>
      <c r="ARX107"/>
      <c r="ARY107"/>
      <c r="ARZ107"/>
      <c r="ASA107"/>
      <c r="ASB107"/>
      <c r="ASC107"/>
      <c r="ASD107"/>
      <c r="ASE107"/>
      <c r="ASF107"/>
      <c r="ASG107"/>
      <c r="ASH107"/>
      <c r="ASI107"/>
      <c r="ASJ107"/>
      <c r="ASK107"/>
      <c r="ASL107"/>
      <c r="ASM107"/>
      <c r="ASN107"/>
      <c r="ASO107"/>
      <c r="ASP107"/>
      <c r="ASQ107"/>
      <c r="ASR107"/>
      <c r="ASS107"/>
      <c r="AST107"/>
      <c r="ASU107"/>
      <c r="ASV107"/>
      <c r="ASW107"/>
      <c r="ASX107"/>
      <c r="ASY107"/>
      <c r="ASZ107"/>
      <c r="ATA107"/>
      <c r="ATB107"/>
      <c r="ATC107"/>
      <c r="ATD107"/>
      <c r="ATE107"/>
      <c r="ATF107"/>
      <c r="ATG107"/>
      <c r="ATH107"/>
      <c r="ATI107"/>
      <c r="ATJ107"/>
      <c r="ATK107"/>
      <c r="ATL107"/>
      <c r="ATM107"/>
      <c r="ATN107"/>
      <c r="ATO107"/>
      <c r="ATP107"/>
      <c r="ATQ107"/>
      <c r="ATR107"/>
      <c r="ATS107"/>
      <c r="ATT107"/>
      <c r="ATU107"/>
      <c r="ATV107"/>
      <c r="ATW107"/>
      <c r="ATX107"/>
      <c r="ATY107"/>
      <c r="ATZ107"/>
      <c r="AUA107"/>
      <c r="AUB107"/>
      <c r="AUC107"/>
      <c r="AUD107"/>
      <c r="AUE107"/>
      <c r="AUF107"/>
      <c r="AUG107"/>
      <c r="AUH107"/>
      <c r="AUI107"/>
      <c r="AUJ107"/>
      <c r="AUK107"/>
      <c r="AUL107"/>
      <c r="AUM107"/>
      <c r="AUN107"/>
      <c r="AUO107"/>
      <c r="AUP107"/>
      <c r="AUQ107"/>
      <c r="AUR107"/>
      <c r="AUS107"/>
      <c r="AUT107"/>
      <c r="AUU107"/>
      <c r="AUV107"/>
      <c r="AUW107"/>
      <c r="AUX107"/>
      <c r="AUY107"/>
      <c r="AUZ107"/>
      <c r="AVA107"/>
      <c r="AVB107"/>
      <c r="AVC107"/>
      <c r="AVD107"/>
      <c r="AVE107"/>
      <c r="AVF107"/>
      <c r="AVG107"/>
      <c r="AVH107"/>
      <c r="AVI107"/>
      <c r="AVJ107"/>
      <c r="AVK107"/>
      <c r="AVL107"/>
      <c r="AVM107"/>
      <c r="AVN107"/>
      <c r="AVO107"/>
      <c r="AVP107"/>
      <c r="AVQ107"/>
      <c r="AVR107"/>
      <c r="AVS107"/>
      <c r="AVT107"/>
      <c r="AVU107"/>
      <c r="AVV107"/>
      <c r="AVW107"/>
      <c r="AVX107"/>
      <c r="AVY107"/>
      <c r="AVZ107"/>
      <c r="AWA107"/>
      <c r="AWB107"/>
      <c r="AWC107"/>
      <c r="AWD107"/>
      <c r="AWE107"/>
      <c r="AWF107"/>
      <c r="AWG107"/>
      <c r="AWH107"/>
      <c r="AWI107"/>
      <c r="AWJ107"/>
      <c r="AWK107"/>
      <c r="AWL107"/>
      <c r="AWM107"/>
      <c r="AWN107"/>
      <c r="AWO107"/>
      <c r="AWP107"/>
      <c r="AWQ107"/>
      <c r="AWR107"/>
      <c r="AWS107"/>
      <c r="AWT107"/>
      <c r="AWU107"/>
      <c r="AWV107"/>
      <c r="AWW107"/>
      <c r="AWX107"/>
      <c r="AWY107"/>
      <c r="AWZ107"/>
      <c r="AXA107"/>
      <c r="AXB107"/>
      <c r="AXC107"/>
      <c r="AXD107"/>
      <c r="AXE107"/>
      <c r="AXF107"/>
      <c r="AXG107"/>
      <c r="AXH107"/>
      <c r="AXI107"/>
      <c r="AXJ107"/>
      <c r="AXK107"/>
      <c r="AXL107"/>
      <c r="AXM107"/>
      <c r="AXN107"/>
      <c r="AXO107"/>
      <c r="AXP107"/>
      <c r="AXQ107"/>
      <c r="AXR107"/>
      <c r="AXS107"/>
      <c r="AXT107"/>
      <c r="AXU107"/>
      <c r="AXV107"/>
      <c r="AXW107"/>
      <c r="AXX107"/>
      <c r="AXY107"/>
      <c r="AXZ107"/>
      <c r="AYA107"/>
      <c r="AYB107"/>
      <c r="AYC107"/>
      <c r="AYD107"/>
      <c r="AYE107"/>
      <c r="AYF107"/>
      <c r="AYG107"/>
      <c r="AYH107"/>
      <c r="AYI107"/>
      <c r="AYJ107"/>
      <c r="AYK107"/>
      <c r="AYL107"/>
      <c r="AYM107"/>
      <c r="AYN107"/>
      <c r="AYO107"/>
      <c r="AYP107"/>
      <c r="AYQ107"/>
      <c r="AYR107"/>
      <c r="AYS107"/>
      <c r="AYT107"/>
      <c r="AYU107"/>
      <c r="AYV107"/>
      <c r="AYW107"/>
      <c r="AYX107"/>
      <c r="AYY107"/>
      <c r="AYZ107"/>
      <c r="AZA107"/>
      <c r="AZB107"/>
      <c r="AZC107"/>
      <c r="AZD107"/>
      <c r="AZE107"/>
      <c r="AZF107"/>
      <c r="AZG107"/>
      <c r="AZH107"/>
      <c r="AZI107"/>
      <c r="AZJ107"/>
      <c r="AZK107"/>
      <c r="AZL107"/>
      <c r="AZM107"/>
      <c r="AZN107"/>
      <c r="AZO107"/>
      <c r="AZP107"/>
      <c r="AZQ107"/>
      <c r="AZR107"/>
      <c r="AZS107"/>
      <c r="AZT107"/>
      <c r="AZU107"/>
      <c r="AZV107"/>
      <c r="AZW107"/>
      <c r="AZX107"/>
      <c r="AZY107"/>
      <c r="AZZ107"/>
      <c r="BAA107"/>
      <c r="BAB107"/>
      <c r="BAC107"/>
      <c r="BAD107"/>
      <c r="BAE107"/>
      <c r="BAF107"/>
      <c r="BAG107"/>
      <c r="BAH107"/>
      <c r="BAI107"/>
      <c r="BAJ107"/>
      <c r="BAK107"/>
      <c r="BAL107"/>
      <c r="BAM107"/>
      <c r="BAN107"/>
      <c r="BAO107"/>
      <c r="BAP107"/>
      <c r="BAQ107"/>
      <c r="BAR107"/>
      <c r="BAS107"/>
      <c r="BAT107"/>
      <c r="BAU107"/>
      <c r="BAV107"/>
      <c r="BAW107"/>
      <c r="BAX107"/>
      <c r="BAY107"/>
      <c r="BAZ107"/>
      <c r="BBA107"/>
      <c r="BBB107"/>
      <c r="BBC107"/>
      <c r="BBD107"/>
      <c r="BBE107"/>
      <c r="BBF107"/>
      <c r="BBG107"/>
      <c r="BBH107"/>
      <c r="BBI107"/>
      <c r="BBJ107"/>
      <c r="BBK107"/>
      <c r="BBL107"/>
      <c r="BBM107"/>
      <c r="BBN107"/>
      <c r="BBO107"/>
      <c r="BBP107"/>
      <c r="BBQ107"/>
      <c r="BBR107"/>
      <c r="BBS107"/>
      <c r="BBT107"/>
      <c r="BBU107"/>
      <c r="BBV107"/>
      <c r="BBW107"/>
      <c r="BBX107"/>
      <c r="BBY107"/>
      <c r="BBZ107"/>
      <c r="BCA107"/>
      <c r="BCB107"/>
      <c r="BCC107"/>
      <c r="BCD107"/>
      <c r="BCE107"/>
      <c r="BCF107"/>
      <c r="BCG107"/>
      <c r="BCH107"/>
      <c r="BCI107"/>
      <c r="BCJ107"/>
      <c r="BCK107"/>
      <c r="BCL107"/>
      <c r="BCM107"/>
      <c r="BCN107"/>
      <c r="BCO107"/>
      <c r="BCP107"/>
      <c r="BCQ107"/>
      <c r="BCR107"/>
      <c r="BCS107"/>
      <c r="BCT107"/>
      <c r="BCU107"/>
      <c r="BCV107"/>
      <c r="BCW107"/>
      <c r="BCX107"/>
      <c r="BCY107"/>
      <c r="BCZ107"/>
      <c r="BDA107"/>
      <c r="BDB107"/>
      <c r="BDC107"/>
      <c r="BDD107"/>
      <c r="BDE107"/>
      <c r="BDF107"/>
      <c r="BDG107"/>
      <c r="BDH107"/>
      <c r="BDI107"/>
      <c r="BDJ107"/>
      <c r="BDK107"/>
      <c r="BDL107"/>
      <c r="BDM107"/>
      <c r="BDN107"/>
      <c r="BDO107"/>
      <c r="BDP107"/>
      <c r="BDQ107"/>
      <c r="BDR107"/>
      <c r="BDS107"/>
      <c r="BDT107"/>
      <c r="BDU107"/>
      <c r="BDV107"/>
      <c r="BDW107"/>
      <c r="BDX107"/>
      <c r="BDY107"/>
      <c r="BDZ107"/>
      <c r="BEA107"/>
      <c r="BEB107"/>
      <c r="BEC107"/>
      <c r="BED107"/>
      <c r="BEE107"/>
      <c r="BEF107"/>
      <c r="BEG107"/>
      <c r="BEH107"/>
      <c r="BEI107"/>
      <c r="BEJ107"/>
      <c r="BEK107"/>
      <c r="BEL107"/>
      <c r="BEM107"/>
      <c r="BEN107"/>
      <c r="BEO107"/>
      <c r="BEP107"/>
      <c r="BEQ107"/>
      <c r="BER107"/>
      <c r="BES107"/>
      <c r="BET107"/>
      <c r="BEU107"/>
      <c r="BEV107"/>
      <c r="BEW107"/>
      <c r="BEX107"/>
      <c r="BEY107"/>
      <c r="BEZ107"/>
      <c r="BFA107"/>
      <c r="BFB107"/>
      <c r="BFC107"/>
      <c r="BFD107"/>
      <c r="BFE107"/>
      <c r="BFF107"/>
      <c r="BFG107"/>
      <c r="BFH107"/>
      <c r="BFI107"/>
      <c r="BFJ107"/>
      <c r="BFK107"/>
      <c r="BFL107"/>
      <c r="BFM107"/>
      <c r="BFN107"/>
      <c r="BFO107"/>
      <c r="BFP107"/>
      <c r="BFQ107"/>
      <c r="BFR107"/>
      <c r="BFS107"/>
      <c r="BFT107"/>
      <c r="BFU107"/>
      <c r="BFV107"/>
      <c r="BFW107"/>
      <c r="BFX107"/>
      <c r="BFY107"/>
      <c r="BFZ107"/>
      <c r="BGA107"/>
      <c r="BGB107"/>
      <c r="BGC107"/>
      <c r="BGD107"/>
      <c r="BGE107"/>
      <c r="BGF107"/>
      <c r="BGG107"/>
      <c r="BGH107"/>
      <c r="BGI107"/>
      <c r="BGJ107"/>
      <c r="BGK107"/>
      <c r="BGL107"/>
      <c r="BGM107"/>
      <c r="BGN107"/>
      <c r="BGO107"/>
      <c r="BGP107"/>
      <c r="BGQ107"/>
      <c r="BGR107"/>
      <c r="BGS107"/>
      <c r="BGT107"/>
      <c r="BGU107"/>
      <c r="BGV107"/>
      <c r="BGW107"/>
      <c r="BGX107"/>
      <c r="BGY107"/>
      <c r="BGZ107"/>
      <c r="BHA107"/>
      <c r="BHB107"/>
      <c r="BHC107"/>
      <c r="BHD107"/>
      <c r="BHE107"/>
      <c r="BHF107"/>
      <c r="BHG107"/>
      <c r="BHH107"/>
      <c r="BHI107"/>
      <c r="BHJ107"/>
      <c r="BHK107"/>
      <c r="BHL107"/>
      <c r="BHM107"/>
      <c r="BHN107"/>
      <c r="BHO107"/>
      <c r="BHP107"/>
      <c r="BHQ107"/>
      <c r="BHR107"/>
      <c r="BHS107"/>
      <c r="BHT107"/>
      <c r="BHU107"/>
      <c r="BHV107"/>
      <c r="BHW107"/>
      <c r="BHX107"/>
      <c r="BHY107"/>
      <c r="BHZ107"/>
      <c r="BIA107"/>
      <c r="BIB107"/>
      <c r="BIC107"/>
      <c r="BID107"/>
      <c r="BIE107"/>
      <c r="BIF107"/>
      <c r="BIG107"/>
      <c r="BIH107"/>
      <c r="BII107"/>
      <c r="BIJ107"/>
      <c r="BIK107"/>
      <c r="BIL107"/>
      <c r="BIM107"/>
      <c r="BIN107"/>
      <c r="BIO107"/>
      <c r="BIP107"/>
      <c r="BIQ107"/>
      <c r="BIR107"/>
      <c r="BIS107"/>
      <c r="BIT107"/>
      <c r="BIU107"/>
      <c r="BIV107"/>
      <c r="BIW107"/>
      <c r="BIX107"/>
      <c r="BIY107"/>
      <c r="BIZ107"/>
      <c r="BJA107"/>
      <c r="BJB107"/>
      <c r="BJC107"/>
      <c r="BJD107"/>
      <c r="BJE107"/>
      <c r="BJF107"/>
      <c r="BJG107"/>
      <c r="BJH107"/>
      <c r="BJI107"/>
      <c r="BJJ107"/>
      <c r="BJK107"/>
      <c r="BJL107"/>
      <c r="BJM107"/>
      <c r="BJN107"/>
      <c r="BJO107"/>
      <c r="BJP107"/>
      <c r="BJQ107"/>
      <c r="BJR107"/>
      <c r="BJS107"/>
      <c r="BJT107"/>
      <c r="BJU107"/>
      <c r="BJV107"/>
      <c r="BJW107"/>
      <c r="BJX107"/>
      <c r="BJY107"/>
      <c r="BJZ107"/>
      <c r="BKA107"/>
      <c r="BKB107"/>
      <c r="BKC107"/>
      <c r="BKD107"/>
      <c r="BKE107"/>
      <c r="BKF107"/>
      <c r="BKG107"/>
      <c r="BKH107"/>
      <c r="BKI107"/>
      <c r="BKJ107"/>
      <c r="BKK107"/>
      <c r="BKL107"/>
      <c r="BKM107"/>
      <c r="BKN107"/>
      <c r="BKO107"/>
      <c r="BKP107"/>
      <c r="BKQ107"/>
      <c r="BKR107"/>
      <c r="BKS107"/>
      <c r="BKT107"/>
      <c r="BKU107"/>
      <c r="BKV107"/>
      <c r="BKW107"/>
      <c r="BKX107"/>
      <c r="BKY107"/>
      <c r="BKZ107"/>
      <c r="BLA107"/>
      <c r="BLB107"/>
      <c r="BLC107"/>
      <c r="BLD107"/>
      <c r="BLE107"/>
      <c r="BLF107"/>
      <c r="BLG107"/>
      <c r="BLH107"/>
      <c r="BLI107"/>
      <c r="BLJ107"/>
      <c r="BLK107"/>
      <c r="BLL107"/>
      <c r="BLM107"/>
      <c r="BLN107"/>
      <c r="BLO107"/>
      <c r="BLP107"/>
      <c r="BLQ107"/>
      <c r="BLR107"/>
      <c r="BLS107"/>
      <c r="BLT107"/>
      <c r="BLU107"/>
      <c r="BLV107"/>
      <c r="BLW107"/>
      <c r="BLX107"/>
      <c r="BLY107"/>
      <c r="BLZ107"/>
      <c r="BMA107"/>
      <c r="BMB107"/>
      <c r="BMC107"/>
      <c r="BMD107"/>
      <c r="BME107"/>
      <c r="BMF107"/>
      <c r="BMG107"/>
      <c r="BMH107"/>
      <c r="BMI107"/>
      <c r="BMJ107"/>
      <c r="BMK107"/>
      <c r="BML107"/>
      <c r="BMM107"/>
      <c r="BMN107"/>
      <c r="BMO107"/>
      <c r="BMP107"/>
      <c r="BMQ107"/>
      <c r="BMR107"/>
      <c r="BMS107"/>
      <c r="BMT107"/>
      <c r="BMU107"/>
      <c r="BMV107"/>
      <c r="BMW107"/>
      <c r="BMX107"/>
      <c r="BMY107"/>
      <c r="BMZ107"/>
      <c r="BNA107"/>
      <c r="BNB107"/>
      <c r="BNC107"/>
      <c r="BND107"/>
      <c r="BNE107"/>
      <c r="BNF107"/>
      <c r="BNG107"/>
      <c r="BNH107"/>
      <c r="BNI107"/>
      <c r="BNJ107"/>
      <c r="BNK107"/>
      <c r="BNL107"/>
      <c r="BNM107"/>
      <c r="BNN107"/>
      <c r="BNO107"/>
      <c r="BNP107"/>
      <c r="BNQ107"/>
      <c r="BNR107"/>
      <c r="BNS107"/>
      <c r="BNT107"/>
      <c r="BNU107"/>
      <c r="BNV107"/>
      <c r="BNW107"/>
      <c r="BNX107"/>
      <c r="BNY107"/>
      <c r="BNZ107"/>
      <c r="BOA107"/>
      <c r="BOB107"/>
      <c r="BOC107"/>
      <c r="BOD107"/>
      <c r="BOE107"/>
      <c r="BOF107"/>
      <c r="BOG107"/>
      <c r="BOH107"/>
      <c r="BOI107"/>
      <c r="BOJ107"/>
      <c r="BOK107"/>
      <c r="BOL107"/>
      <c r="BOM107"/>
      <c r="BON107"/>
      <c r="BOO107"/>
      <c r="BOP107"/>
      <c r="BOQ107"/>
      <c r="BOR107"/>
      <c r="BOS107"/>
      <c r="BOT107"/>
      <c r="BOU107"/>
      <c r="BOV107"/>
      <c r="BOW107"/>
      <c r="BOX107"/>
      <c r="BOY107"/>
      <c r="BOZ107"/>
      <c r="BPA107"/>
      <c r="BPB107"/>
      <c r="BPC107"/>
      <c r="BPD107"/>
      <c r="BPE107"/>
      <c r="BPF107"/>
      <c r="BPG107"/>
      <c r="BPH107"/>
      <c r="BPI107"/>
      <c r="BPJ107"/>
      <c r="BPK107"/>
      <c r="BPL107"/>
      <c r="BPM107"/>
      <c r="BPN107"/>
      <c r="BPO107"/>
      <c r="BPP107"/>
      <c r="BPQ107"/>
      <c r="BPR107"/>
      <c r="BPS107"/>
      <c r="BPT107"/>
      <c r="BPU107"/>
      <c r="BPV107"/>
      <c r="BPW107"/>
      <c r="BPX107"/>
      <c r="BPY107"/>
      <c r="BPZ107"/>
      <c r="BQA107"/>
      <c r="BQB107"/>
      <c r="BQC107"/>
      <c r="BQD107"/>
      <c r="BQE107"/>
      <c r="BQF107"/>
      <c r="BQG107"/>
      <c r="BQH107"/>
      <c r="BQI107"/>
      <c r="BQJ107"/>
      <c r="BQK107"/>
      <c r="BQL107"/>
      <c r="BQM107"/>
      <c r="BQN107"/>
      <c r="BQO107"/>
      <c r="BQP107"/>
      <c r="BQQ107"/>
      <c r="BQR107"/>
      <c r="BQS107"/>
      <c r="BQT107"/>
      <c r="BQU107"/>
      <c r="BQV107"/>
      <c r="BQW107"/>
      <c r="BQX107"/>
      <c r="BQY107"/>
      <c r="BQZ107"/>
      <c r="BRA107"/>
      <c r="BRB107"/>
      <c r="BRC107"/>
      <c r="BRD107"/>
      <c r="BRE107"/>
      <c r="BRF107"/>
      <c r="BRG107"/>
      <c r="BRH107"/>
      <c r="BRI107"/>
      <c r="BRJ107"/>
      <c r="BRK107"/>
      <c r="BRL107"/>
      <c r="BRM107"/>
      <c r="BRN107"/>
      <c r="BRO107"/>
      <c r="BRP107"/>
      <c r="BRQ107"/>
      <c r="BRR107"/>
      <c r="BRS107"/>
      <c r="BRT107"/>
      <c r="BRU107"/>
      <c r="BRV107"/>
      <c r="BRW107"/>
      <c r="BRX107"/>
      <c r="BRY107"/>
      <c r="BRZ107"/>
      <c r="BSA107"/>
      <c r="BSB107"/>
      <c r="BSC107"/>
      <c r="BSD107"/>
      <c r="BSE107"/>
      <c r="BSF107"/>
      <c r="BSG107"/>
      <c r="BSH107"/>
      <c r="BSI107"/>
      <c r="BSJ107"/>
      <c r="BSK107"/>
      <c r="BSL107"/>
      <c r="BSM107"/>
      <c r="BSN107"/>
      <c r="BSO107"/>
      <c r="BSP107"/>
      <c r="BSQ107"/>
      <c r="BSR107"/>
      <c r="BSS107"/>
      <c r="BST107"/>
      <c r="BSU107"/>
      <c r="BSV107"/>
      <c r="BSW107"/>
      <c r="BSX107"/>
      <c r="BSY107"/>
      <c r="BSZ107"/>
      <c r="BTA107"/>
      <c r="BTB107"/>
      <c r="BTC107"/>
      <c r="BTD107"/>
      <c r="BTE107"/>
      <c r="BTF107"/>
      <c r="BTG107"/>
      <c r="BTH107"/>
      <c r="BTI107"/>
      <c r="BTJ107"/>
      <c r="BTK107"/>
      <c r="BTL107"/>
      <c r="BTM107"/>
      <c r="BTN107"/>
      <c r="BTO107"/>
      <c r="BTP107"/>
      <c r="BTQ107"/>
      <c r="BTR107"/>
      <c r="BTS107"/>
      <c r="BTT107"/>
      <c r="BTU107"/>
      <c r="BTV107"/>
      <c r="BTW107"/>
      <c r="BTX107"/>
      <c r="BTY107"/>
      <c r="BTZ107"/>
      <c r="BUA107"/>
      <c r="BUB107"/>
      <c r="BUC107"/>
      <c r="BUD107"/>
      <c r="BUE107"/>
      <c r="BUF107"/>
      <c r="BUG107"/>
      <c r="BUH107"/>
      <c r="BUI107"/>
      <c r="BUJ107"/>
      <c r="BUK107"/>
      <c r="BUL107"/>
      <c r="BUM107"/>
      <c r="BUN107"/>
      <c r="BUO107"/>
      <c r="BUP107"/>
      <c r="BUQ107"/>
      <c r="BUR107"/>
      <c r="BUS107"/>
      <c r="BUT107"/>
      <c r="BUU107"/>
      <c r="BUV107"/>
      <c r="BUW107"/>
      <c r="BUX107"/>
      <c r="BUY107"/>
      <c r="BUZ107"/>
      <c r="BVA107"/>
      <c r="BVB107"/>
      <c r="BVC107"/>
      <c r="BVD107"/>
      <c r="BVE107"/>
      <c r="BVF107"/>
      <c r="BVG107"/>
      <c r="BVH107"/>
      <c r="BVI107"/>
      <c r="BVJ107"/>
      <c r="BVK107"/>
      <c r="BVL107"/>
      <c r="BVM107"/>
      <c r="BVN107"/>
      <c r="BVO107"/>
      <c r="BVP107"/>
      <c r="BVQ107"/>
      <c r="BVR107"/>
      <c r="BVS107"/>
      <c r="BVT107"/>
      <c r="BVU107"/>
      <c r="BVV107"/>
      <c r="BVW107"/>
      <c r="BVX107"/>
      <c r="BVY107"/>
      <c r="BVZ107"/>
      <c r="BWA107"/>
      <c r="BWB107"/>
      <c r="BWC107"/>
      <c r="BWD107"/>
      <c r="BWE107"/>
      <c r="BWF107"/>
      <c r="BWG107"/>
      <c r="BWH107"/>
      <c r="BWI107"/>
      <c r="BWJ107"/>
      <c r="BWK107"/>
      <c r="BWL107"/>
      <c r="BWM107"/>
      <c r="BWN107"/>
      <c r="BWO107"/>
      <c r="BWP107"/>
      <c r="BWQ107"/>
      <c r="BWR107"/>
      <c r="BWS107"/>
      <c r="BWT107"/>
      <c r="BWU107"/>
      <c r="BWV107"/>
      <c r="BWW107"/>
      <c r="BWX107"/>
      <c r="BWY107"/>
      <c r="BWZ107"/>
      <c r="BXA107"/>
      <c r="BXB107"/>
      <c r="BXC107"/>
      <c r="BXD107"/>
      <c r="BXE107"/>
      <c r="BXF107"/>
      <c r="BXG107"/>
      <c r="BXH107"/>
      <c r="BXI107"/>
      <c r="BXJ107"/>
      <c r="BXK107"/>
      <c r="BXL107"/>
      <c r="BXM107"/>
      <c r="BXN107"/>
      <c r="BXO107"/>
      <c r="BXP107"/>
      <c r="BXQ107"/>
      <c r="BXR107"/>
      <c r="BXS107"/>
      <c r="BXT107"/>
      <c r="BXU107"/>
      <c r="BXV107"/>
      <c r="BXW107"/>
      <c r="BXX107"/>
      <c r="BXY107"/>
      <c r="BXZ107"/>
      <c r="BYA107"/>
      <c r="BYB107"/>
      <c r="BYC107"/>
      <c r="BYD107"/>
      <c r="BYE107"/>
      <c r="BYF107"/>
      <c r="BYG107"/>
      <c r="BYH107"/>
      <c r="BYI107"/>
      <c r="BYJ107"/>
      <c r="BYK107"/>
      <c r="BYL107"/>
      <c r="BYM107"/>
      <c r="BYN107"/>
      <c r="BYO107"/>
      <c r="BYP107"/>
      <c r="BYQ107"/>
      <c r="BYR107"/>
      <c r="BYS107"/>
      <c r="BYT107"/>
      <c r="BYU107"/>
      <c r="BYV107"/>
      <c r="BYW107"/>
      <c r="BYX107"/>
      <c r="BYY107"/>
      <c r="BYZ107"/>
      <c r="BZA107"/>
      <c r="BZB107"/>
      <c r="BZC107"/>
      <c r="BZD107"/>
      <c r="BZE107"/>
      <c r="BZF107"/>
      <c r="BZG107"/>
      <c r="BZH107"/>
      <c r="BZI107"/>
      <c r="BZJ107"/>
      <c r="BZK107"/>
      <c r="BZL107"/>
      <c r="BZM107"/>
      <c r="BZN107"/>
      <c r="BZO107"/>
      <c r="BZP107"/>
      <c r="BZQ107"/>
      <c r="BZR107"/>
      <c r="BZS107"/>
      <c r="BZT107"/>
      <c r="BZU107"/>
      <c r="BZV107"/>
      <c r="BZW107"/>
      <c r="BZX107"/>
      <c r="BZY107"/>
      <c r="BZZ107"/>
      <c r="CAA107"/>
      <c r="CAB107"/>
      <c r="CAC107"/>
      <c r="CAD107"/>
      <c r="CAE107"/>
      <c r="CAF107"/>
      <c r="CAG107"/>
      <c r="CAH107"/>
      <c r="CAI107"/>
      <c r="CAJ107"/>
      <c r="CAK107"/>
      <c r="CAL107"/>
      <c r="CAM107"/>
      <c r="CAN107"/>
      <c r="CAO107"/>
      <c r="CAP107"/>
      <c r="CAQ107"/>
      <c r="CAR107"/>
      <c r="CAS107"/>
      <c r="CAT107"/>
      <c r="CAU107"/>
      <c r="CAV107"/>
      <c r="CAW107"/>
      <c r="CAX107"/>
      <c r="CAY107"/>
      <c r="CAZ107"/>
      <c r="CBA107"/>
      <c r="CBB107"/>
      <c r="CBC107"/>
      <c r="CBD107"/>
      <c r="CBE107"/>
      <c r="CBF107"/>
      <c r="CBG107"/>
      <c r="CBH107"/>
      <c r="CBI107"/>
      <c r="CBJ107"/>
      <c r="CBK107"/>
      <c r="CBL107"/>
      <c r="CBM107"/>
      <c r="CBN107"/>
      <c r="CBO107"/>
      <c r="CBP107"/>
      <c r="CBQ107"/>
      <c r="CBR107"/>
      <c r="CBS107"/>
      <c r="CBT107"/>
      <c r="CBU107"/>
      <c r="CBV107"/>
      <c r="CBW107"/>
      <c r="CBX107"/>
      <c r="CBY107"/>
      <c r="CBZ107"/>
      <c r="CCA107"/>
      <c r="CCB107"/>
      <c r="CCC107"/>
      <c r="CCD107"/>
      <c r="CCE107"/>
      <c r="CCF107"/>
      <c r="CCG107"/>
      <c r="CCH107"/>
      <c r="CCI107"/>
      <c r="CCJ107"/>
      <c r="CCK107"/>
      <c r="CCL107"/>
      <c r="CCM107"/>
      <c r="CCN107"/>
      <c r="CCO107"/>
      <c r="CCP107"/>
      <c r="CCQ107"/>
      <c r="CCR107"/>
      <c r="CCS107"/>
      <c r="CCT107"/>
      <c r="CCU107"/>
      <c r="CCV107"/>
      <c r="CCW107"/>
      <c r="CCX107"/>
      <c r="CCY107"/>
      <c r="CCZ107"/>
      <c r="CDA107"/>
      <c r="CDB107"/>
      <c r="CDC107"/>
      <c r="CDD107"/>
      <c r="CDE107"/>
      <c r="CDF107"/>
      <c r="CDG107"/>
      <c r="CDH107"/>
      <c r="CDI107"/>
      <c r="CDJ107"/>
      <c r="CDK107"/>
      <c r="CDL107"/>
      <c r="CDM107"/>
      <c r="CDN107"/>
      <c r="CDO107"/>
      <c r="CDP107"/>
      <c r="CDQ107"/>
      <c r="CDR107"/>
      <c r="CDS107"/>
      <c r="CDT107"/>
      <c r="CDU107"/>
      <c r="CDV107"/>
      <c r="CDW107"/>
      <c r="CDX107"/>
      <c r="CDY107"/>
      <c r="CDZ107"/>
      <c r="CEA107"/>
      <c r="CEB107"/>
      <c r="CEC107"/>
      <c r="CED107"/>
      <c r="CEE107"/>
      <c r="CEF107"/>
      <c r="CEG107"/>
      <c r="CEH107"/>
      <c r="CEI107"/>
      <c r="CEJ107"/>
      <c r="CEK107"/>
      <c r="CEL107"/>
      <c r="CEM107"/>
      <c r="CEN107"/>
      <c r="CEO107"/>
      <c r="CEP107"/>
      <c r="CEQ107"/>
      <c r="CER107"/>
      <c r="CES107"/>
      <c r="CET107"/>
      <c r="CEU107"/>
      <c r="CEV107"/>
      <c r="CEW107"/>
      <c r="CEX107"/>
      <c r="CEY107"/>
      <c r="CEZ107"/>
      <c r="CFA107"/>
      <c r="CFB107"/>
      <c r="CFC107"/>
      <c r="CFD107"/>
      <c r="CFE107"/>
      <c r="CFF107"/>
      <c r="CFG107"/>
      <c r="CFH107"/>
      <c r="CFI107"/>
      <c r="CFJ107"/>
      <c r="CFK107"/>
      <c r="CFL107"/>
      <c r="CFM107"/>
      <c r="CFN107"/>
      <c r="CFO107"/>
      <c r="CFP107"/>
      <c r="CFQ107"/>
      <c r="CFR107"/>
      <c r="CFS107"/>
      <c r="CFT107"/>
      <c r="CFU107"/>
      <c r="CFV107"/>
      <c r="CFW107"/>
      <c r="CFX107"/>
      <c r="CFY107"/>
      <c r="CFZ107"/>
      <c r="CGA107"/>
      <c r="CGB107"/>
      <c r="CGC107"/>
      <c r="CGD107"/>
      <c r="CGE107"/>
      <c r="CGF107"/>
      <c r="CGG107"/>
      <c r="CGH107"/>
      <c r="CGI107"/>
      <c r="CGJ107"/>
      <c r="CGK107"/>
      <c r="CGL107"/>
      <c r="CGM107"/>
      <c r="CGN107"/>
      <c r="CGO107"/>
      <c r="CGP107"/>
      <c r="CGQ107"/>
      <c r="CGR107"/>
      <c r="CGS107"/>
      <c r="CGT107"/>
      <c r="CGU107"/>
      <c r="CGV107"/>
      <c r="CGW107"/>
      <c r="CGX107"/>
      <c r="CGY107"/>
      <c r="CGZ107"/>
      <c r="CHA107"/>
      <c r="CHB107"/>
      <c r="CHC107"/>
      <c r="CHD107"/>
      <c r="CHE107"/>
      <c r="CHF107"/>
      <c r="CHG107"/>
      <c r="CHH107"/>
      <c r="CHI107"/>
      <c r="CHJ107"/>
      <c r="CHK107"/>
      <c r="CHL107"/>
      <c r="CHM107"/>
      <c r="CHN107"/>
      <c r="CHO107"/>
      <c r="CHP107"/>
      <c r="CHQ107"/>
      <c r="CHR107"/>
      <c r="CHS107"/>
      <c r="CHT107"/>
      <c r="CHU107"/>
      <c r="CHV107"/>
      <c r="CHW107"/>
      <c r="CHX107"/>
      <c r="CHY107"/>
      <c r="CHZ107"/>
      <c r="CIA107"/>
      <c r="CIB107"/>
      <c r="CIC107"/>
      <c r="CID107"/>
      <c r="CIE107"/>
      <c r="CIF107"/>
      <c r="CIG107"/>
      <c r="CIH107"/>
      <c r="CII107"/>
      <c r="CIJ107"/>
      <c r="CIK107"/>
      <c r="CIL107"/>
      <c r="CIM107"/>
      <c r="CIN107"/>
      <c r="CIO107"/>
      <c r="CIP107"/>
      <c r="CIQ107"/>
      <c r="CIR107"/>
      <c r="CIS107"/>
      <c r="CIT107"/>
      <c r="CIU107"/>
      <c r="CIV107"/>
      <c r="CIW107"/>
      <c r="CIX107"/>
      <c r="CIY107"/>
      <c r="CIZ107"/>
      <c r="CJA107"/>
      <c r="CJB107"/>
      <c r="CJC107"/>
      <c r="CJD107"/>
      <c r="CJE107"/>
      <c r="CJF107"/>
      <c r="CJG107"/>
      <c r="CJH107"/>
      <c r="CJI107"/>
      <c r="CJJ107"/>
      <c r="CJK107"/>
      <c r="CJL107"/>
      <c r="CJM107"/>
      <c r="CJN107"/>
      <c r="CJO107"/>
      <c r="CJP107"/>
      <c r="CJQ107"/>
      <c r="CJR107"/>
      <c r="CJS107"/>
      <c r="CJT107"/>
      <c r="CJU107"/>
      <c r="CJV107"/>
      <c r="CJW107"/>
      <c r="CJX107"/>
      <c r="CJY107"/>
      <c r="CJZ107"/>
      <c r="CKA107"/>
      <c r="CKB107"/>
      <c r="CKC107"/>
      <c r="CKD107"/>
      <c r="CKE107"/>
      <c r="CKF107"/>
      <c r="CKG107"/>
      <c r="CKH107"/>
      <c r="CKI107"/>
      <c r="CKJ107"/>
      <c r="CKK107"/>
      <c r="CKL107"/>
      <c r="CKM107"/>
      <c r="CKN107"/>
      <c r="CKO107"/>
      <c r="CKP107"/>
      <c r="CKQ107"/>
      <c r="CKR107"/>
      <c r="CKS107"/>
      <c r="CKT107"/>
      <c r="CKU107"/>
      <c r="CKV107"/>
      <c r="CKW107"/>
      <c r="CKX107"/>
      <c r="CKY107"/>
      <c r="CKZ107"/>
      <c r="CLA107"/>
      <c r="CLB107"/>
      <c r="CLC107"/>
      <c r="CLD107"/>
      <c r="CLE107"/>
      <c r="CLF107"/>
      <c r="CLG107"/>
      <c r="CLH107"/>
      <c r="CLI107"/>
      <c r="CLJ107"/>
      <c r="CLK107"/>
      <c r="CLL107"/>
      <c r="CLM107"/>
      <c r="CLN107"/>
      <c r="CLO107"/>
      <c r="CLP107"/>
      <c r="CLQ107"/>
      <c r="CLR107"/>
      <c r="CLS107"/>
      <c r="CLT107"/>
      <c r="CLU107"/>
      <c r="CLV107"/>
      <c r="CLW107"/>
      <c r="CLX107"/>
      <c r="CLY107"/>
      <c r="CLZ107"/>
      <c r="CMA107"/>
      <c r="CMB107"/>
      <c r="CMC107"/>
      <c r="CMD107"/>
      <c r="CME107"/>
      <c r="CMF107"/>
      <c r="CMG107"/>
      <c r="CMH107"/>
      <c r="CMI107"/>
      <c r="CMJ107"/>
      <c r="CMK107"/>
      <c r="CML107"/>
      <c r="CMM107"/>
      <c r="CMN107"/>
      <c r="CMO107"/>
      <c r="CMP107"/>
      <c r="CMQ107"/>
      <c r="CMR107"/>
      <c r="CMS107"/>
      <c r="CMT107"/>
      <c r="CMU107"/>
      <c r="CMV107"/>
      <c r="CMW107"/>
      <c r="CMX107"/>
      <c r="CMY107"/>
      <c r="CMZ107"/>
      <c r="CNA107"/>
      <c r="CNB107"/>
      <c r="CNC107"/>
      <c r="CND107"/>
      <c r="CNE107"/>
      <c r="CNF107"/>
      <c r="CNG107"/>
      <c r="CNH107"/>
      <c r="CNI107"/>
      <c r="CNJ107"/>
      <c r="CNK107"/>
      <c r="CNL107"/>
      <c r="CNM107"/>
      <c r="CNN107"/>
      <c r="CNO107"/>
      <c r="CNP107"/>
      <c r="CNQ107"/>
      <c r="CNR107"/>
      <c r="CNS107"/>
      <c r="CNT107"/>
      <c r="CNU107"/>
      <c r="CNV107"/>
      <c r="CNW107"/>
      <c r="CNX107"/>
      <c r="CNY107"/>
      <c r="CNZ107"/>
      <c r="COA107"/>
      <c r="COB107"/>
      <c r="COC107"/>
      <c r="COD107"/>
      <c r="COE107"/>
      <c r="COF107"/>
      <c r="COG107"/>
      <c r="COH107"/>
      <c r="COI107"/>
      <c r="COJ107"/>
      <c r="COK107"/>
      <c r="COL107"/>
      <c r="COM107"/>
      <c r="CON107"/>
      <c r="COO107"/>
      <c r="COP107"/>
      <c r="COQ107"/>
      <c r="COR107"/>
      <c r="COS107"/>
      <c r="COT107"/>
      <c r="COU107"/>
      <c r="COV107"/>
      <c r="COW107"/>
      <c r="COX107"/>
      <c r="COY107"/>
      <c r="COZ107"/>
      <c r="CPA107"/>
      <c r="CPB107"/>
      <c r="CPC107"/>
      <c r="CPD107"/>
      <c r="CPE107"/>
      <c r="CPF107"/>
      <c r="CPG107"/>
      <c r="CPH107"/>
      <c r="CPI107"/>
      <c r="CPJ107"/>
      <c r="CPK107"/>
      <c r="CPL107"/>
      <c r="CPM107"/>
      <c r="CPN107"/>
      <c r="CPO107"/>
      <c r="CPP107"/>
      <c r="CPQ107"/>
      <c r="CPR107"/>
      <c r="CPS107"/>
      <c r="CPT107"/>
      <c r="CPU107"/>
      <c r="CPV107"/>
      <c r="CPW107"/>
      <c r="CPX107"/>
      <c r="CPY107"/>
      <c r="CPZ107"/>
      <c r="CQA107"/>
      <c r="CQB107"/>
      <c r="CQC107"/>
      <c r="CQD107"/>
      <c r="CQE107"/>
      <c r="CQF107"/>
      <c r="CQG107"/>
      <c r="CQH107"/>
      <c r="CQI107"/>
      <c r="CQJ107"/>
      <c r="CQK107"/>
      <c r="CQL107"/>
      <c r="CQM107"/>
      <c r="CQN107"/>
      <c r="CQO107"/>
      <c r="CQP107"/>
      <c r="CQQ107"/>
      <c r="CQR107"/>
      <c r="CQS107"/>
      <c r="CQT107"/>
      <c r="CQU107"/>
      <c r="CQV107"/>
      <c r="CQW107"/>
      <c r="CQX107"/>
      <c r="CQY107"/>
      <c r="CQZ107"/>
      <c r="CRA107"/>
      <c r="CRB107"/>
      <c r="CRC107"/>
      <c r="CRD107"/>
      <c r="CRE107"/>
      <c r="CRF107"/>
      <c r="CRG107"/>
      <c r="CRH107"/>
      <c r="CRI107"/>
      <c r="CRJ107"/>
      <c r="CRK107"/>
      <c r="CRL107"/>
      <c r="CRM107"/>
      <c r="CRN107"/>
      <c r="CRO107"/>
      <c r="CRP107"/>
      <c r="CRQ107"/>
      <c r="CRR107"/>
      <c r="CRS107"/>
      <c r="CRT107"/>
      <c r="CRU107"/>
      <c r="CRV107"/>
      <c r="CRW107"/>
      <c r="CRX107"/>
      <c r="CRY107"/>
      <c r="CRZ107"/>
      <c r="CSA107"/>
      <c r="CSB107"/>
      <c r="CSC107"/>
      <c r="CSD107"/>
      <c r="CSE107"/>
      <c r="CSF107"/>
      <c r="CSG107"/>
      <c r="CSH107"/>
      <c r="CSI107"/>
      <c r="CSJ107"/>
      <c r="CSK107"/>
      <c r="CSL107"/>
      <c r="CSM107"/>
      <c r="CSN107"/>
      <c r="CSO107"/>
      <c r="CSP107"/>
      <c r="CSQ107"/>
      <c r="CSR107"/>
      <c r="CSS107"/>
      <c r="CST107"/>
      <c r="CSU107"/>
      <c r="CSV107"/>
      <c r="CSW107"/>
      <c r="CSX107"/>
      <c r="CSY107"/>
      <c r="CSZ107"/>
      <c r="CTA107"/>
      <c r="CTB107"/>
      <c r="CTC107"/>
      <c r="CTD107"/>
      <c r="CTE107"/>
      <c r="CTF107"/>
      <c r="CTG107"/>
      <c r="CTH107"/>
      <c r="CTI107"/>
      <c r="CTJ107"/>
      <c r="CTK107"/>
      <c r="CTL107"/>
      <c r="CTM107"/>
      <c r="CTN107"/>
      <c r="CTO107"/>
      <c r="CTP107"/>
      <c r="CTQ107"/>
      <c r="CTR107"/>
      <c r="CTS107"/>
      <c r="CTT107"/>
      <c r="CTU107"/>
      <c r="CTV107"/>
      <c r="CTW107"/>
      <c r="CTX107"/>
      <c r="CTY107"/>
      <c r="CTZ107"/>
      <c r="CUA107"/>
      <c r="CUB107"/>
      <c r="CUC107"/>
      <c r="CUD107"/>
      <c r="CUE107"/>
      <c r="CUF107"/>
      <c r="CUG107"/>
      <c r="CUH107"/>
      <c r="CUI107"/>
      <c r="CUJ107"/>
      <c r="CUK107"/>
      <c r="CUL107"/>
      <c r="CUM107"/>
      <c r="CUN107"/>
      <c r="CUO107"/>
      <c r="CUP107"/>
      <c r="CUQ107"/>
      <c r="CUR107"/>
      <c r="CUS107"/>
      <c r="CUT107"/>
      <c r="CUU107"/>
      <c r="CUV107"/>
      <c r="CUW107"/>
      <c r="CUX107"/>
      <c r="CUY107"/>
      <c r="CUZ107"/>
      <c r="CVA107"/>
      <c r="CVB107"/>
      <c r="CVC107"/>
      <c r="CVD107"/>
      <c r="CVE107"/>
      <c r="CVF107"/>
      <c r="CVG107"/>
      <c r="CVH107"/>
      <c r="CVI107"/>
      <c r="CVJ107"/>
      <c r="CVK107"/>
      <c r="CVL107"/>
      <c r="CVM107"/>
      <c r="CVN107"/>
      <c r="CVO107"/>
      <c r="CVP107"/>
      <c r="CVQ107"/>
      <c r="CVR107"/>
      <c r="CVS107"/>
      <c r="CVT107"/>
      <c r="CVU107"/>
      <c r="CVV107"/>
      <c r="CVW107"/>
      <c r="CVX107"/>
      <c r="CVY107"/>
      <c r="CVZ107"/>
      <c r="CWA107"/>
      <c r="CWB107"/>
      <c r="CWC107"/>
      <c r="CWD107"/>
      <c r="CWE107"/>
      <c r="CWF107"/>
      <c r="CWG107"/>
      <c r="CWH107"/>
      <c r="CWI107"/>
      <c r="CWJ107"/>
      <c r="CWK107"/>
      <c r="CWL107"/>
      <c r="CWM107"/>
      <c r="CWN107"/>
      <c r="CWO107"/>
      <c r="CWP107"/>
      <c r="CWQ107"/>
      <c r="CWR107"/>
      <c r="CWS107"/>
      <c r="CWT107"/>
      <c r="CWU107"/>
      <c r="CWV107"/>
      <c r="CWW107"/>
      <c r="CWX107"/>
      <c r="CWY107"/>
      <c r="CWZ107"/>
      <c r="CXA107"/>
      <c r="CXB107"/>
      <c r="CXC107"/>
      <c r="CXD107"/>
      <c r="CXE107"/>
      <c r="CXF107"/>
      <c r="CXG107"/>
      <c r="CXH107"/>
      <c r="CXI107"/>
      <c r="CXJ107"/>
      <c r="CXK107"/>
      <c r="CXL107"/>
      <c r="CXM107"/>
      <c r="CXN107"/>
      <c r="CXO107"/>
      <c r="CXP107"/>
      <c r="CXQ107"/>
      <c r="CXR107"/>
      <c r="CXS107"/>
      <c r="CXT107"/>
      <c r="CXU107"/>
      <c r="CXV107"/>
      <c r="CXW107"/>
      <c r="CXX107"/>
      <c r="CXY107"/>
      <c r="CXZ107"/>
      <c r="CYA107"/>
      <c r="CYB107"/>
      <c r="CYC107"/>
      <c r="CYD107"/>
      <c r="CYE107"/>
      <c r="CYF107"/>
      <c r="CYG107"/>
      <c r="CYH107"/>
      <c r="CYI107"/>
      <c r="CYJ107"/>
      <c r="CYK107"/>
      <c r="CYL107"/>
      <c r="CYM107"/>
      <c r="CYN107"/>
      <c r="CYO107"/>
      <c r="CYP107"/>
      <c r="CYQ107"/>
      <c r="CYR107"/>
      <c r="CYS107"/>
      <c r="CYT107"/>
      <c r="CYU107"/>
      <c r="CYV107"/>
      <c r="CYW107"/>
      <c r="CYX107"/>
      <c r="CYY107"/>
      <c r="CYZ107"/>
      <c r="CZA107"/>
      <c r="CZB107"/>
      <c r="CZC107"/>
      <c r="CZD107"/>
      <c r="CZE107"/>
      <c r="CZF107"/>
      <c r="CZG107"/>
      <c r="CZH107"/>
      <c r="CZI107"/>
      <c r="CZJ107"/>
      <c r="CZK107"/>
      <c r="CZL107"/>
      <c r="CZM107"/>
      <c r="CZN107"/>
      <c r="CZO107"/>
      <c r="CZP107"/>
      <c r="CZQ107"/>
      <c r="CZR107"/>
      <c r="CZS107"/>
      <c r="CZT107"/>
      <c r="CZU107"/>
      <c r="CZV107"/>
      <c r="CZW107"/>
      <c r="CZX107"/>
      <c r="CZY107"/>
      <c r="CZZ107"/>
      <c r="DAA107"/>
      <c r="DAB107"/>
      <c r="DAC107"/>
      <c r="DAD107"/>
      <c r="DAE107"/>
      <c r="DAF107"/>
      <c r="DAG107"/>
      <c r="DAH107"/>
      <c r="DAI107"/>
      <c r="DAJ107"/>
      <c r="DAK107"/>
      <c r="DAL107"/>
      <c r="DAM107"/>
      <c r="DAN107"/>
      <c r="DAO107"/>
      <c r="DAP107"/>
      <c r="DAQ107"/>
      <c r="DAR107"/>
      <c r="DAS107"/>
      <c r="DAT107"/>
      <c r="DAU107"/>
      <c r="DAV107"/>
      <c r="DAW107"/>
      <c r="DAX107"/>
      <c r="DAY107"/>
      <c r="DAZ107"/>
      <c r="DBA107"/>
      <c r="DBB107"/>
      <c r="DBC107"/>
      <c r="DBD107"/>
      <c r="DBE107"/>
      <c r="DBF107"/>
      <c r="DBG107"/>
      <c r="DBH107"/>
      <c r="DBI107"/>
      <c r="DBJ107"/>
      <c r="DBK107"/>
      <c r="DBL107"/>
      <c r="DBM107"/>
      <c r="DBN107"/>
      <c r="DBO107"/>
      <c r="DBP107"/>
      <c r="DBQ107"/>
      <c r="DBR107"/>
      <c r="DBS107"/>
      <c r="DBT107"/>
      <c r="DBU107"/>
      <c r="DBV107"/>
      <c r="DBW107"/>
      <c r="DBX107"/>
      <c r="DBY107"/>
      <c r="DBZ107"/>
      <c r="DCA107"/>
      <c r="DCB107"/>
      <c r="DCC107"/>
      <c r="DCD107"/>
      <c r="DCE107"/>
      <c r="DCF107"/>
      <c r="DCG107"/>
      <c r="DCH107"/>
      <c r="DCI107"/>
      <c r="DCJ107"/>
      <c r="DCK107"/>
      <c r="DCL107"/>
      <c r="DCM107"/>
      <c r="DCN107"/>
      <c r="DCO107"/>
      <c r="DCP107"/>
      <c r="DCQ107"/>
      <c r="DCR107"/>
      <c r="DCS107"/>
      <c r="DCT107"/>
      <c r="DCU107"/>
      <c r="DCV107"/>
      <c r="DCW107"/>
      <c r="DCX107"/>
      <c r="DCY107"/>
      <c r="DCZ107"/>
      <c r="DDA107"/>
      <c r="DDB107"/>
      <c r="DDC107"/>
      <c r="DDD107"/>
      <c r="DDE107"/>
      <c r="DDF107"/>
      <c r="DDG107"/>
      <c r="DDH107"/>
      <c r="DDI107"/>
      <c r="DDJ107"/>
      <c r="DDK107"/>
      <c r="DDL107"/>
      <c r="DDM107"/>
      <c r="DDN107"/>
      <c r="DDO107"/>
      <c r="DDP107"/>
      <c r="DDQ107"/>
      <c r="DDR107"/>
      <c r="DDS107"/>
      <c r="DDT107"/>
      <c r="DDU107"/>
      <c r="DDV107"/>
      <c r="DDW107"/>
      <c r="DDX107"/>
      <c r="DDY107"/>
      <c r="DDZ107"/>
      <c r="DEA107"/>
      <c r="DEB107"/>
      <c r="DEC107"/>
      <c r="DED107"/>
      <c r="DEE107"/>
      <c r="DEF107"/>
      <c r="DEG107"/>
      <c r="DEH107"/>
      <c r="DEI107"/>
      <c r="DEJ107"/>
      <c r="DEK107"/>
      <c r="DEL107"/>
      <c r="DEM107"/>
      <c r="DEN107"/>
      <c r="DEO107"/>
      <c r="DEP107"/>
      <c r="DEQ107"/>
      <c r="DER107"/>
      <c r="DES107"/>
      <c r="DET107"/>
      <c r="DEU107"/>
      <c r="DEV107"/>
      <c r="DEW107"/>
      <c r="DEX107"/>
      <c r="DEY107"/>
      <c r="DEZ107"/>
      <c r="DFA107"/>
      <c r="DFB107"/>
      <c r="DFC107"/>
      <c r="DFD107"/>
      <c r="DFE107"/>
      <c r="DFF107"/>
      <c r="DFG107"/>
      <c r="DFH107"/>
      <c r="DFI107"/>
      <c r="DFJ107"/>
      <c r="DFK107"/>
      <c r="DFL107"/>
      <c r="DFM107"/>
      <c r="DFN107"/>
      <c r="DFO107"/>
      <c r="DFP107"/>
      <c r="DFQ107"/>
      <c r="DFR107"/>
      <c r="DFS107"/>
      <c r="DFT107"/>
      <c r="DFU107"/>
      <c r="DFV107"/>
      <c r="DFW107"/>
      <c r="DFX107"/>
      <c r="DFY107"/>
      <c r="DFZ107"/>
      <c r="DGA107"/>
      <c r="DGB107"/>
      <c r="DGC107"/>
      <c r="DGD107"/>
      <c r="DGE107"/>
      <c r="DGF107"/>
      <c r="DGG107"/>
      <c r="DGH107"/>
      <c r="DGI107"/>
      <c r="DGJ107"/>
      <c r="DGK107"/>
      <c r="DGL107"/>
      <c r="DGM107"/>
      <c r="DGN107"/>
      <c r="DGO107"/>
      <c r="DGP107"/>
      <c r="DGQ107"/>
      <c r="DGR107"/>
      <c r="DGS107"/>
      <c r="DGT107"/>
      <c r="DGU107"/>
      <c r="DGV107"/>
      <c r="DGW107"/>
      <c r="DGX107"/>
      <c r="DGY107"/>
      <c r="DGZ107"/>
      <c r="DHA107"/>
      <c r="DHB107"/>
      <c r="DHC107"/>
      <c r="DHD107"/>
      <c r="DHE107"/>
      <c r="DHF107"/>
      <c r="DHG107"/>
      <c r="DHH107"/>
      <c r="DHI107"/>
      <c r="DHJ107"/>
      <c r="DHK107"/>
      <c r="DHL107"/>
      <c r="DHM107"/>
      <c r="DHN107"/>
      <c r="DHO107"/>
      <c r="DHP107"/>
      <c r="DHQ107"/>
      <c r="DHR107"/>
      <c r="DHS107"/>
      <c r="DHT107"/>
      <c r="DHU107"/>
      <c r="DHV107"/>
      <c r="DHW107"/>
      <c r="DHX107"/>
      <c r="DHY107"/>
      <c r="DHZ107"/>
      <c r="DIA107"/>
      <c r="DIB107"/>
      <c r="DIC107"/>
      <c r="DID107"/>
      <c r="DIE107"/>
      <c r="DIF107"/>
      <c r="DIG107"/>
      <c r="DIH107"/>
      <c r="DII107"/>
      <c r="DIJ107"/>
      <c r="DIK107"/>
      <c r="DIL107"/>
      <c r="DIM107"/>
      <c r="DIN107"/>
      <c r="DIO107"/>
      <c r="DIP107"/>
      <c r="DIQ107"/>
      <c r="DIR107"/>
      <c r="DIS107"/>
      <c r="DIT107"/>
      <c r="DIU107"/>
      <c r="DIV107"/>
      <c r="DIW107"/>
      <c r="DIX107"/>
      <c r="DIY107"/>
      <c r="DIZ107"/>
      <c r="DJA107"/>
      <c r="DJB107"/>
      <c r="DJC107"/>
      <c r="DJD107"/>
      <c r="DJE107"/>
      <c r="DJF107"/>
      <c r="DJG107"/>
      <c r="DJH107"/>
      <c r="DJI107"/>
      <c r="DJJ107"/>
      <c r="DJK107"/>
      <c r="DJL107"/>
      <c r="DJM107"/>
      <c r="DJN107"/>
      <c r="DJO107"/>
      <c r="DJP107"/>
      <c r="DJQ107"/>
      <c r="DJR107"/>
      <c r="DJS107"/>
      <c r="DJT107"/>
      <c r="DJU107"/>
      <c r="DJV107"/>
      <c r="DJW107"/>
      <c r="DJX107"/>
      <c r="DJY107"/>
      <c r="DJZ107"/>
      <c r="DKA107"/>
      <c r="DKB107"/>
      <c r="DKC107"/>
      <c r="DKD107"/>
      <c r="DKE107"/>
      <c r="DKF107"/>
      <c r="DKG107"/>
      <c r="DKH107"/>
      <c r="DKI107"/>
      <c r="DKJ107"/>
      <c r="DKK107"/>
      <c r="DKL107"/>
      <c r="DKM107"/>
      <c r="DKN107"/>
      <c r="DKO107"/>
      <c r="DKP107"/>
      <c r="DKQ107"/>
      <c r="DKR107"/>
      <c r="DKS107"/>
      <c r="DKT107"/>
      <c r="DKU107"/>
      <c r="DKV107"/>
      <c r="DKW107"/>
      <c r="DKX107"/>
      <c r="DKY107"/>
      <c r="DKZ107"/>
      <c r="DLA107"/>
      <c r="DLB107"/>
      <c r="DLC107"/>
      <c r="DLD107"/>
      <c r="DLE107"/>
      <c r="DLF107"/>
      <c r="DLG107"/>
      <c r="DLH107"/>
      <c r="DLI107"/>
      <c r="DLJ107"/>
      <c r="DLK107"/>
      <c r="DLL107"/>
      <c r="DLM107"/>
      <c r="DLN107"/>
      <c r="DLO107"/>
      <c r="DLP107"/>
      <c r="DLQ107"/>
      <c r="DLR107"/>
      <c r="DLS107"/>
      <c r="DLT107"/>
      <c r="DLU107"/>
      <c r="DLV107"/>
      <c r="DLW107"/>
      <c r="DLX107"/>
      <c r="DLY107"/>
      <c r="DLZ107"/>
      <c r="DMA107"/>
      <c r="DMB107"/>
      <c r="DMC107"/>
      <c r="DMD107"/>
      <c r="DME107"/>
      <c r="DMF107"/>
      <c r="DMG107"/>
      <c r="DMH107"/>
      <c r="DMI107"/>
      <c r="DMJ107"/>
      <c r="DMK107"/>
      <c r="DML107"/>
      <c r="DMM107"/>
      <c r="DMN107"/>
      <c r="DMO107"/>
      <c r="DMP107"/>
      <c r="DMQ107"/>
      <c r="DMR107"/>
      <c r="DMS107"/>
      <c r="DMT107"/>
      <c r="DMU107"/>
      <c r="DMV107"/>
      <c r="DMW107"/>
      <c r="DMX107"/>
      <c r="DMY107"/>
      <c r="DMZ107"/>
      <c r="DNA107"/>
      <c r="DNB107"/>
      <c r="DNC107"/>
      <c r="DND107"/>
      <c r="DNE107"/>
      <c r="DNF107"/>
      <c r="DNG107"/>
      <c r="DNH107"/>
      <c r="DNI107"/>
      <c r="DNJ107"/>
      <c r="DNK107"/>
      <c r="DNL107"/>
      <c r="DNM107"/>
      <c r="DNN107"/>
      <c r="DNO107"/>
      <c r="DNP107"/>
      <c r="DNQ107"/>
      <c r="DNR107"/>
      <c r="DNS107"/>
      <c r="DNT107"/>
      <c r="DNU107"/>
      <c r="DNV107"/>
      <c r="DNW107"/>
      <c r="DNX107"/>
      <c r="DNY107"/>
      <c r="DNZ107"/>
      <c r="DOA107"/>
      <c r="DOB107"/>
      <c r="DOC107"/>
      <c r="DOD107"/>
      <c r="DOE107"/>
      <c r="DOF107"/>
      <c r="DOG107"/>
      <c r="DOH107"/>
      <c r="DOI107"/>
      <c r="DOJ107"/>
      <c r="DOK107"/>
      <c r="DOL107"/>
      <c r="DOM107"/>
      <c r="DON107"/>
      <c r="DOO107"/>
      <c r="DOP107"/>
      <c r="DOQ107"/>
      <c r="DOR107"/>
      <c r="DOS107"/>
      <c r="DOT107"/>
      <c r="DOU107"/>
      <c r="DOV107"/>
      <c r="DOW107"/>
      <c r="DOX107"/>
      <c r="DOY107"/>
      <c r="DOZ107"/>
      <c r="DPA107"/>
      <c r="DPB107"/>
      <c r="DPC107"/>
      <c r="DPD107"/>
      <c r="DPE107"/>
      <c r="DPF107"/>
      <c r="DPG107"/>
      <c r="DPH107"/>
      <c r="DPI107"/>
      <c r="DPJ107"/>
      <c r="DPK107"/>
      <c r="DPL107"/>
      <c r="DPM107"/>
      <c r="DPN107"/>
      <c r="DPO107"/>
      <c r="DPP107"/>
      <c r="DPQ107"/>
      <c r="DPR107"/>
      <c r="DPS107"/>
      <c r="DPT107"/>
      <c r="DPU107"/>
      <c r="DPV107"/>
      <c r="DPW107"/>
      <c r="DPX107"/>
      <c r="DPY107"/>
      <c r="DPZ107"/>
      <c r="DQA107"/>
      <c r="DQB107"/>
      <c r="DQC107"/>
      <c r="DQD107"/>
      <c r="DQE107"/>
      <c r="DQF107"/>
      <c r="DQG107"/>
      <c r="DQH107"/>
      <c r="DQI107"/>
      <c r="DQJ107"/>
      <c r="DQK107"/>
      <c r="DQL107"/>
      <c r="DQM107"/>
      <c r="DQN107"/>
      <c r="DQO107"/>
      <c r="DQP107"/>
      <c r="DQQ107"/>
      <c r="DQR107"/>
      <c r="DQS107"/>
      <c r="DQT107"/>
      <c r="DQU107"/>
      <c r="DQV107"/>
      <c r="DQW107"/>
      <c r="DQX107"/>
      <c r="DQY107"/>
      <c r="DQZ107"/>
      <c r="DRA107"/>
      <c r="DRB107"/>
      <c r="DRC107"/>
      <c r="DRD107"/>
      <c r="DRE107"/>
      <c r="DRF107"/>
      <c r="DRG107"/>
      <c r="DRH107"/>
      <c r="DRI107"/>
      <c r="DRJ107"/>
      <c r="DRK107"/>
      <c r="DRL107"/>
      <c r="DRM107"/>
      <c r="DRN107"/>
      <c r="DRO107"/>
      <c r="DRP107"/>
      <c r="DRQ107"/>
      <c r="DRR107"/>
      <c r="DRS107"/>
      <c r="DRT107"/>
      <c r="DRU107"/>
      <c r="DRV107"/>
      <c r="DRW107"/>
      <c r="DRX107"/>
      <c r="DRY107"/>
      <c r="DRZ107"/>
      <c r="DSA107"/>
      <c r="DSB107"/>
      <c r="DSC107"/>
      <c r="DSD107"/>
      <c r="DSE107"/>
      <c r="DSF107"/>
      <c r="DSG107"/>
      <c r="DSH107"/>
      <c r="DSI107"/>
      <c r="DSJ107"/>
      <c r="DSK107"/>
      <c r="DSL107"/>
      <c r="DSM107"/>
      <c r="DSN107"/>
      <c r="DSO107"/>
      <c r="DSP107"/>
      <c r="DSQ107"/>
      <c r="DSR107"/>
      <c r="DSS107"/>
      <c r="DST107"/>
      <c r="DSU107"/>
      <c r="DSV107"/>
      <c r="DSW107"/>
      <c r="DSX107"/>
      <c r="DSY107"/>
      <c r="DSZ107"/>
      <c r="DTA107"/>
      <c r="DTB107"/>
      <c r="DTC107"/>
      <c r="DTD107"/>
      <c r="DTE107"/>
      <c r="DTF107"/>
      <c r="DTG107"/>
      <c r="DTH107"/>
      <c r="DTI107"/>
      <c r="DTJ107"/>
      <c r="DTK107"/>
      <c r="DTL107"/>
      <c r="DTM107"/>
      <c r="DTN107"/>
      <c r="DTO107"/>
      <c r="DTP107"/>
      <c r="DTQ107"/>
      <c r="DTR107"/>
      <c r="DTS107"/>
      <c r="DTT107"/>
      <c r="DTU107"/>
      <c r="DTV107"/>
      <c r="DTW107"/>
      <c r="DTX107"/>
      <c r="DTY107"/>
      <c r="DTZ107"/>
      <c r="DUA107"/>
      <c r="DUB107"/>
      <c r="DUC107"/>
      <c r="DUD107"/>
      <c r="DUE107"/>
      <c r="DUF107"/>
      <c r="DUG107"/>
      <c r="DUH107"/>
      <c r="DUI107"/>
      <c r="DUJ107"/>
      <c r="DUK107"/>
      <c r="DUL107"/>
      <c r="DUM107"/>
      <c r="DUN107"/>
      <c r="DUO107"/>
      <c r="DUP107"/>
      <c r="DUQ107"/>
      <c r="DUR107"/>
      <c r="DUS107"/>
      <c r="DUT107"/>
      <c r="DUU107"/>
      <c r="DUV107"/>
      <c r="DUW107"/>
      <c r="DUX107"/>
      <c r="DUY107"/>
      <c r="DUZ107"/>
      <c r="DVA107"/>
      <c r="DVB107"/>
      <c r="DVC107"/>
      <c r="DVD107"/>
      <c r="DVE107"/>
      <c r="DVF107"/>
      <c r="DVG107"/>
      <c r="DVH107"/>
      <c r="DVI107"/>
      <c r="DVJ107"/>
      <c r="DVK107"/>
      <c r="DVL107"/>
      <c r="DVM107"/>
      <c r="DVN107"/>
      <c r="DVO107"/>
      <c r="DVP107"/>
      <c r="DVQ107"/>
      <c r="DVR107"/>
      <c r="DVS107"/>
      <c r="DVT107"/>
      <c r="DVU107"/>
      <c r="DVV107"/>
      <c r="DVW107"/>
      <c r="DVX107"/>
      <c r="DVY107"/>
      <c r="DVZ107"/>
      <c r="DWA107"/>
      <c r="DWB107"/>
      <c r="DWC107"/>
      <c r="DWD107"/>
      <c r="DWE107"/>
      <c r="DWF107"/>
      <c r="DWG107"/>
      <c r="DWH107"/>
      <c r="DWI107"/>
      <c r="DWJ107"/>
      <c r="DWK107"/>
      <c r="DWL107"/>
      <c r="DWM107"/>
      <c r="DWN107"/>
      <c r="DWO107"/>
      <c r="DWP107"/>
      <c r="DWQ107"/>
      <c r="DWR107"/>
      <c r="DWS107"/>
      <c r="DWT107"/>
      <c r="DWU107"/>
      <c r="DWV107"/>
      <c r="DWW107"/>
      <c r="DWX107"/>
      <c r="DWY107"/>
      <c r="DWZ107"/>
      <c r="DXA107"/>
      <c r="DXB107"/>
      <c r="DXC107"/>
      <c r="DXD107"/>
      <c r="DXE107"/>
      <c r="DXF107"/>
      <c r="DXG107"/>
      <c r="DXH107"/>
      <c r="DXI107"/>
      <c r="DXJ107"/>
      <c r="DXK107"/>
      <c r="DXL107"/>
      <c r="DXM107"/>
      <c r="DXN107"/>
      <c r="DXO107"/>
      <c r="DXP107"/>
      <c r="DXQ107"/>
      <c r="DXR107"/>
      <c r="DXS107"/>
      <c r="DXT107"/>
      <c r="DXU107"/>
      <c r="DXV107"/>
      <c r="DXW107"/>
      <c r="DXX107"/>
      <c r="DXY107"/>
      <c r="DXZ107"/>
      <c r="DYA107"/>
      <c r="DYB107"/>
      <c r="DYC107"/>
      <c r="DYD107"/>
      <c r="DYE107"/>
      <c r="DYF107"/>
      <c r="DYG107"/>
      <c r="DYH107"/>
      <c r="DYI107"/>
      <c r="DYJ107"/>
      <c r="DYK107"/>
      <c r="DYL107"/>
      <c r="DYM107"/>
      <c r="DYN107"/>
      <c r="DYO107"/>
      <c r="DYP107"/>
      <c r="DYQ107"/>
      <c r="DYR107"/>
      <c r="DYS107"/>
      <c r="DYT107"/>
      <c r="DYU107"/>
      <c r="DYV107"/>
      <c r="DYW107"/>
      <c r="DYX107"/>
      <c r="DYY107"/>
      <c r="DYZ107"/>
      <c r="DZA107"/>
      <c r="DZB107"/>
      <c r="DZC107"/>
      <c r="DZD107"/>
      <c r="DZE107"/>
      <c r="DZF107"/>
      <c r="DZG107"/>
      <c r="DZH107"/>
      <c r="DZI107"/>
      <c r="DZJ107"/>
      <c r="DZK107"/>
      <c r="DZL107"/>
      <c r="DZM107"/>
      <c r="DZN107"/>
      <c r="DZO107"/>
      <c r="DZP107"/>
      <c r="DZQ107"/>
      <c r="DZR107"/>
      <c r="DZS107"/>
      <c r="DZT107"/>
      <c r="DZU107"/>
      <c r="DZV107"/>
      <c r="DZW107"/>
      <c r="DZX107"/>
      <c r="DZY107"/>
      <c r="DZZ107"/>
      <c r="EAA107"/>
      <c r="EAB107"/>
      <c r="EAC107"/>
      <c r="EAD107"/>
      <c r="EAE107"/>
      <c r="EAF107"/>
      <c r="EAG107"/>
      <c r="EAH107"/>
      <c r="EAI107"/>
      <c r="EAJ107"/>
      <c r="EAK107"/>
      <c r="EAL107"/>
      <c r="EAM107"/>
      <c r="EAN107"/>
      <c r="EAO107"/>
      <c r="EAP107"/>
      <c r="EAQ107"/>
      <c r="EAR107"/>
      <c r="EAS107"/>
      <c r="EAT107"/>
      <c r="EAU107"/>
      <c r="EAV107"/>
      <c r="EAW107"/>
      <c r="EAX107"/>
      <c r="EAY107"/>
      <c r="EAZ107"/>
      <c r="EBA107"/>
      <c r="EBB107"/>
      <c r="EBC107"/>
      <c r="EBD107"/>
      <c r="EBE107"/>
      <c r="EBF107"/>
      <c r="EBG107"/>
      <c r="EBH107"/>
      <c r="EBI107"/>
      <c r="EBJ107"/>
      <c r="EBK107"/>
      <c r="EBL107"/>
      <c r="EBM107"/>
      <c r="EBN107"/>
      <c r="EBO107"/>
      <c r="EBP107"/>
      <c r="EBQ107"/>
      <c r="EBR107"/>
      <c r="EBS107"/>
      <c r="EBT107"/>
      <c r="EBU107"/>
      <c r="EBV107"/>
      <c r="EBW107"/>
      <c r="EBX107"/>
      <c r="EBY107"/>
      <c r="EBZ107"/>
      <c r="ECA107"/>
      <c r="ECB107"/>
      <c r="ECC107"/>
      <c r="ECD107"/>
      <c r="ECE107"/>
      <c r="ECF107"/>
      <c r="ECG107"/>
      <c r="ECH107"/>
      <c r="ECI107"/>
      <c r="ECJ107"/>
      <c r="ECK107"/>
      <c r="ECL107"/>
      <c r="ECM107"/>
      <c r="ECN107"/>
      <c r="ECO107"/>
      <c r="ECP107"/>
      <c r="ECQ107"/>
      <c r="ECR107"/>
      <c r="ECS107"/>
      <c r="ECT107"/>
      <c r="ECU107"/>
      <c r="ECV107"/>
      <c r="ECW107"/>
      <c r="ECX107"/>
      <c r="ECY107"/>
      <c r="ECZ107"/>
      <c r="EDA107"/>
      <c r="EDB107"/>
      <c r="EDC107"/>
      <c r="EDD107"/>
      <c r="EDE107"/>
      <c r="EDF107"/>
      <c r="EDG107"/>
      <c r="EDH107"/>
      <c r="EDI107"/>
      <c r="EDJ107"/>
      <c r="EDK107"/>
      <c r="EDL107"/>
      <c r="EDM107"/>
      <c r="EDN107"/>
      <c r="EDO107"/>
      <c r="EDP107"/>
      <c r="EDQ107"/>
      <c r="EDR107"/>
      <c r="EDS107"/>
      <c r="EDT107"/>
      <c r="EDU107"/>
      <c r="EDV107"/>
      <c r="EDW107"/>
      <c r="EDX107"/>
      <c r="EDY107"/>
      <c r="EDZ107"/>
      <c r="EEA107"/>
      <c r="EEB107"/>
      <c r="EEC107"/>
      <c r="EED107"/>
      <c r="EEE107"/>
      <c r="EEF107"/>
      <c r="EEG107"/>
      <c r="EEH107"/>
      <c r="EEI107"/>
      <c r="EEJ107"/>
      <c r="EEK107"/>
      <c r="EEL107"/>
      <c r="EEM107"/>
      <c r="EEN107"/>
      <c r="EEO107"/>
      <c r="EEP107"/>
      <c r="EEQ107"/>
      <c r="EER107"/>
      <c r="EES107"/>
      <c r="EET107"/>
      <c r="EEU107"/>
      <c r="EEV107"/>
      <c r="EEW107"/>
      <c r="EEX107"/>
      <c r="EEY107"/>
      <c r="EEZ107"/>
      <c r="EFA107"/>
      <c r="EFB107"/>
      <c r="EFC107"/>
      <c r="EFD107"/>
      <c r="EFE107"/>
      <c r="EFF107"/>
      <c r="EFG107"/>
      <c r="EFH107"/>
      <c r="EFI107"/>
      <c r="EFJ107"/>
      <c r="EFK107"/>
      <c r="EFL107"/>
      <c r="EFM107"/>
      <c r="EFN107"/>
      <c r="EFO107"/>
      <c r="EFP107"/>
      <c r="EFQ107"/>
      <c r="EFR107"/>
      <c r="EFS107"/>
      <c r="EFT107"/>
      <c r="EFU107"/>
      <c r="EFV107"/>
      <c r="EFW107"/>
      <c r="EFX107"/>
      <c r="EFY107"/>
      <c r="EFZ107"/>
      <c r="EGA107"/>
      <c r="EGB107"/>
      <c r="EGC107"/>
      <c r="EGD107"/>
      <c r="EGE107"/>
      <c r="EGF107"/>
      <c r="EGG107"/>
      <c r="EGH107"/>
      <c r="EGI107"/>
      <c r="EGJ107"/>
      <c r="EGK107"/>
      <c r="EGL107"/>
      <c r="EGM107"/>
      <c r="EGN107"/>
      <c r="EGO107"/>
      <c r="EGP107"/>
      <c r="EGQ107"/>
      <c r="EGR107"/>
      <c r="EGS107"/>
      <c r="EGT107"/>
      <c r="EGU107"/>
      <c r="EGV107"/>
      <c r="EGW107"/>
      <c r="EGX107"/>
      <c r="EGY107"/>
      <c r="EGZ107"/>
      <c r="EHA107"/>
      <c r="EHB107"/>
      <c r="EHC107"/>
      <c r="EHD107"/>
      <c r="EHE107"/>
      <c r="EHF107"/>
      <c r="EHG107"/>
      <c r="EHH107"/>
      <c r="EHI107"/>
      <c r="EHJ107"/>
      <c r="EHK107"/>
      <c r="EHL107"/>
      <c r="EHM107"/>
      <c r="EHN107"/>
      <c r="EHO107"/>
      <c r="EHP107"/>
      <c r="EHQ107"/>
      <c r="EHR107"/>
      <c r="EHS107"/>
      <c r="EHT107"/>
      <c r="EHU107"/>
      <c r="EHV107"/>
      <c r="EHW107"/>
      <c r="EHX107"/>
      <c r="EHY107"/>
      <c r="EHZ107"/>
      <c r="EIA107"/>
      <c r="EIB107"/>
      <c r="EIC107"/>
      <c r="EID107"/>
      <c r="EIE107"/>
      <c r="EIF107"/>
      <c r="EIG107"/>
      <c r="EIH107"/>
      <c r="EII107"/>
      <c r="EIJ107"/>
      <c r="EIK107"/>
      <c r="EIL107"/>
      <c r="EIM107"/>
      <c r="EIN107"/>
      <c r="EIO107"/>
      <c r="EIP107"/>
      <c r="EIQ107"/>
      <c r="EIR107"/>
      <c r="EIS107"/>
      <c r="EIT107"/>
      <c r="EIU107"/>
      <c r="EIV107"/>
      <c r="EIW107"/>
      <c r="EIX107"/>
      <c r="EIY107"/>
      <c r="EIZ107"/>
      <c r="EJA107"/>
      <c r="EJB107"/>
      <c r="EJC107"/>
      <c r="EJD107"/>
      <c r="EJE107"/>
      <c r="EJF107"/>
      <c r="EJG107"/>
      <c r="EJH107"/>
      <c r="EJI107"/>
      <c r="EJJ107"/>
      <c r="EJK107"/>
      <c r="EJL107"/>
      <c r="EJM107"/>
      <c r="EJN107"/>
      <c r="EJO107"/>
      <c r="EJP107"/>
      <c r="EJQ107"/>
      <c r="EJR107"/>
      <c r="EJS107"/>
      <c r="EJT107"/>
      <c r="EJU107"/>
      <c r="EJV107"/>
      <c r="EJW107"/>
      <c r="EJX107"/>
      <c r="EJY107"/>
      <c r="EJZ107"/>
      <c r="EKA107"/>
      <c r="EKB107"/>
      <c r="EKC107"/>
      <c r="EKD107"/>
      <c r="EKE107"/>
      <c r="EKF107"/>
      <c r="EKG107"/>
      <c r="EKH107"/>
      <c r="EKI107"/>
      <c r="EKJ107"/>
      <c r="EKK107"/>
      <c r="EKL107"/>
      <c r="EKM107"/>
      <c r="EKN107"/>
      <c r="EKO107"/>
      <c r="EKP107"/>
      <c r="EKQ107"/>
      <c r="EKR107"/>
      <c r="EKS107"/>
      <c r="EKT107"/>
      <c r="EKU107"/>
      <c r="EKV107"/>
      <c r="EKW107"/>
      <c r="EKX107"/>
      <c r="EKY107"/>
      <c r="EKZ107"/>
      <c r="ELA107"/>
      <c r="ELB107"/>
      <c r="ELC107"/>
      <c r="ELD107"/>
      <c r="ELE107"/>
      <c r="ELF107"/>
      <c r="ELG107"/>
      <c r="ELH107"/>
      <c r="ELI107"/>
      <c r="ELJ107"/>
      <c r="ELK107"/>
      <c r="ELL107"/>
      <c r="ELM107"/>
      <c r="ELN107"/>
      <c r="ELO107"/>
      <c r="ELP107"/>
      <c r="ELQ107"/>
      <c r="ELR107"/>
      <c r="ELS107"/>
      <c r="ELT107"/>
      <c r="ELU107"/>
      <c r="ELV107"/>
      <c r="ELW107"/>
      <c r="ELX107"/>
      <c r="ELY107"/>
      <c r="ELZ107"/>
      <c r="EMA107"/>
      <c r="EMB107"/>
      <c r="EMC107"/>
      <c r="EMD107"/>
      <c r="EME107"/>
      <c r="EMF107"/>
      <c r="EMG107"/>
      <c r="EMH107"/>
      <c r="EMI107"/>
      <c r="EMJ107"/>
      <c r="EMK107"/>
      <c r="EML107"/>
      <c r="EMM107"/>
      <c r="EMN107"/>
      <c r="EMO107"/>
      <c r="EMP107"/>
      <c r="EMQ107"/>
      <c r="EMR107"/>
      <c r="EMS107"/>
      <c r="EMT107"/>
      <c r="EMU107"/>
      <c r="EMV107"/>
      <c r="EMW107"/>
      <c r="EMX107"/>
      <c r="EMY107"/>
      <c r="EMZ107"/>
      <c r="ENA107"/>
      <c r="ENB107"/>
      <c r="ENC107"/>
      <c r="END107"/>
      <c r="ENE107"/>
      <c r="ENF107"/>
      <c r="ENG107"/>
      <c r="ENH107"/>
      <c r="ENI107"/>
      <c r="ENJ107"/>
      <c r="ENK107"/>
      <c r="ENL107"/>
      <c r="ENM107"/>
      <c r="ENN107"/>
      <c r="ENO107"/>
      <c r="ENP107"/>
      <c r="ENQ107"/>
      <c r="ENR107"/>
      <c r="ENS107"/>
      <c r="ENT107"/>
      <c r="ENU107"/>
      <c r="ENV107"/>
      <c r="ENW107"/>
      <c r="ENX107"/>
      <c r="ENY107"/>
      <c r="ENZ107"/>
      <c r="EOA107"/>
      <c r="EOB107"/>
      <c r="EOC107"/>
      <c r="EOD107"/>
      <c r="EOE107"/>
      <c r="EOF107"/>
      <c r="EOG107"/>
      <c r="EOH107"/>
      <c r="EOI107"/>
      <c r="EOJ107"/>
      <c r="EOK107"/>
      <c r="EOL107"/>
      <c r="EOM107"/>
      <c r="EON107"/>
      <c r="EOO107"/>
      <c r="EOP107"/>
      <c r="EOQ107"/>
      <c r="EOR107"/>
      <c r="EOS107"/>
      <c r="EOT107"/>
      <c r="EOU107"/>
      <c r="EOV107"/>
      <c r="EOW107"/>
      <c r="EOX107"/>
      <c r="EOY107"/>
      <c r="EOZ107"/>
      <c r="EPA107"/>
      <c r="EPB107"/>
      <c r="EPC107"/>
      <c r="EPD107"/>
      <c r="EPE107"/>
      <c r="EPF107"/>
      <c r="EPG107"/>
      <c r="EPH107"/>
      <c r="EPI107"/>
      <c r="EPJ107"/>
      <c r="EPK107"/>
      <c r="EPL107"/>
      <c r="EPM107"/>
      <c r="EPN107"/>
      <c r="EPO107"/>
      <c r="EPP107"/>
      <c r="EPQ107"/>
      <c r="EPR107"/>
      <c r="EPS107"/>
      <c r="EPT107"/>
      <c r="EPU107"/>
      <c r="EPV107"/>
      <c r="EPW107"/>
      <c r="EPX107"/>
      <c r="EPY107"/>
      <c r="EPZ107"/>
      <c r="EQA107"/>
      <c r="EQB107"/>
      <c r="EQC107"/>
      <c r="EQD107"/>
      <c r="EQE107"/>
      <c r="EQF107"/>
      <c r="EQG107"/>
      <c r="EQH107"/>
      <c r="EQI107"/>
      <c r="EQJ107"/>
      <c r="EQK107"/>
      <c r="EQL107"/>
      <c r="EQM107"/>
      <c r="EQN107"/>
      <c r="EQO107"/>
      <c r="EQP107"/>
      <c r="EQQ107"/>
      <c r="EQR107"/>
      <c r="EQS107"/>
      <c r="EQT107"/>
      <c r="EQU107"/>
      <c r="EQV107"/>
      <c r="EQW107"/>
      <c r="EQX107"/>
      <c r="EQY107"/>
      <c r="EQZ107"/>
      <c r="ERA107"/>
      <c r="ERB107"/>
      <c r="ERC107"/>
      <c r="ERD107"/>
      <c r="ERE107"/>
      <c r="ERF107"/>
      <c r="ERG107"/>
      <c r="ERH107"/>
      <c r="ERI107"/>
      <c r="ERJ107"/>
      <c r="ERK107"/>
      <c r="ERL107"/>
      <c r="ERM107"/>
      <c r="ERN107"/>
      <c r="ERO107"/>
      <c r="ERP107"/>
      <c r="ERQ107"/>
      <c r="ERR107"/>
      <c r="ERS107"/>
      <c r="ERT107"/>
      <c r="ERU107"/>
      <c r="ERV107"/>
      <c r="ERW107"/>
      <c r="ERX107"/>
      <c r="ERY107"/>
      <c r="ERZ107"/>
      <c r="ESA107"/>
      <c r="ESB107"/>
      <c r="ESC107"/>
      <c r="ESD107"/>
      <c r="ESE107"/>
      <c r="ESF107"/>
      <c r="ESG107"/>
      <c r="ESH107"/>
      <c r="ESI107"/>
      <c r="ESJ107"/>
      <c r="ESK107"/>
      <c r="ESL107"/>
      <c r="ESM107"/>
      <c r="ESN107"/>
      <c r="ESO107"/>
      <c r="ESP107"/>
      <c r="ESQ107"/>
      <c r="ESR107"/>
      <c r="ESS107"/>
      <c r="EST107"/>
      <c r="ESU107"/>
      <c r="ESV107"/>
      <c r="ESW107"/>
      <c r="ESX107"/>
      <c r="ESY107"/>
      <c r="ESZ107"/>
      <c r="ETA107"/>
      <c r="ETB107"/>
      <c r="ETC107"/>
      <c r="ETD107"/>
      <c r="ETE107"/>
      <c r="ETF107"/>
      <c r="ETG107"/>
      <c r="ETH107"/>
      <c r="ETI107"/>
      <c r="ETJ107"/>
      <c r="ETK107"/>
      <c r="ETL107"/>
      <c r="ETM107"/>
      <c r="ETN107"/>
      <c r="ETO107"/>
      <c r="ETP107"/>
      <c r="ETQ107"/>
      <c r="ETR107"/>
      <c r="ETS107"/>
      <c r="ETT107"/>
      <c r="ETU107"/>
      <c r="ETV107"/>
      <c r="ETW107"/>
      <c r="ETX107"/>
      <c r="ETY107"/>
      <c r="ETZ107"/>
      <c r="EUA107"/>
      <c r="EUB107"/>
      <c r="EUC107"/>
      <c r="EUD107"/>
      <c r="EUE107"/>
      <c r="EUF107"/>
      <c r="EUG107"/>
      <c r="EUH107"/>
      <c r="EUI107"/>
      <c r="EUJ107"/>
      <c r="EUK107"/>
      <c r="EUL107"/>
      <c r="EUM107"/>
      <c r="EUN107"/>
      <c r="EUO107"/>
      <c r="EUP107"/>
      <c r="EUQ107"/>
      <c r="EUR107"/>
      <c r="EUS107"/>
      <c r="EUT107"/>
      <c r="EUU107"/>
      <c r="EUV107"/>
      <c r="EUW107"/>
      <c r="EUX107"/>
      <c r="EUY107"/>
      <c r="EUZ107"/>
      <c r="EVA107"/>
      <c r="EVB107"/>
      <c r="EVC107"/>
      <c r="EVD107"/>
      <c r="EVE107"/>
      <c r="EVF107"/>
      <c r="EVG107"/>
      <c r="EVH107"/>
      <c r="EVI107"/>
      <c r="EVJ107"/>
      <c r="EVK107"/>
      <c r="EVL107"/>
      <c r="EVM107"/>
      <c r="EVN107"/>
      <c r="EVO107"/>
      <c r="EVP107"/>
      <c r="EVQ107"/>
      <c r="EVR107"/>
      <c r="EVS107"/>
      <c r="EVT107"/>
      <c r="EVU107"/>
      <c r="EVV107"/>
      <c r="EVW107"/>
      <c r="EVX107"/>
      <c r="EVY107"/>
      <c r="EVZ107"/>
      <c r="EWA107"/>
      <c r="EWB107"/>
      <c r="EWC107"/>
      <c r="EWD107"/>
      <c r="EWE107"/>
      <c r="EWF107"/>
      <c r="EWG107"/>
      <c r="EWH107"/>
      <c r="EWI107"/>
      <c r="EWJ107"/>
      <c r="EWK107"/>
      <c r="EWL107"/>
      <c r="EWM107"/>
      <c r="EWN107"/>
      <c r="EWO107"/>
      <c r="EWP107"/>
      <c r="EWQ107"/>
      <c r="EWR107"/>
      <c r="EWS107"/>
      <c r="EWT107"/>
      <c r="EWU107"/>
      <c r="EWV107"/>
      <c r="EWW107"/>
      <c r="EWX107"/>
      <c r="EWY107"/>
      <c r="EWZ107"/>
      <c r="EXA107"/>
      <c r="EXB107"/>
      <c r="EXC107"/>
      <c r="EXD107"/>
      <c r="EXE107"/>
      <c r="EXF107"/>
      <c r="EXG107"/>
      <c r="EXH107"/>
      <c r="EXI107"/>
      <c r="EXJ107"/>
      <c r="EXK107"/>
      <c r="EXL107"/>
      <c r="EXM107"/>
      <c r="EXN107"/>
      <c r="EXO107"/>
      <c r="EXP107"/>
      <c r="EXQ107"/>
      <c r="EXR107"/>
      <c r="EXS107"/>
      <c r="EXT107"/>
      <c r="EXU107"/>
      <c r="EXV107"/>
      <c r="EXW107"/>
      <c r="EXX107"/>
      <c r="EXY107"/>
      <c r="EXZ107"/>
      <c r="EYA107"/>
      <c r="EYB107"/>
      <c r="EYC107"/>
      <c r="EYD107"/>
      <c r="EYE107"/>
      <c r="EYF107"/>
      <c r="EYG107"/>
      <c r="EYH107"/>
      <c r="EYI107"/>
      <c r="EYJ107"/>
      <c r="EYK107"/>
      <c r="EYL107"/>
      <c r="EYM107"/>
      <c r="EYN107"/>
      <c r="EYO107"/>
      <c r="EYP107"/>
      <c r="EYQ107"/>
      <c r="EYR107"/>
      <c r="EYS107"/>
      <c r="EYT107"/>
      <c r="EYU107"/>
      <c r="EYV107"/>
      <c r="EYW107"/>
      <c r="EYX107"/>
      <c r="EYY107"/>
      <c r="EYZ107"/>
      <c r="EZA107"/>
      <c r="EZB107"/>
      <c r="EZC107"/>
      <c r="EZD107"/>
      <c r="EZE107"/>
      <c r="EZF107"/>
      <c r="EZG107"/>
      <c r="EZH107"/>
      <c r="EZI107"/>
      <c r="EZJ107"/>
      <c r="EZK107"/>
      <c r="EZL107"/>
      <c r="EZM107"/>
      <c r="EZN107"/>
      <c r="EZO107"/>
      <c r="EZP107"/>
      <c r="EZQ107"/>
      <c r="EZR107"/>
      <c r="EZS107"/>
      <c r="EZT107"/>
      <c r="EZU107"/>
      <c r="EZV107"/>
      <c r="EZW107"/>
      <c r="EZX107"/>
      <c r="EZY107"/>
      <c r="EZZ107"/>
      <c r="FAA107"/>
      <c r="FAB107"/>
      <c r="FAC107"/>
      <c r="FAD107"/>
      <c r="FAE107"/>
      <c r="FAF107"/>
      <c r="FAG107"/>
      <c r="FAH107"/>
      <c r="FAI107"/>
      <c r="FAJ107"/>
      <c r="FAK107"/>
      <c r="FAL107"/>
      <c r="FAM107"/>
      <c r="FAN107"/>
      <c r="FAO107"/>
      <c r="FAP107"/>
      <c r="FAQ107"/>
      <c r="FAR107"/>
      <c r="FAS107"/>
      <c r="FAT107"/>
      <c r="FAU107"/>
      <c r="FAV107"/>
      <c r="FAW107"/>
      <c r="FAX107"/>
      <c r="FAY107"/>
      <c r="FAZ107"/>
      <c r="FBA107"/>
      <c r="FBB107"/>
      <c r="FBC107"/>
      <c r="FBD107"/>
      <c r="FBE107"/>
      <c r="FBF107"/>
      <c r="FBG107"/>
      <c r="FBH107"/>
      <c r="FBI107"/>
      <c r="FBJ107"/>
      <c r="FBK107"/>
      <c r="FBL107"/>
      <c r="FBM107"/>
      <c r="FBN107"/>
      <c r="FBO107"/>
      <c r="FBP107"/>
      <c r="FBQ107"/>
      <c r="FBR107"/>
      <c r="FBS107"/>
      <c r="FBT107"/>
      <c r="FBU107"/>
      <c r="FBV107"/>
      <c r="FBW107"/>
      <c r="FBX107"/>
      <c r="FBY107"/>
      <c r="FBZ107"/>
      <c r="FCA107"/>
      <c r="FCB107"/>
      <c r="FCC107"/>
      <c r="FCD107"/>
      <c r="FCE107"/>
      <c r="FCF107"/>
      <c r="FCG107"/>
      <c r="FCH107"/>
      <c r="FCI107"/>
      <c r="FCJ107"/>
      <c r="FCK107"/>
      <c r="FCL107"/>
      <c r="FCM107"/>
      <c r="FCN107"/>
      <c r="FCO107"/>
      <c r="FCP107"/>
      <c r="FCQ107"/>
      <c r="FCR107"/>
      <c r="FCS107"/>
      <c r="FCT107"/>
      <c r="FCU107"/>
      <c r="FCV107"/>
      <c r="FCW107"/>
      <c r="FCX107"/>
      <c r="FCY107"/>
      <c r="FCZ107"/>
      <c r="FDA107"/>
      <c r="FDB107"/>
      <c r="FDC107"/>
      <c r="FDD107"/>
      <c r="FDE107"/>
      <c r="FDF107"/>
      <c r="FDG107"/>
      <c r="FDH107"/>
      <c r="FDI107"/>
      <c r="FDJ107"/>
      <c r="FDK107"/>
      <c r="FDL107"/>
      <c r="FDM107"/>
      <c r="FDN107"/>
      <c r="FDO107"/>
      <c r="FDP107"/>
      <c r="FDQ107"/>
      <c r="FDR107"/>
      <c r="FDS107"/>
      <c r="FDT107"/>
      <c r="FDU107"/>
      <c r="FDV107"/>
      <c r="FDW107"/>
      <c r="FDX107"/>
      <c r="FDY107"/>
      <c r="FDZ107"/>
      <c r="FEA107"/>
      <c r="FEB107"/>
      <c r="FEC107"/>
      <c r="FED107"/>
      <c r="FEE107"/>
      <c r="FEF107"/>
      <c r="FEG107"/>
      <c r="FEH107"/>
      <c r="FEI107"/>
      <c r="FEJ107"/>
      <c r="FEK107"/>
      <c r="FEL107"/>
      <c r="FEM107"/>
      <c r="FEN107"/>
      <c r="FEO107"/>
      <c r="FEP107"/>
      <c r="FEQ107"/>
      <c r="FER107"/>
      <c r="FES107"/>
      <c r="FET107"/>
      <c r="FEU107"/>
      <c r="FEV107"/>
      <c r="FEW107"/>
      <c r="FEX107"/>
      <c r="FEY107"/>
      <c r="FEZ107"/>
      <c r="FFA107"/>
      <c r="FFB107"/>
      <c r="FFC107"/>
      <c r="FFD107"/>
      <c r="FFE107"/>
      <c r="FFF107"/>
      <c r="FFG107"/>
      <c r="FFH107"/>
      <c r="FFI107"/>
      <c r="FFJ107"/>
      <c r="FFK107"/>
      <c r="FFL107"/>
      <c r="FFM107"/>
      <c r="FFN107"/>
      <c r="FFO107"/>
      <c r="FFP107"/>
      <c r="FFQ107"/>
      <c r="FFR107"/>
      <c r="FFS107"/>
      <c r="FFT107"/>
      <c r="FFU107"/>
      <c r="FFV107"/>
      <c r="FFW107"/>
      <c r="FFX107"/>
      <c r="FFY107"/>
      <c r="FFZ107"/>
      <c r="FGA107"/>
      <c r="FGB107"/>
      <c r="FGC107"/>
      <c r="FGD107"/>
      <c r="FGE107"/>
      <c r="FGF107"/>
      <c r="FGG107"/>
      <c r="FGH107"/>
      <c r="FGI107"/>
      <c r="FGJ107"/>
      <c r="FGK107"/>
      <c r="FGL107"/>
      <c r="FGM107"/>
      <c r="FGN107"/>
      <c r="FGO107"/>
      <c r="FGP107"/>
      <c r="FGQ107"/>
      <c r="FGR107"/>
      <c r="FGS107"/>
      <c r="FGT107"/>
      <c r="FGU107"/>
      <c r="FGV107"/>
      <c r="FGW107"/>
      <c r="FGX107"/>
      <c r="FGY107"/>
      <c r="FGZ107"/>
      <c r="FHA107"/>
      <c r="FHB107"/>
      <c r="FHC107"/>
      <c r="FHD107"/>
      <c r="FHE107"/>
      <c r="FHF107"/>
      <c r="FHG107"/>
      <c r="FHH107"/>
      <c r="FHI107"/>
      <c r="FHJ107"/>
      <c r="FHK107"/>
      <c r="FHL107"/>
      <c r="FHM107"/>
      <c r="FHN107"/>
      <c r="FHO107"/>
      <c r="FHP107"/>
      <c r="FHQ107"/>
      <c r="FHR107"/>
      <c r="FHS107"/>
      <c r="FHT107"/>
      <c r="FHU107"/>
      <c r="FHV107"/>
      <c r="FHW107"/>
      <c r="FHX107"/>
      <c r="FHY107"/>
      <c r="FHZ107"/>
      <c r="FIA107"/>
      <c r="FIB107"/>
      <c r="FIC107"/>
      <c r="FID107"/>
      <c r="FIE107"/>
      <c r="FIF107"/>
      <c r="FIG107"/>
      <c r="FIH107"/>
      <c r="FII107"/>
      <c r="FIJ107"/>
      <c r="FIK107"/>
      <c r="FIL107"/>
      <c r="FIM107"/>
      <c r="FIN107"/>
      <c r="FIO107"/>
      <c r="FIP107"/>
      <c r="FIQ107"/>
      <c r="FIR107"/>
      <c r="FIS107"/>
      <c r="FIT107"/>
      <c r="FIU107"/>
      <c r="FIV107"/>
      <c r="FIW107"/>
      <c r="FIX107"/>
      <c r="FIY107"/>
      <c r="FIZ107"/>
      <c r="FJA107"/>
      <c r="FJB107"/>
      <c r="FJC107"/>
      <c r="FJD107"/>
      <c r="FJE107"/>
      <c r="FJF107"/>
      <c r="FJG107"/>
      <c r="FJH107"/>
      <c r="FJI107"/>
      <c r="FJJ107"/>
      <c r="FJK107"/>
      <c r="FJL107"/>
      <c r="FJM107"/>
      <c r="FJN107"/>
      <c r="FJO107"/>
      <c r="FJP107"/>
      <c r="FJQ107"/>
      <c r="FJR107"/>
      <c r="FJS107"/>
      <c r="FJT107"/>
      <c r="FJU107"/>
      <c r="FJV107"/>
      <c r="FJW107"/>
      <c r="FJX107"/>
      <c r="FJY107"/>
      <c r="FJZ107"/>
      <c r="FKA107"/>
      <c r="FKB107"/>
      <c r="FKC107"/>
      <c r="FKD107"/>
      <c r="FKE107"/>
      <c r="FKF107"/>
      <c r="FKG107"/>
      <c r="FKH107"/>
      <c r="FKI107"/>
      <c r="FKJ107"/>
      <c r="FKK107"/>
      <c r="FKL107"/>
      <c r="FKM107"/>
      <c r="FKN107"/>
      <c r="FKO107"/>
      <c r="FKP107"/>
      <c r="FKQ107"/>
      <c r="FKR107"/>
      <c r="FKS107"/>
      <c r="FKT107"/>
      <c r="FKU107"/>
      <c r="FKV107"/>
      <c r="FKW107"/>
      <c r="FKX107"/>
      <c r="FKY107"/>
      <c r="FKZ107"/>
      <c r="FLA107"/>
      <c r="FLB107"/>
      <c r="FLC107"/>
      <c r="FLD107"/>
      <c r="FLE107"/>
      <c r="FLF107"/>
      <c r="FLG107"/>
      <c r="FLH107"/>
      <c r="FLI107"/>
      <c r="FLJ107"/>
      <c r="FLK107"/>
      <c r="FLL107"/>
      <c r="FLM107"/>
      <c r="FLN107"/>
      <c r="FLO107"/>
      <c r="FLP107"/>
      <c r="FLQ107"/>
      <c r="FLR107"/>
      <c r="FLS107"/>
      <c r="FLT107"/>
      <c r="FLU107"/>
      <c r="FLV107"/>
      <c r="FLW107"/>
      <c r="FLX107"/>
      <c r="FLY107"/>
      <c r="FLZ107"/>
      <c r="FMA107"/>
      <c r="FMB107"/>
      <c r="FMC107"/>
      <c r="FMD107"/>
      <c r="FME107"/>
      <c r="FMF107"/>
      <c r="FMG107"/>
      <c r="FMH107"/>
      <c r="FMI107"/>
      <c r="FMJ107"/>
      <c r="FMK107"/>
      <c r="FML107"/>
      <c r="FMM107"/>
      <c r="FMN107"/>
      <c r="FMO107"/>
      <c r="FMP107"/>
      <c r="FMQ107"/>
      <c r="FMR107"/>
      <c r="FMS107"/>
      <c r="FMT107"/>
      <c r="FMU107"/>
      <c r="FMV107"/>
      <c r="FMW107"/>
      <c r="FMX107"/>
      <c r="FMY107"/>
      <c r="FMZ107"/>
      <c r="FNA107"/>
      <c r="FNB107"/>
      <c r="FNC107"/>
      <c r="FND107"/>
      <c r="FNE107"/>
      <c r="FNF107"/>
      <c r="FNG107"/>
      <c r="FNH107"/>
      <c r="FNI107"/>
      <c r="FNJ107"/>
      <c r="FNK107"/>
      <c r="FNL107"/>
      <c r="FNM107"/>
      <c r="FNN107"/>
      <c r="FNO107"/>
      <c r="FNP107"/>
      <c r="FNQ107"/>
      <c r="FNR107"/>
      <c r="FNS107"/>
      <c r="FNT107"/>
      <c r="FNU107"/>
      <c r="FNV107"/>
      <c r="FNW107"/>
      <c r="FNX107"/>
      <c r="FNY107"/>
      <c r="FNZ107"/>
      <c r="FOA107"/>
      <c r="FOB107"/>
      <c r="FOC107"/>
      <c r="FOD107"/>
      <c r="FOE107"/>
      <c r="FOF107"/>
      <c r="FOG107"/>
      <c r="FOH107"/>
      <c r="FOI107"/>
      <c r="FOJ107"/>
      <c r="FOK107"/>
      <c r="FOL107"/>
      <c r="FOM107"/>
      <c r="FON107"/>
      <c r="FOO107"/>
      <c r="FOP107"/>
      <c r="FOQ107"/>
      <c r="FOR107"/>
      <c r="FOS107"/>
      <c r="FOT107"/>
      <c r="FOU107"/>
      <c r="FOV107"/>
      <c r="FOW107"/>
      <c r="FOX107"/>
      <c r="FOY107"/>
      <c r="FOZ107"/>
      <c r="FPA107"/>
      <c r="FPB107"/>
      <c r="FPC107"/>
      <c r="FPD107"/>
      <c r="FPE107"/>
      <c r="FPF107"/>
      <c r="FPG107"/>
      <c r="FPH107"/>
      <c r="FPI107"/>
      <c r="FPJ107"/>
      <c r="FPK107"/>
      <c r="FPL107"/>
      <c r="FPM107"/>
      <c r="FPN107"/>
      <c r="FPO107"/>
      <c r="FPP107"/>
      <c r="FPQ107"/>
      <c r="FPR107"/>
      <c r="FPS107"/>
      <c r="FPT107"/>
      <c r="FPU107"/>
      <c r="FPV107"/>
      <c r="FPW107"/>
      <c r="FPX107"/>
      <c r="FPY107"/>
      <c r="FPZ107"/>
      <c r="FQA107"/>
      <c r="FQB107"/>
      <c r="FQC107"/>
      <c r="FQD107"/>
      <c r="FQE107"/>
      <c r="FQF107"/>
      <c r="FQG107"/>
      <c r="FQH107"/>
      <c r="FQI107"/>
      <c r="FQJ107"/>
      <c r="FQK107"/>
      <c r="FQL107"/>
      <c r="FQM107"/>
      <c r="FQN107"/>
      <c r="FQO107"/>
      <c r="FQP107"/>
      <c r="FQQ107"/>
      <c r="FQR107"/>
      <c r="FQS107"/>
      <c r="FQT107"/>
      <c r="FQU107"/>
      <c r="FQV107"/>
      <c r="FQW107"/>
      <c r="FQX107"/>
      <c r="FQY107"/>
      <c r="FQZ107"/>
      <c r="FRA107"/>
      <c r="FRB107"/>
      <c r="FRC107"/>
      <c r="FRD107"/>
      <c r="FRE107"/>
      <c r="FRF107"/>
      <c r="FRG107"/>
      <c r="FRH107"/>
      <c r="FRI107"/>
      <c r="FRJ107"/>
      <c r="FRK107"/>
      <c r="FRL107"/>
      <c r="FRM107"/>
      <c r="FRN107"/>
      <c r="FRO107"/>
      <c r="FRP107"/>
      <c r="FRQ107"/>
      <c r="FRR107"/>
      <c r="FRS107"/>
      <c r="FRT107"/>
      <c r="FRU107"/>
      <c r="FRV107"/>
      <c r="FRW107"/>
      <c r="FRX107"/>
      <c r="FRY107"/>
      <c r="FRZ107"/>
      <c r="FSA107"/>
      <c r="FSB107"/>
      <c r="FSC107"/>
      <c r="FSD107"/>
      <c r="FSE107"/>
      <c r="FSF107"/>
      <c r="FSG107"/>
      <c r="FSH107"/>
      <c r="FSI107"/>
      <c r="FSJ107"/>
      <c r="FSK107"/>
      <c r="FSL107"/>
      <c r="FSM107"/>
      <c r="FSN107"/>
      <c r="FSO107"/>
      <c r="FSP107"/>
      <c r="FSQ107"/>
      <c r="FSR107"/>
      <c r="FSS107"/>
      <c r="FST107"/>
      <c r="FSU107"/>
      <c r="FSV107"/>
      <c r="FSW107"/>
      <c r="FSX107"/>
      <c r="FSY107"/>
      <c r="FSZ107"/>
      <c r="FTA107"/>
      <c r="FTB107"/>
      <c r="FTC107"/>
      <c r="FTD107"/>
      <c r="FTE107"/>
      <c r="FTF107"/>
      <c r="FTG107"/>
      <c r="FTH107"/>
      <c r="FTI107"/>
      <c r="FTJ107"/>
      <c r="FTK107"/>
      <c r="FTL107"/>
      <c r="FTM107"/>
      <c r="FTN107"/>
      <c r="FTO107"/>
      <c r="FTP107"/>
      <c r="FTQ107"/>
      <c r="FTR107"/>
      <c r="FTS107"/>
      <c r="FTT107"/>
      <c r="FTU107"/>
      <c r="FTV107"/>
      <c r="FTW107"/>
      <c r="FTX107"/>
      <c r="FTY107"/>
      <c r="FTZ107"/>
      <c r="FUA107"/>
      <c r="FUB107"/>
      <c r="FUC107"/>
      <c r="FUD107"/>
      <c r="FUE107"/>
      <c r="FUF107"/>
      <c r="FUG107"/>
      <c r="FUH107"/>
      <c r="FUI107"/>
      <c r="FUJ107"/>
      <c r="FUK107"/>
      <c r="FUL107"/>
      <c r="FUM107"/>
      <c r="FUN107"/>
      <c r="FUO107"/>
      <c r="FUP107"/>
      <c r="FUQ107"/>
      <c r="FUR107"/>
      <c r="FUS107"/>
      <c r="FUT107"/>
      <c r="FUU107"/>
      <c r="FUV107"/>
      <c r="FUW107"/>
      <c r="FUX107"/>
      <c r="FUY107"/>
      <c r="FUZ107"/>
      <c r="FVA107"/>
      <c r="FVB107"/>
      <c r="FVC107"/>
      <c r="FVD107"/>
      <c r="FVE107"/>
      <c r="FVF107"/>
      <c r="FVG107"/>
      <c r="FVH107"/>
      <c r="FVI107"/>
      <c r="FVJ107"/>
      <c r="FVK107"/>
      <c r="FVL107"/>
      <c r="FVM107"/>
      <c r="FVN107"/>
      <c r="FVO107"/>
      <c r="FVP107"/>
      <c r="FVQ107"/>
      <c r="FVR107"/>
      <c r="FVS107"/>
      <c r="FVT107"/>
      <c r="FVU107"/>
      <c r="FVV107"/>
      <c r="FVW107"/>
      <c r="FVX107"/>
      <c r="FVY107"/>
      <c r="FVZ107"/>
      <c r="FWA107"/>
      <c r="FWB107"/>
      <c r="FWC107"/>
      <c r="FWD107"/>
      <c r="FWE107"/>
      <c r="FWF107"/>
      <c r="FWG107"/>
      <c r="FWH107"/>
      <c r="FWI107"/>
      <c r="FWJ107"/>
      <c r="FWK107"/>
      <c r="FWL107"/>
      <c r="FWM107"/>
      <c r="FWN107"/>
      <c r="FWO107"/>
      <c r="FWP107"/>
      <c r="FWQ107"/>
      <c r="FWR107"/>
      <c r="FWS107"/>
      <c r="FWT107"/>
      <c r="FWU107"/>
      <c r="FWV107"/>
      <c r="FWW107"/>
      <c r="FWX107"/>
      <c r="FWY107"/>
      <c r="FWZ107"/>
      <c r="FXA107"/>
      <c r="FXB107"/>
      <c r="FXC107"/>
      <c r="FXD107"/>
      <c r="FXE107"/>
      <c r="FXF107"/>
      <c r="FXG107"/>
      <c r="FXH107"/>
      <c r="FXI107"/>
      <c r="FXJ107"/>
      <c r="FXK107"/>
      <c r="FXL107"/>
      <c r="FXM107"/>
      <c r="FXN107"/>
      <c r="FXO107"/>
      <c r="FXP107"/>
      <c r="FXQ107"/>
      <c r="FXR107"/>
      <c r="FXS107"/>
      <c r="FXT107"/>
      <c r="FXU107"/>
      <c r="FXV107"/>
      <c r="FXW107"/>
      <c r="FXX107"/>
      <c r="FXY107"/>
      <c r="FXZ107"/>
      <c r="FYA107"/>
      <c r="FYB107"/>
      <c r="FYC107"/>
      <c r="FYD107"/>
      <c r="FYE107"/>
      <c r="FYF107"/>
      <c r="FYG107"/>
      <c r="FYH107"/>
      <c r="FYI107"/>
      <c r="FYJ107"/>
      <c r="FYK107"/>
      <c r="FYL107"/>
      <c r="FYM107"/>
      <c r="FYN107"/>
      <c r="FYO107"/>
      <c r="FYP107"/>
      <c r="FYQ107"/>
      <c r="FYR107"/>
      <c r="FYS107"/>
      <c r="FYT107"/>
      <c r="FYU107"/>
      <c r="FYV107"/>
      <c r="FYW107"/>
      <c r="FYX107"/>
      <c r="FYY107"/>
      <c r="FYZ107"/>
      <c r="FZA107"/>
      <c r="FZB107"/>
      <c r="FZC107"/>
      <c r="FZD107"/>
      <c r="FZE107"/>
      <c r="FZF107"/>
      <c r="FZG107"/>
      <c r="FZH107"/>
      <c r="FZI107"/>
      <c r="FZJ107"/>
      <c r="FZK107"/>
      <c r="FZL107"/>
      <c r="FZM107"/>
      <c r="FZN107"/>
      <c r="FZO107"/>
      <c r="FZP107"/>
      <c r="FZQ107"/>
      <c r="FZR107"/>
      <c r="FZS107"/>
      <c r="FZT107"/>
      <c r="FZU107"/>
      <c r="FZV107"/>
      <c r="FZW107"/>
      <c r="FZX107"/>
      <c r="FZY107"/>
      <c r="FZZ107"/>
      <c r="GAA107"/>
      <c r="GAB107"/>
      <c r="GAC107"/>
      <c r="GAD107"/>
      <c r="GAE107"/>
      <c r="GAF107"/>
      <c r="GAG107"/>
      <c r="GAH107"/>
      <c r="GAI107"/>
      <c r="GAJ107"/>
      <c r="GAK107"/>
      <c r="GAL107"/>
      <c r="GAM107"/>
      <c r="GAN107"/>
      <c r="GAO107"/>
      <c r="GAP107"/>
      <c r="GAQ107"/>
      <c r="GAR107"/>
      <c r="GAS107"/>
      <c r="GAT107"/>
      <c r="GAU107"/>
      <c r="GAV107"/>
      <c r="GAW107"/>
      <c r="GAX107"/>
      <c r="GAY107"/>
      <c r="GAZ107"/>
      <c r="GBA107"/>
      <c r="GBB107"/>
      <c r="GBC107"/>
      <c r="GBD107"/>
      <c r="GBE107"/>
      <c r="GBF107"/>
      <c r="GBG107"/>
      <c r="GBH107"/>
      <c r="GBI107"/>
      <c r="GBJ107"/>
      <c r="GBK107"/>
      <c r="GBL107"/>
      <c r="GBM107"/>
      <c r="GBN107"/>
      <c r="GBO107"/>
      <c r="GBP107"/>
      <c r="GBQ107"/>
      <c r="GBR107"/>
      <c r="GBS107"/>
      <c r="GBT107"/>
      <c r="GBU107"/>
      <c r="GBV107"/>
      <c r="GBW107"/>
      <c r="GBX107"/>
      <c r="GBY107"/>
      <c r="GBZ107"/>
      <c r="GCA107"/>
      <c r="GCB107"/>
      <c r="GCC107"/>
      <c r="GCD107"/>
      <c r="GCE107"/>
      <c r="GCF107"/>
      <c r="GCG107"/>
      <c r="GCH107"/>
      <c r="GCI107"/>
      <c r="GCJ107"/>
      <c r="GCK107"/>
      <c r="GCL107"/>
      <c r="GCM107"/>
      <c r="GCN107"/>
      <c r="GCO107"/>
      <c r="GCP107"/>
      <c r="GCQ107"/>
      <c r="GCR107"/>
      <c r="GCS107"/>
      <c r="GCT107"/>
      <c r="GCU107"/>
      <c r="GCV107"/>
      <c r="GCW107"/>
      <c r="GCX107"/>
      <c r="GCY107"/>
      <c r="GCZ107"/>
      <c r="GDA107"/>
      <c r="GDB107"/>
      <c r="GDC107"/>
      <c r="GDD107"/>
      <c r="GDE107"/>
      <c r="GDF107"/>
      <c r="GDG107"/>
      <c r="GDH107"/>
      <c r="GDI107"/>
      <c r="GDJ107"/>
      <c r="GDK107"/>
      <c r="GDL107"/>
      <c r="GDM107"/>
      <c r="GDN107"/>
      <c r="GDO107"/>
      <c r="GDP107"/>
      <c r="GDQ107"/>
      <c r="GDR107"/>
      <c r="GDS107"/>
      <c r="GDT107"/>
      <c r="GDU107"/>
      <c r="GDV107"/>
      <c r="GDW107"/>
      <c r="GDX107"/>
      <c r="GDY107"/>
      <c r="GDZ107"/>
      <c r="GEA107"/>
      <c r="GEB107"/>
      <c r="GEC107"/>
      <c r="GED107"/>
      <c r="GEE107"/>
      <c r="GEF107"/>
      <c r="GEG107"/>
      <c r="GEH107"/>
      <c r="GEI107"/>
      <c r="GEJ107"/>
      <c r="GEK107"/>
      <c r="GEL107"/>
      <c r="GEM107"/>
      <c r="GEN107"/>
      <c r="GEO107"/>
      <c r="GEP107"/>
      <c r="GEQ107"/>
      <c r="GER107"/>
      <c r="GES107"/>
      <c r="GET107"/>
      <c r="GEU107"/>
      <c r="GEV107"/>
      <c r="GEW107"/>
      <c r="GEX107"/>
      <c r="GEY107"/>
      <c r="GEZ107"/>
      <c r="GFA107"/>
      <c r="GFB107"/>
      <c r="GFC107"/>
      <c r="GFD107"/>
      <c r="GFE107"/>
      <c r="GFF107"/>
      <c r="GFG107"/>
      <c r="GFH107"/>
      <c r="GFI107"/>
      <c r="GFJ107"/>
      <c r="GFK107"/>
      <c r="GFL107"/>
      <c r="GFM107"/>
      <c r="GFN107"/>
      <c r="GFO107"/>
      <c r="GFP107"/>
      <c r="GFQ107"/>
      <c r="GFR107"/>
      <c r="GFS107"/>
      <c r="GFT107"/>
      <c r="GFU107"/>
      <c r="GFV107"/>
      <c r="GFW107"/>
      <c r="GFX107"/>
      <c r="GFY107"/>
      <c r="GFZ107"/>
      <c r="GGA107"/>
      <c r="GGB107"/>
      <c r="GGC107"/>
      <c r="GGD107"/>
      <c r="GGE107"/>
      <c r="GGF107"/>
      <c r="GGG107"/>
      <c r="GGH107"/>
      <c r="GGI107"/>
      <c r="GGJ107"/>
      <c r="GGK107"/>
      <c r="GGL107"/>
      <c r="GGM107"/>
      <c r="GGN107"/>
      <c r="GGO107"/>
      <c r="GGP107"/>
      <c r="GGQ107"/>
      <c r="GGR107"/>
      <c r="GGS107"/>
      <c r="GGT107"/>
      <c r="GGU107"/>
      <c r="GGV107"/>
      <c r="GGW107"/>
      <c r="GGX107"/>
      <c r="GGY107"/>
      <c r="GGZ107"/>
      <c r="GHA107"/>
      <c r="GHB107"/>
      <c r="GHC107"/>
      <c r="GHD107"/>
      <c r="GHE107"/>
      <c r="GHF107"/>
      <c r="GHG107"/>
      <c r="GHH107"/>
      <c r="GHI107"/>
      <c r="GHJ107"/>
      <c r="GHK107"/>
      <c r="GHL107"/>
      <c r="GHM107"/>
      <c r="GHN107"/>
      <c r="GHO107"/>
      <c r="GHP107"/>
      <c r="GHQ107"/>
      <c r="GHR107"/>
      <c r="GHS107"/>
      <c r="GHT107"/>
      <c r="GHU107"/>
      <c r="GHV107"/>
      <c r="GHW107"/>
      <c r="GHX107"/>
      <c r="GHY107"/>
      <c r="GHZ107"/>
      <c r="GIA107"/>
      <c r="GIB107"/>
      <c r="GIC107"/>
      <c r="GID107"/>
      <c r="GIE107"/>
      <c r="GIF107"/>
      <c r="GIG107"/>
      <c r="GIH107"/>
      <c r="GII107"/>
      <c r="GIJ107"/>
      <c r="GIK107"/>
      <c r="GIL107"/>
      <c r="GIM107"/>
      <c r="GIN107"/>
      <c r="GIO107"/>
      <c r="GIP107"/>
      <c r="GIQ107"/>
      <c r="GIR107"/>
      <c r="GIS107"/>
      <c r="GIT107"/>
      <c r="GIU107"/>
      <c r="GIV107"/>
      <c r="GIW107"/>
      <c r="GIX107"/>
      <c r="GIY107"/>
      <c r="GIZ107"/>
      <c r="GJA107"/>
      <c r="GJB107"/>
      <c r="GJC107"/>
      <c r="GJD107"/>
      <c r="GJE107"/>
      <c r="GJF107"/>
      <c r="GJG107"/>
      <c r="GJH107"/>
      <c r="GJI107"/>
      <c r="GJJ107"/>
      <c r="GJK107"/>
      <c r="GJL107"/>
      <c r="GJM107"/>
      <c r="GJN107"/>
      <c r="GJO107"/>
      <c r="GJP107"/>
      <c r="GJQ107"/>
      <c r="GJR107"/>
      <c r="GJS107"/>
      <c r="GJT107"/>
      <c r="GJU107"/>
      <c r="GJV107"/>
      <c r="GJW107"/>
      <c r="GJX107"/>
      <c r="GJY107"/>
      <c r="GJZ107"/>
      <c r="GKA107"/>
      <c r="GKB107"/>
      <c r="GKC107"/>
      <c r="GKD107"/>
      <c r="GKE107"/>
      <c r="GKF107"/>
      <c r="GKG107"/>
      <c r="GKH107"/>
      <c r="GKI107"/>
      <c r="GKJ107"/>
      <c r="GKK107"/>
      <c r="GKL107"/>
      <c r="GKM107"/>
      <c r="GKN107"/>
      <c r="GKO107"/>
      <c r="GKP107"/>
      <c r="GKQ107"/>
      <c r="GKR107"/>
      <c r="GKS107"/>
      <c r="GKT107"/>
      <c r="GKU107"/>
      <c r="GKV107"/>
      <c r="GKW107"/>
      <c r="GKX107"/>
      <c r="GKY107"/>
      <c r="GKZ107"/>
      <c r="GLA107"/>
      <c r="GLB107"/>
      <c r="GLC107"/>
      <c r="GLD107"/>
      <c r="GLE107"/>
      <c r="GLF107"/>
      <c r="GLG107"/>
      <c r="GLH107"/>
      <c r="GLI107"/>
      <c r="GLJ107"/>
      <c r="GLK107"/>
      <c r="GLL107"/>
      <c r="GLM107"/>
      <c r="GLN107"/>
      <c r="GLO107"/>
      <c r="GLP107"/>
      <c r="GLQ107"/>
      <c r="GLR107"/>
      <c r="GLS107"/>
      <c r="GLT107"/>
      <c r="GLU107"/>
      <c r="GLV107"/>
      <c r="GLW107"/>
      <c r="GLX107"/>
      <c r="GLY107"/>
      <c r="GLZ107"/>
      <c r="GMA107"/>
      <c r="GMB107"/>
      <c r="GMC107"/>
      <c r="GMD107"/>
      <c r="GME107"/>
      <c r="GMF107"/>
      <c r="GMG107"/>
      <c r="GMH107"/>
      <c r="GMI107"/>
      <c r="GMJ107"/>
      <c r="GMK107"/>
      <c r="GML107"/>
      <c r="GMM107"/>
      <c r="GMN107"/>
      <c r="GMO107"/>
      <c r="GMP107"/>
      <c r="GMQ107"/>
      <c r="GMR107"/>
      <c r="GMS107"/>
      <c r="GMT107"/>
      <c r="GMU107"/>
      <c r="GMV107"/>
      <c r="GMW107"/>
      <c r="GMX107"/>
      <c r="GMY107"/>
      <c r="GMZ107"/>
      <c r="GNA107"/>
      <c r="GNB107"/>
      <c r="GNC107"/>
      <c r="GND107"/>
      <c r="GNE107"/>
      <c r="GNF107"/>
      <c r="GNG107"/>
      <c r="GNH107"/>
      <c r="GNI107"/>
      <c r="GNJ107"/>
      <c r="GNK107"/>
      <c r="GNL107"/>
      <c r="GNM107"/>
      <c r="GNN107"/>
      <c r="GNO107"/>
      <c r="GNP107"/>
      <c r="GNQ107"/>
      <c r="GNR107"/>
      <c r="GNS107"/>
      <c r="GNT107"/>
      <c r="GNU107"/>
      <c r="GNV107"/>
      <c r="GNW107"/>
      <c r="GNX107"/>
      <c r="GNY107"/>
      <c r="GNZ107"/>
      <c r="GOA107"/>
      <c r="GOB107"/>
      <c r="GOC107"/>
      <c r="GOD107"/>
      <c r="GOE107"/>
      <c r="GOF107"/>
      <c r="GOG107"/>
      <c r="GOH107"/>
      <c r="GOI107"/>
      <c r="GOJ107"/>
      <c r="GOK107"/>
      <c r="GOL107"/>
      <c r="GOM107"/>
      <c r="GON107"/>
      <c r="GOO107"/>
      <c r="GOP107"/>
      <c r="GOQ107"/>
      <c r="GOR107"/>
      <c r="GOS107"/>
      <c r="GOT107"/>
      <c r="GOU107"/>
      <c r="GOV107"/>
      <c r="GOW107"/>
      <c r="GOX107"/>
      <c r="GOY107"/>
      <c r="GOZ107"/>
      <c r="GPA107"/>
      <c r="GPB107"/>
      <c r="GPC107"/>
      <c r="GPD107"/>
      <c r="GPE107"/>
      <c r="GPF107"/>
      <c r="GPG107"/>
      <c r="GPH107"/>
      <c r="GPI107"/>
      <c r="GPJ107"/>
      <c r="GPK107"/>
      <c r="GPL107"/>
      <c r="GPM107"/>
      <c r="GPN107"/>
      <c r="GPO107"/>
      <c r="GPP107"/>
      <c r="GPQ107"/>
      <c r="GPR107"/>
      <c r="GPS107"/>
      <c r="GPT107"/>
      <c r="GPU107"/>
      <c r="GPV107"/>
      <c r="GPW107"/>
      <c r="GPX107"/>
      <c r="GPY107"/>
      <c r="GPZ107"/>
      <c r="GQA107"/>
      <c r="GQB107"/>
      <c r="GQC107"/>
      <c r="GQD107"/>
      <c r="GQE107"/>
      <c r="GQF107"/>
      <c r="GQG107"/>
      <c r="GQH107"/>
      <c r="GQI107"/>
      <c r="GQJ107"/>
      <c r="GQK107"/>
      <c r="GQL107"/>
      <c r="GQM107"/>
      <c r="GQN107"/>
      <c r="GQO107"/>
      <c r="GQP107"/>
      <c r="GQQ107"/>
      <c r="GQR107"/>
      <c r="GQS107"/>
      <c r="GQT107"/>
      <c r="GQU107"/>
      <c r="GQV107"/>
      <c r="GQW107"/>
      <c r="GQX107"/>
      <c r="GQY107"/>
      <c r="GQZ107"/>
      <c r="GRA107"/>
      <c r="GRB107"/>
      <c r="GRC107"/>
      <c r="GRD107"/>
      <c r="GRE107"/>
      <c r="GRF107"/>
      <c r="GRG107"/>
      <c r="GRH107"/>
      <c r="GRI107"/>
      <c r="GRJ107"/>
      <c r="GRK107"/>
      <c r="GRL107"/>
      <c r="GRM107"/>
      <c r="GRN107"/>
      <c r="GRO107"/>
      <c r="GRP107"/>
      <c r="GRQ107"/>
      <c r="GRR107"/>
      <c r="GRS107"/>
      <c r="GRT107"/>
      <c r="GRU107"/>
      <c r="GRV107"/>
      <c r="GRW107"/>
      <c r="GRX107"/>
      <c r="GRY107"/>
      <c r="GRZ107"/>
      <c r="GSA107"/>
      <c r="GSB107"/>
      <c r="GSC107"/>
      <c r="GSD107"/>
      <c r="GSE107"/>
      <c r="GSF107"/>
      <c r="GSG107"/>
      <c r="GSH107"/>
      <c r="GSI107"/>
      <c r="GSJ107"/>
      <c r="GSK107"/>
      <c r="GSL107"/>
      <c r="GSM107"/>
      <c r="GSN107"/>
      <c r="GSO107"/>
      <c r="GSP107"/>
      <c r="GSQ107"/>
      <c r="GSR107"/>
      <c r="GSS107"/>
      <c r="GST107"/>
      <c r="GSU107"/>
      <c r="GSV107"/>
      <c r="GSW107"/>
      <c r="GSX107"/>
      <c r="GSY107"/>
      <c r="GSZ107"/>
      <c r="GTA107"/>
      <c r="GTB107"/>
      <c r="GTC107"/>
      <c r="GTD107"/>
      <c r="GTE107"/>
      <c r="GTF107"/>
      <c r="GTG107"/>
      <c r="GTH107"/>
      <c r="GTI107"/>
      <c r="GTJ107"/>
      <c r="GTK107"/>
      <c r="GTL107"/>
      <c r="GTM107"/>
      <c r="GTN107"/>
      <c r="GTO107"/>
      <c r="GTP107"/>
      <c r="GTQ107"/>
      <c r="GTR107"/>
      <c r="GTS107"/>
      <c r="GTT107"/>
      <c r="GTU107"/>
      <c r="GTV107"/>
      <c r="GTW107"/>
      <c r="GTX107"/>
      <c r="GTY107"/>
      <c r="GTZ107"/>
      <c r="GUA107"/>
      <c r="GUB107"/>
      <c r="GUC107"/>
      <c r="GUD107"/>
      <c r="GUE107"/>
      <c r="GUF107"/>
      <c r="GUG107"/>
      <c r="GUH107"/>
      <c r="GUI107"/>
      <c r="GUJ107"/>
      <c r="GUK107"/>
      <c r="GUL107"/>
      <c r="GUM107"/>
      <c r="GUN107"/>
      <c r="GUO107"/>
      <c r="GUP107"/>
      <c r="GUQ107"/>
      <c r="GUR107"/>
      <c r="GUS107"/>
      <c r="GUT107"/>
      <c r="GUU107"/>
      <c r="GUV107"/>
      <c r="GUW107"/>
      <c r="GUX107"/>
      <c r="GUY107"/>
      <c r="GUZ107"/>
      <c r="GVA107"/>
      <c r="GVB107"/>
      <c r="GVC107"/>
      <c r="GVD107"/>
      <c r="GVE107"/>
      <c r="GVF107"/>
      <c r="GVG107"/>
      <c r="GVH107"/>
      <c r="GVI107"/>
      <c r="GVJ107"/>
      <c r="GVK107"/>
      <c r="GVL107"/>
      <c r="GVM107"/>
      <c r="GVN107"/>
      <c r="GVO107"/>
      <c r="GVP107"/>
      <c r="GVQ107"/>
      <c r="GVR107"/>
      <c r="GVS107"/>
      <c r="GVT107"/>
      <c r="GVU107"/>
      <c r="GVV107"/>
      <c r="GVW107"/>
      <c r="GVX107"/>
      <c r="GVY107"/>
      <c r="GVZ107"/>
      <c r="GWA107"/>
      <c r="GWB107"/>
      <c r="GWC107"/>
      <c r="GWD107"/>
      <c r="GWE107"/>
      <c r="GWF107"/>
      <c r="GWG107"/>
      <c r="GWH107"/>
      <c r="GWI107"/>
      <c r="GWJ107"/>
      <c r="GWK107"/>
      <c r="GWL107"/>
      <c r="GWM107"/>
      <c r="GWN107"/>
      <c r="GWO107"/>
      <c r="GWP107"/>
      <c r="GWQ107"/>
      <c r="GWR107"/>
      <c r="GWS107"/>
      <c r="GWT107"/>
      <c r="GWU107"/>
      <c r="GWV107"/>
      <c r="GWW107"/>
      <c r="GWX107"/>
      <c r="GWY107"/>
      <c r="GWZ107"/>
      <c r="GXA107"/>
      <c r="GXB107"/>
      <c r="GXC107"/>
      <c r="GXD107"/>
      <c r="GXE107"/>
      <c r="GXF107"/>
      <c r="GXG107"/>
      <c r="GXH107"/>
      <c r="GXI107"/>
      <c r="GXJ107"/>
      <c r="GXK107"/>
      <c r="GXL107"/>
      <c r="GXM107"/>
      <c r="GXN107"/>
      <c r="GXO107"/>
      <c r="GXP107"/>
      <c r="GXQ107"/>
      <c r="GXR107"/>
      <c r="GXS107"/>
      <c r="GXT107"/>
      <c r="GXU107"/>
      <c r="GXV107"/>
      <c r="GXW107"/>
      <c r="GXX107"/>
      <c r="GXY107"/>
      <c r="GXZ107"/>
      <c r="GYA107"/>
      <c r="GYB107"/>
      <c r="GYC107"/>
      <c r="GYD107"/>
      <c r="GYE107"/>
      <c r="GYF107"/>
      <c r="GYG107"/>
      <c r="GYH107"/>
      <c r="GYI107"/>
      <c r="GYJ107"/>
      <c r="GYK107"/>
      <c r="GYL107"/>
      <c r="GYM107"/>
      <c r="GYN107"/>
      <c r="GYO107"/>
      <c r="GYP107"/>
      <c r="GYQ107"/>
      <c r="GYR107"/>
      <c r="GYS107"/>
      <c r="GYT107"/>
      <c r="GYU107"/>
      <c r="GYV107"/>
      <c r="GYW107"/>
      <c r="GYX107"/>
      <c r="GYY107"/>
      <c r="GYZ107"/>
      <c r="GZA107"/>
      <c r="GZB107"/>
      <c r="GZC107"/>
      <c r="GZD107"/>
      <c r="GZE107"/>
      <c r="GZF107"/>
      <c r="GZG107"/>
      <c r="GZH107"/>
      <c r="GZI107"/>
      <c r="GZJ107"/>
      <c r="GZK107"/>
      <c r="GZL107"/>
      <c r="GZM107"/>
      <c r="GZN107"/>
      <c r="GZO107"/>
      <c r="GZP107"/>
      <c r="GZQ107"/>
      <c r="GZR107"/>
      <c r="GZS107"/>
      <c r="GZT107"/>
      <c r="GZU107"/>
      <c r="GZV107"/>
      <c r="GZW107"/>
      <c r="GZX107"/>
      <c r="GZY107"/>
      <c r="GZZ107"/>
      <c r="HAA107"/>
      <c r="HAB107"/>
      <c r="HAC107"/>
      <c r="HAD107"/>
      <c r="HAE107"/>
      <c r="HAF107"/>
      <c r="HAG107"/>
      <c r="HAH107"/>
      <c r="HAI107"/>
      <c r="HAJ107"/>
      <c r="HAK107"/>
      <c r="HAL107"/>
      <c r="HAM107"/>
      <c r="HAN107"/>
      <c r="HAO107"/>
      <c r="HAP107"/>
      <c r="HAQ107"/>
      <c r="HAR107"/>
      <c r="HAS107"/>
      <c r="HAT107"/>
      <c r="HAU107"/>
      <c r="HAV107"/>
      <c r="HAW107"/>
      <c r="HAX107"/>
      <c r="HAY107"/>
      <c r="HAZ107"/>
      <c r="HBA107"/>
      <c r="HBB107"/>
      <c r="HBC107"/>
      <c r="HBD107"/>
      <c r="HBE107"/>
      <c r="HBF107"/>
      <c r="HBG107"/>
      <c r="HBH107"/>
      <c r="HBI107"/>
      <c r="HBJ107"/>
      <c r="HBK107"/>
      <c r="HBL107"/>
      <c r="HBM107"/>
      <c r="HBN107"/>
      <c r="HBO107"/>
      <c r="HBP107"/>
      <c r="HBQ107"/>
      <c r="HBR107"/>
      <c r="HBS107"/>
      <c r="HBT107"/>
      <c r="HBU107"/>
      <c r="HBV107"/>
      <c r="HBW107"/>
      <c r="HBX107"/>
      <c r="HBY107"/>
      <c r="HBZ107"/>
      <c r="HCA107"/>
      <c r="HCB107"/>
      <c r="HCC107"/>
      <c r="HCD107"/>
      <c r="HCE107"/>
      <c r="HCF107"/>
      <c r="HCG107"/>
      <c r="HCH107"/>
      <c r="HCI107"/>
      <c r="HCJ107"/>
      <c r="HCK107"/>
      <c r="HCL107"/>
      <c r="HCM107"/>
      <c r="HCN107"/>
      <c r="HCO107"/>
      <c r="HCP107"/>
      <c r="HCQ107"/>
      <c r="HCR107"/>
      <c r="HCS107"/>
      <c r="HCT107"/>
      <c r="HCU107"/>
      <c r="HCV107"/>
      <c r="HCW107"/>
      <c r="HCX107"/>
      <c r="HCY107"/>
      <c r="HCZ107"/>
      <c r="HDA107"/>
      <c r="HDB107"/>
      <c r="HDC107"/>
      <c r="HDD107"/>
      <c r="HDE107"/>
      <c r="HDF107"/>
      <c r="HDG107"/>
      <c r="HDH107"/>
      <c r="HDI107"/>
      <c r="HDJ107"/>
      <c r="HDK107"/>
      <c r="HDL107"/>
      <c r="HDM107"/>
      <c r="HDN107"/>
      <c r="HDO107"/>
      <c r="HDP107"/>
      <c r="HDQ107"/>
      <c r="HDR107"/>
      <c r="HDS107"/>
      <c r="HDT107"/>
      <c r="HDU107"/>
      <c r="HDV107"/>
      <c r="HDW107"/>
      <c r="HDX107"/>
      <c r="HDY107"/>
      <c r="HDZ107"/>
      <c r="HEA107"/>
      <c r="HEB107"/>
      <c r="HEC107"/>
      <c r="HED107"/>
      <c r="HEE107"/>
      <c r="HEF107"/>
      <c r="HEG107"/>
      <c r="HEH107"/>
      <c r="HEI107"/>
      <c r="HEJ107"/>
      <c r="HEK107"/>
      <c r="HEL107"/>
      <c r="HEM107"/>
      <c r="HEN107"/>
      <c r="HEO107"/>
      <c r="HEP107"/>
      <c r="HEQ107"/>
      <c r="HER107"/>
      <c r="HES107"/>
      <c r="HET107"/>
      <c r="HEU107"/>
      <c r="HEV107"/>
      <c r="HEW107"/>
      <c r="HEX107"/>
      <c r="HEY107"/>
      <c r="HEZ107"/>
      <c r="HFA107"/>
      <c r="HFB107"/>
      <c r="HFC107"/>
      <c r="HFD107"/>
      <c r="HFE107"/>
      <c r="HFF107"/>
      <c r="HFG107"/>
      <c r="HFH107"/>
      <c r="HFI107"/>
      <c r="HFJ107"/>
      <c r="HFK107"/>
      <c r="HFL107"/>
      <c r="HFM107"/>
      <c r="HFN107"/>
      <c r="HFO107"/>
      <c r="HFP107"/>
      <c r="HFQ107"/>
      <c r="HFR107"/>
      <c r="HFS107"/>
      <c r="HFT107"/>
      <c r="HFU107"/>
      <c r="HFV107"/>
      <c r="HFW107"/>
      <c r="HFX107"/>
      <c r="HFY107"/>
      <c r="HFZ107"/>
      <c r="HGA107"/>
      <c r="HGB107"/>
      <c r="HGC107"/>
      <c r="HGD107"/>
      <c r="HGE107"/>
      <c r="HGF107"/>
      <c r="HGG107"/>
      <c r="HGH107"/>
      <c r="HGI107"/>
      <c r="HGJ107"/>
      <c r="HGK107"/>
      <c r="HGL107"/>
      <c r="HGM107"/>
      <c r="HGN107"/>
      <c r="HGO107"/>
      <c r="HGP107"/>
      <c r="HGQ107"/>
      <c r="HGR107"/>
      <c r="HGS107"/>
      <c r="HGT107"/>
      <c r="HGU107"/>
      <c r="HGV107"/>
      <c r="HGW107"/>
      <c r="HGX107"/>
      <c r="HGY107"/>
      <c r="HGZ107"/>
      <c r="HHA107"/>
      <c r="HHB107"/>
      <c r="HHC107"/>
      <c r="HHD107"/>
      <c r="HHE107"/>
      <c r="HHF107"/>
      <c r="HHG107"/>
      <c r="HHH107"/>
      <c r="HHI107"/>
      <c r="HHJ107"/>
      <c r="HHK107"/>
      <c r="HHL107"/>
      <c r="HHM107"/>
      <c r="HHN107"/>
      <c r="HHO107"/>
      <c r="HHP107"/>
      <c r="HHQ107"/>
      <c r="HHR107"/>
      <c r="HHS107"/>
      <c r="HHT107"/>
      <c r="HHU107"/>
      <c r="HHV107"/>
      <c r="HHW107"/>
      <c r="HHX107"/>
      <c r="HHY107"/>
      <c r="HHZ107"/>
      <c r="HIA107"/>
      <c r="HIB107"/>
      <c r="HIC107"/>
      <c r="HID107"/>
      <c r="HIE107"/>
      <c r="HIF107"/>
      <c r="HIG107"/>
      <c r="HIH107"/>
      <c r="HII107"/>
      <c r="HIJ107"/>
      <c r="HIK107"/>
      <c r="HIL107"/>
      <c r="HIM107"/>
      <c r="HIN107"/>
      <c r="HIO107"/>
      <c r="HIP107"/>
      <c r="HIQ107"/>
      <c r="HIR107"/>
      <c r="HIS107"/>
      <c r="HIT107"/>
      <c r="HIU107"/>
      <c r="HIV107"/>
      <c r="HIW107"/>
      <c r="HIX107"/>
      <c r="HIY107"/>
      <c r="HIZ107"/>
      <c r="HJA107"/>
      <c r="HJB107"/>
      <c r="HJC107"/>
      <c r="HJD107"/>
      <c r="HJE107"/>
      <c r="HJF107"/>
      <c r="HJG107"/>
      <c r="HJH107"/>
      <c r="HJI107"/>
      <c r="HJJ107"/>
      <c r="HJK107"/>
      <c r="HJL107"/>
      <c r="HJM107"/>
      <c r="HJN107"/>
      <c r="HJO107"/>
      <c r="HJP107"/>
      <c r="HJQ107"/>
      <c r="HJR107"/>
      <c r="HJS107"/>
      <c r="HJT107"/>
      <c r="HJU107"/>
      <c r="HJV107"/>
      <c r="HJW107"/>
      <c r="HJX107"/>
      <c r="HJY107"/>
      <c r="HJZ107"/>
      <c r="HKA107"/>
      <c r="HKB107"/>
      <c r="HKC107"/>
      <c r="HKD107"/>
      <c r="HKE107"/>
      <c r="HKF107"/>
      <c r="HKG107"/>
      <c r="HKH107"/>
      <c r="HKI107"/>
      <c r="HKJ107"/>
      <c r="HKK107"/>
      <c r="HKL107"/>
      <c r="HKM107"/>
      <c r="HKN107"/>
      <c r="HKO107"/>
      <c r="HKP107"/>
      <c r="HKQ107"/>
      <c r="HKR107"/>
      <c r="HKS107"/>
      <c r="HKT107"/>
      <c r="HKU107"/>
      <c r="HKV107"/>
      <c r="HKW107"/>
      <c r="HKX107"/>
      <c r="HKY107"/>
      <c r="HKZ107"/>
      <c r="HLA107"/>
      <c r="HLB107"/>
      <c r="HLC107"/>
      <c r="HLD107"/>
      <c r="HLE107"/>
      <c r="HLF107"/>
      <c r="HLG107"/>
      <c r="HLH107"/>
      <c r="HLI107"/>
      <c r="HLJ107"/>
      <c r="HLK107"/>
      <c r="HLL107"/>
      <c r="HLM107"/>
      <c r="HLN107"/>
      <c r="HLO107"/>
      <c r="HLP107"/>
      <c r="HLQ107"/>
      <c r="HLR107"/>
      <c r="HLS107"/>
      <c r="HLT107"/>
      <c r="HLU107"/>
      <c r="HLV107"/>
      <c r="HLW107"/>
      <c r="HLX107"/>
      <c r="HLY107"/>
      <c r="HLZ107"/>
      <c r="HMA107"/>
      <c r="HMB107"/>
      <c r="HMC107"/>
      <c r="HMD107"/>
      <c r="HME107"/>
      <c r="HMF107"/>
      <c r="HMG107"/>
      <c r="HMH107"/>
      <c r="HMI107"/>
      <c r="HMJ107"/>
      <c r="HMK107"/>
      <c r="HML107"/>
      <c r="HMM107"/>
      <c r="HMN107"/>
      <c r="HMO107"/>
      <c r="HMP107"/>
      <c r="HMQ107"/>
      <c r="HMR107"/>
      <c r="HMS107"/>
      <c r="HMT107"/>
      <c r="HMU107"/>
      <c r="HMV107"/>
      <c r="HMW107"/>
      <c r="HMX107"/>
      <c r="HMY107"/>
      <c r="HMZ107"/>
      <c r="HNA107"/>
      <c r="HNB107"/>
      <c r="HNC107"/>
      <c r="HND107"/>
      <c r="HNE107"/>
      <c r="HNF107"/>
      <c r="HNG107"/>
      <c r="HNH107"/>
      <c r="HNI107"/>
      <c r="HNJ107"/>
      <c r="HNK107"/>
      <c r="HNL107"/>
      <c r="HNM107"/>
      <c r="HNN107"/>
      <c r="HNO107"/>
      <c r="HNP107"/>
      <c r="HNQ107"/>
      <c r="HNR107"/>
      <c r="HNS107"/>
      <c r="HNT107"/>
      <c r="HNU107"/>
      <c r="HNV107"/>
      <c r="HNW107"/>
      <c r="HNX107"/>
      <c r="HNY107"/>
      <c r="HNZ107"/>
      <c r="HOA107"/>
      <c r="HOB107"/>
      <c r="HOC107"/>
      <c r="HOD107"/>
      <c r="HOE107"/>
      <c r="HOF107"/>
      <c r="HOG107"/>
      <c r="HOH107"/>
      <c r="HOI107"/>
      <c r="HOJ107"/>
      <c r="HOK107"/>
      <c r="HOL107"/>
      <c r="HOM107"/>
      <c r="HON107"/>
      <c r="HOO107"/>
      <c r="HOP107"/>
      <c r="HOQ107"/>
      <c r="HOR107"/>
      <c r="HOS107"/>
      <c r="HOT107"/>
      <c r="HOU107"/>
      <c r="HOV107"/>
      <c r="HOW107"/>
      <c r="HOX107"/>
      <c r="HOY107"/>
      <c r="HOZ107"/>
      <c r="HPA107"/>
      <c r="HPB107"/>
      <c r="HPC107"/>
      <c r="HPD107"/>
      <c r="HPE107"/>
      <c r="HPF107"/>
      <c r="HPG107"/>
      <c r="HPH107"/>
      <c r="HPI107"/>
      <c r="HPJ107"/>
      <c r="HPK107"/>
      <c r="HPL107"/>
      <c r="HPM107"/>
      <c r="HPN107"/>
      <c r="HPO107"/>
      <c r="HPP107"/>
      <c r="HPQ107"/>
      <c r="HPR107"/>
      <c r="HPS107"/>
      <c r="HPT107"/>
      <c r="HPU107"/>
      <c r="HPV107"/>
      <c r="HPW107"/>
      <c r="HPX107"/>
      <c r="HPY107"/>
      <c r="HPZ107"/>
      <c r="HQA107"/>
      <c r="HQB107"/>
      <c r="HQC107"/>
      <c r="HQD107"/>
      <c r="HQE107"/>
      <c r="HQF107"/>
      <c r="HQG107"/>
      <c r="HQH107"/>
      <c r="HQI107"/>
      <c r="HQJ107"/>
      <c r="HQK107"/>
      <c r="HQL107"/>
      <c r="HQM107"/>
      <c r="HQN107"/>
      <c r="HQO107"/>
      <c r="HQP107"/>
      <c r="HQQ107"/>
      <c r="HQR107"/>
      <c r="HQS107"/>
      <c r="HQT107"/>
      <c r="HQU107"/>
      <c r="HQV107"/>
      <c r="HQW107"/>
      <c r="HQX107"/>
      <c r="HQY107"/>
      <c r="HQZ107"/>
      <c r="HRA107"/>
      <c r="HRB107"/>
      <c r="HRC107"/>
      <c r="HRD107"/>
      <c r="HRE107"/>
      <c r="HRF107"/>
      <c r="HRG107"/>
      <c r="HRH107"/>
      <c r="HRI107"/>
      <c r="HRJ107"/>
      <c r="HRK107"/>
      <c r="HRL107"/>
      <c r="HRM107"/>
      <c r="HRN107"/>
      <c r="HRO107"/>
      <c r="HRP107"/>
      <c r="HRQ107"/>
      <c r="HRR107"/>
      <c r="HRS107"/>
      <c r="HRT107"/>
      <c r="HRU107"/>
      <c r="HRV107"/>
      <c r="HRW107"/>
      <c r="HRX107"/>
      <c r="HRY107"/>
      <c r="HRZ107"/>
      <c r="HSA107"/>
      <c r="HSB107"/>
      <c r="HSC107"/>
      <c r="HSD107"/>
      <c r="HSE107"/>
      <c r="HSF107"/>
      <c r="HSG107"/>
      <c r="HSH107"/>
      <c r="HSI107"/>
      <c r="HSJ107"/>
      <c r="HSK107"/>
      <c r="HSL107"/>
      <c r="HSM107"/>
      <c r="HSN107"/>
      <c r="HSO107"/>
      <c r="HSP107"/>
      <c r="HSQ107"/>
      <c r="HSR107"/>
      <c r="HSS107"/>
      <c r="HST107"/>
      <c r="HSU107"/>
      <c r="HSV107"/>
      <c r="HSW107"/>
      <c r="HSX107"/>
      <c r="HSY107"/>
      <c r="HSZ107"/>
      <c r="HTA107"/>
      <c r="HTB107"/>
      <c r="HTC107"/>
      <c r="HTD107"/>
      <c r="HTE107"/>
      <c r="HTF107"/>
      <c r="HTG107"/>
      <c r="HTH107"/>
      <c r="HTI107"/>
      <c r="HTJ107"/>
      <c r="HTK107"/>
      <c r="HTL107"/>
      <c r="HTM107"/>
      <c r="HTN107"/>
      <c r="HTO107"/>
      <c r="HTP107"/>
      <c r="HTQ107"/>
      <c r="HTR107"/>
      <c r="HTS107"/>
      <c r="HTT107"/>
      <c r="HTU107"/>
      <c r="HTV107"/>
      <c r="HTW107"/>
      <c r="HTX107"/>
      <c r="HTY107"/>
      <c r="HTZ107"/>
      <c r="HUA107"/>
      <c r="HUB107"/>
      <c r="HUC107"/>
      <c r="HUD107"/>
      <c r="HUE107"/>
      <c r="HUF107"/>
      <c r="HUG107"/>
      <c r="HUH107"/>
      <c r="HUI107"/>
      <c r="HUJ107"/>
      <c r="HUK107"/>
      <c r="HUL107"/>
      <c r="HUM107"/>
      <c r="HUN107"/>
      <c r="HUO107"/>
      <c r="HUP107"/>
      <c r="HUQ107"/>
      <c r="HUR107"/>
      <c r="HUS107"/>
      <c r="HUT107"/>
      <c r="HUU107"/>
      <c r="HUV107"/>
      <c r="HUW107"/>
      <c r="HUX107"/>
      <c r="HUY107"/>
      <c r="HUZ107"/>
      <c r="HVA107"/>
      <c r="HVB107"/>
      <c r="HVC107"/>
      <c r="HVD107"/>
      <c r="HVE107"/>
      <c r="HVF107"/>
      <c r="HVG107"/>
      <c r="HVH107"/>
      <c r="HVI107"/>
      <c r="HVJ107"/>
      <c r="HVK107"/>
      <c r="HVL107"/>
      <c r="HVM107"/>
      <c r="HVN107"/>
      <c r="HVO107"/>
      <c r="HVP107"/>
      <c r="HVQ107"/>
      <c r="HVR107"/>
      <c r="HVS107"/>
      <c r="HVT107"/>
      <c r="HVU107"/>
      <c r="HVV107"/>
      <c r="HVW107"/>
      <c r="HVX107"/>
      <c r="HVY107"/>
      <c r="HVZ107"/>
      <c r="HWA107"/>
      <c r="HWB107"/>
      <c r="HWC107"/>
      <c r="HWD107"/>
      <c r="HWE107"/>
      <c r="HWF107"/>
      <c r="HWG107"/>
      <c r="HWH107"/>
      <c r="HWI107"/>
      <c r="HWJ107"/>
      <c r="HWK107"/>
      <c r="HWL107"/>
      <c r="HWM107"/>
      <c r="HWN107"/>
      <c r="HWO107"/>
      <c r="HWP107"/>
      <c r="HWQ107"/>
      <c r="HWR107"/>
      <c r="HWS107"/>
      <c r="HWT107"/>
      <c r="HWU107"/>
      <c r="HWV107"/>
      <c r="HWW107"/>
      <c r="HWX107"/>
      <c r="HWY107"/>
      <c r="HWZ107"/>
      <c r="HXA107"/>
      <c r="HXB107"/>
      <c r="HXC107"/>
      <c r="HXD107"/>
      <c r="HXE107"/>
      <c r="HXF107"/>
      <c r="HXG107"/>
      <c r="HXH107"/>
      <c r="HXI107"/>
      <c r="HXJ107"/>
      <c r="HXK107"/>
      <c r="HXL107"/>
      <c r="HXM107"/>
      <c r="HXN107"/>
      <c r="HXO107"/>
      <c r="HXP107"/>
      <c r="HXQ107"/>
      <c r="HXR107"/>
      <c r="HXS107"/>
      <c r="HXT107"/>
      <c r="HXU107"/>
      <c r="HXV107"/>
      <c r="HXW107"/>
      <c r="HXX107"/>
      <c r="HXY107"/>
      <c r="HXZ107"/>
      <c r="HYA107"/>
      <c r="HYB107"/>
      <c r="HYC107"/>
      <c r="HYD107"/>
      <c r="HYE107"/>
      <c r="HYF107"/>
      <c r="HYG107"/>
      <c r="HYH107"/>
      <c r="HYI107"/>
      <c r="HYJ107"/>
      <c r="HYK107"/>
      <c r="HYL107"/>
      <c r="HYM107"/>
      <c r="HYN107"/>
      <c r="HYO107"/>
      <c r="HYP107"/>
      <c r="HYQ107"/>
      <c r="HYR107"/>
      <c r="HYS107"/>
      <c r="HYT107"/>
      <c r="HYU107"/>
      <c r="HYV107"/>
      <c r="HYW107"/>
      <c r="HYX107"/>
      <c r="HYY107"/>
      <c r="HYZ107"/>
      <c r="HZA107"/>
      <c r="HZB107"/>
      <c r="HZC107"/>
      <c r="HZD107"/>
      <c r="HZE107"/>
      <c r="HZF107"/>
      <c r="HZG107"/>
      <c r="HZH107"/>
      <c r="HZI107"/>
      <c r="HZJ107"/>
      <c r="HZK107"/>
      <c r="HZL107"/>
      <c r="HZM107"/>
      <c r="HZN107"/>
      <c r="HZO107"/>
      <c r="HZP107"/>
      <c r="HZQ107"/>
      <c r="HZR107"/>
      <c r="HZS107"/>
      <c r="HZT107"/>
      <c r="HZU107"/>
      <c r="HZV107"/>
      <c r="HZW107"/>
      <c r="HZX107"/>
      <c r="HZY107"/>
      <c r="HZZ107"/>
      <c r="IAA107"/>
      <c r="IAB107"/>
      <c r="IAC107"/>
      <c r="IAD107"/>
      <c r="IAE107"/>
      <c r="IAF107"/>
      <c r="IAG107"/>
      <c r="IAH107"/>
      <c r="IAI107"/>
      <c r="IAJ107"/>
      <c r="IAK107"/>
      <c r="IAL107"/>
      <c r="IAM107"/>
      <c r="IAN107"/>
      <c r="IAO107"/>
      <c r="IAP107"/>
      <c r="IAQ107"/>
      <c r="IAR107"/>
      <c r="IAS107"/>
      <c r="IAT107"/>
      <c r="IAU107"/>
      <c r="IAV107"/>
      <c r="IAW107"/>
      <c r="IAX107"/>
      <c r="IAY107"/>
      <c r="IAZ107"/>
      <c r="IBA107"/>
      <c r="IBB107"/>
      <c r="IBC107"/>
      <c r="IBD107"/>
      <c r="IBE107"/>
      <c r="IBF107"/>
      <c r="IBG107"/>
      <c r="IBH107"/>
      <c r="IBI107"/>
      <c r="IBJ107"/>
      <c r="IBK107"/>
      <c r="IBL107"/>
      <c r="IBM107"/>
      <c r="IBN107"/>
      <c r="IBO107"/>
      <c r="IBP107"/>
      <c r="IBQ107"/>
      <c r="IBR107"/>
      <c r="IBS107"/>
      <c r="IBT107"/>
      <c r="IBU107"/>
      <c r="IBV107"/>
      <c r="IBW107"/>
      <c r="IBX107"/>
      <c r="IBY107"/>
      <c r="IBZ107"/>
      <c r="ICA107"/>
      <c r="ICB107"/>
      <c r="ICC107"/>
      <c r="ICD107"/>
      <c r="ICE107"/>
      <c r="ICF107"/>
      <c r="ICG107"/>
      <c r="ICH107"/>
      <c r="ICI107"/>
      <c r="ICJ107"/>
      <c r="ICK107"/>
      <c r="ICL107"/>
      <c r="ICM107"/>
      <c r="ICN107"/>
      <c r="ICO107"/>
      <c r="ICP107"/>
      <c r="ICQ107"/>
      <c r="ICR107"/>
      <c r="ICS107"/>
      <c r="ICT107"/>
      <c r="ICU107"/>
      <c r="ICV107"/>
      <c r="ICW107"/>
      <c r="ICX107"/>
      <c r="ICY107"/>
      <c r="ICZ107"/>
      <c r="IDA107"/>
      <c r="IDB107"/>
      <c r="IDC107"/>
      <c r="IDD107"/>
      <c r="IDE107"/>
      <c r="IDF107"/>
      <c r="IDG107"/>
      <c r="IDH107"/>
      <c r="IDI107"/>
      <c r="IDJ107"/>
      <c r="IDK107"/>
      <c r="IDL107"/>
      <c r="IDM107"/>
      <c r="IDN107"/>
      <c r="IDO107"/>
      <c r="IDP107"/>
      <c r="IDQ107"/>
      <c r="IDR107"/>
      <c r="IDS107"/>
      <c r="IDT107"/>
      <c r="IDU107"/>
      <c r="IDV107"/>
      <c r="IDW107"/>
      <c r="IDX107"/>
      <c r="IDY107"/>
      <c r="IDZ107"/>
      <c r="IEA107"/>
      <c r="IEB107"/>
      <c r="IEC107"/>
      <c r="IED107"/>
      <c r="IEE107"/>
      <c r="IEF107"/>
      <c r="IEG107"/>
      <c r="IEH107"/>
      <c r="IEI107"/>
      <c r="IEJ107"/>
      <c r="IEK107"/>
      <c r="IEL107"/>
      <c r="IEM107"/>
      <c r="IEN107"/>
      <c r="IEO107"/>
      <c r="IEP107"/>
      <c r="IEQ107"/>
      <c r="IER107"/>
      <c r="IES107"/>
      <c r="IET107"/>
      <c r="IEU107"/>
      <c r="IEV107"/>
      <c r="IEW107"/>
      <c r="IEX107"/>
      <c r="IEY107"/>
      <c r="IEZ107"/>
      <c r="IFA107"/>
      <c r="IFB107"/>
      <c r="IFC107"/>
      <c r="IFD107"/>
      <c r="IFE107"/>
      <c r="IFF107"/>
      <c r="IFG107"/>
      <c r="IFH107"/>
      <c r="IFI107"/>
      <c r="IFJ107"/>
      <c r="IFK107"/>
      <c r="IFL107"/>
      <c r="IFM107"/>
      <c r="IFN107"/>
      <c r="IFO107"/>
      <c r="IFP107"/>
      <c r="IFQ107"/>
      <c r="IFR107"/>
      <c r="IFS107"/>
      <c r="IFT107"/>
      <c r="IFU107"/>
      <c r="IFV107"/>
      <c r="IFW107"/>
      <c r="IFX107"/>
      <c r="IFY107"/>
      <c r="IFZ107"/>
      <c r="IGA107"/>
      <c r="IGB107"/>
      <c r="IGC107"/>
      <c r="IGD107"/>
      <c r="IGE107"/>
      <c r="IGF107"/>
      <c r="IGG107"/>
      <c r="IGH107"/>
      <c r="IGI107"/>
      <c r="IGJ107"/>
      <c r="IGK107"/>
      <c r="IGL107"/>
      <c r="IGM107"/>
      <c r="IGN107"/>
      <c r="IGO107"/>
      <c r="IGP107"/>
      <c r="IGQ107"/>
      <c r="IGR107"/>
      <c r="IGS107"/>
      <c r="IGT107"/>
      <c r="IGU107"/>
      <c r="IGV107"/>
      <c r="IGW107"/>
      <c r="IGX107"/>
      <c r="IGY107"/>
      <c r="IGZ107"/>
      <c r="IHA107"/>
      <c r="IHB107"/>
      <c r="IHC107"/>
      <c r="IHD107"/>
      <c r="IHE107"/>
      <c r="IHF107"/>
      <c r="IHG107"/>
      <c r="IHH107"/>
      <c r="IHI107"/>
      <c r="IHJ107"/>
      <c r="IHK107"/>
      <c r="IHL107"/>
      <c r="IHM107"/>
      <c r="IHN107"/>
      <c r="IHO107"/>
      <c r="IHP107"/>
      <c r="IHQ107"/>
      <c r="IHR107"/>
      <c r="IHS107"/>
      <c r="IHT107"/>
      <c r="IHU107"/>
      <c r="IHV107"/>
      <c r="IHW107"/>
      <c r="IHX107"/>
      <c r="IHY107"/>
      <c r="IHZ107"/>
      <c r="IIA107"/>
      <c r="IIB107"/>
      <c r="IIC107"/>
      <c r="IID107"/>
      <c r="IIE107"/>
      <c r="IIF107"/>
      <c r="IIG107"/>
      <c r="IIH107"/>
      <c r="III107"/>
      <c r="IIJ107"/>
      <c r="IIK107"/>
      <c r="IIL107"/>
      <c r="IIM107"/>
      <c r="IIN107"/>
      <c r="IIO107"/>
      <c r="IIP107"/>
      <c r="IIQ107"/>
      <c r="IIR107"/>
      <c r="IIS107"/>
      <c r="IIT107"/>
      <c r="IIU107"/>
      <c r="IIV107"/>
      <c r="IIW107"/>
      <c r="IIX107"/>
      <c r="IIY107"/>
      <c r="IIZ107"/>
      <c r="IJA107"/>
      <c r="IJB107"/>
      <c r="IJC107"/>
      <c r="IJD107"/>
      <c r="IJE107"/>
      <c r="IJF107"/>
      <c r="IJG107"/>
      <c r="IJH107"/>
      <c r="IJI107"/>
      <c r="IJJ107"/>
      <c r="IJK107"/>
      <c r="IJL107"/>
      <c r="IJM107"/>
      <c r="IJN107"/>
      <c r="IJO107"/>
      <c r="IJP107"/>
      <c r="IJQ107"/>
      <c r="IJR107"/>
      <c r="IJS107"/>
      <c r="IJT107"/>
      <c r="IJU107"/>
      <c r="IJV107"/>
      <c r="IJW107"/>
      <c r="IJX107"/>
      <c r="IJY107"/>
      <c r="IJZ107"/>
      <c r="IKA107"/>
      <c r="IKB107"/>
      <c r="IKC107"/>
      <c r="IKD107"/>
      <c r="IKE107"/>
      <c r="IKF107"/>
      <c r="IKG107"/>
      <c r="IKH107"/>
      <c r="IKI107"/>
      <c r="IKJ107"/>
      <c r="IKK107"/>
      <c r="IKL107"/>
      <c r="IKM107"/>
      <c r="IKN107"/>
      <c r="IKO107"/>
      <c r="IKP107"/>
      <c r="IKQ107"/>
      <c r="IKR107"/>
      <c r="IKS107"/>
      <c r="IKT107"/>
      <c r="IKU107"/>
      <c r="IKV107"/>
      <c r="IKW107"/>
      <c r="IKX107"/>
      <c r="IKY107"/>
      <c r="IKZ107"/>
      <c r="ILA107"/>
      <c r="ILB107"/>
      <c r="ILC107"/>
      <c r="ILD107"/>
      <c r="ILE107"/>
      <c r="ILF107"/>
      <c r="ILG107"/>
      <c r="ILH107"/>
      <c r="ILI107"/>
      <c r="ILJ107"/>
      <c r="ILK107"/>
      <c r="ILL107"/>
      <c r="ILM107"/>
      <c r="ILN107"/>
      <c r="ILO107"/>
      <c r="ILP107"/>
      <c r="ILQ107"/>
      <c r="ILR107"/>
      <c r="ILS107"/>
      <c r="ILT107"/>
      <c r="ILU107"/>
      <c r="ILV107"/>
      <c r="ILW107"/>
      <c r="ILX107"/>
      <c r="ILY107"/>
      <c r="ILZ107"/>
      <c r="IMA107"/>
      <c r="IMB107"/>
      <c r="IMC107"/>
      <c r="IMD107"/>
      <c r="IME107"/>
      <c r="IMF107"/>
      <c r="IMG107"/>
      <c r="IMH107"/>
      <c r="IMI107"/>
      <c r="IMJ107"/>
      <c r="IMK107"/>
      <c r="IML107"/>
      <c r="IMM107"/>
      <c r="IMN107"/>
      <c r="IMO107"/>
      <c r="IMP107"/>
      <c r="IMQ107"/>
      <c r="IMR107"/>
      <c r="IMS107"/>
      <c r="IMT107"/>
      <c r="IMU107"/>
      <c r="IMV107"/>
      <c r="IMW107"/>
      <c r="IMX107"/>
      <c r="IMY107"/>
      <c r="IMZ107"/>
      <c r="INA107"/>
      <c r="INB107"/>
      <c r="INC107"/>
      <c r="IND107"/>
      <c r="INE107"/>
      <c r="INF107"/>
      <c r="ING107"/>
      <c r="INH107"/>
      <c r="INI107"/>
      <c r="INJ107"/>
      <c r="INK107"/>
      <c r="INL107"/>
      <c r="INM107"/>
      <c r="INN107"/>
      <c r="INO107"/>
      <c r="INP107"/>
      <c r="INQ107"/>
      <c r="INR107"/>
      <c r="INS107"/>
      <c r="INT107"/>
      <c r="INU107"/>
      <c r="INV107"/>
      <c r="INW107"/>
      <c r="INX107"/>
      <c r="INY107"/>
      <c r="INZ107"/>
      <c r="IOA107"/>
      <c r="IOB107"/>
      <c r="IOC107"/>
      <c r="IOD107"/>
      <c r="IOE107"/>
      <c r="IOF107"/>
      <c r="IOG107"/>
      <c r="IOH107"/>
      <c r="IOI107"/>
      <c r="IOJ107"/>
      <c r="IOK107"/>
      <c r="IOL107"/>
      <c r="IOM107"/>
      <c r="ION107"/>
      <c r="IOO107"/>
      <c r="IOP107"/>
      <c r="IOQ107"/>
      <c r="IOR107"/>
      <c r="IOS107"/>
      <c r="IOT107"/>
      <c r="IOU107"/>
      <c r="IOV107"/>
      <c r="IOW107"/>
      <c r="IOX107"/>
      <c r="IOY107"/>
      <c r="IOZ107"/>
      <c r="IPA107"/>
      <c r="IPB107"/>
      <c r="IPC107"/>
      <c r="IPD107"/>
      <c r="IPE107"/>
      <c r="IPF107"/>
      <c r="IPG107"/>
      <c r="IPH107"/>
      <c r="IPI107"/>
      <c r="IPJ107"/>
      <c r="IPK107"/>
      <c r="IPL107"/>
      <c r="IPM107"/>
      <c r="IPN107"/>
      <c r="IPO107"/>
      <c r="IPP107"/>
      <c r="IPQ107"/>
      <c r="IPR107"/>
      <c r="IPS107"/>
      <c r="IPT107"/>
      <c r="IPU107"/>
      <c r="IPV107"/>
      <c r="IPW107"/>
      <c r="IPX107"/>
      <c r="IPY107"/>
      <c r="IPZ107"/>
      <c r="IQA107"/>
      <c r="IQB107"/>
      <c r="IQC107"/>
      <c r="IQD107"/>
      <c r="IQE107"/>
      <c r="IQF107"/>
      <c r="IQG107"/>
      <c r="IQH107"/>
      <c r="IQI107"/>
      <c r="IQJ107"/>
      <c r="IQK107"/>
      <c r="IQL107"/>
      <c r="IQM107"/>
      <c r="IQN107"/>
      <c r="IQO107"/>
      <c r="IQP107"/>
      <c r="IQQ107"/>
      <c r="IQR107"/>
      <c r="IQS107"/>
      <c r="IQT107"/>
      <c r="IQU107"/>
      <c r="IQV107"/>
      <c r="IQW107"/>
      <c r="IQX107"/>
      <c r="IQY107"/>
      <c r="IQZ107"/>
      <c r="IRA107"/>
      <c r="IRB107"/>
      <c r="IRC107"/>
      <c r="IRD107"/>
      <c r="IRE107"/>
      <c r="IRF107"/>
      <c r="IRG107"/>
      <c r="IRH107"/>
      <c r="IRI107"/>
      <c r="IRJ107"/>
      <c r="IRK107"/>
      <c r="IRL107"/>
      <c r="IRM107"/>
      <c r="IRN107"/>
      <c r="IRO107"/>
      <c r="IRP107"/>
      <c r="IRQ107"/>
      <c r="IRR107"/>
      <c r="IRS107"/>
      <c r="IRT107"/>
      <c r="IRU107"/>
      <c r="IRV107"/>
      <c r="IRW107"/>
      <c r="IRX107"/>
      <c r="IRY107"/>
      <c r="IRZ107"/>
      <c r="ISA107"/>
      <c r="ISB107"/>
      <c r="ISC107"/>
      <c r="ISD107"/>
      <c r="ISE107"/>
      <c r="ISF107"/>
      <c r="ISG107"/>
      <c r="ISH107"/>
      <c r="ISI107"/>
      <c r="ISJ107"/>
      <c r="ISK107"/>
      <c r="ISL107"/>
      <c r="ISM107"/>
      <c r="ISN107"/>
      <c r="ISO107"/>
      <c r="ISP107"/>
      <c r="ISQ107"/>
      <c r="ISR107"/>
      <c r="ISS107"/>
      <c r="IST107"/>
      <c r="ISU107"/>
      <c r="ISV107"/>
      <c r="ISW107"/>
      <c r="ISX107"/>
      <c r="ISY107"/>
      <c r="ISZ107"/>
      <c r="ITA107"/>
      <c r="ITB107"/>
      <c r="ITC107"/>
      <c r="ITD107"/>
      <c r="ITE107"/>
      <c r="ITF107"/>
      <c r="ITG107"/>
      <c r="ITH107"/>
      <c r="ITI107"/>
      <c r="ITJ107"/>
      <c r="ITK107"/>
      <c r="ITL107"/>
      <c r="ITM107"/>
      <c r="ITN107"/>
      <c r="ITO107"/>
      <c r="ITP107"/>
      <c r="ITQ107"/>
      <c r="ITR107"/>
      <c r="ITS107"/>
      <c r="ITT107"/>
      <c r="ITU107"/>
      <c r="ITV107"/>
      <c r="ITW107"/>
      <c r="ITX107"/>
      <c r="ITY107"/>
      <c r="ITZ107"/>
      <c r="IUA107"/>
      <c r="IUB107"/>
      <c r="IUC107"/>
      <c r="IUD107"/>
      <c r="IUE107"/>
      <c r="IUF107"/>
      <c r="IUG107"/>
      <c r="IUH107"/>
      <c r="IUI107"/>
      <c r="IUJ107"/>
      <c r="IUK107"/>
      <c r="IUL107"/>
      <c r="IUM107"/>
      <c r="IUN107"/>
      <c r="IUO107"/>
      <c r="IUP107"/>
      <c r="IUQ107"/>
      <c r="IUR107"/>
      <c r="IUS107"/>
      <c r="IUT107"/>
      <c r="IUU107"/>
      <c r="IUV107"/>
      <c r="IUW107"/>
      <c r="IUX107"/>
      <c r="IUY107"/>
      <c r="IUZ107"/>
      <c r="IVA107"/>
      <c r="IVB107"/>
      <c r="IVC107"/>
      <c r="IVD107"/>
      <c r="IVE107"/>
      <c r="IVF107"/>
      <c r="IVG107"/>
      <c r="IVH107"/>
      <c r="IVI107"/>
      <c r="IVJ107"/>
      <c r="IVK107"/>
      <c r="IVL107"/>
      <c r="IVM107"/>
      <c r="IVN107"/>
      <c r="IVO107"/>
      <c r="IVP107"/>
      <c r="IVQ107"/>
      <c r="IVR107"/>
      <c r="IVS107"/>
      <c r="IVT107"/>
      <c r="IVU107"/>
      <c r="IVV107"/>
      <c r="IVW107"/>
      <c r="IVX107"/>
      <c r="IVY107"/>
      <c r="IVZ107"/>
      <c r="IWA107"/>
      <c r="IWB107"/>
      <c r="IWC107"/>
      <c r="IWD107"/>
      <c r="IWE107"/>
      <c r="IWF107"/>
      <c r="IWG107"/>
      <c r="IWH107"/>
      <c r="IWI107"/>
      <c r="IWJ107"/>
      <c r="IWK107"/>
      <c r="IWL107"/>
      <c r="IWM107"/>
      <c r="IWN107"/>
      <c r="IWO107"/>
      <c r="IWP107"/>
      <c r="IWQ107"/>
      <c r="IWR107"/>
      <c r="IWS107"/>
      <c r="IWT107"/>
      <c r="IWU107"/>
      <c r="IWV107"/>
      <c r="IWW107"/>
      <c r="IWX107"/>
      <c r="IWY107"/>
      <c r="IWZ107"/>
      <c r="IXA107"/>
      <c r="IXB107"/>
      <c r="IXC107"/>
      <c r="IXD107"/>
      <c r="IXE107"/>
      <c r="IXF107"/>
      <c r="IXG107"/>
      <c r="IXH107"/>
      <c r="IXI107"/>
      <c r="IXJ107"/>
      <c r="IXK107"/>
      <c r="IXL107"/>
      <c r="IXM107"/>
      <c r="IXN107"/>
      <c r="IXO107"/>
      <c r="IXP107"/>
      <c r="IXQ107"/>
      <c r="IXR107"/>
      <c r="IXS107"/>
      <c r="IXT107"/>
      <c r="IXU107"/>
      <c r="IXV107"/>
      <c r="IXW107"/>
      <c r="IXX107"/>
      <c r="IXY107"/>
      <c r="IXZ107"/>
      <c r="IYA107"/>
      <c r="IYB107"/>
      <c r="IYC107"/>
      <c r="IYD107"/>
      <c r="IYE107"/>
      <c r="IYF107"/>
      <c r="IYG107"/>
      <c r="IYH107"/>
      <c r="IYI107"/>
      <c r="IYJ107"/>
      <c r="IYK107"/>
      <c r="IYL107"/>
      <c r="IYM107"/>
      <c r="IYN107"/>
      <c r="IYO107"/>
      <c r="IYP107"/>
      <c r="IYQ107"/>
      <c r="IYR107"/>
      <c r="IYS107"/>
      <c r="IYT107"/>
      <c r="IYU107"/>
      <c r="IYV107"/>
      <c r="IYW107"/>
      <c r="IYX107"/>
      <c r="IYY107"/>
      <c r="IYZ107"/>
      <c r="IZA107"/>
      <c r="IZB107"/>
      <c r="IZC107"/>
      <c r="IZD107"/>
      <c r="IZE107"/>
      <c r="IZF107"/>
      <c r="IZG107"/>
      <c r="IZH107"/>
      <c r="IZI107"/>
      <c r="IZJ107"/>
      <c r="IZK107"/>
      <c r="IZL107"/>
      <c r="IZM107"/>
      <c r="IZN107"/>
      <c r="IZO107"/>
      <c r="IZP107"/>
      <c r="IZQ107"/>
      <c r="IZR107"/>
      <c r="IZS107"/>
      <c r="IZT107"/>
      <c r="IZU107"/>
      <c r="IZV107"/>
      <c r="IZW107"/>
      <c r="IZX107"/>
      <c r="IZY107"/>
      <c r="IZZ107"/>
      <c r="JAA107"/>
      <c r="JAB107"/>
      <c r="JAC107"/>
      <c r="JAD107"/>
      <c r="JAE107"/>
      <c r="JAF107"/>
      <c r="JAG107"/>
      <c r="JAH107"/>
      <c r="JAI107"/>
      <c r="JAJ107"/>
      <c r="JAK107"/>
      <c r="JAL107"/>
      <c r="JAM107"/>
      <c r="JAN107"/>
      <c r="JAO107"/>
      <c r="JAP107"/>
      <c r="JAQ107"/>
      <c r="JAR107"/>
      <c r="JAS107"/>
      <c r="JAT107"/>
      <c r="JAU107"/>
      <c r="JAV107"/>
      <c r="JAW107"/>
      <c r="JAX107"/>
      <c r="JAY107"/>
      <c r="JAZ107"/>
      <c r="JBA107"/>
      <c r="JBB107"/>
      <c r="JBC107"/>
      <c r="JBD107"/>
      <c r="JBE107"/>
      <c r="JBF107"/>
      <c r="JBG107"/>
      <c r="JBH107"/>
      <c r="JBI107"/>
      <c r="JBJ107"/>
      <c r="JBK107"/>
      <c r="JBL107"/>
      <c r="JBM107"/>
      <c r="JBN107"/>
      <c r="JBO107"/>
      <c r="JBP107"/>
      <c r="JBQ107"/>
      <c r="JBR107"/>
      <c r="JBS107"/>
      <c r="JBT107"/>
      <c r="JBU107"/>
      <c r="JBV107"/>
      <c r="JBW107"/>
      <c r="JBX107"/>
      <c r="JBY107"/>
      <c r="JBZ107"/>
      <c r="JCA107"/>
      <c r="JCB107"/>
      <c r="JCC107"/>
      <c r="JCD107"/>
      <c r="JCE107"/>
      <c r="JCF107"/>
      <c r="JCG107"/>
      <c r="JCH107"/>
      <c r="JCI107"/>
      <c r="JCJ107"/>
      <c r="JCK107"/>
      <c r="JCL107"/>
      <c r="JCM107"/>
      <c r="JCN107"/>
      <c r="JCO107"/>
      <c r="JCP107"/>
      <c r="JCQ107"/>
      <c r="JCR107"/>
      <c r="JCS107"/>
      <c r="JCT107"/>
      <c r="JCU107"/>
      <c r="JCV107"/>
      <c r="JCW107"/>
      <c r="JCX107"/>
      <c r="JCY107"/>
      <c r="JCZ107"/>
      <c r="JDA107"/>
      <c r="JDB107"/>
      <c r="JDC107"/>
      <c r="JDD107"/>
      <c r="JDE107"/>
      <c r="JDF107"/>
      <c r="JDG107"/>
      <c r="JDH107"/>
      <c r="JDI107"/>
      <c r="JDJ107"/>
      <c r="JDK107"/>
      <c r="JDL107"/>
      <c r="JDM107"/>
      <c r="JDN107"/>
      <c r="JDO107"/>
      <c r="JDP107"/>
      <c r="JDQ107"/>
      <c r="JDR107"/>
      <c r="JDS107"/>
      <c r="JDT107"/>
      <c r="JDU107"/>
      <c r="JDV107"/>
      <c r="JDW107"/>
      <c r="JDX107"/>
      <c r="JDY107"/>
      <c r="JDZ107"/>
      <c r="JEA107"/>
      <c r="JEB107"/>
      <c r="JEC107"/>
      <c r="JED107"/>
      <c r="JEE107"/>
      <c r="JEF107"/>
      <c r="JEG107"/>
      <c r="JEH107"/>
      <c r="JEI107"/>
      <c r="JEJ107"/>
      <c r="JEK107"/>
      <c r="JEL107"/>
      <c r="JEM107"/>
      <c r="JEN107"/>
      <c r="JEO107"/>
      <c r="JEP107"/>
      <c r="JEQ107"/>
      <c r="JER107"/>
      <c r="JES107"/>
      <c r="JET107"/>
      <c r="JEU107"/>
      <c r="JEV107"/>
      <c r="JEW107"/>
      <c r="JEX107"/>
      <c r="JEY107"/>
      <c r="JEZ107"/>
      <c r="JFA107"/>
      <c r="JFB107"/>
      <c r="JFC107"/>
      <c r="JFD107"/>
      <c r="JFE107"/>
      <c r="JFF107"/>
      <c r="JFG107"/>
      <c r="JFH107"/>
      <c r="JFI107"/>
      <c r="JFJ107"/>
      <c r="JFK107"/>
      <c r="JFL107"/>
      <c r="JFM107"/>
      <c r="JFN107"/>
      <c r="JFO107"/>
      <c r="JFP107"/>
      <c r="JFQ107"/>
      <c r="JFR107"/>
      <c r="JFS107"/>
      <c r="JFT107"/>
      <c r="JFU107"/>
      <c r="JFV107"/>
      <c r="JFW107"/>
      <c r="JFX107"/>
      <c r="JFY107"/>
      <c r="JFZ107"/>
      <c r="JGA107"/>
      <c r="JGB107"/>
      <c r="JGC107"/>
      <c r="JGD107"/>
      <c r="JGE107"/>
      <c r="JGF107"/>
      <c r="JGG107"/>
      <c r="JGH107"/>
      <c r="JGI107"/>
      <c r="JGJ107"/>
      <c r="JGK107"/>
      <c r="JGL107"/>
      <c r="JGM107"/>
      <c r="JGN107"/>
      <c r="JGO107"/>
      <c r="JGP107"/>
      <c r="JGQ107"/>
      <c r="JGR107"/>
      <c r="JGS107"/>
      <c r="JGT107"/>
      <c r="JGU107"/>
      <c r="JGV107"/>
      <c r="JGW107"/>
      <c r="JGX107"/>
      <c r="JGY107"/>
      <c r="JGZ107"/>
      <c r="JHA107"/>
      <c r="JHB107"/>
      <c r="JHC107"/>
      <c r="JHD107"/>
      <c r="JHE107"/>
      <c r="JHF107"/>
      <c r="JHG107"/>
      <c r="JHH107"/>
      <c r="JHI107"/>
      <c r="JHJ107"/>
      <c r="JHK107"/>
      <c r="JHL107"/>
      <c r="JHM107"/>
      <c r="JHN107"/>
      <c r="JHO107"/>
      <c r="JHP107"/>
      <c r="JHQ107"/>
      <c r="JHR107"/>
      <c r="JHS107"/>
      <c r="JHT107"/>
      <c r="JHU107"/>
      <c r="JHV107"/>
      <c r="JHW107"/>
      <c r="JHX107"/>
      <c r="JHY107"/>
      <c r="JHZ107"/>
      <c r="JIA107"/>
      <c r="JIB107"/>
      <c r="JIC107"/>
      <c r="JID107"/>
      <c r="JIE107"/>
      <c r="JIF107"/>
      <c r="JIG107"/>
      <c r="JIH107"/>
      <c r="JII107"/>
      <c r="JIJ107"/>
      <c r="JIK107"/>
      <c r="JIL107"/>
      <c r="JIM107"/>
      <c r="JIN107"/>
      <c r="JIO107"/>
      <c r="JIP107"/>
      <c r="JIQ107"/>
      <c r="JIR107"/>
      <c r="JIS107"/>
      <c r="JIT107"/>
      <c r="JIU107"/>
      <c r="JIV107"/>
      <c r="JIW107"/>
      <c r="JIX107"/>
      <c r="JIY107"/>
      <c r="JIZ107"/>
      <c r="JJA107"/>
      <c r="JJB107"/>
      <c r="JJC107"/>
      <c r="JJD107"/>
      <c r="JJE107"/>
      <c r="JJF107"/>
      <c r="JJG107"/>
      <c r="JJH107"/>
      <c r="JJI107"/>
      <c r="JJJ107"/>
      <c r="JJK107"/>
      <c r="JJL107"/>
      <c r="JJM107"/>
      <c r="JJN107"/>
      <c r="JJO107"/>
      <c r="JJP107"/>
      <c r="JJQ107"/>
      <c r="JJR107"/>
      <c r="JJS107"/>
      <c r="JJT107"/>
      <c r="JJU107"/>
      <c r="JJV107"/>
      <c r="JJW107"/>
      <c r="JJX107"/>
      <c r="JJY107"/>
      <c r="JJZ107"/>
      <c r="JKA107"/>
      <c r="JKB107"/>
      <c r="JKC107"/>
      <c r="JKD107"/>
      <c r="JKE107"/>
      <c r="JKF107"/>
      <c r="JKG107"/>
      <c r="JKH107"/>
      <c r="JKI107"/>
      <c r="JKJ107"/>
      <c r="JKK107"/>
      <c r="JKL107"/>
      <c r="JKM107"/>
      <c r="JKN107"/>
      <c r="JKO107"/>
      <c r="JKP107"/>
      <c r="JKQ107"/>
      <c r="JKR107"/>
      <c r="JKS107"/>
      <c r="JKT107"/>
      <c r="JKU107"/>
      <c r="JKV107"/>
      <c r="JKW107"/>
      <c r="JKX107"/>
      <c r="JKY107"/>
      <c r="JKZ107"/>
      <c r="JLA107"/>
      <c r="JLB107"/>
      <c r="JLC107"/>
      <c r="JLD107"/>
      <c r="JLE107"/>
      <c r="JLF107"/>
      <c r="JLG107"/>
      <c r="JLH107"/>
      <c r="JLI107"/>
      <c r="JLJ107"/>
      <c r="JLK107"/>
      <c r="JLL107"/>
      <c r="JLM107"/>
      <c r="JLN107"/>
      <c r="JLO107"/>
      <c r="JLP107"/>
      <c r="JLQ107"/>
      <c r="JLR107"/>
      <c r="JLS107"/>
      <c r="JLT107"/>
      <c r="JLU107"/>
      <c r="JLV107"/>
      <c r="JLW107"/>
      <c r="JLX107"/>
      <c r="JLY107"/>
      <c r="JLZ107"/>
      <c r="JMA107"/>
      <c r="JMB107"/>
      <c r="JMC107"/>
      <c r="JMD107"/>
      <c r="JME107"/>
      <c r="JMF107"/>
      <c r="JMG107"/>
      <c r="JMH107"/>
      <c r="JMI107"/>
      <c r="JMJ107"/>
      <c r="JMK107"/>
      <c r="JML107"/>
      <c r="JMM107"/>
      <c r="JMN107"/>
      <c r="JMO107"/>
      <c r="JMP107"/>
      <c r="JMQ107"/>
      <c r="JMR107"/>
      <c r="JMS107"/>
      <c r="JMT107"/>
      <c r="JMU107"/>
      <c r="JMV107"/>
      <c r="JMW107"/>
      <c r="JMX107"/>
      <c r="JMY107"/>
      <c r="JMZ107"/>
      <c r="JNA107"/>
      <c r="JNB107"/>
      <c r="JNC107"/>
      <c r="JND107"/>
      <c r="JNE107"/>
      <c r="JNF107"/>
      <c r="JNG107"/>
      <c r="JNH107"/>
      <c r="JNI107"/>
      <c r="JNJ107"/>
      <c r="JNK107"/>
      <c r="JNL107"/>
      <c r="JNM107"/>
      <c r="JNN107"/>
      <c r="JNO107"/>
      <c r="JNP107"/>
      <c r="JNQ107"/>
      <c r="JNR107"/>
      <c r="JNS107"/>
      <c r="JNT107"/>
      <c r="JNU107"/>
      <c r="JNV107"/>
      <c r="JNW107"/>
      <c r="JNX107"/>
      <c r="JNY107"/>
      <c r="JNZ107"/>
      <c r="JOA107"/>
      <c r="JOB107"/>
      <c r="JOC107"/>
      <c r="JOD107"/>
      <c r="JOE107"/>
      <c r="JOF107"/>
      <c r="JOG107"/>
      <c r="JOH107"/>
      <c r="JOI107"/>
      <c r="JOJ107"/>
      <c r="JOK107"/>
      <c r="JOL107"/>
      <c r="JOM107"/>
      <c r="JON107"/>
      <c r="JOO107"/>
      <c r="JOP107"/>
      <c r="JOQ107"/>
      <c r="JOR107"/>
      <c r="JOS107"/>
      <c r="JOT107"/>
      <c r="JOU107"/>
      <c r="JOV107"/>
      <c r="JOW107"/>
      <c r="JOX107"/>
      <c r="JOY107"/>
      <c r="JOZ107"/>
      <c r="JPA107"/>
      <c r="JPB107"/>
      <c r="JPC107"/>
      <c r="JPD107"/>
      <c r="JPE107"/>
      <c r="JPF107"/>
      <c r="JPG107"/>
      <c r="JPH107"/>
      <c r="JPI107"/>
      <c r="JPJ107"/>
      <c r="JPK107"/>
      <c r="JPL107"/>
      <c r="JPM107"/>
      <c r="JPN107"/>
      <c r="JPO107"/>
      <c r="JPP107"/>
      <c r="JPQ107"/>
      <c r="JPR107"/>
      <c r="JPS107"/>
      <c r="JPT107"/>
      <c r="JPU107"/>
      <c r="JPV107"/>
      <c r="JPW107"/>
      <c r="JPX107"/>
      <c r="JPY107"/>
      <c r="JPZ107"/>
      <c r="JQA107"/>
      <c r="JQB107"/>
      <c r="JQC107"/>
      <c r="JQD107"/>
      <c r="JQE107"/>
      <c r="JQF107"/>
      <c r="JQG107"/>
      <c r="JQH107"/>
      <c r="JQI107"/>
      <c r="JQJ107"/>
      <c r="JQK107"/>
      <c r="JQL107"/>
      <c r="JQM107"/>
      <c r="JQN107"/>
      <c r="JQO107"/>
      <c r="JQP107"/>
      <c r="JQQ107"/>
      <c r="JQR107"/>
      <c r="JQS107"/>
      <c r="JQT107"/>
      <c r="JQU107"/>
      <c r="JQV107"/>
      <c r="JQW107"/>
      <c r="JQX107"/>
      <c r="JQY107"/>
      <c r="JQZ107"/>
      <c r="JRA107"/>
      <c r="JRB107"/>
      <c r="JRC107"/>
      <c r="JRD107"/>
      <c r="JRE107"/>
      <c r="JRF107"/>
      <c r="JRG107"/>
      <c r="JRH107"/>
      <c r="JRI107"/>
      <c r="JRJ107"/>
      <c r="JRK107"/>
      <c r="JRL107"/>
      <c r="JRM107"/>
      <c r="JRN107"/>
      <c r="JRO107"/>
      <c r="JRP107"/>
      <c r="JRQ107"/>
      <c r="JRR107"/>
      <c r="JRS107"/>
      <c r="JRT107"/>
      <c r="JRU107"/>
      <c r="JRV107"/>
      <c r="JRW107"/>
      <c r="JRX107"/>
      <c r="JRY107"/>
      <c r="JRZ107"/>
      <c r="JSA107"/>
      <c r="JSB107"/>
      <c r="JSC107"/>
      <c r="JSD107"/>
      <c r="JSE107"/>
      <c r="JSF107"/>
      <c r="JSG107"/>
      <c r="JSH107"/>
      <c r="JSI107"/>
      <c r="JSJ107"/>
      <c r="JSK107"/>
      <c r="JSL107"/>
      <c r="JSM107"/>
      <c r="JSN107"/>
      <c r="JSO107"/>
      <c r="JSP107"/>
      <c r="JSQ107"/>
      <c r="JSR107"/>
      <c r="JSS107"/>
      <c r="JST107"/>
      <c r="JSU107"/>
      <c r="JSV107"/>
      <c r="JSW107"/>
      <c r="JSX107"/>
      <c r="JSY107"/>
      <c r="JSZ107"/>
      <c r="JTA107"/>
      <c r="JTB107"/>
      <c r="JTC107"/>
      <c r="JTD107"/>
      <c r="JTE107"/>
      <c r="JTF107"/>
      <c r="JTG107"/>
      <c r="JTH107"/>
      <c r="JTI107"/>
      <c r="JTJ107"/>
      <c r="JTK107"/>
      <c r="JTL107"/>
      <c r="JTM107"/>
      <c r="JTN107"/>
      <c r="JTO107"/>
      <c r="JTP107"/>
      <c r="JTQ107"/>
      <c r="JTR107"/>
      <c r="JTS107"/>
      <c r="JTT107"/>
      <c r="JTU107"/>
      <c r="JTV107"/>
      <c r="JTW107"/>
      <c r="JTX107"/>
      <c r="JTY107"/>
      <c r="JTZ107"/>
      <c r="JUA107"/>
      <c r="JUB107"/>
      <c r="JUC107"/>
      <c r="JUD107"/>
      <c r="JUE107"/>
      <c r="JUF107"/>
      <c r="JUG107"/>
      <c r="JUH107"/>
      <c r="JUI107"/>
      <c r="JUJ107"/>
      <c r="JUK107"/>
      <c r="JUL107"/>
      <c r="JUM107"/>
      <c r="JUN107"/>
      <c r="JUO107"/>
      <c r="JUP107"/>
      <c r="JUQ107"/>
      <c r="JUR107"/>
      <c r="JUS107"/>
      <c r="JUT107"/>
      <c r="JUU107"/>
      <c r="JUV107"/>
      <c r="JUW107"/>
      <c r="JUX107"/>
      <c r="JUY107"/>
      <c r="JUZ107"/>
      <c r="JVA107"/>
      <c r="JVB107"/>
      <c r="JVC107"/>
      <c r="JVD107"/>
      <c r="JVE107"/>
      <c r="JVF107"/>
      <c r="JVG107"/>
      <c r="JVH107"/>
      <c r="JVI107"/>
      <c r="JVJ107"/>
      <c r="JVK107"/>
      <c r="JVL107"/>
      <c r="JVM107"/>
      <c r="JVN107"/>
      <c r="JVO107"/>
      <c r="JVP107"/>
      <c r="JVQ107"/>
      <c r="JVR107"/>
      <c r="JVS107"/>
      <c r="JVT107"/>
      <c r="JVU107"/>
      <c r="JVV107"/>
      <c r="JVW107"/>
      <c r="JVX107"/>
      <c r="JVY107"/>
      <c r="JVZ107"/>
      <c r="JWA107"/>
      <c r="JWB107"/>
      <c r="JWC107"/>
      <c r="JWD107"/>
      <c r="JWE107"/>
      <c r="JWF107"/>
      <c r="JWG107"/>
      <c r="JWH107"/>
      <c r="JWI107"/>
      <c r="JWJ107"/>
      <c r="JWK107"/>
      <c r="JWL107"/>
      <c r="JWM107"/>
      <c r="JWN107"/>
      <c r="JWO107"/>
      <c r="JWP107"/>
      <c r="JWQ107"/>
      <c r="JWR107"/>
      <c r="JWS107"/>
      <c r="JWT107"/>
      <c r="JWU107"/>
      <c r="JWV107"/>
      <c r="JWW107"/>
      <c r="JWX107"/>
      <c r="JWY107"/>
      <c r="JWZ107"/>
      <c r="JXA107"/>
      <c r="JXB107"/>
      <c r="JXC107"/>
      <c r="JXD107"/>
      <c r="JXE107"/>
      <c r="JXF107"/>
      <c r="JXG107"/>
      <c r="JXH107"/>
      <c r="JXI107"/>
      <c r="JXJ107"/>
      <c r="JXK107"/>
      <c r="JXL107"/>
      <c r="JXM107"/>
      <c r="JXN107"/>
      <c r="JXO107"/>
      <c r="JXP107"/>
      <c r="JXQ107"/>
      <c r="JXR107"/>
      <c r="JXS107"/>
      <c r="JXT107"/>
      <c r="JXU107"/>
      <c r="JXV107"/>
      <c r="JXW107"/>
      <c r="JXX107"/>
      <c r="JXY107"/>
      <c r="JXZ107"/>
      <c r="JYA107"/>
      <c r="JYB107"/>
      <c r="JYC107"/>
      <c r="JYD107"/>
      <c r="JYE107"/>
      <c r="JYF107"/>
      <c r="JYG107"/>
      <c r="JYH107"/>
      <c r="JYI107"/>
      <c r="JYJ107"/>
      <c r="JYK107"/>
      <c r="JYL107"/>
      <c r="JYM107"/>
      <c r="JYN107"/>
      <c r="JYO107"/>
      <c r="JYP107"/>
      <c r="JYQ107"/>
      <c r="JYR107"/>
      <c r="JYS107"/>
      <c r="JYT107"/>
      <c r="JYU107"/>
      <c r="JYV107"/>
      <c r="JYW107"/>
      <c r="JYX107"/>
      <c r="JYY107"/>
      <c r="JYZ107"/>
      <c r="JZA107"/>
      <c r="JZB107"/>
      <c r="JZC107"/>
      <c r="JZD107"/>
      <c r="JZE107"/>
      <c r="JZF107"/>
      <c r="JZG107"/>
      <c r="JZH107"/>
      <c r="JZI107"/>
      <c r="JZJ107"/>
      <c r="JZK107"/>
      <c r="JZL107"/>
      <c r="JZM107"/>
      <c r="JZN107"/>
      <c r="JZO107"/>
      <c r="JZP107"/>
      <c r="JZQ107"/>
      <c r="JZR107"/>
      <c r="JZS107"/>
      <c r="JZT107"/>
      <c r="JZU107"/>
      <c r="JZV107"/>
      <c r="JZW107"/>
      <c r="JZX107"/>
      <c r="JZY107"/>
      <c r="JZZ107"/>
      <c r="KAA107"/>
      <c r="KAB107"/>
      <c r="KAC107"/>
      <c r="KAD107"/>
      <c r="KAE107"/>
      <c r="KAF107"/>
      <c r="KAG107"/>
      <c r="KAH107"/>
      <c r="KAI107"/>
      <c r="KAJ107"/>
      <c r="KAK107"/>
      <c r="KAL107"/>
      <c r="KAM107"/>
      <c r="KAN107"/>
      <c r="KAO107"/>
      <c r="KAP107"/>
      <c r="KAQ107"/>
      <c r="KAR107"/>
      <c r="KAS107"/>
      <c r="KAT107"/>
      <c r="KAU107"/>
      <c r="KAV107"/>
      <c r="KAW107"/>
      <c r="KAX107"/>
      <c r="KAY107"/>
      <c r="KAZ107"/>
      <c r="KBA107"/>
      <c r="KBB107"/>
      <c r="KBC107"/>
      <c r="KBD107"/>
      <c r="KBE107"/>
      <c r="KBF107"/>
      <c r="KBG107"/>
      <c r="KBH107"/>
      <c r="KBI107"/>
      <c r="KBJ107"/>
      <c r="KBK107"/>
      <c r="KBL107"/>
      <c r="KBM107"/>
      <c r="KBN107"/>
      <c r="KBO107"/>
      <c r="KBP107"/>
      <c r="KBQ107"/>
      <c r="KBR107"/>
      <c r="KBS107"/>
      <c r="KBT107"/>
      <c r="KBU107"/>
      <c r="KBV107"/>
      <c r="KBW107"/>
      <c r="KBX107"/>
      <c r="KBY107"/>
      <c r="KBZ107"/>
      <c r="KCA107"/>
      <c r="KCB107"/>
      <c r="KCC107"/>
      <c r="KCD107"/>
      <c r="KCE107"/>
      <c r="KCF107"/>
      <c r="KCG107"/>
      <c r="KCH107"/>
      <c r="KCI107"/>
      <c r="KCJ107"/>
      <c r="KCK107"/>
      <c r="KCL107"/>
      <c r="KCM107"/>
      <c r="KCN107"/>
      <c r="KCO107"/>
      <c r="KCP107"/>
      <c r="KCQ107"/>
      <c r="KCR107"/>
      <c r="KCS107"/>
      <c r="KCT107"/>
      <c r="KCU107"/>
      <c r="KCV107"/>
      <c r="KCW107"/>
      <c r="KCX107"/>
      <c r="KCY107"/>
      <c r="KCZ107"/>
      <c r="KDA107"/>
      <c r="KDB107"/>
      <c r="KDC107"/>
      <c r="KDD107"/>
      <c r="KDE107"/>
      <c r="KDF107"/>
      <c r="KDG107"/>
      <c r="KDH107"/>
      <c r="KDI107"/>
      <c r="KDJ107"/>
      <c r="KDK107"/>
      <c r="KDL107"/>
      <c r="KDM107"/>
      <c r="KDN107"/>
      <c r="KDO107"/>
      <c r="KDP107"/>
      <c r="KDQ107"/>
      <c r="KDR107"/>
      <c r="KDS107"/>
      <c r="KDT107"/>
      <c r="KDU107"/>
      <c r="KDV107"/>
      <c r="KDW107"/>
      <c r="KDX107"/>
      <c r="KDY107"/>
      <c r="KDZ107"/>
      <c r="KEA107"/>
      <c r="KEB107"/>
      <c r="KEC107"/>
      <c r="KED107"/>
      <c r="KEE107"/>
      <c r="KEF107"/>
      <c r="KEG107"/>
      <c r="KEH107"/>
      <c r="KEI107"/>
      <c r="KEJ107"/>
      <c r="KEK107"/>
      <c r="KEL107"/>
      <c r="KEM107"/>
      <c r="KEN107"/>
      <c r="KEO107"/>
      <c r="KEP107"/>
      <c r="KEQ107"/>
      <c r="KER107"/>
      <c r="KES107"/>
      <c r="KET107"/>
      <c r="KEU107"/>
      <c r="KEV107"/>
      <c r="KEW107"/>
      <c r="KEX107"/>
      <c r="KEY107"/>
      <c r="KEZ107"/>
      <c r="KFA107"/>
      <c r="KFB107"/>
      <c r="KFC107"/>
      <c r="KFD107"/>
      <c r="KFE107"/>
      <c r="KFF107"/>
      <c r="KFG107"/>
      <c r="KFH107"/>
      <c r="KFI107"/>
      <c r="KFJ107"/>
      <c r="KFK107"/>
      <c r="KFL107"/>
      <c r="KFM107"/>
      <c r="KFN107"/>
      <c r="KFO107"/>
      <c r="KFP107"/>
      <c r="KFQ107"/>
      <c r="KFR107"/>
      <c r="KFS107"/>
      <c r="KFT107"/>
      <c r="KFU107"/>
      <c r="KFV107"/>
      <c r="KFW107"/>
      <c r="KFX107"/>
      <c r="KFY107"/>
      <c r="KFZ107"/>
      <c r="KGA107"/>
      <c r="KGB107"/>
      <c r="KGC107"/>
      <c r="KGD107"/>
      <c r="KGE107"/>
      <c r="KGF107"/>
      <c r="KGG107"/>
      <c r="KGH107"/>
      <c r="KGI107"/>
      <c r="KGJ107"/>
      <c r="KGK107"/>
      <c r="KGL107"/>
      <c r="KGM107"/>
      <c r="KGN107"/>
      <c r="KGO107"/>
      <c r="KGP107"/>
      <c r="KGQ107"/>
      <c r="KGR107"/>
      <c r="KGS107"/>
      <c r="KGT107"/>
      <c r="KGU107"/>
      <c r="KGV107"/>
      <c r="KGW107"/>
      <c r="KGX107"/>
      <c r="KGY107"/>
      <c r="KGZ107"/>
      <c r="KHA107"/>
      <c r="KHB107"/>
      <c r="KHC107"/>
      <c r="KHD107"/>
      <c r="KHE107"/>
      <c r="KHF107"/>
      <c r="KHG107"/>
      <c r="KHH107"/>
      <c r="KHI107"/>
      <c r="KHJ107"/>
      <c r="KHK107"/>
      <c r="KHL107"/>
      <c r="KHM107"/>
      <c r="KHN107"/>
      <c r="KHO107"/>
      <c r="KHP107"/>
      <c r="KHQ107"/>
      <c r="KHR107"/>
      <c r="KHS107"/>
      <c r="KHT107"/>
      <c r="KHU107"/>
      <c r="KHV107"/>
      <c r="KHW107"/>
      <c r="KHX107"/>
      <c r="KHY107"/>
      <c r="KHZ107"/>
      <c r="KIA107"/>
      <c r="KIB107"/>
      <c r="KIC107"/>
      <c r="KID107"/>
      <c r="KIE107"/>
      <c r="KIF107"/>
      <c r="KIG107"/>
      <c r="KIH107"/>
      <c r="KII107"/>
      <c r="KIJ107"/>
      <c r="KIK107"/>
      <c r="KIL107"/>
      <c r="KIM107"/>
      <c r="KIN107"/>
      <c r="KIO107"/>
      <c r="KIP107"/>
      <c r="KIQ107"/>
      <c r="KIR107"/>
      <c r="KIS107"/>
      <c r="KIT107"/>
      <c r="KIU107"/>
      <c r="KIV107"/>
      <c r="KIW107"/>
      <c r="KIX107"/>
      <c r="KIY107"/>
      <c r="KIZ107"/>
      <c r="KJA107"/>
      <c r="KJB107"/>
      <c r="KJC107"/>
      <c r="KJD107"/>
      <c r="KJE107"/>
      <c r="KJF107"/>
      <c r="KJG107"/>
      <c r="KJH107"/>
      <c r="KJI107"/>
      <c r="KJJ107"/>
      <c r="KJK107"/>
      <c r="KJL107"/>
      <c r="KJM107"/>
      <c r="KJN107"/>
      <c r="KJO107"/>
      <c r="KJP107"/>
      <c r="KJQ107"/>
      <c r="KJR107"/>
      <c r="KJS107"/>
      <c r="KJT107"/>
      <c r="KJU107"/>
      <c r="KJV107"/>
      <c r="KJW107"/>
      <c r="KJX107"/>
      <c r="KJY107"/>
      <c r="KJZ107"/>
      <c r="KKA107"/>
      <c r="KKB107"/>
      <c r="KKC107"/>
      <c r="KKD107"/>
      <c r="KKE107"/>
      <c r="KKF107"/>
      <c r="KKG107"/>
      <c r="KKH107"/>
      <c r="KKI107"/>
      <c r="KKJ107"/>
      <c r="KKK107"/>
      <c r="KKL107"/>
      <c r="KKM107"/>
      <c r="KKN107"/>
      <c r="KKO107"/>
      <c r="KKP107"/>
      <c r="KKQ107"/>
      <c r="KKR107"/>
      <c r="KKS107"/>
      <c r="KKT107"/>
      <c r="KKU107"/>
      <c r="KKV107"/>
      <c r="KKW107"/>
      <c r="KKX107"/>
      <c r="KKY107"/>
      <c r="KKZ107"/>
      <c r="KLA107"/>
      <c r="KLB107"/>
      <c r="KLC107"/>
      <c r="KLD107"/>
      <c r="KLE107"/>
      <c r="KLF107"/>
      <c r="KLG107"/>
      <c r="KLH107"/>
      <c r="KLI107"/>
      <c r="KLJ107"/>
      <c r="KLK107"/>
      <c r="KLL107"/>
      <c r="KLM107"/>
      <c r="KLN107"/>
      <c r="KLO107"/>
      <c r="KLP107"/>
      <c r="KLQ107"/>
      <c r="KLR107"/>
      <c r="KLS107"/>
      <c r="KLT107"/>
      <c r="KLU107"/>
      <c r="KLV107"/>
      <c r="KLW107"/>
      <c r="KLX107"/>
      <c r="KLY107"/>
      <c r="KLZ107"/>
      <c r="KMA107"/>
      <c r="KMB107"/>
      <c r="KMC107"/>
      <c r="KMD107"/>
      <c r="KME107"/>
      <c r="KMF107"/>
      <c r="KMG107"/>
      <c r="KMH107"/>
      <c r="KMI107"/>
      <c r="KMJ107"/>
      <c r="KMK107"/>
      <c r="KML107"/>
      <c r="KMM107"/>
      <c r="KMN107"/>
      <c r="KMO107"/>
      <c r="KMP107"/>
      <c r="KMQ107"/>
      <c r="KMR107"/>
      <c r="KMS107"/>
      <c r="KMT107"/>
      <c r="KMU107"/>
      <c r="KMV107"/>
      <c r="KMW107"/>
      <c r="KMX107"/>
      <c r="KMY107"/>
      <c r="KMZ107"/>
      <c r="KNA107"/>
      <c r="KNB107"/>
      <c r="KNC107"/>
      <c r="KND107"/>
      <c r="KNE107"/>
      <c r="KNF107"/>
      <c r="KNG107"/>
      <c r="KNH107"/>
      <c r="KNI107"/>
      <c r="KNJ107"/>
      <c r="KNK107"/>
      <c r="KNL107"/>
      <c r="KNM107"/>
      <c r="KNN107"/>
      <c r="KNO107"/>
      <c r="KNP107"/>
      <c r="KNQ107"/>
      <c r="KNR107"/>
      <c r="KNS107"/>
      <c r="KNT107"/>
      <c r="KNU107"/>
      <c r="KNV107"/>
      <c r="KNW107"/>
      <c r="KNX107"/>
      <c r="KNY107"/>
      <c r="KNZ107"/>
      <c r="KOA107"/>
      <c r="KOB107"/>
      <c r="KOC107"/>
      <c r="KOD107"/>
      <c r="KOE107"/>
      <c r="KOF107"/>
      <c r="KOG107"/>
      <c r="KOH107"/>
      <c r="KOI107"/>
      <c r="KOJ107"/>
      <c r="KOK107"/>
      <c r="KOL107"/>
      <c r="KOM107"/>
      <c r="KON107"/>
      <c r="KOO107"/>
      <c r="KOP107"/>
      <c r="KOQ107"/>
      <c r="KOR107"/>
      <c r="KOS107"/>
      <c r="KOT107"/>
      <c r="KOU107"/>
      <c r="KOV107"/>
      <c r="KOW107"/>
      <c r="KOX107"/>
      <c r="KOY107"/>
      <c r="KOZ107"/>
      <c r="KPA107"/>
      <c r="KPB107"/>
      <c r="KPC107"/>
      <c r="KPD107"/>
      <c r="KPE107"/>
      <c r="KPF107"/>
      <c r="KPG107"/>
      <c r="KPH107"/>
      <c r="KPI107"/>
      <c r="KPJ107"/>
      <c r="KPK107"/>
      <c r="KPL107"/>
      <c r="KPM107"/>
      <c r="KPN107"/>
      <c r="KPO107"/>
      <c r="KPP107"/>
      <c r="KPQ107"/>
      <c r="KPR107"/>
      <c r="KPS107"/>
      <c r="KPT107"/>
      <c r="KPU107"/>
      <c r="KPV107"/>
      <c r="KPW107"/>
      <c r="KPX107"/>
      <c r="KPY107"/>
      <c r="KPZ107"/>
      <c r="KQA107"/>
      <c r="KQB107"/>
      <c r="KQC107"/>
      <c r="KQD107"/>
      <c r="KQE107"/>
      <c r="KQF107"/>
      <c r="KQG107"/>
      <c r="KQH107"/>
      <c r="KQI107"/>
      <c r="KQJ107"/>
      <c r="KQK107"/>
      <c r="KQL107"/>
      <c r="KQM107"/>
      <c r="KQN107"/>
      <c r="KQO107"/>
      <c r="KQP107"/>
      <c r="KQQ107"/>
      <c r="KQR107"/>
      <c r="KQS107"/>
      <c r="KQT107"/>
      <c r="KQU107"/>
      <c r="KQV107"/>
      <c r="KQW107"/>
      <c r="KQX107"/>
      <c r="KQY107"/>
      <c r="KQZ107"/>
      <c r="KRA107"/>
      <c r="KRB107"/>
      <c r="KRC107"/>
      <c r="KRD107"/>
      <c r="KRE107"/>
      <c r="KRF107"/>
      <c r="KRG107"/>
      <c r="KRH107"/>
      <c r="KRI107"/>
      <c r="KRJ107"/>
      <c r="KRK107"/>
      <c r="KRL107"/>
      <c r="KRM107"/>
      <c r="KRN107"/>
      <c r="KRO107"/>
      <c r="KRP107"/>
      <c r="KRQ107"/>
      <c r="KRR107"/>
      <c r="KRS107"/>
      <c r="KRT107"/>
      <c r="KRU107"/>
      <c r="KRV107"/>
      <c r="KRW107"/>
      <c r="KRX107"/>
      <c r="KRY107"/>
      <c r="KRZ107"/>
      <c r="KSA107"/>
      <c r="KSB107"/>
      <c r="KSC107"/>
      <c r="KSD107"/>
      <c r="KSE107"/>
      <c r="KSF107"/>
      <c r="KSG107"/>
      <c r="KSH107"/>
      <c r="KSI107"/>
      <c r="KSJ107"/>
      <c r="KSK107"/>
      <c r="KSL107"/>
      <c r="KSM107"/>
      <c r="KSN107"/>
      <c r="KSO107"/>
      <c r="KSP107"/>
      <c r="KSQ107"/>
      <c r="KSR107"/>
      <c r="KSS107"/>
      <c r="KST107"/>
      <c r="KSU107"/>
      <c r="KSV107"/>
      <c r="KSW107"/>
      <c r="KSX107"/>
      <c r="KSY107"/>
      <c r="KSZ107"/>
      <c r="KTA107"/>
      <c r="KTB107"/>
      <c r="KTC107"/>
      <c r="KTD107"/>
      <c r="KTE107"/>
      <c r="KTF107"/>
      <c r="KTG107"/>
      <c r="KTH107"/>
      <c r="KTI107"/>
      <c r="KTJ107"/>
      <c r="KTK107"/>
      <c r="KTL107"/>
      <c r="KTM107"/>
      <c r="KTN107"/>
      <c r="KTO107"/>
      <c r="KTP107"/>
      <c r="KTQ107"/>
      <c r="KTR107"/>
      <c r="KTS107"/>
      <c r="KTT107"/>
      <c r="KTU107"/>
      <c r="KTV107"/>
      <c r="KTW107"/>
      <c r="KTX107"/>
      <c r="KTY107"/>
      <c r="KTZ107"/>
      <c r="KUA107"/>
      <c r="KUB107"/>
      <c r="KUC107"/>
      <c r="KUD107"/>
      <c r="KUE107"/>
      <c r="KUF107"/>
      <c r="KUG107"/>
      <c r="KUH107"/>
      <c r="KUI107"/>
      <c r="KUJ107"/>
      <c r="KUK107"/>
      <c r="KUL107"/>
      <c r="KUM107"/>
      <c r="KUN107"/>
      <c r="KUO107"/>
      <c r="KUP107"/>
      <c r="KUQ107"/>
      <c r="KUR107"/>
      <c r="KUS107"/>
      <c r="KUT107"/>
      <c r="KUU107"/>
      <c r="KUV107"/>
      <c r="KUW107"/>
      <c r="KUX107"/>
      <c r="KUY107"/>
      <c r="KUZ107"/>
      <c r="KVA107"/>
      <c r="KVB107"/>
      <c r="KVC107"/>
      <c r="KVD107"/>
      <c r="KVE107"/>
      <c r="KVF107"/>
      <c r="KVG107"/>
      <c r="KVH107"/>
      <c r="KVI107"/>
      <c r="KVJ107"/>
      <c r="KVK107"/>
      <c r="KVL107"/>
      <c r="KVM107"/>
      <c r="KVN107"/>
      <c r="KVO107"/>
      <c r="KVP107"/>
      <c r="KVQ107"/>
      <c r="KVR107"/>
      <c r="KVS107"/>
      <c r="KVT107"/>
      <c r="KVU107"/>
      <c r="KVV107"/>
      <c r="KVW107"/>
      <c r="KVX107"/>
      <c r="KVY107"/>
      <c r="KVZ107"/>
      <c r="KWA107"/>
      <c r="KWB107"/>
      <c r="KWC107"/>
      <c r="KWD107"/>
      <c r="KWE107"/>
      <c r="KWF107"/>
      <c r="KWG107"/>
      <c r="KWH107"/>
      <c r="KWI107"/>
      <c r="KWJ107"/>
      <c r="KWK107"/>
      <c r="KWL107"/>
      <c r="KWM107"/>
      <c r="KWN107"/>
      <c r="KWO107"/>
      <c r="KWP107"/>
      <c r="KWQ107"/>
      <c r="KWR107"/>
      <c r="KWS107"/>
      <c r="KWT107"/>
      <c r="KWU107"/>
      <c r="KWV107"/>
      <c r="KWW107"/>
      <c r="KWX107"/>
      <c r="KWY107"/>
      <c r="KWZ107"/>
      <c r="KXA107"/>
      <c r="KXB107"/>
      <c r="KXC107"/>
      <c r="KXD107"/>
      <c r="KXE107"/>
      <c r="KXF107"/>
      <c r="KXG107"/>
      <c r="KXH107"/>
      <c r="KXI107"/>
      <c r="KXJ107"/>
      <c r="KXK107"/>
      <c r="KXL107"/>
      <c r="KXM107"/>
      <c r="KXN107"/>
      <c r="KXO107"/>
      <c r="KXP107"/>
      <c r="KXQ107"/>
      <c r="KXR107"/>
      <c r="KXS107"/>
      <c r="KXT107"/>
      <c r="KXU107"/>
      <c r="KXV107"/>
      <c r="KXW107"/>
      <c r="KXX107"/>
      <c r="KXY107"/>
      <c r="KXZ107"/>
      <c r="KYA107"/>
      <c r="KYB107"/>
      <c r="KYC107"/>
      <c r="KYD107"/>
      <c r="KYE107"/>
      <c r="KYF107"/>
      <c r="KYG107"/>
      <c r="KYH107"/>
      <c r="KYI107"/>
      <c r="KYJ107"/>
      <c r="KYK107"/>
      <c r="KYL107"/>
      <c r="KYM107"/>
      <c r="KYN107"/>
      <c r="KYO107"/>
      <c r="KYP107"/>
      <c r="KYQ107"/>
      <c r="KYR107"/>
      <c r="KYS107"/>
      <c r="KYT107"/>
      <c r="KYU107"/>
      <c r="KYV107"/>
      <c r="KYW107"/>
      <c r="KYX107"/>
      <c r="KYY107"/>
      <c r="KYZ107"/>
      <c r="KZA107"/>
      <c r="KZB107"/>
      <c r="KZC107"/>
      <c r="KZD107"/>
      <c r="KZE107"/>
      <c r="KZF107"/>
      <c r="KZG107"/>
      <c r="KZH107"/>
      <c r="KZI107"/>
      <c r="KZJ107"/>
      <c r="KZK107"/>
      <c r="KZL107"/>
      <c r="KZM107"/>
      <c r="KZN107"/>
      <c r="KZO107"/>
      <c r="KZP107"/>
      <c r="KZQ107"/>
      <c r="KZR107"/>
      <c r="KZS107"/>
      <c r="KZT107"/>
      <c r="KZU107"/>
      <c r="KZV107"/>
      <c r="KZW107"/>
      <c r="KZX107"/>
      <c r="KZY107"/>
      <c r="KZZ107"/>
      <c r="LAA107"/>
      <c r="LAB107"/>
      <c r="LAC107"/>
      <c r="LAD107"/>
      <c r="LAE107"/>
      <c r="LAF107"/>
      <c r="LAG107"/>
      <c r="LAH107"/>
      <c r="LAI107"/>
      <c r="LAJ107"/>
      <c r="LAK107"/>
      <c r="LAL107"/>
      <c r="LAM107"/>
      <c r="LAN107"/>
      <c r="LAO107"/>
      <c r="LAP107"/>
      <c r="LAQ107"/>
      <c r="LAR107"/>
      <c r="LAS107"/>
      <c r="LAT107"/>
      <c r="LAU107"/>
      <c r="LAV107"/>
      <c r="LAW107"/>
      <c r="LAX107"/>
      <c r="LAY107"/>
      <c r="LAZ107"/>
      <c r="LBA107"/>
      <c r="LBB107"/>
      <c r="LBC107"/>
      <c r="LBD107"/>
      <c r="LBE107"/>
      <c r="LBF107"/>
      <c r="LBG107"/>
      <c r="LBH107"/>
      <c r="LBI107"/>
      <c r="LBJ107"/>
      <c r="LBK107"/>
      <c r="LBL107"/>
      <c r="LBM107"/>
      <c r="LBN107"/>
      <c r="LBO107"/>
      <c r="LBP107"/>
      <c r="LBQ107"/>
      <c r="LBR107"/>
      <c r="LBS107"/>
      <c r="LBT107"/>
      <c r="LBU107"/>
      <c r="LBV107"/>
      <c r="LBW107"/>
      <c r="LBX107"/>
      <c r="LBY107"/>
      <c r="LBZ107"/>
      <c r="LCA107"/>
      <c r="LCB107"/>
      <c r="LCC107"/>
      <c r="LCD107"/>
      <c r="LCE107"/>
      <c r="LCF107"/>
      <c r="LCG107"/>
      <c r="LCH107"/>
      <c r="LCI107"/>
      <c r="LCJ107"/>
      <c r="LCK107"/>
      <c r="LCL107"/>
      <c r="LCM107"/>
      <c r="LCN107"/>
      <c r="LCO107"/>
      <c r="LCP107"/>
      <c r="LCQ107"/>
      <c r="LCR107"/>
      <c r="LCS107"/>
      <c r="LCT107"/>
      <c r="LCU107"/>
      <c r="LCV107"/>
      <c r="LCW107"/>
      <c r="LCX107"/>
      <c r="LCY107"/>
      <c r="LCZ107"/>
      <c r="LDA107"/>
      <c r="LDB107"/>
      <c r="LDC107"/>
      <c r="LDD107"/>
      <c r="LDE107"/>
      <c r="LDF107"/>
      <c r="LDG107"/>
      <c r="LDH107"/>
      <c r="LDI107"/>
      <c r="LDJ107"/>
      <c r="LDK107"/>
      <c r="LDL107"/>
      <c r="LDM107"/>
      <c r="LDN107"/>
      <c r="LDO107"/>
      <c r="LDP107"/>
      <c r="LDQ107"/>
      <c r="LDR107"/>
      <c r="LDS107"/>
      <c r="LDT107"/>
      <c r="LDU107"/>
      <c r="LDV107"/>
      <c r="LDW107"/>
      <c r="LDX107"/>
      <c r="LDY107"/>
      <c r="LDZ107"/>
      <c r="LEA107"/>
      <c r="LEB107"/>
      <c r="LEC107"/>
      <c r="LED107"/>
      <c r="LEE107"/>
      <c r="LEF107"/>
      <c r="LEG107"/>
      <c r="LEH107"/>
      <c r="LEI107"/>
      <c r="LEJ107"/>
      <c r="LEK107"/>
      <c r="LEL107"/>
      <c r="LEM107"/>
      <c r="LEN107"/>
      <c r="LEO107"/>
      <c r="LEP107"/>
      <c r="LEQ107"/>
      <c r="LER107"/>
      <c r="LES107"/>
      <c r="LET107"/>
      <c r="LEU107"/>
      <c r="LEV107"/>
      <c r="LEW107"/>
      <c r="LEX107"/>
      <c r="LEY107"/>
      <c r="LEZ107"/>
      <c r="LFA107"/>
      <c r="LFB107"/>
      <c r="LFC107"/>
      <c r="LFD107"/>
      <c r="LFE107"/>
      <c r="LFF107"/>
      <c r="LFG107"/>
      <c r="LFH107"/>
      <c r="LFI107"/>
      <c r="LFJ107"/>
      <c r="LFK107"/>
      <c r="LFL107"/>
      <c r="LFM107"/>
      <c r="LFN107"/>
      <c r="LFO107"/>
      <c r="LFP107"/>
      <c r="LFQ107"/>
      <c r="LFR107"/>
      <c r="LFS107"/>
      <c r="LFT107"/>
      <c r="LFU107"/>
      <c r="LFV107"/>
      <c r="LFW107"/>
      <c r="LFX107"/>
      <c r="LFY107"/>
      <c r="LFZ107"/>
      <c r="LGA107"/>
      <c r="LGB107"/>
      <c r="LGC107"/>
      <c r="LGD107"/>
      <c r="LGE107"/>
      <c r="LGF107"/>
      <c r="LGG107"/>
      <c r="LGH107"/>
      <c r="LGI107"/>
      <c r="LGJ107"/>
      <c r="LGK107"/>
      <c r="LGL107"/>
      <c r="LGM107"/>
      <c r="LGN107"/>
      <c r="LGO107"/>
      <c r="LGP107"/>
      <c r="LGQ107"/>
      <c r="LGR107"/>
      <c r="LGS107"/>
      <c r="LGT107"/>
      <c r="LGU107"/>
      <c r="LGV107"/>
      <c r="LGW107"/>
      <c r="LGX107"/>
      <c r="LGY107"/>
      <c r="LGZ107"/>
      <c r="LHA107"/>
      <c r="LHB107"/>
      <c r="LHC107"/>
      <c r="LHD107"/>
      <c r="LHE107"/>
      <c r="LHF107"/>
      <c r="LHG107"/>
      <c r="LHH107"/>
      <c r="LHI107"/>
      <c r="LHJ107"/>
      <c r="LHK107"/>
      <c r="LHL107"/>
      <c r="LHM107"/>
      <c r="LHN107"/>
      <c r="LHO107"/>
      <c r="LHP107"/>
      <c r="LHQ107"/>
      <c r="LHR107"/>
      <c r="LHS107"/>
      <c r="LHT107"/>
      <c r="LHU107"/>
      <c r="LHV107"/>
      <c r="LHW107"/>
      <c r="LHX107"/>
      <c r="LHY107"/>
      <c r="LHZ107"/>
      <c r="LIA107"/>
      <c r="LIB107"/>
      <c r="LIC107"/>
      <c r="LID107"/>
      <c r="LIE107"/>
      <c r="LIF107"/>
      <c r="LIG107"/>
      <c r="LIH107"/>
      <c r="LII107"/>
      <c r="LIJ107"/>
      <c r="LIK107"/>
      <c r="LIL107"/>
      <c r="LIM107"/>
      <c r="LIN107"/>
      <c r="LIO107"/>
      <c r="LIP107"/>
      <c r="LIQ107"/>
      <c r="LIR107"/>
      <c r="LIS107"/>
      <c r="LIT107"/>
      <c r="LIU107"/>
      <c r="LIV107"/>
      <c r="LIW107"/>
      <c r="LIX107"/>
      <c r="LIY107"/>
      <c r="LIZ107"/>
      <c r="LJA107"/>
      <c r="LJB107"/>
      <c r="LJC107"/>
      <c r="LJD107"/>
      <c r="LJE107"/>
      <c r="LJF107"/>
      <c r="LJG107"/>
      <c r="LJH107"/>
      <c r="LJI107"/>
      <c r="LJJ107"/>
      <c r="LJK107"/>
      <c r="LJL107"/>
      <c r="LJM107"/>
      <c r="LJN107"/>
      <c r="LJO107"/>
      <c r="LJP107"/>
      <c r="LJQ107"/>
      <c r="LJR107"/>
      <c r="LJS107"/>
      <c r="LJT107"/>
      <c r="LJU107"/>
      <c r="LJV107"/>
      <c r="LJW107"/>
      <c r="LJX107"/>
      <c r="LJY107"/>
      <c r="LJZ107"/>
      <c r="LKA107"/>
      <c r="LKB107"/>
      <c r="LKC107"/>
      <c r="LKD107"/>
      <c r="LKE107"/>
      <c r="LKF107"/>
      <c r="LKG107"/>
      <c r="LKH107"/>
      <c r="LKI107"/>
      <c r="LKJ107"/>
      <c r="LKK107"/>
      <c r="LKL107"/>
      <c r="LKM107"/>
      <c r="LKN107"/>
      <c r="LKO107"/>
      <c r="LKP107"/>
      <c r="LKQ107"/>
      <c r="LKR107"/>
      <c r="LKS107"/>
      <c r="LKT107"/>
      <c r="LKU107"/>
      <c r="LKV107"/>
      <c r="LKW107"/>
      <c r="LKX107"/>
      <c r="LKY107"/>
      <c r="LKZ107"/>
      <c r="LLA107"/>
      <c r="LLB107"/>
      <c r="LLC107"/>
      <c r="LLD107"/>
      <c r="LLE107"/>
      <c r="LLF107"/>
      <c r="LLG107"/>
      <c r="LLH107"/>
      <c r="LLI107"/>
      <c r="LLJ107"/>
      <c r="LLK107"/>
      <c r="LLL107"/>
      <c r="LLM107"/>
      <c r="LLN107"/>
      <c r="LLO107"/>
      <c r="LLP107"/>
      <c r="LLQ107"/>
      <c r="LLR107"/>
      <c r="LLS107"/>
      <c r="LLT107"/>
      <c r="LLU107"/>
      <c r="LLV107"/>
      <c r="LLW107"/>
      <c r="LLX107"/>
      <c r="LLY107"/>
      <c r="LLZ107"/>
      <c r="LMA107"/>
      <c r="LMB107"/>
      <c r="LMC107"/>
      <c r="LMD107"/>
      <c r="LME107"/>
      <c r="LMF107"/>
      <c r="LMG107"/>
      <c r="LMH107"/>
      <c r="LMI107"/>
      <c r="LMJ107"/>
      <c r="LMK107"/>
      <c r="LML107"/>
      <c r="LMM107"/>
      <c r="LMN107"/>
      <c r="LMO107"/>
      <c r="LMP107"/>
      <c r="LMQ107"/>
      <c r="LMR107"/>
      <c r="LMS107"/>
      <c r="LMT107"/>
      <c r="LMU107"/>
      <c r="LMV107"/>
      <c r="LMW107"/>
      <c r="LMX107"/>
      <c r="LMY107"/>
      <c r="LMZ107"/>
      <c r="LNA107"/>
      <c r="LNB107"/>
      <c r="LNC107"/>
      <c r="LND107"/>
      <c r="LNE107"/>
      <c r="LNF107"/>
      <c r="LNG107"/>
      <c r="LNH107"/>
      <c r="LNI107"/>
      <c r="LNJ107"/>
      <c r="LNK107"/>
      <c r="LNL107"/>
      <c r="LNM107"/>
      <c r="LNN107"/>
      <c r="LNO107"/>
      <c r="LNP107"/>
      <c r="LNQ107"/>
      <c r="LNR107"/>
      <c r="LNS107"/>
      <c r="LNT107"/>
      <c r="LNU107"/>
      <c r="LNV107"/>
      <c r="LNW107"/>
      <c r="LNX107"/>
      <c r="LNY107"/>
      <c r="LNZ107"/>
      <c r="LOA107"/>
      <c r="LOB107"/>
      <c r="LOC107"/>
      <c r="LOD107"/>
      <c r="LOE107"/>
      <c r="LOF107"/>
      <c r="LOG107"/>
      <c r="LOH107"/>
      <c r="LOI107"/>
      <c r="LOJ107"/>
      <c r="LOK107"/>
      <c r="LOL107"/>
      <c r="LOM107"/>
      <c r="LON107"/>
      <c r="LOO107"/>
      <c r="LOP107"/>
      <c r="LOQ107"/>
      <c r="LOR107"/>
      <c r="LOS107"/>
      <c r="LOT107"/>
      <c r="LOU107"/>
      <c r="LOV107"/>
      <c r="LOW107"/>
      <c r="LOX107"/>
      <c r="LOY107"/>
      <c r="LOZ107"/>
      <c r="LPA107"/>
      <c r="LPB107"/>
      <c r="LPC107"/>
      <c r="LPD107"/>
      <c r="LPE107"/>
      <c r="LPF107"/>
      <c r="LPG107"/>
      <c r="LPH107"/>
      <c r="LPI107"/>
      <c r="LPJ107"/>
      <c r="LPK107"/>
      <c r="LPL107"/>
      <c r="LPM107"/>
      <c r="LPN107"/>
      <c r="LPO107"/>
      <c r="LPP107"/>
      <c r="LPQ107"/>
      <c r="LPR107"/>
      <c r="LPS107"/>
      <c r="LPT107"/>
      <c r="LPU107"/>
      <c r="LPV107"/>
      <c r="LPW107"/>
      <c r="LPX107"/>
      <c r="LPY107"/>
      <c r="LPZ107"/>
      <c r="LQA107"/>
      <c r="LQB107"/>
      <c r="LQC107"/>
      <c r="LQD107"/>
      <c r="LQE107"/>
      <c r="LQF107"/>
      <c r="LQG107"/>
      <c r="LQH107"/>
      <c r="LQI107"/>
      <c r="LQJ107"/>
      <c r="LQK107"/>
      <c r="LQL107"/>
      <c r="LQM107"/>
      <c r="LQN107"/>
      <c r="LQO107"/>
      <c r="LQP107"/>
      <c r="LQQ107"/>
      <c r="LQR107"/>
      <c r="LQS107"/>
      <c r="LQT107"/>
      <c r="LQU107"/>
      <c r="LQV107"/>
      <c r="LQW107"/>
      <c r="LQX107"/>
      <c r="LQY107"/>
      <c r="LQZ107"/>
      <c r="LRA107"/>
      <c r="LRB107"/>
      <c r="LRC107"/>
      <c r="LRD107"/>
      <c r="LRE107"/>
      <c r="LRF107"/>
      <c r="LRG107"/>
      <c r="LRH107"/>
      <c r="LRI107"/>
      <c r="LRJ107"/>
      <c r="LRK107"/>
      <c r="LRL107"/>
      <c r="LRM107"/>
      <c r="LRN107"/>
      <c r="LRO107"/>
      <c r="LRP107"/>
      <c r="LRQ107"/>
      <c r="LRR107"/>
      <c r="LRS107"/>
      <c r="LRT107"/>
      <c r="LRU107"/>
      <c r="LRV107"/>
      <c r="LRW107"/>
      <c r="LRX107"/>
      <c r="LRY107"/>
      <c r="LRZ107"/>
      <c r="LSA107"/>
      <c r="LSB107"/>
      <c r="LSC107"/>
      <c r="LSD107"/>
      <c r="LSE107"/>
      <c r="LSF107"/>
      <c r="LSG107"/>
      <c r="LSH107"/>
      <c r="LSI107"/>
      <c r="LSJ107"/>
      <c r="LSK107"/>
      <c r="LSL107"/>
      <c r="LSM107"/>
      <c r="LSN107"/>
      <c r="LSO107"/>
      <c r="LSP107"/>
      <c r="LSQ107"/>
      <c r="LSR107"/>
      <c r="LSS107"/>
      <c r="LST107"/>
      <c r="LSU107"/>
      <c r="LSV107"/>
      <c r="LSW107"/>
      <c r="LSX107"/>
      <c r="LSY107"/>
      <c r="LSZ107"/>
      <c r="LTA107"/>
      <c r="LTB107"/>
      <c r="LTC107"/>
      <c r="LTD107"/>
      <c r="LTE107"/>
      <c r="LTF107"/>
      <c r="LTG107"/>
      <c r="LTH107"/>
      <c r="LTI107"/>
      <c r="LTJ107"/>
      <c r="LTK107"/>
      <c r="LTL107"/>
      <c r="LTM107"/>
      <c r="LTN107"/>
      <c r="LTO107"/>
      <c r="LTP107"/>
      <c r="LTQ107"/>
      <c r="LTR107"/>
      <c r="LTS107"/>
      <c r="LTT107"/>
      <c r="LTU107"/>
      <c r="LTV107"/>
      <c r="LTW107"/>
      <c r="LTX107"/>
      <c r="LTY107"/>
      <c r="LTZ107"/>
      <c r="LUA107"/>
      <c r="LUB107"/>
      <c r="LUC107"/>
      <c r="LUD107"/>
      <c r="LUE107"/>
      <c r="LUF107"/>
      <c r="LUG107"/>
      <c r="LUH107"/>
      <c r="LUI107"/>
      <c r="LUJ107"/>
      <c r="LUK107"/>
      <c r="LUL107"/>
      <c r="LUM107"/>
      <c r="LUN107"/>
      <c r="LUO107"/>
      <c r="LUP107"/>
      <c r="LUQ107"/>
      <c r="LUR107"/>
      <c r="LUS107"/>
      <c r="LUT107"/>
      <c r="LUU107"/>
      <c r="LUV107"/>
      <c r="LUW107"/>
      <c r="LUX107"/>
      <c r="LUY107"/>
      <c r="LUZ107"/>
      <c r="LVA107"/>
      <c r="LVB107"/>
      <c r="LVC107"/>
      <c r="LVD107"/>
      <c r="LVE107"/>
      <c r="LVF107"/>
      <c r="LVG107"/>
      <c r="LVH107"/>
      <c r="LVI107"/>
      <c r="LVJ107"/>
      <c r="LVK107"/>
      <c r="LVL107"/>
      <c r="LVM107"/>
      <c r="LVN107"/>
      <c r="LVO107"/>
      <c r="LVP107"/>
      <c r="LVQ107"/>
      <c r="LVR107"/>
      <c r="LVS107"/>
      <c r="LVT107"/>
      <c r="LVU107"/>
      <c r="LVV107"/>
      <c r="LVW107"/>
      <c r="LVX107"/>
      <c r="LVY107"/>
      <c r="LVZ107"/>
      <c r="LWA107"/>
      <c r="LWB107"/>
      <c r="LWC107"/>
      <c r="LWD107"/>
      <c r="LWE107"/>
      <c r="LWF107"/>
      <c r="LWG107"/>
      <c r="LWH107"/>
      <c r="LWI107"/>
      <c r="LWJ107"/>
      <c r="LWK107"/>
      <c r="LWL107"/>
      <c r="LWM107"/>
      <c r="LWN107"/>
      <c r="LWO107"/>
      <c r="LWP107"/>
      <c r="LWQ107"/>
      <c r="LWR107"/>
      <c r="LWS107"/>
      <c r="LWT107"/>
      <c r="LWU107"/>
      <c r="LWV107"/>
      <c r="LWW107"/>
      <c r="LWX107"/>
      <c r="LWY107"/>
      <c r="LWZ107"/>
      <c r="LXA107"/>
      <c r="LXB107"/>
      <c r="LXC107"/>
      <c r="LXD107"/>
      <c r="LXE107"/>
      <c r="LXF107"/>
      <c r="LXG107"/>
      <c r="LXH107"/>
      <c r="LXI107"/>
      <c r="LXJ107"/>
      <c r="LXK107"/>
      <c r="LXL107"/>
      <c r="LXM107"/>
      <c r="LXN107"/>
      <c r="LXO107"/>
      <c r="LXP107"/>
      <c r="LXQ107"/>
      <c r="LXR107"/>
      <c r="LXS107"/>
      <c r="LXT107"/>
      <c r="LXU107"/>
      <c r="LXV107"/>
      <c r="LXW107"/>
      <c r="LXX107"/>
      <c r="LXY107"/>
      <c r="LXZ107"/>
      <c r="LYA107"/>
      <c r="LYB107"/>
      <c r="LYC107"/>
      <c r="LYD107"/>
      <c r="LYE107"/>
      <c r="LYF107"/>
      <c r="LYG107"/>
      <c r="LYH107"/>
      <c r="LYI107"/>
      <c r="LYJ107"/>
      <c r="LYK107"/>
      <c r="LYL107"/>
      <c r="LYM107"/>
      <c r="LYN107"/>
      <c r="LYO107"/>
      <c r="LYP107"/>
      <c r="LYQ107"/>
      <c r="LYR107"/>
      <c r="LYS107"/>
      <c r="LYT107"/>
      <c r="LYU107"/>
      <c r="LYV107"/>
      <c r="LYW107"/>
      <c r="LYX107"/>
      <c r="LYY107"/>
      <c r="LYZ107"/>
      <c r="LZA107"/>
      <c r="LZB107"/>
      <c r="LZC107"/>
      <c r="LZD107"/>
      <c r="LZE107"/>
      <c r="LZF107"/>
      <c r="LZG107"/>
      <c r="LZH107"/>
      <c r="LZI107"/>
      <c r="LZJ107"/>
      <c r="LZK107"/>
      <c r="LZL107"/>
      <c r="LZM107"/>
      <c r="LZN107"/>
      <c r="LZO107"/>
      <c r="LZP107"/>
      <c r="LZQ107"/>
      <c r="LZR107"/>
      <c r="LZS107"/>
      <c r="LZT107"/>
      <c r="LZU107"/>
      <c r="LZV107"/>
      <c r="LZW107"/>
      <c r="LZX107"/>
      <c r="LZY107"/>
      <c r="LZZ107"/>
      <c r="MAA107"/>
      <c r="MAB107"/>
      <c r="MAC107"/>
      <c r="MAD107"/>
      <c r="MAE107"/>
      <c r="MAF107"/>
      <c r="MAG107"/>
      <c r="MAH107"/>
      <c r="MAI107"/>
      <c r="MAJ107"/>
      <c r="MAK107"/>
      <c r="MAL107"/>
      <c r="MAM107"/>
      <c r="MAN107"/>
      <c r="MAO107"/>
      <c r="MAP107"/>
      <c r="MAQ107"/>
      <c r="MAR107"/>
      <c r="MAS107"/>
      <c r="MAT107"/>
      <c r="MAU107"/>
      <c r="MAV107"/>
      <c r="MAW107"/>
      <c r="MAX107"/>
      <c r="MAY107"/>
      <c r="MAZ107"/>
      <c r="MBA107"/>
      <c r="MBB107"/>
      <c r="MBC107"/>
      <c r="MBD107"/>
      <c r="MBE107"/>
      <c r="MBF107"/>
      <c r="MBG107"/>
      <c r="MBH107"/>
      <c r="MBI107"/>
      <c r="MBJ107"/>
      <c r="MBK107"/>
      <c r="MBL107"/>
      <c r="MBM107"/>
      <c r="MBN107"/>
      <c r="MBO107"/>
      <c r="MBP107"/>
      <c r="MBQ107"/>
      <c r="MBR107"/>
      <c r="MBS107"/>
      <c r="MBT107"/>
      <c r="MBU107"/>
      <c r="MBV107"/>
      <c r="MBW107"/>
      <c r="MBX107"/>
      <c r="MBY107"/>
      <c r="MBZ107"/>
      <c r="MCA107"/>
      <c r="MCB107"/>
      <c r="MCC107"/>
      <c r="MCD107"/>
      <c r="MCE107"/>
      <c r="MCF107"/>
      <c r="MCG107"/>
      <c r="MCH107"/>
      <c r="MCI107"/>
      <c r="MCJ107"/>
      <c r="MCK107"/>
      <c r="MCL107"/>
      <c r="MCM107"/>
      <c r="MCN107"/>
      <c r="MCO107"/>
      <c r="MCP107"/>
      <c r="MCQ107"/>
      <c r="MCR107"/>
      <c r="MCS107"/>
      <c r="MCT107"/>
      <c r="MCU107"/>
      <c r="MCV107"/>
      <c r="MCW107"/>
      <c r="MCX107"/>
      <c r="MCY107"/>
      <c r="MCZ107"/>
      <c r="MDA107"/>
      <c r="MDB107"/>
      <c r="MDC107"/>
      <c r="MDD107"/>
      <c r="MDE107"/>
      <c r="MDF107"/>
      <c r="MDG107"/>
      <c r="MDH107"/>
      <c r="MDI107"/>
      <c r="MDJ107"/>
      <c r="MDK107"/>
      <c r="MDL107"/>
      <c r="MDM107"/>
      <c r="MDN107"/>
      <c r="MDO107"/>
      <c r="MDP107"/>
      <c r="MDQ107"/>
      <c r="MDR107"/>
      <c r="MDS107"/>
      <c r="MDT107"/>
      <c r="MDU107"/>
      <c r="MDV107"/>
      <c r="MDW107"/>
      <c r="MDX107"/>
      <c r="MDY107"/>
      <c r="MDZ107"/>
      <c r="MEA107"/>
      <c r="MEB107"/>
      <c r="MEC107"/>
      <c r="MED107"/>
      <c r="MEE107"/>
      <c r="MEF107"/>
      <c r="MEG107"/>
      <c r="MEH107"/>
      <c r="MEI107"/>
      <c r="MEJ107"/>
      <c r="MEK107"/>
      <c r="MEL107"/>
      <c r="MEM107"/>
      <c r="MEN107"/>
      <c r="MEO107"/>
      <c r="MEP107"/>
      <c r="MEQ107"/>
      <c r="MER107"/>
      <c r="MES107"/>
      <c r="MET107"/>
      <c r="MEU107"/>
      <c r="MEV107"/>
      <c r="MEW107"/>
      <c r="MEX107"/>
      <c r="MEY107"/>
      <c r="MEZ107"/>
      <c r="MFA107"/>
      <c r="MFB107"/>
      <c r="MFC107"/>
      <c r="MFD107"/>
      <c r="MFE107"/>
      <c r="MFF107"/>
      <c r="MFG107"/>
      <c r="MFH107"/>
      <c r="MFI107"/>
      <c r="MFJ107"/>
      <c r="MFK107"/>
      <c r="MFL107"/>
      <c r="MFM107"/>
      <c r="MFN107"/>
      <c r="MFO107"/>
      <c r="MFP107"/>
      <c r="MFQ107"/>
      <c r="MFR107"/>
      <c r="MFS107"/>
      <c r="MFT107"/>
      <c r="MFU107"/>
      <c r="MFV107"/>
      <c r="MFW107"/>
      <c r="MFX107"/>
      <c r="MFY107"/>
      <c r="MFZ107"/>
      <c r="MGA107"/>
      <c r="MGB107"/>
      <c r="MGC107"/>
      <c r="MGD107"/>
      <c r="MGE107"/>
      <c r="MGF107"/>
      <c r="MGG107"/>
      <c r="MGH107"/>
      <c r="MGI107"/>
      <c r="MGJ107"/>
      <c r="MGK107"/>
      <c r="MGL107"/>
      <c r="MGM107"/>
      <c r="MGN107"/>
      <c r="MGO107"/>
      <c r="MGP107"/>
      <c r="MGQ107"/>
      <c r="MGR107"/>
      <c r="MGS107"/>
      <c r="MGT107"/>
      <c r="MGU107"/>
      <c r="MGV107"/>
      <c r="MGW107"/>
      <c r="MGX107"/>
      <c r="MGY107"/>
      <c r="MGZ107"/>
      <c r="MHA107"/>
      <c r="MHB107"/>
      <c r="MHC107"/>
      <c r="MHD107"/>
      <c r="MHE107"/>
      <c r="MHF107"/>
      <c r="MHG107"/>
      <c r="MHH107"/>
      <c r="MHI107"/>
      <c r="MHJ107"/>
      <c r="MHK107"/>
      <c r="MHL107"/>
      <c r="MHM107"/>
      <c r="MHN107"/>
      <c r="MHO107"/>
      <c r="MHP107"/>
      <c r="MHQ107"/>
      <c r="MHR107"/>
      <c r="MHS107"/>
      <c r="MHT107"/>
      <c r="MHU107"/>
      <c r="MHV107"/>
      <c r="MHW107"/>
      <c r="MHX107"/>
      <c r="MHY107"/>
      <c r="MHZ107"/>
      <c r="MIA107"/>
      <c r="MIB107"/>
      <c r="MIC107"/>
      <c r="MID107"/>
      <c r="MIE107"/>
      <c r="MIF107"/>
      <c r="MIG107"/>
      <c r="MIH107"/>
      <c r="MII107"/>
      <c r="MIJ107"/>
      <c r="MIK107"/>
      <c r="MIL107"/>
      <c r="MIM107"/>
      <c r="MIN107"/>
      <c r="MIO107"/>
      <c r="MIP107"/>
      <c r="MIQ107"/>
      <c r="MIR107"/>
      <c r="MIS107"/>
      <c r="MIT107"/>
      <c r="MIU107"/>
      <c r="MIV107"/>
      <c r="MIW107"/>
      <c r="MIX107"/>
      <c r="MIY107"/>
      <c r="MIZ107"/>
      <c r="MJA107"/>
      <c r="MJB107"/>
      <c r="MJC107"/>
      <c r="MJD107"/>
      <c r="MJE107"/>
      <c r="MJF107"/>
      <c r="MJG107"/>
      <c r="MJH107"/>
      <c r="MJI107"/>
      <c r="MJJ107"/>
      <c r="MJK107"/>
      <c r="MJL107"/>
      <c r="MJM107"/>
      <c r="MJN107"/>
      <c r="MJO107"/>
      <c r="MJP107"/>
      <c r="MJQ107"/>
      <c r="MJR107"/>
      <c r="MJS107"/>
      <c r="MJT107"/>
      <c r="MJU107"/>
      <c r="MJV107"/>
      <c r="MJW107"/>
      <c r="MJX107"/>
      <c r="MJY107"/>
      <c r="MJZ107"/>
      <c r="MKA107"/>
      <c r="MKB107"/>
      <c r="MKC107"/>
      <c r="MKD107"/>
      <c r="MKE107"/>
      <c r="MKF107"/>
      <c r="MKG107"/>
      <c r="MKH107"/>
      <c r="MKI107"/>
      <c r="MKJ107"/>
      <c r="MKK107"/>
      <c r="MKL107"/>
      <c r="MKM107"/>
      <c r="MKN107"/>
      <c r="MKO107"/>
      <c r="MKP107"/>
      <c r="MKQ107"/>
      <c r="MKR107"/>
      <c r="MKS107"/>
      <c r="MKT107"/>
      <c r="MKU107"/>
      <c r="MKV107"/>
      <c r="MKW107"/>
      <c r="MKX107"/>
      <c r="MKY107"/>
      <c r="MKZ107"/>
      <c r="MLA107"/>
      <c r="MLB107"/>
      <c r="MLC107"/>
      <c r="MLD107"/>
      <c r="MLE107"/>
      <c r="MLF107"/>
      <c r="MLG107"/>
      <c r="MLH107"/>
      <c r="MLI107"/>
      <c r="MLJ107"/>
      <c r="MLK107"/>
      <c r="MLL107"/>
      <c r="MLM107"/>
      <c r="MLN107"/>
      <c r="MLO107"/>
      <c r="MLP107"/>
      <c r="MLQ107"/>
      <c r="MLR107"/>
      <c r="MLS107"/>
      <c r="MLT107"/>
      <c r="MLU107"/>
      <c r="MLV107"/>
      <c r="MLW107"/>
      <c r="MLX107"/>
      <c r="MLY107"/>
      <c r="MLZ107"/>
      <c r="MMA107"/>
      <c r="MMB107"/>
      <c r="MMC107"/>
      <c r="MMD107"/>
      <c r="MME107"/>
      <c r="MMF107"/>
      <c r="MMG107"/>
      <c r="MMH107"/>
      <c r="MMI107"/>
      <c r="MMJ107"/>
      <c r="MMK107"/>
      <c r="MML107"/>
      <c r="MMM107"/>
      <c r="MMN107"/>
      <c r="MMO107"/>
      <c r="MMP107"/>
      <c r="MMQ107"/>
      <c r="MMR107"/>
      <c r="MMS107"/>
      <c r="MMT107"/>
      <c r="MMU107"/>
      <c r="MMV107"/>
      <c r="MMW107"/>
      <c r="MMX107"/>
      <c r="MMY107"/>
      <c r="MMZ107"/>
      <c r="MNA107"/>
      <c r="MNB107"/>
      <c r="MNC107"/>
      <c r="MND107"/>
      <c r="MNE107"/>
      <c r="MNF107"/>
      <c r="MNG107"/>
      <c r="MNH107"/>
      <c r="MNI107"/>
      <c r="MNJ107"/>
      <c r="MNK107"/>
      <c r="MNL107"/>
      <c r="MNM107"/>
      <c r="MNN107"/>
      <c r="MNO107"/>
      <c r="MNP107"/>
      <c r="MNQ107"/>
      <c r="MNR107"/>
      <c r="MNS107"/>
      <c r="MNT107"/>
      <c r="MNU107"/>
      <c r="MNV107"/>
      <c r="MNW107"/>
      <c r="MNX107"/>
      <c r="MNY107"/>
      <c r="MNZ107"/>
      <c r="MOA107"/>
      <c r="MOB107"/>
      <c r="MOC107"/>
      <c r="MOD107"/>
      <c r="MOE107"/>
      <c r="MOF107"/>
      <c r="MOG107"/>
      <c r="MOH107"/>
      <c r="MOI107"/>
      <c r="MOJ107"/>
      <c r="MOK107"/>
      <c r="MOL107"/>
      <c r="MOM107"/>
      <c r="MON107"/>
      <c r="MOO107"/>
      <c r="MOP107"/>
      <c r="MOQ107"/>
      <c r="MOR107"/>
      <c r="MOS107"/>
      <c r="MOT107"/>
      <c r="MOU107"/>
      <c r="MOV107"/>
      <c r="MOW107"/>
      <c r="MOX107"/>
      <c r="MOY107"/>
      <c r="MOZ107"/>
      <c r="MPA107"/>
      <c r="MPB107"/>
      <c r="MPC107"/>
      <c r="MPD107"/>
      <c r="MPE107"/>
      <c r="MPF107"/>
      <c r="MPG107"/>
      <c r="MPH107"/>
      <c r="MPI107"/>
      <c r="MPJ107"/>
      <c r="MPK107"/>
      <c r="MPL107"/>
      <c r="MPM107"/>
      <c r="MPN107"/>
      <c r="MPO107"/>
      <c r="MPP107"/>
      <c r="MPQ107"/>
      <c r="MPR107"/>
      <c r="MPS107"/>
      <c r="MPT107"/>
      <c r="MPU107"/>
      <c r="MPV107"/>
      <c r="MPW107"/>
      <c r="MPX107"/>
      <c r="MPY107"/>
      <c r="MPZ107"/>
      <c r="MQA107"/>
      <c r="MQB107"/>
      <c r="MQC107"/>
      <c r="MQD107"/>
      <c r="MQE107"/>
      <c r="MQF107"/>
      <c r="MQG107"/>
      <c r="MQH107"/>
      <c r="MQI107"/>
      <c r="MQJ107"/>
      <c r="MQK107"/>
      <c r="MQL107"/>
      <c r="MQM107"/>
      <c r="MQN107"/>
      <c r="MQO107"/>
      <c r="MQP107"/>
      <c r="MQQ107"/>
      <c r="MQR107"/>
      <c r="MQS107"/>
      <c r="MQT107"/>
      <c r="MQU107"/>
      <c r="MQV107"/>
      <c r="MQW107"/>
      <c r="MQX107"/>
      <c r="MQY107"/>
      <c r="MQZ107"/>
      <c r="MRA107"/>
      <c r="MRB107"/>
      <c r="MRC107"/>
      <c r="MRD107"/>
      <c r="MRE107"/>
      <c r="MRF107"/>
      <c r="MRG107"/>
      <c r="MRH107"/>
      <c r="MRI107"/>
      <c r="MRJ107"/>
      <c r="MRK107"/>
      <c r="MRL107"/>
      <c r="MRM107"/>
      <c r="MRN107"/>
      <c r="MRO107"/>
      <c r="MRP107"/>
      <c r="MRQ107"/>
      <c r="MRR107"/>
      <c r="MRS107"/>
      <c r="MRT107"/>
      <c r="MRU107"/>
      <c r="MRV107"/>
      <c r="MRW107"/>
      <c r="MRX107"/>
      <c r="MRY107"/>
      <c r="MRZ107"/>
      <c r="MSA107"/>
      <c r="MSB107"/>
      <c r="MSC107"/>
      <c r="MSD107"/>
      <c r="MSE107"/>
      <c r="MSF107"/>
      <c r="MSG107"/>
      <c r="MSH107"/>
      <c r="MSI107"/>
      <c r="MSJ107"/>
      <c r="MSK107"/>
      <c r="MSL107"/>
      <c r="MSM107"/>
      <c r="MSN107"/>
      <c r="MSO107"/>
      <c r="MSP107"/>
      <c r="MSQ107"/>
      <c r="MSR107"/>
      <c r="MSS107"/>
      <c r="MST107"/>
      <c r="MSU107"/>
      <c r="MSV107"/>
      <c r="MSW107"/>
      <c r="MSX107"/>
      <c r="MSY107"/>
      <c r="MSZ107"/>
      <c r="MTA107"/>
      <c r="MTB107"/>
      <c r="MTC107"/>
      <c r="MTD107"/>
      <c r="MTE107"/>
      <c r="MTF107"/>
      <c r="MTG107"/>
      <c r="MTH107"/>
      <c r="MTI107"/>
      <c r="MTJ107"/>
      <c r="MTK107"/>
      <c r="MTL107"/>
      <c r="MTM107"/>
      <c r="MTN107"/>
      <c r="MTO107"/>
      <c r="MTP107"/>
      <c r="MTQ107"/>
      <c r="MTR107"/>
      <c r="MTS107"/>
      <c r="MTT107"/>
      <c r="MTU107"/>
      <c r="MTV107"/>
      <c r="MTW107"/>
      <c r="MTX107"/>
      <c r="MTY107"/>
      <c r="MTZ107"/>
      <c r="MUA107"/>
      <c r="MUB107"/>
      <c r="MUC107"/>
      <c r="MUD107"/>
      <c r="MUE107"/>
      <c r="MUF107"/>
      <c r="MUG107"/>
      <c r="MUH107"/>
      <c r="MUI107"/>
      <c r="MUJ107"/>
      <c r="MUK107"/>
      <c r="MUL107"/>
      <c r="MUM107"/>
      <c r="MUN107"/>
      <c r="MUO107"/>
      <c r="MUP107"/>
      <c r="MUQ107"/>
      <c r="MUR107"/>
      <c r="MUS107"/>
      <c r="MUT107"/>
      <c r="MUU107"/>
      <c r="MUV107"/>
      <c r="MUW107"/>
      <c r="MUX107"/>
      <c r="MUY107"/>
      <c r="MUZ107"/>
      <c r="MVA107"/>
      <c r="MVB107"/>
      <c r="MVC107"/>
      <c r="MVD107"/>
      <c r="MVE107"/>
      <c r="MVF107"/>
      <c r="MVG107"/>
      <c r="MVH107"/>
      <c r="MVI107"/>
      <c r="MVJ107"/>
      <c r="MVK107"/>
      <c r="MVL107"/>
      <c r="MVM107"/>
      <c r="MVN107"/>
      <c r="MVO107"/>
      <c r="MVP107"/>
      <c r="MVQ107"/>
      <c r="MVR107"/>
      <c r="MVS107"/>
      <c r="MVT107"/>
      <c r="MVU107"/>
      <c r="MVV107"/>
      <c r="MVW107"/>
      <c r="MVX107"/>
      <c r="MVY107"/>
      <c r="MVZ107"/>
      <c r="MWA107"/>
      <c r="MWB107"/>
      <c r="MWC107"/>
      <c r="MWD107"/>
      <c r="MWE107"/>
      <c r="MWF107"/>
      <c r="MWG107"/>
      <c r="MWH107"/>
      <c r="MWI107"/>
      <c r="MWJ107"/>
      <c r="MWK107"/>
      <c r="MWL107"/>
      <c r="MWM107"/>
      <c r="MWN107"/>
      <c r="MWO107"/>
      <c r="MWP107"/>
      <c r="MWQ107"/>
      <c r="MWR107"/>
      <c r="MWS107"/>
      <c r="MWT107"/>
      <c r="MWU107"/>
      <c r="MWV107"/>
      <c r="MWW107"/>
      <c r="MWX107"/>
      <c r="MWY107"/>
      <c r="MWZ107"/>
      <c r="MXA107"/>
      <c r="MXB107"/>
      <c r="MXC107"/>
      <c r="MXD107"/>
      <c r="MXE107"/>
      <c r="MXF107"/>
      <c r="MXG107"/>
      <c r="MXH107"/>
      <c r="MXI107"/>
      <c r="MXJ107"/>
      <c r="MXK107"/>
      <c r="MXL107"/>
      <c r="MXM107"/>
      <c r="MXN107"/>
      <c r="MXO107"/>
      <c r="MXP107"/>
      <c r="MXQ107"/>
      <c r="MXR107"/>
      <c r="MXS107"/>
      <c r="MXT107"/>
      <c r="MXU107"/>
      <c r="MXV107"/>
      <c r="MXW107"/>
      <c r="MXX107"/>
      <c r="MXY107"/>
      <c r="MXZ107"/>
      <c r="MYA107"/>
      <c r="MYB107"/>
      <c r="MYC107"/>
      <c r="MYD107"/>
      <c r="MYE107"/>
      <c r="MYF107"/>
      <c r="MYG107"/>
      <c r="MYH107"/>
      <c r="MYI107"/>
      <c r="MYJ107"/>
      <c r="MYK107"/>
      <c r="MYL107"/>
      <c r="MYM107"/>
      <c r="MYN107"/>
      <c r="MYO107"/>
      <c r="MYP107"/>
      <c r="MYQ107"/>
      <c r="MYR107"/>
      <c r="MYS107"/>
      <c r="MYT107"/>
      <c r="MYU107"/>
      <c r="MYV107"/>
      <c r="MYW107"/>
      <c r="MYX107"/>
      <c r="MYY107"/>
      <c r="MYZ107"/>
      <c r="MZA107"/>
      <c r="MZB107"/>
      <c r="MZC107"/>
      <c r="MZD107"/>
      <c r="MZE107"/>
      <c r="MZF107"/>
      <c r="MZG107"/>
      <c r="MZH107"/>
      <c r="MZI107"/>
      <c r="MZJ107"/>
      <c r="MZK107"/>
      <c r="MZL107"/>
      <c r="MZM107"/>
      <c r="MZN107"/>
      <c r="MZO107"/>
      <c r="MZP107"/>
      <c r="MZQ107"/>
      <c r="MZR107"/>
      <c r="MZS107"/>
      <c r="MZT107"/>
      <c r="MZU107"/>
      <c r="MZV107"/>
      <c r="MZW107"/>
      <c r="MZX107"/>
      <c r="MZY107"/>
      <c r="MZZ107"/>
      <c r="NAA107"/>
      <c r="NAB107"/>
      <c r="NAC107"/>
      <c r="NAD107"/>
      <c r="NAE107"/>
      <c r="NAF107"/>
      <c r="NAG107"/>
      <c r="NAH107"/>
      <c r="NAI107"/>
      <c r="NAJ107"/>
      <c r="NAK107"/>
      <c r="NAL107"/>
      <c r="NAM107"/>
      <c r="NAN107"/>
      <c r="NAO107"/>
      <c r="NAP107"/>
      <c r="NAQ107"/>
      <c r="NAR107"/>
      <c r="NAS107"/>
      <c r="NAT107"/>
      <c r="NAU107"/>
      <c r="NAV107"/>
      <c r="NAW107"/>
      <c r="NAX107"/>
      <c r="NAY107"/>
      <c r="NAZ107"/>
      <c r="NBA107"/>
      <c r="NBB107"/>
      <c r="NBC107"/>
      <c r="NBD107"/>
      <c r="NBE107"/>
      <c r="NBF107"/>
      <c r="NBG107"/>
      <c r="NBH107"/>
      <c r="NBI107"/>
      <c r="NBJ107"/>
      <c r="NBK107"/>
      <c r="NBL107"/>
      <c r="NBM107"/>
      <c r="NBN107"/>
      <c r="NBO107"/>
      <c r="NBP107"/>
      <c r="NBQ107"/>
      <c r="NBR107"/>
      <c r="NBS107"/>
      <c r="NBT107"/>
      <c r="NBU107"/>
      <c r="NBV107"/>
      <c r="NBW107"/>
      <c r="NBX107"/>
      <c r="NBY107"/>
      <c r="NBZ107"/>
      <c r="NCA107"/>
      <c r="NCB107"/>
      <c r="NCC107"/>
      <c r="NCD107"/>
      <c r="NCE107"/>
      <c r="NCF107"/>
      <c r="NCG107"/>
      <c r="NCH107"/>
      <c r="NCI107"/>
      <c r="NCJ107"/>
      <c r="NCK107"/>
      <c r="NCL107"/>
      <c r="NCM107"/>
      <c r="NCN107"/>
      <c r="NCO107"/>
      <c r="NCP107"/>
      <c r="NCQ107"/>
      <c r="NCR107"/>
      <c r="NCS107"/>
      <c r="NCT107"/>
      <c r="NCU107"/>
      <c r="NCV107"/>
      <c r="NCW107"/>
      <c r="NCX107"/>
      <c r="NCY107"/>
      <c r="NCZ107"/>
      <c r="NDA107"/>
      <c r="NDB107"/>
      <c r="NDC107"/>
      <c r="NDD107"/>
      <c r="NDE107"/>
      <c r="NDF107"/>
      <c r="NDG107"/>
      <c r="NDH107"/>
      <c r="NDI107"/>
      <c r="NDJ107"/>
      <c r="NDK107"/>
      <c r="NDL107"/>
      <c r="NDM107"/>
      <c r="NDN107"/>
      <c r="NDO107"/>
      <c r="NDP107"/>
      <c r="NDQ107"/>
      <c r="NDR107"/>
      <c r="NDS107"/>
      <c r="NDT107"/>
      <c r="NDU107"/>
      <c r="NDV107"/>
      <c r="NDW107"/>
      <c r="NDX107"/>
      <c r="NDY107"/>
      <c r="NDZ107"/>
      <c r="NEA107"/>
      <c r="NEB107"/>
      <c r="NEC107"/>
      <c r="NED107"/>
      <c r="NEE107"/>
      <c r="NEF107"/>
      <c r="NEG107"/>
      <c r="NEH107"/>
      <c r="NEI107"/>
      <c r="NEJ107"/>
      <c r="NEK107"/>
      <c r="NEL107"/>
      <c r="NEM107"/>
      <c r="NEN107"/>
      <c r="NEO107"/>
      <c r="NEP107"/>
      <c r="NEQ107"/>
      <c r="NER107"/>
      <c r="NES107"/>
      <c r="NET107"/>
      <c r="NEU107"/>
      <c r="NEV107"/>
      <c r="NEW107"/>
      <c r="NEX107"/>
      <c r="NEY107"/>
      <c r="NEZ107"/>
      <c r="NFA107"/>
      <c r="NFB107"/>
      <c r="NFC107"/>
      <c r="NFD107"/>
      <c r="NFE107"/>
      <c r="NFF107"/>
      <c r="NFG107"/>
      <c r="NFH107"/>
      <c r="NFI107"/>
      <c r="NFJ107"/>
      <c r="NFK107"/>
      <c r="NFL107"/>
      <c r="NFM107"/>
      <c r="NFN107"/>
      <c r="NFO107"/>
      <c r="NFP107"/>
      <c r="NFQ107"/>
      <c r="NFR107"/>
      <c r="NFS107"/>
      <c r="NFT107"/>
      <c r="NFU107"/>
      <c r="NFV107"/>
      <c r="NFW107"/>
      <c r="NFX107"/>
      <c r="NFY107"/>
      <c r="NFZ107"/>
      <c r="NGA107"/>
      <c r="NGB107"/>
      <c r="NGC107"/>
      <c r="NGD107"/>
      <c r="NGE107"/>
      <c r="NGF107"/>
      <c r="NGG107"/>
      <c r="NGH107"/>
      <c r="NGI107"/>
      <c r="NGJ107"/>
      <c r="NGK107"/>
      <c r="NGL107"/>
      <c r="NGM107"/>
      <c r="NGN107"/>
      <c r="NGO107"/>
      <c r="NGP107"/>
      <c r="NGQ107"/>
      <c r="NGR107"/>
      <c r="NGS107"/>
      <c r="NGT107"/>
      <c r="NGU107"/>
      <c r="NGV107"/>
      <c r="NGW107"/>
      <c r="NGX107"/>
      <c r="NGY107"/>
      <c r="NGZ107"/>
      <c r="NHA107"/>
      <c r="NHB107"/>
      <c r="NHC107"/>
      <c r="NHD107"/>
      <c r="NHE107"/>
      <c r="NHF107"/>
      <c r="NHG107"/>
      <c r="NHH107"/>
      <c r="NHI107"/>
      <c r="NHJ107"/>
      <c r="NHK107"/>
      <c r="NHL107"/>
      <c r="NHM107"/>
      <c r="NHN107"/>
      <c r="NHO107"/>
      <c r="NHP107"/>
      <c r="NHQ107"/>
      <c r="NHR107"/>
      <c r="NHS107"/>
      <c r="NHT107"/>
      <c r="NHU107"/>
      <c r="NHV107"/>
      <c r="NHW107"/>
      <c r="NHX107"/>
      <c r="NHY107"/>
      <c r="NHZ107"/>
      <c r="NIA107"/>
      <c r="NIB107"/>
      <c r="NIC107"/>
      <c r="NID107"/>
      <c r="NIE107"/>
      <c r="NIF107"/>
      <c r="NIG107"/>
      <c r="NIH107"/>
      <c r="NII107"/>
      <c r="NIJ107"/>
      <c r="NIK107"/>
      <c r="NIL107"/>
      <c r="NIM107"/>
      <c r="NIN107"/>
      <c r="NIO107"/>
      <c r="NIP107"/>
      <c r="NIQ107"/>
      <c r="NIR107"/>
      <c r="NIS107"/>
      <c r="NIT107"/>
      <c r="NIU107"/>
      <c r="NIV107"/>
      <c r="NIW107"/>
      <c r="NIX107"/>
      <c r="NIY107"/>
      <c r="NIZ107"/>
      <c r="NJA107"/>
      <c r="NJB107"/>
      <c r="NJC107"/>
      <c r="NJD107"/>
      <c r="NJE107"/>
      <c r="NJF107"/>
      <c r="NJG107"/>
      <c r="NJH107"/>
      <c r="NJI107"/>
      <c r="NJJ107"/>
      <c r="NJK107"/>
      <c r="NJL107"/>
      <c r="NJM107"/>
      <c r="NJN107"/>
      <c r="NJO107"/>
      <c r="NJP107"/>
      <c r="NJQ107"/>
      <c r="NJR107"/>
      <c r="NJS107"/>
      <c r="NJT107"/>
      <c r="NJU107"/>
      <c r="NJV107"/>
      <c r="NJW107"/>
      <c r="NJX107"/>
      <c r="NJY107"/>
      <c r="NJZ107"/>
      <c r="NKA107"/>
      <c r="NKB107"/>
      <c r="NKC107"/>
      <c r="NKD107"/>
      <c r="NKE107"/>
      <c r="NKF107"/>
      <c r="NKG107"/>
      <c r="NKH107"/>
      <c r="NKI107"/>
      <c r="NKJ107"/>
      <c r="NKK107"/>
      <c r="NKL107"/>
      <c r="NKM107"/>
      <c r="NKN107"/>
      <c r="NKO107"/>
      <c r="NKP107"/>
      <c r="NKQ107"/>
      <c r="NKR107"/>
      <c r="NKS107"/>
      <c r="NKT107"/>
      <c r="NKU107"/>
      <c r="NKV107"/>
      <c r="NKW107"/>
      <c r="NKX107"/>
      <c r="NKY107"/>
      <c r="NKZ107"/>
      <c r="NLA107"/>
      <c r="NLB107"/>
      <c r="NLC107"/>
      <c r="NLD107"/>
      <c r="NLE107"/>
      <c r="NLF107"/>
      <c r="NLG107"/>
      <c r="NLH107"/>
      <c r="NLI107"/>
      <c r="NLJ107"/>
      <c r="NLK107"/>
      <c r="NLL107"/>
      <c r="NLM107"/>
      <c r="NLN107"/>
      <c r="NLO107"/>
      <c r="NLP107"/>
      <c r="NLQ107"/>
      <c r="NLR107"/>
      <c r="NLS107"/>
      <c r="NLT107"/>
      <c r="NLU107"/>
      <c r="NLV107"/>
      <c r="NLW107"/>
      <c r="NLX107"/>
      <c r="NLY107"/>
      <c r="NLZ107"/>
      <c r="NMA107"/>
      <c r="NMB107"/>
      <c r="NMC107"/>
      <c r="NMD107"/>
      <c r="NME107"/>
      <c r="NMF107"/>
      <c r="NMG107"/>
      <c r="NMH107"/>
      <c r="NMI107"/>
      <c r="NMJ107"/>
      <c r="NMK107"/>
      <c r="NML107"/>
      <c r="NMM107"/>
      <c r="NMN107"/>
      <c r="NMO107"/>
      <c r="NMP107"/>
      <c r="NMQ107"/>
      <c r="NMR107"/>
      <c r="NMS107"/>
      <c r="NMT107"/>
      <c r="NMU107"/>
      <c r="NMV107"/>
      <c r="NMW107"/>
      <c r="NMX107"/>
      <c r="NMY107"/>
      <c r="NMZ107"/>
      <c r="NNA107"/>
      <c r="NNB107"/>
      <c r="NNC107"/>
      <c r="NND107"/>
      <c r="NNE107"/>
      <c r="NNF107"/>
      <c r="NNG107"/>
      <c r="NNH107"/>
      <c r="NNI107"/>
      <c r="NNJ107"/>
      <c r="NNK107"/>
      <c r="NNL107"/>
      <c r="NNM107"/>
      <c r="NNN107"/>
      <c r="NNO107"/>
      <c r="NNP107"/>
      <c r="NNQ107"/>
      <c r="NNR107"/>
      <c r="NNS107"/>
      <c r="NNT107"/>
      <c r="NNU107"/>
      <c r="NNV107"/>
      <c r="NNW107"/>
      <c r="NNX107"/>
      <c r="NNY107"/>
      <c r="NNZ107"/>
      <c r="NOA107"/>
      <c r="NOB107"/>
      <c r="NOC107"/>
      <c r="NOD107"/>
      <c r="NOE107"/>
      <c r="NOF107"/>
      <c r="NOG107"/>
      <c r="NOH107"/>
      <c r="NOI107"/>
      <c r="NOJ107"/>
      <c r="NOK107"/>
      <c r="NOL107"/>
      <c r="NOM107"/>
      <c r="NON107"/>
      <c r="NOO107"/>
      <c r="NOP107"/>
      <c r="NOQ107"/>
      <c r="NOR107"/>
      <c r="NOS107"/>
      <c r="NOT107"/>
      <c r="NOU107"/>
      <c r="NOV107"/>
      <c r="NOW107"/>
      <c r="NOX107"/>
      <c r="NOY107"/>
      <c r="NOZ107"/>
      <c r="NPA107"/>
      <c r="NPB107"/>
      <c r="NPC107"/>
      <c r="NPD107"/>
      <c r="NPE107"/>
      <c r="NPF107"/>
      <c r="NPG107"/>
      <c r="NPH107"/>
      <c r="NPI107"/>
      <c r="NPJ107"/>
      <c r="NPK107"/>
      <c r="NPL107"/>
      <c r="NPM107"/>
      <c r="NPN107"/>
      <c r="NPO107"/>
      <c r="NPP107"/>
      <c r="NPQ107"/>
      <c r="NPR107"/>
      <c r="NPS107"/>
      <c r="NPT107"/>
      <c r="NPU107"/>
      <c r="NPV107"/>
      <c r="NPW107"/>
      <c r="NPX107"/>
      <c r="NPY107"/>
      <c r="NPZ107"/>
      <c r="NQA107"/>
      <c r="NQB107"/>
      <c r="NQC107"/>
      <c r="NQD107"/>
      <c r="NQE107"/>
      <c r="NQF107"/>
      <c r="NQG107"/>
      <c r="NQH107"/>
      <c r="NQI107"/>
      <c r="NQJ107"/>
      <c r="NQK107"/>
      <c r="NQL107"/>
      <c r="NQM107"/>
      <c r="NQN107"/>
      <c r="NQO107"/>
      <c r="NQP107"/>
      <c r="NQQ107"/>
      <c r="NQR107"/>
      <c r="NQS107"/>
      <c r="NQT107"/>
      <c r="NQU107"/>
      <c r="NQV107"/>
      <c r="NQW107"/>
      <c r="NQX107"/>
      <c r="NQY107"/>
      <c r="NQZ107"/>
      <c r="NRA107"/>
      <c r="NRB107"/>
      <c r="NRC107"/>
      <c r="NRD107"/>
      <c r="NRE107"/>
      <c r="NRF107"/>
      <c r="NRG107"/>
      <c r="NRH107"/>
      <c r="NRI107"/>
      <c r="NRJ107"/>
      <c r="NRK107"/>
      <c r="NRL107"/>
      <c r="NRM107"/>
      <c r="NRN107"/>
      <c r="NRO107"/>
      <c r="NRP107"/>
      <c r="NRQ107"/>
      <c r="NRR107"/>
      <c r="NRS107"/>
      <c r="NRT107"/>
      <c r="NRU107"/>
      <c r="NRV107"/>
      <c r="NRW107"/>
      <c r="NRX107"/>
      <c r="NRY107"/>
      <c r="NRZ107"/>
      <c r="NSA107"/>
      <c r="NSB107"/>
      <c r="NSC107"/>
      <c r="NSD107"/>
      <c r="NSE107"/>
      <c r="NSF107"/>
      <c r="NSG107"/>
      <c r="NSH107"/>
      <c r="NSI107"/>
      <c r="NSJ107"/>
      <c r="NSK107"/>
      <c r="NSL107"/>
      <c r="NSM107"/>
      <c r="NSN107"/>
      <c r="NSO107"/>
      <c r="NSP107"/>
      <c r="NSQ107"/>
      <c r="NSR107"/>
      <c r="NSS107"/>
      <c r="NST107"/>
      <c r="NSU107"/>
      <c r="NSV107"/>
      <c r="NSW107"/>
      <c r="NSX107"/>
      <c r="NSY107"/>
      <c r="NSZ107"/>
      <c r="NTA107"/>
      <c r="NTB107"/>
      <c r="NTC107"/>
      <c r="NTD107"/>
      <c r="NTE107"/>
      <c r="NTF107"/>
      <c r="NTG107"/>
      <c r="NTH107"/>
      <c r="NTI107"/>
      <c r="NTJ107"/>
      <c r="NTK107"/>
      <c r="NTL107"/>
      <c r="NTM107"/>
      <c r="NTN107"/>
      <c r="NTO107"/>
      <c r="NTP107"/>
      <c r="NTQ107"/>
      <c r="NTR107"/>
      <c r="NTS107"/>
      <c r="NTT107"/>
      <c r="NTU107"/>
      <c r="NTV107"/>
      <c r="NTW107"/>
      <c r="NTX107"/>
      <c r="NTY107"/>
      <c r="NTZ107"/>
      <c r="NUA107"/>
      <c r="NUB107"/>
      <c r="NUC107"/>
      <c r="NUD107"/>
      <c r="NUE107"/>
      <c r="NUF107"/>
      <c r="NUG107"/>
      <c r="NUH107"/>
      <c r="NUI107"/>
      <c r="NUJ107"/>
      <c r="NUK107"/>
      <c r="NUL107"/>
      <c r="NUM107"/>
      <c r="NUN107"/>
      <c r="NUO107"/>
      <c r="NUP107"/>
      <c r="NUQ107"/>
      <c r="NUR107"/>
      <c r="NUS107"/>
      <c r="NUT107"/>
      <c r="NUU107"/>
      <c r="NUV107"/>
      <c r="NUW107"/>
      <c r="NUX107"/>
      <c r="NUY107"/>
      <c r="NUZ107"/>
      <c r="NVA107"/>
      <c r="NVB107"/>
      <c r="NVC107"/>
      <c r="NVD107"/>
      <c r="NVE107"/>
      <c r="NVF107"/>
      <c r="NVG107"/>
      <c r="NVH107"/>
      <c r="NVI107"/>
      <c r="NVJ107"/>
      <c r="NVK107"/>
      <c r="NVL107"/>
      <c r="NVM107"/>
      <c r="NVN107"/>
      <c r="NVO107"/>
      <c r="NVP107"/>
      <c r="NVQ107"/>
      <c r="NVR107"/>
      <c r="NVS107"/>
      <c r="NVT107"/>
      <c r="NVU107"/>
      <c r="NVV107"/>
      <c r="NVW107"/>
      <c r="NVX107"/>
      <c r="NVY107"/>
      <c r="NVZ107"/>
      <c r="NWA107"/>
      <c r="NWB107"/>
      <c r="NWC107"/>
      <c r="NWD107"/>
      <c r="NWE107"/>
      <c r="NWF107"/>
      <c r="NWG107"/>
      <c r="NWH107"/>
      <c r="NWI107"/>
      <c r="NWJ107"/>
      <c r="NWK107"/>
      <c r="NWL107"/>
      <c r="NWM107"/>
      <c r="NWN107"/>
      <c r="NWO107"/>
      <c r="NWP107"/>
      <c r="NWQ107"/>
      <c r="NWR107"/>
      <c r="NWS107"/>
      <c r="NWT107"/>
      <c r="NWU107"/>
      <c r="NWV107"/>
      <c r="NWW107"/>
      <c r="NWX107"/>
      <c r="NWY107"/>
      <c r="NWZ107"/>
      <c r="NXA107"/>
      <c r="NXB107"/>
      <c r="NXC107"/>
      <c r="NXD107"/>
      <c r="NXE107"/>
      <c r="NXF107"/>
      <c r="NXG107"/>
      <c r="NXH107"/>
      <c r="NXI107"/>
      <c r="NXJ107"/>
      <c r="NXK107"/>
      <c r="NXL107"/>
      <c r="NXM107"/>
      <c r="NXN107"/>
      <c r="NXO107"/>
      <c r="NXP107"/>
      <c r="NXQ107"/>
      <c r="NXR107"/>
      <c r="NXS107"/>
      <c r="NXT107"/>
      <c r="NXU107"/>
      <c r="NXV107"/>
      <c r="NXW107"/>
      <c r="NXX107"/>
      <c r="NXY107"/>
      <c r="NXZ107"/>
      <c r="NYA107"/>
      <c r="NYB107"/>
      <c r="NYC107"/>
      <c r="NYD107"/>
      <c r="NYE107"/>
      <c r="NYF107"/>
      <c r="NYG107"/>
      <c r="NYH107"/>
      <c r="NYI107"/>
      <c r="NYJ107"/>
      <c r="NYK107"/>
      <c r="NYL107"/>
      <c r="NYM107"/>
      <c r="NYN107"/>
      <c r="NYO107"/>
      <c r="NYP107"/>
      <c r="NYQ107"/>
      <c r="NYR107"/>
      <c r="NYS107"/>
      <c r="NYT107"/>
      <c r="NYU107"/>
      <c r="NYV107"/>
      <c r="NYW107"/>
      <c r="NYX107"/>
      <c r="NYY107"/>
      <c r="NYZ107"/>
      <c r="NZA107"/>
      <c r="NZB107"/>
      <c r="NZC107"/>
      <c r="NZD107"/>
      <c r="NZE107"/>
      <c r="NZF107"/>
      <c r="NZG107"/>
      <c r="NZH107"/>
      <c r="NZI107"/>
      <c r="NZJ107"/>
      <c r="NZK107"/>
      <c r="NZL107"/>
      <c r="NZM107"/>
      <c r="NZN107"/>
      <c r="NZO107"/>
      <c r="NZP107"/>
      <c r="NZQ107"/>
      <c r="NZR107"/>
      <c r="NZS107"/>
      <c r="NZT107"/>
      <c r="NZU107"/>
      <c r="NZV107"/>
      <c r="NZW107"/>
      <c r="NZX107"/>
      <c r="NZY107"/>
      <c r="NZZ107"/>
      <c r="OAA107"/>
      <c r="OAB107"/>
      <c r="OAC107"/>
      <c r="OAD107"/>
      <c r="OAE107"/>
      <c r="OAF107"/>
      <c r="OAG107"/>
      <c r="OAH107"/>
      <c r="OAI107"/>
      <c r="OAJ107"/>
      <c r="OAK107"/>
      <c r="OAL107"/>
      <c r="OAM107"/>
      <c r="OAN107"/>
      <c r="OAO107"/>
      <c r="OAP107"/>
      <c r="OAQ107"/>
      <c r="OAR107"/>
      <c r="OAS107"/>
      <c r="OAT107"/>
      <c r="OAU107"/>
      <c r="OAV107"/>
      <c r="OAW107"/>
      <c r="OAX107"/>
      <c r="OAY107"/>
      <c r="OAZ107"/>
      <c r="OBA107"/>
      <c r="OBB107"/>
      <c r="OBC107"/>
      <c r="OBD107"/>
      <c r="OBE107"/>
      <c r="OBF107"/>
      <c r="OBG107"/>
      <c r="OBH107"/>
      <c r="OBI107"/>
      <c r="OBJ107"/>
      <c r="OBK107"/>
      <c r="OBL107"/>
      <c r="OBM107"/>
      <c r="OBN107"/>
      <c r="OBO107"/>
      <c r="OBP107"/>
      <c r="OBQ107"/>
      <c r="OBR107"/>
      <c r="OBS107"/>
      <c r="OBT107"/>
      <c r="OBU107"/>
      <c r="OBV107"/>
      <c r="OBW107"/>
      <c r="OBX107"/>
      <c r="OBY107"/>
      <c r="OBZ107"/>
      <c r="OCA107"/>
      <c r="OCB107"/>
      <c r="OCC107"/>
      <c r="OCD107"/>
      <c r="OCE107"/>
      <c r="OCF107"/>
      <c r="OCG107"/>
      <c r="OCH107"/>
      <c r="OCI107"/>
      <c r="OCJ107"/>
      <c r="OCK107"/>
      <c r="OCL107"/>
      <c r="OCM107"/>
      <c r="OCN107"/>
      <c r="OCO107"/>
      <c r="OCP107"/>
      <c r="OCQ107"/>
      <c r="OCR107"/>
      <c r="OCS107"/>
      <c r="OCT107"/>
      <c r="OCU107"/>
      <c r="OCV107"/>
      <c r="OCW107"/>
      <c r="OCX107"/>
      <c r="OCY107"/>
      <c r="OCZ107"/>
      <c r="ODA107"/>
      <c r="ODB107"/>
      <c r="ODC107"/>
      <c r="ODD107"/>
      <c r="ODE107"/>
      <c r="ODF107"/>
      <c r="ODG107"/>
      <c r="ODH107"/>
      <c r="ODI107"/>
      <c r="ODJ107"/>
      <c r="ODK107"/>
      <c r="ODL107"/>
      <c r="ODM107"/>
      <c r="ODN107"/>
      <c r="ODO107"/>
      <c r="ODP107"/>
      <c r="ODQ107"/>
      <c r="ODR107"/>
      <c r="ODS107"/>
      <c r="ODT107"/>
      <c r="ODU107"/>
      <c r="ODV107"/>
      <c r="ODW107"/>
      <c r="ODX107"/>
      <c r="ODY107"/>
      <c r="ODZ107"/>
      <c r="OEA107"/>
      <c r="OEB107"/>
      <c r="OEC107"/>
      <c r="OED107"/>
      <c r="OEE107"/>
      <c r="OEF107"/>
      <c r="OEG107"/>
      <c r="OEH107"/>
      <c r="OEI107"/>
      <c r="OEJ107"/>
      <c r="OEK107"/>
      <c r="OEL107"/>
      <c r="OEM107"/>
      <c r="OEN107"/>
      <c r="OEO107"/>
      <c r="OEP107"/>
      <c r="OEQ107"/>
      <c r="OER107"/>
      <c r="OES107"/>
      <c r="OET107"/>
      <c r="OEU107"/>
      <c r="OEV107"/>
      <c r="OEW107"/>
      <c r="OEX107"/>
      <c r="OEY107"/>
      <c r="OEZ107"/>
      <c r="OFA107"/>
      <c r="OFB107"/>
      <c r="OFC107"/>
      <c r="OFD107"/>
      <c r="OFE107"/>
      <c r="OFF107"/>
      <c r="OFG107"/>
      <c r="OFH107"/>
      <c r="OFI107"/>
      <c r="OFJ107"/>
      <c r="OFK107"/>
      <c r="OFL107"/>
      <c r="OFM107"/>
      <c r="OFN107"/>
      <c r="OFO107"/>
      <c r="OFP107"/>
      <c r="OFQ107"/>
      <c r="OFR107"/>
      <c r="OFS107"/>
      <c r="OFT107"/>
      <c r="OFU107"/>
      <c r="OFV107"/>
      <c r="OFW107"/>
      <c r="OFX107"/>
      <c r="OFY107"/>
      <c r="OFZ107"/>
      <c r="OGA107"/>
      <c r="OGB107"/>
      <c r="OGC107"/>
      <c r="OGD107"/>
      <c r="OGE107"/>
      <c r="OGF107"/>
      <c r="OGG107"/>
      <c r="OGH107"/>
      <c r="OGI107"/>
      <c r="OGJ107"/>
      <c r="OGK107"/>
      <c r="OGL107"/>
      <c r="OGM107"/>
      <c r="OGN107"/>
      <c r="OGO107"/>
      <c r="OGP107"/>
      <c r="OGQ107"/>
      <c r="OGR107"/>
      <c r="OGS107"/>
      <c r="OGT107"/>
      <c r="OGU107"/>
      <c r="OGV107"/>
      <c r="OGW107"/>
      <c r="OGX107"/>
      <c r="OGY107"/>
      <c r="OGZ107"/>
      <c r="OHA107"/>
      <c r="OHB107"/>
      <c r="OHC107"/>
      <c r="OHD107"/>
      <c r="OHE107"/>
      <c r="OHF107"/>
      <c r="OHG107"/>
      <c r="OHH107"/>
      <c r="OHI107"/>
      <c r="OHJ107"/>
      <c r="OHK107"/>
      <c r="OHL107"/>
      <c r="OHM107"/>
      <c r="OHN107"/>
      <c r="OHO107"/>
      <c r="OHP107"/>
      <c r="OHQ107"/>
      <c r="OHR107"/>
      <c r="OHS107"/>
      <c r="OHT107"/>
      <c r="OHU107"/>
      <c r="OHV107"/>
      <c r="OHW107"/>
      <c r="OHX107"/>
      <c r="OHY107"/>
      <c r="OHZ107"/>
      <c r="OIA107"/>
      <c r="OIB107"/>
      <c r="OIC107"/>
      <c r="OID107"/>
      <c r="OIE107"/>
      <c r="OIF107"/>
      <c r="OIG107"/>
      <c r="OIH107"/>
      <c r="OII107"/>
      <c r="OIJ107"/>
      <c r="OIK107"/>
      <c r="OIL107"/>
      <c r="OIM107"/>
      <c r="OIN107"/>
      <c r="OIO107"/>
      <c r="OIP107"/>
      <c r="OIQ107"/>
      <c r="OIR107"/>
      <c r="OIS107"/>
      <c r="OIT107"/>
      <c r="OIU107"/>
      <c r="OIV107"/>
      <c r="OIW107"/>
      <c r="OIX107"/>
      <c r="OIY107"/>
      <c r="OIZ107"/>
      <c r="OJA107"/>
      <c r="OJB107"/>
      <c r="OJC107"/>
      <c r="OJD107"/>
      <c r="OJE107"/>
      <c r="OJF107"/>
      <c r="OJG107"/>
      <c r="OJH107"/>
      <c r="OJI107"/>
      <c r="OJJ107"/>
      <c r="OJK107"/>
      <c r="OJL107"/>
      <c r="OJM107"/>
      <c r="OJN107"/>
      <c r="OJO107"/>
      <c r="OJP107"/>
      <c r="OJQ107"/>
      <c r="OJR107"/>
      <c r="OJS107"/>
      <c r="OJT107"/>
      <c r="OJU107"/>
      <c r="OJV107"/>
      <c r="OJW107"/>
      <c r="OJX107"/>
      <c r="OJY107"/>
      <c r="OJZ107"/>
      <c r="OKA107"/>
      <c r="OKB107"/>
      <c r="OKC107"/>
      <c r="OKD107"/>
      <c r="OKE107"/>
      <c r="OKF107"/>
      <c r="OKG107"/>
      <c r="OKH107"/>
      <c r="OKI107"/>
      <c r="OKJ107"/>
      <c r="OKK107"/>
      <c r="OKL107"/>
      <c r="OKM107"/>
      <c r="OKN107"/>
      <c r="OKO107"/>
      <c r="OKP107"/>
      <c r="OKQ107"/>
      <c r="OKR107"/>
      <c r="OKS107"/>
      <c r="OKT107"/>
      <c r="OKU107"/>
      <c r="OKV107"/>
      <c r="OKW107"/>
      <c r="OKX107"/>
      <c r="OKY107"/>
      <c r="OKZ107"/>
      <c r="OLA107"/>
      <c r="OLB107"/>
      <c r="OLC107"/>
      <c r="OLD107"/>
      <c r="OLE107"/>
      <c r="OLF107"/>
      <c r="OLG107"/>
      <c r="OLH107"/>
      <c r="OLI107"/>
      <c r="OLJ107"/>
      <c r="OLK107"/>
      <c r="OLL107"/>
      <c r="OLM107"/>
      <c r="OLN107"/>
      <c r="OLO107"/>
      <c r="OLP107"/>
      <c r="OLQ107"/>
      <c r="OLR107"/>
      <c r="OLS107"/>
      <c r="OLT107"/>
      <c r="OLU107"/>
      <c r="OLV107"/>
      <c r="OLW107"/>
      <c r="OLX107"/>
      <c r="OLY107"/>
      <c r="OLZ107"/>
      <c r="OMA107"/>
      <c r="OMB107"/>
      <c r="OMC107"/>
      <c r="OMD107"/>
      <c r="OME107"/>
      <c r="OMF107"/>
      <c r="OMG107"/>
      <c r="OMH107"/>
      <c r="OMI107"/>
      <c r="OMJ107"/>
      <c r="OMK107"/>
      <c r="OML107"/>
      <c r="OMM107"/>
      <c r="OMN107"/>
      <c r="OMO107"/>
      <c r="OMP107"/>
      <c r="OMQ107"/>
      <c r="OMR107"/>
      <c r="OMS107"/>
      <c r="OMT107"/>
      <c r="OMU107"/>
      <c r="OMV107"/>
      <c r="OMW107"/>
      <c r="OMX107"/>
      <c r="OMY107"/>
      <c r="OMZ107"/>
      <c r="ONA107"/>
      <c r="ONB107"/>
      <c r="ONC107"/>
      <c r="OND107"/>
      <c r="ONE107"/>
      <c r="ONF107"/>
      <c r="ONG107"/>
      <c r="ONH107"/>
      <c r="ONI107"/>
      <c r="ONJ107"/>
      <c r="ONK107"/>
      <c r="ONL107"/>
      <c r="ONM107"/>
      <c r="ONN107"/>
      <c r="ONO107"/>
      <c r="ONP107"/>
      <c r="ONQ107"/>
      <c r="ONR107"/>
      <c r="ONS107"/>
      <c r="ONT107"/>
      <c r="ONU107"/>
      <c r="ONV107"/>
      <c r="ONW107"/>
      <c r="ONX107"/>
      <c r="ONY107"/>
      <c r="ONZ107"/>
      <c r="OOA107"/>
      <c r="OOB107"/>
      <c r="OOC107"/>
      <c r="OOD107"/>
      <c r="OOE107"/>
      <c r="OOF107"/>
      <c r="OOG107"/>
      <c r="OOH107"/>
      <c r="OOI107"/>
      <c r="OOJ107"/>
      <c r="OOK107"/>
      <c r="OOL107"/>
      <c r="OOM107"/>
      <c r="OON107"/>
      <c r="OOO107"/>
      <c r="OOP107"/>
      <c r="OOQ107"/>
      <c r="OOR107"/>
      <c r="OOS107"/>
      <c r="OOT107"/>
      <c r="OOU107"/>
      <c r="OOV107"/>
      <c r="OOW107"/>
      <c r="OOX107"/>
      <c r="OOY107"/>
      <c r="OOZ107"/>
      <c r="OPA107"/>
      <c r="OPB107"/>
      <c r="OPC107"/>
      <c r="OPD107"/>
      <c r="OPE107"/>
      <c r="OPF107"/>
      <c r="OPG107"/>
      <c r="OPH107"/>
      <c r="OPI107"/>
      <c r="OPJ107"/>
      <c r="OPK107"/>
      <c r="OPL107"/>
      <c r="OPM107"/>
      <c r="OPN107"/>
      <c r="OPO107"/>
      <c r="OPP107"/>
      <c r="OPQ107"/>
      <c r="OPR107"/>
      <c r="OPS107"/>
      <c r="OPT107"/>
      <c r="OPU107"/>
      <c r="OPV107"/>
      <c r="OPW107"/>
      <c r="OPX107"/>
      <c r="OPY107"/>
      <c r="OPZ107"/>
      <c r="OQA107"/>
      <c r="OQB107"/>
      <c r="OQC107"/>
      <c r="OQD107"/>
      <c r="OQE107"/>
      <c r="OQF107"/>
      <c r="OQG107"/>
      <c r="OQH107"/>
      <c r="OQI107"/>
      <c r="OQJ107"/>
      <c r="OQK107"/>
      <c r="OQL107"/>
      <c r="OQM107"/>
      <c r="OQN107"/>
      <c r="OQO107"/>
      <c r="OQP107"/>
      <c r="OQQ107"/>
      <c r="OQR107"/>
      <c r="OQS107"/>
      <c r="OQT107"/>
      <c r="OQU107"/>
      <c r="OQV107"/>
      <c r="OQW107"/>
      <c r="OQX107"/>
      <c r="OQY107"/>
      <c r="OQZ107"/>
      <c r="ORA107"/>
      <c r="ORB107"/>
      <c r="ORC107"/>
      <c r="ORD107"/>
      <c r="ORE107"/>
      <c r="ORF107"/>
      <c r="ORG107"/>
      <c r="ORH107"/>
      <c r="ORI107"/>
      <c r="ORJ107"/>
      <c r="ORK107"/>
      <c r="ORL107"/>
      <c r="ORM107"/>
      <c r="ORN107"/>
      <c r="ORO107"/>
      <c r="ORP107"/>
      <c r="ORQ107"/>
      <c r="ORR107"/>
      <c r="ORS107"/>
      <c r="ORT107"/>
      <c r="ORU107"/>
      <c r="ORV107"/>
      <c r="ORW107"/>
      <c r="ORX107"/>
      <c r="ORY107"/>
      <c r="ORZ107"/>
      <c r="OSA107"/>
      <c r="OSB107"/>
      <c r="OSC107"/>
      <c r="OSD107"/>
      <c r="OSE107"/>
      <c r="OSF107"/>
      <c r="OSG107"/>
      <c r="OSH107"/>
      <c r="OSI107"/>
      <c r="OSJ107"/>
      <c r="OSK107"/>
      <c r="OSL107"/>
      <c r="OSM107"/>
      <c r="OSN107"/>
      <c r="OSO107"/>
      <c r="OSP107"/>
      <c r="OSQ107"/>
      <c r="OSR107"/>
      <c r="OSS107"/>
      <c r="OST107"/>
      <c r="OSU107"/>
      <c r="OSV107"/>
      <c r="OSW107"/>
      <c r="OSX107"/>
      <c r="OSY107"/>
      <c r="OSZ107"/>
      <c r="OTA107"/>
      <c r="OTB107"/>
      <c r="OTC107"/>
      <c r="OTD107"/>
      <c r="OTE107"/>
      <c r="OTF107"/>
      <c r="OTG107"/>
      <c r="OTH107"/>
      <c r="OTI107"/>
      <c r="OTJ107"/>
      <c r="OTK107"/>
      <c r="OTL107"/>
      <c r="OTM107"/>
      <c r="OTN107"/>
      <c r="OTO107"/>
      <c r="OTP107"/>
      <c r="OTQ107"/>
      <c r="OTR107"/>
      <c r="OTS107"/>
      <c r="OTT107"/>
      <c r="OTU107"/>
      <c r="OTV107"/>
      <c r="OTW107"/>
      <c r="OTX107"/>
      <c r="OTY107"/>
      <c r="OTZ107"/>
      <c r="OUA107"/>
      <c r="OUB107"/>
      <c r="OUC107"/>
      <c r="OUD107"/>
      <c r="OUE107"/>
      <c r="OUF107"/>
      <c r="OUG107"/>
      <c r="OUH107"/>
      <c r="OUI107"/>
      <c r="OUJ107"/>
      <c r="OUK107"/>
      <c r="OUL107"/>
      <c r="OUM107"/>
      <c r="OUN107"/>
      <c r="OUO107"/>
      <c r="OUP107"/>
      <c r="OUQ107"/>
      <c r="OUR107"/>
      <c r="OUS107"/>
      <c r="OUT107"/>
      <c r="OUU107"/>
      <c r="OUV107"/>
      <c r="OUW107"/>
      <c r="OUX107"/>
      <c r="OUY107"/>
      <c r="OUZ107"/>
      <c r="OVA107"/>
      <c r="OVB107"/>
      <c r="OVC107"/>
      <c r="OVD107"/>
      <c r="OVE107"/>
      <c r="OVF107"/>
      <c r="OVG107"/>
      <c r="OVH107"/>
      <c r="OVI107"/>
      <c r="OVJ107"/>
      <c r="OVK107"/>
      <c r="OVL107"/>
      <c r="OVM107"/>
      <c r="OVN107"/>
      <c r="OVO107"/>
      <c r="OVP107"/>
      <c r="OVQ107"/>
      <c r="OVR107"/>
      <c r="OVS107"/>
      <c r="OVT107"/>
      <c r="OVU107"/>
      <c r="OVV107"/>
      <c r="OVW107"/>
      <c r="OVX107"/>
      <c r="OVY107"/>
      <c r="OVZ107"/>
      <c r="OWA107"/>
      <c r="OWB107"/>
      <c r="OWC107"/>
      <c r="OWD107"/>
      <c r="OWE107"/>
      <c r="OWF107"/>
      <c r="OWG107"/>
      <c r="OWH107"/>
      <c r="OWI107"/>
      <c r="OWJ107"/>
      <c r="OWK107"/>
      <c r="OWL107"/>
      <c r="OWM107"/>
      <c r="OWN107"/>
      <c r="OWO107"/>
      <c r="OWP107"/>
      <c r="OWQ107"/>
      <c r="OWR107"/>
      <c r="OWS107"/>
      <c r="OWT107"/>
      <c r="OWU107"/>
      <c r="OWV107"/>
      <c r="OWW107"/>
      <c r="OWX107"/>
      <c r="OWY107"/>
      <c r="OWZ107"/>
      <c r="OXA107"/>
      <c r="OXB107"/>
      <c r="OXC107"/>
      <c r="OXD107"/>
      <c r="OXE107"/>
      <c r="OXF107"/>
      <c r="OXG107"/>
      <c r="OXH107"/>
      <c r="OXI107"/>
      <c r="OXJ107"/>
      <c r="OXK107"/>
      <c r="OXL107"/>
      <c r="OXM107"/>
      <c r="OXN107"/>
      <c r="OXO107"/>
      <c r="OXP107"/>
      <c r="OXQ107"/>
      <c r="OXR107"/>
      <c r="OXS107"/>
      <c r="OXT107"/>
      <c r="OXU107"/>
      <c r="OXV107"/>
      <c r="OXW107"/>
      <c r="OXX107"/>
      <c r="OXY107"/>
      <c r="OXZ107"/>
      <c r="OYA107"/>
      <c r="OYB107"/>
      <c r="OYC107"/>
      <c r="OYD107"/>
      <c r="OYE107"/>
      <c r="OYF107"/>
      <c r="OYG107"/>
      <c r="OYH107"/>
      <c r="OYI107"/>
      <c r="OYJ107"/>
      <c r="OYK107"/>
      <c r="OYL107"/>
      <c r="OYM107"/>
      <c r="OYN107"/>
      <c r="OYO107"/>
      <c r="OYP107"/>
      <c r="OYQ107"/>
      <c r="OYR107"/>
      <c r="OYS107"/>
      <c r="OYT107"/>
      <c r="OYU107"/>
      <c r="OYV107"/>
      <c r="OYW107"/>
      <c r="OYX107"/>
      <c r="OYY107"/>
      <c r="OYZ107"/>
      <c r="OZA107"/>
      <c r="OZB107"/>
      <c r="OZC107"/>
      <c r="OZD107"/>
      <c r="OZE107"/>
      <c r="OZF107"/>
      <c r="OZG107"/>
      <c r="OZH107"/>
      <c r="OZI107"/>
      <c r="OZJ107"/>
      <c r="OZK107"/>
      <c r="OZL107"/>
      <c r="OZM107"/>
      <c r="OZN107"/>
      <c r="OZO107"/>
      <c r="OZP107"/>
      <c r="OZQ107"/>
      <c r="OZR107"/>
      <c r="OZS107"/>
      <c r="OZT107"/>
      <c r="OZU107"/>
      <c r="OZV107"/>
      <c r="OZW107"/>
      <c r="OZX107"/>
      <c r="OZY107"/>
      <c r="OZZ107"/>
      <c r="PAA107"/>
      <c r="PAB107"/>
      <c r="PAC107"/>
      <c r="PAD107"/>
      <c r="PAE107"/>
      <c r="PAF107"/>
      <c r="PAG107"/>
      <c r="PAH107"/>
      <c r="PAI107"/>
      <c r="PAJ107"/>
      <c r="PAK107"/>
      <c r="PAL107"/>
      <c r="PAM107"/>
      <c r="PAN107"/>
      <c r="PAO107"/>
      <c r="PAP107"/>
      <c r="PAQ107"/>
      <c r="PAR107"/>
      <c r="PAS107"/>
      <c r="PAT107"/>
      <c r="PAU107"/>
      <c r="PAV107"/>
      <c r="PAW107"/>
      <c r="PAX107"/>
      <c r="PAY107"/>
      <c r="PAZ107"/>
      <c r="PBA107"/>
      <c r="PBB107"/>
      <c r="PBC107"/>
      <c r="PBD107"/>
      <c r="PBE107"/>
      <c r="PBF107"/>
      <c r="PBG107"/>
      <c r="PBH107"/>
      <c r="PBI107"/>
      <c r="PBJ107"/>
      <c r="PBK107"/>
      <c r="PBL107"/>
      <c r="PBM107"/>
      <c r="PBN107"/>
      <c r="PBO107"/>
      <c r="PBP107"/>
      <c r="PBQ107"/>
      <c r="PBR107"/>
      <c r="PBS107"/>
      <c r="PBT107"/>
      <c r="PBU107"/>
      <c r="PBV107"/>
      <c r="PBW107"/>
      <c r="PBX107"/>
      <c r="PBY107"/>
      <c r="PBZ107"/>
      <c r="PCA107"/>
      <c r="PCB107"/>
      <c r="PCC107"/>
      <c r="PCD107"/>
      <c r="PCE107"/>
      <c r="PCF107"/>
      <c r="PCG107"/>
      <c r="PCH107"/>
      <c r="PCI107"/>
      <c r="PCJ107"/>
      <c r="PCK107"/>
      <c r="PCL107"/>
      <c r="PCM107"/>
      <c r="PCN107"/>
      <c r="PCO107"/>
      <c r="PCP107"/>
      <c r="PCQ107"/>
      <c r="PCR107"/>
      <c r="PCS107"/>
      <c r="PCT107"/>
      <c r="PCU107"/>
      <c r="PCV107"/>
      <c r="PCW107"/>
      <c r="PCX107"/>
      <c r="PCY107"/>
      <c r="PCZ107"/>
      <c r="PDA107"/>
      <c r="PDB107"/>
      <c r="PDC107"/>
      <c r="PDD107"/>
      <c r="PDE107"/>
      <c r="PDF107"/>
      <c r="PDG107"/>
      <c r="PDH107"/>
      <c r="PDI107"/>
      <c r="PDJ107"/>
      <c r="PDK107"/>
      <c r="PDL107"/>
      <c r="PDM107"/>
      <c r="PDN107"/>
      <c r="PDO107"/>
      <c r="PDP107"/>
      <c r="PDQ107"/>
      <c r="PDR107"/>
      <c r="PDS107"/>
      <c r="PDT107"/>
      <c r="PDU107"/>
      <c r="PDV107"/>
      <c r="PDW107"/>
      <c r="PDX107"/>
      <c r="PDY107"/>
      <c r="PDZ107"/>
      <c r="PEA107"/>
      <c r="PEB107"/>
      <c r="PEC107"/>
      <c r="PED107"/>
      <c r="PEE107"/>
      <c r="PEF107"/>
      <c r="PEG107"/>
      <c r="PEH107"/>
      <c r="PEI107"/>
      <c r="PEJ107"/>
      <c r="PEK107"/>
      <c r="PEL107"/>
      <c r="PEM107"/>
      <c r="PEN107"/>
      <c r="PEO107"/>
      <c r="PEP107"/>
      <c r="PEQ107"/>
      <c r="PER107"/>
      <c r="PES107"/>
      <c r="PET107"/>
      <c r="PEU107"/>
      <c r="PEV107"/>
      <c r="PEW107"/>
      <c r="PEX107"/>
      <c r="PEY107"/>
      <c r="PEZ107"/>
      <c r="PFA107"/>
      <c r="PFB107"/>
      <c r="PFC107"/>
      <c r="PFD107"/>
      <c r="PFE107"/>
      <c r="PFF107"/>
      <c r="PFG107"/>
      <c r="PFH107"/>
      <c r="PFI107"/>
      <c r="PFJ107"/>
      <c r="PFK107"/>
      <c r="PFL107"/>
      <c r="PFM107"/>
      <c r="PFN107"/>
      <c r="PFO107"/>
      <c r="PFP107"/>
      <c r="PFQ107"/>
      <c r="PFR107"/>
      <c r="PFS107"/>
      <c r="PFT107"/>
      <c r="PFU107"/>
      <c r="PFV107"/>
      <c r="PFW107"/>
      <c r="PFX107"/>
      <c r="PFY107"/>
      <c r="PFZ107"/>
      <c r="PGA107"/>
      <c r="PGB107"/>
      <c r="PGC107"/>
      <c r="PGD107"/>
      <c r="PGE107"/>
      <c r="PGF107"/>
      <c r="PGG107"/>
      <c r="PGH107"/>
      <c r="PGI107"/>
      <c r="PGJ107"/>
      <c r="PGK107"/>
      <c r="PGL107"/>
      <c r="PGM107"/>
      <c r="PGN107"/>
      <c r="PGO107"/>
      <c r="PGP107"/>
      <c r="PGQ107"/>
      <c r="PGR107"/>
      <c r="PGS107"/>
      <c r="PGT107"/>
      <c r="PGU107"/>
      <c r="PGV107"/>
      <c r="PGW107"/>
      <c r="PGX107"/>
      <c r="PGY107"/>
      <c r="PGZ107"/>
      <c r="PHA107"/>
      <c r="PHB107"/>
      <c r="PHC107"/>
      <c r="PHD107"/>
      <c r="PHE107"/>
      <c r="PHF107"/>
      <c r="PHG107"/>
      <c r="PHH107"/>
      <c r="PHI107"/>
      <c r="PHJ107"/>
      <c r="PHK107"/>
      <c r="PHL107"/>
      <c r="PHM107"/>
      <c r="PHN107"/>
      <c r="PHO107"/>
      <c r="PHP107"/>
      <c r="PHQ107"/>
      <c r="PHR107"/>
      <c r="PHS107"/>
      <c r="PHT107"/>
      <c r="PHU107"/>
      <c r="PHV107"/>
      <c r="PHW107"/>
      <c r="PHX107"/>
      <c r="PHY107"/>
      <c r="PHZ107"/>
      <c r="PIA107"/>
      <c r="PIB107"/>
      <c r="PIC107"/>
      <c r="PID107"/>
      <c r="PIE107"/>
      <c r="PIF107"/>
      <c r="PIG107"/>
      <c r="PIH107"/>
      <c r="PII107"/>
      <c r="PIJ107"/>
      <c r="PIK107"/>
      <c r="PIL107"/>
      <c r="PIM107"/>
      <c r="PIN107"/>
      <c r="PIO107"/>
      <c r="PIP107"/>
      <c r="PIQ107"/>
      <c r="PIR107"/>
      <c r="PIS107"/>
      <c r="PIT107"/>
      <c r="PIU107"/>
      <c r="PIV107"/>
      <c r="PIW107"/>
      <c r="PIX107"/>
      <c r="PIY107"/>
      <c r="PIZ107"/>
      <c r="PJA107"/>
      <c r="PJB107"/>
      <c r="PJC107"/>
      <c r="PJD107"/>
      <c r="PJE107"/>
      <c r="PJF107"/>
      <c r="PJG107"/>
      <c r="PJH107"/>
      <c r="PJI107"/>
      <c r="PJJ107"/>
      <c r="PJK107"/>
      <c r="PJL107"/>
      <c r="PJM107"/>
      <c r="PJN107"/>
      <c r="PJO107"/>
      <c r="PJP107"/>
      <c r="PJQ107"/>
      <c r="PJR107"/>
      <c r="PJS107"/>
      <c r="PJT107"/>
      <c r="PJU107"/>
      <c r="PJV107"/>
      <c r="PJW107"/>
      <c r="PJX107"/>
      <c r="PJY107"/>
      <c r="PJZ107"/>
      <c r="PKA107"/>
      <c r="PKB107"/>
      <c r="PKC107"/>
      <c r="PKD107"/>
      <c r="PKE107"/>
      <c r="PKF107"/>
      <c r="PKG107"/>
      <c r="PKH107"/>
      <c r="PKI107"/>
      <c r="PKJ107"/>
      <c r="PKK107"/>
      <c r="PKL107"/>
      <c r="PKM107"/>
      <c r="PKN107"/>
      <c r="PKO107"/>
      <c r="PKP107"/>
      <c r="PKQ107"/>
      <c r="PKR107"/>
      <c r="PKS107"/>
      <c r="PKT107"/>
      <c r="PKU107"/>
      <c r="PKV107"/>
      <c r="PKW107"/>
      <c r="PKX107"/>
      <c r="PKY107"/>
      <c r="PKZ107"/>
      <c r="PLA107"/>
      <c r="PLB107"/>
      <c r="PLC107"/>
      <c r="PLD107"/>
      <c r="PLE107"/>
      <c r="PLF107"/>
      <c r="PLG107"/>
      <c r="PLH107"/>
      <c r="PLI107"/>
      <c r="PLJ107"/>
      <c r="PLK107"/>
      <c r="PLL107"/>
      <c r="PLM107"/>
      <c r="PLN107"/>
      <c r="PLO107"/>
      <c r="PLP107"/>
      <c r="PLQ107"/>
      <c r="PLR107"/>
      <c r="PLS107"/>
      <c r="PLT107"/>
      <c r="PLU107"/>
      <c r="PLV107"/>
      <c r="PLW107"/>
      <c r="PLX107"/>
      <c r="PLY107"/>
      <c r="PLZ107"/>
      <c r="PMA107"/>
      <c r="PMB107"/>
      <c r="PMC107"/>
      <c r="PMD107"/>
      <c r="PME107"/>
      <c r="PMF107"/>
      <c r="PMG107"/>
      <c r="PMH107"/>
      <c r="PMI107"/>
      <c r="PMJ107"/>
      <c r="PMK107"/>
      <c r="PML107"/>
      <c r="PMM107"/>
      <c r="PMN107"/>
      <c r="PMO107"/>
      <c r="PMP107"/>
      <c r="PMQ107"/>
      <c r="PMR107"/>
      <c r="PMS107"/>
      <c r="PMT107"/>
      <c r="PMU107"/>
      <c r="PMV107"/>
      <c r="PMW107"/>
      <c r="PMX107"/>
      <c r="PMY107"/>
      <c r="PMZ107"/>
      <c r="PNA107"/>
      <c r="PNB107"/>
      <c r="PNC107"/>
      <c r="PND107"/>
      <c r="PNE107"/>
      <c r="PNF107"/>
      <c r="PNG107"/>
      <c r="PNH107"/>
      <c r="PNI107"/>
      <c r="PNJ107"/>
      <c r="PNK107"/>
      <c r="PNL107"/>
      <c r="PNM107"/>
      <c r="PNN107"/>
      <c r="PNO107"/>
      <c r="PNP107"/>
      <c r="PNQ107"/>
      <c r="PNR107"/>
      <c r="PNS107"/>
      <c r="PNT107"/>
      <c r="PNU107"/>
      <c r="PNV107"/>
      <c r="PNW107"/>
      <c r="PNX107"/>
      <c r="PNY107"/>
      <c r="PNZ107"/>
      <c r="POA107"/>
      <c r="POB107"/>
      <c r="POC107"/>
      <c r="POD107"/>
      <c r="POE107"/>
      <c r="POF107"/>
      <c r="POG107"/>
      <c r="POH107"/>
      <c r="POI107"/>
      <c r="POJ107"/>
      <c r="POK107"/>
      <c r="POL107"/>
      <c r="POM107"/>
      <c r="PON107"/>
      <c r="POO107"/>
      <c r="POP107"/>
      <c r="POQ107"/>
      <c r="POR107"/>
      <c r="POS107"/>
      <c r="POT107"/>
      <c r="POU107"/>
      <c r="POV107"/>
      <c r="POW107"/>
      <c r="POX107"/>
      <c r="POY107"/>
      <c r="POZ107"/>
      <c r="PPA107"/>
      <c r="PPB107"/>
      <c r="PPC107"/>
      <c r="PPD107"/>
      <c r="PPE107"/>
      <c r="PPF107"/>
      <c r="PPG107"/>
      <c r="PPH107"/>
      <c r="PPI107"/>
      <c r="PPJ107"/>
      <c r="PPK107"/>
      <c r="PPL107"/>
      <c r="PPM107"/>
      <c r="PPN107"/>
      <c r="PPO107"/>
      <c r="PPP107"/>
      <c r="PPQ107"/>
      <c r="PPR107"/>
      <c r="PPS107"/>
      <c r="PPT107"/>
      <c r="PPU107"/>
      <c r="PPV107"/>
      <c r="PPW107"/>
      <c r="PPX107"/>
      <c r="PPY107"/>
      <c r="PPZ107"/>
      <c r="PQA107"/>
      <c r="PQB107"/>
      <c r="PQC107"/>
      <c r="PQD107"/>
      <c r="PQE107"/>
      <c r="PQF107"/>
      <c r="PQG107"/>
      <c r="PQH107"/>
      <c r="PQI107"/>
      <c r="PQJ107"/>
      <c r="PQK107"/>
      <c r="PQL107"/>
      <c r="PQM107"/>
      <c r="PQN107"/>
      <c r="PQO107"/>
      <c r="PQP107"/>
      <c r="PQQ107"/>
      <c r="PQR107"/>
      <c r="PQS107"/>
      <c r="PQT107"/>
      <c r="PQU107"/>
      <c r="PQV107"/>
      <c r="PQW107"/>
      <c r="PQX107"/>
      <c r="PQY107"/>
      <c r="PQZ107"/>
      <c r="PRA107"/>
      <c r="PRB107"/>
      <c r="PRC107"/>
      <c r="PRD107"/>
      <c r="PRE107"/>
      <c r="PRF107"/>
      <c r="PRG107"/>
      <c r="PRH107"/>
      <c r="PRI107"/>
      <c r="PRJ107"/>
      <c r="PRK107"/>
      <c r="PRL107"/>
      <c r="PRM107"/>
      <c r="PRN107"/>
      <c r="PRO107"/>
      <c r="PRP107"/>
      <c r="PRQ107"/>
      <c r="PRR107"/>
      <c r="PRS107"/>
      <c r="PRT107"/>
      <c r="PRU107"/>
      <c r="PRV107"/>
      <c r="PRW107"/>
      <c r="PRX107"/>
      <c r="PRY107"/>
      <c r="PRZ107"/>
      <c r="PSA107"/>
      <c r="PSB107"/>
      <c r="PSC107"/>
      <c r="PSD107"/>
      <c r="PSE107"/>
      <c r="PSF107"/>
      <c r="PSG107"/>
      <c r="PSH107"/>
      <c r="PSI107"/>
      <c r="PSJ107"/>
      <c r="PSK107"/>
      <c r="PSL107"/>
      <c r="PSM107"/>
      <c r="PSN107"/>
      <c r="PSO107"/>
      <c r="PSP107"/>
      <c r="PSQ107"/>
      <c r="PSR107"/>
      <c r="PSS107"/>
      <c r="PST107"/>
      <c r="PSU107"/>
      <c r="PSV107"/>
      <c r="PSW107"/>
      <c r="PSX107"/>
      <c r="PSY107"/>
      <c r="PSZ107"/>
      <c r="PTA107"/>
      <c r="PTB107"/>
      <c r="PTC107"/>
      <c r="PTD107"/>
      <c r="PTE107"/>
      <c r="PTF107"/>
      <c r="PTG107"/>
      <c r="PTH107"/>
      <c r="PTI107"/>
      <c r="PTJ107"/>
      <c r="PTK107"/>
      <c r="PTL107"/>
      <c r="PTM107"/>
      <c r="PTN107"/>
      <c r="PTO107"/>
      <c r="PTP107"/>
      <c r="PTQ107"/>
      <c r="PTR107"/>
      <c r="PTS107"/>
      <c r="PTT107"/>
      <c r="PTU107"/>
      <c r="PTV107"/>
      <c r="PTW107"/>
      <c r="PTX107"/>
      <c r="PTY107"/>
      <c r="PTZ107"/>
      <c r="PUA107"/>
      <c r="PUB107"/>
      <c r="PUC107"/>
      <c r="PUD107"/>
      <c r="PUE107"/>
      <c r="PUF107"/>
      <c r="PUG107"/>
      <c r="PUH107"/>
      <c r="PUI107"/>
      <c r="PUJ107"/>
      <c r="PUK107"/>
      <c r="PUL107"/>
      <c r="PUM107"/>
      <c r="PUN107"/>
      <c r="PUO107"/>
      <c r="PUP107"/>
      <c r="PUQ107"/>
      <c r="PUR107"/>
      <c r="PUS107"/>
      <c r="PUT107"/>
      <c r="PUU107"/>
      <c r="PUV107"/>
      <c r="PUW107"/>
      <c r="PUX107"/>
      <c r="PUY107"/>
      <c r="PUZ107"/>
      <c r="PVA107"/>
      <c r="PVB107"/>
      <c r="PVC107"/>
      <c r="PVD107"/>
      <c r="PVE107"/>
      <c r="PVF107"/>
      <c r="PVG107"/>
      <c r="PVH107"/>
      <c r="PVI107"/>
      <c r="PVJ107"/>
      <c r="PVK107"/>
      <c r="PVL107"/>
      <c r="PVM107"/>
      <c r="PVN107"/>
      <c r="PVO107"/>
      <c r="PVP107"/>
      <c r="PVQ107"/>
      <c r="PVR107"/>
      <c r="PVS107"/>
      <c r="PVT107"/>
      <c r="PVU107"/>
      <c r="PVV107"/>
      <c r="PVW107"/>
      <c r="PVX107"/>
      <c r="PVY107"/>
      <c r="PVZ107"/>
      <c r="PWA107"/>
      <c r="PWB107"/>
      <c r="PWC107"/>
      <c r="PWD107"/>
      <c r="PWE107"/>
      <c r="PWF107"/>
      <c r="PWG107"/>
      <c r="PWH107"/>
      <c r="PWI107"/>
      <c r="PWJ107"/>
      <c r="PWK107"/>
      <c r="PWL107"/>
      <c r="PWM107"/>
      <c r="PWN107"/>
      <c r="PWO107"/>
      <c r="PWP107"/>
      <c r="PWQ107"/>
      <c r="PWR107"/>
      <c r="PWS107"/>
      <c r="PWT107"/>
      <c r="PWU107"/>
      <c r="PWV107"/>
      <c r="PWW107"/>
      <c r="PWX107"/>
      <c r="PWY107"/>
      <c r="PWZ107"/>
      <c r="PXA107"/>
      <c r="PXB107"/>
      <c r="PXC107"/>
      <c r="PXD107"/>
      <c r="PXE107"/>
      <c r="PXF107"/>
      <c r="PXG107"/>
      <c r="PXH107"/>
      <c r="PXI107"/>
      <c r="PXJ107"/>
      <c r="PXK107"/>
      <c r="PXL107"/>
      <c r="PXM107"/>
      <c r="PXN107"/>
      <c r="PXO107"/>
      <c r="PXP107"/>
      <c r="PXQ107"/>
      <c r="PXR107"/>
      <c r="PXS107"/>
      <c r="PXT107"/>
      <c r="PXU107"/>
      <c r="PXV107"/>
      <c r="PXW107"/>
      <c r="PXX107"/>
      <c r="PXY107"/>
      <c r="PXZ107"/>
      <c r="PYA107"/>
      <c r="PYB107"/>
      <c r="PYC107"/>
      <c r="PYD107"/>
      <c r="PYE107"/>
      <c r="PYF107"/>
      <c r="PYG107"/>
      <c r="PYH107"/>
      <c r="PYI107"/>
      <c r="PYJ107"/>
      <c r="PYK107"/>
      <c r="PYL107"/>
      <c r="PYM107"/>
      <c r="PYN107"/>
      <c r="PYO107"/>
      <c r="PYP107"/>
      <c r="PYQ107"/>
      <c r="PYR107"/>
      <c r="PYS107"/>
      <c r="PYT107"/>
      <c r="PYU107"/>
      <c r="PYV107"/>
      <c r="PYW107"/>
      <c r="PYX107"/>
      <c r="PYY107"/>
      <c r="PYZ107"/>
      <c r="PZA107"/>
      <c r="PZB107"/>
      <c r="PZC107"/>
      <c r="PZD107"/>
      <c r="PZE107"/>
      <c r="PZF107"/>
      <c r="PZG107"/>
      <c r="PZH107"/>
      <c r="PZI107"/>
      <c r="PZJ107"/>
      <c r="PZK107"/>
      <c r="PZL107"/>
      <c r="PZM107"/>
      <c r="PZN107"/>
      <c r="PZO107"/>
      <c r="PZP107"/>
      <c r="PZQ107"/>
      <c r="PZR107"/>
      <c r="PZS107"/>
      <c r="PZT107"/>
      <c r="PZU107"/>
      <c r="PZV107"/>
      <c r="PZW107"/>
      <c r="PZX107"/>
      <c r="PZY107"/>
      <c r="PZZ107"/>
      <c r="QAA107"/>
      <c r="QAB107"/>
      <c r="QAC107"/>
      <c r="QAD107"/>
      <c r="QAE107"/>
      <c r="QAF107"/>
      <c r="QAG107"/>
      <c r="QAH107"/>
      <c r="QAI107"/>
      <c r="QAJ107"/>
      <c r="QAK107"/>
      <c r="QAL107"/>
      <c r="QAM107"/>
      <c r="QAN107"/>
      <c r="QAO107"/>
      <c r="QAP107"/>
      <c r="QAQ107"/>
      <c r="QAR107"/>
      <c r="QAS107"/>
      <c r="QAT107"/>
      <c r="QAU107"/>
      <c r="QAV107"/>
      <c r="QAW107"/>
      <c r="QAX107"/>
      <c r="QAY107"/>
      <c r="QAZ107"/>
      <c r="QBA107"/>
      <c r="QBB107"/>
      <c r="QBC107"/>
      <c r="QBD107"/>
      <c r="QBE107"/>
      <c r="QBF107"/>
      <c r="QBG107"/>
      <c r="QBH107"/>
      <c r="QBI107"/>
      <c r="QBJ107"/>
      <c r="QBK107"/>
      <c r="QBL107"/>
      <c r="QBM107"/>
      <c r="QBN107"/>
      <c r="QBO107"/>
      <c r="QBP107"/>
      <c r="QBQ107"/>
      <c r="QBR107"/>
      <c r="QBS107"/>
      <c r="QBT107"/>
      <c r="QBU107"/>
      <c r="QBV107"/>
      <c r="QBW107"/>
      <c r="QBX107"/>
      <c r="QBY107"/>
      <c r="QBZ107"/>
      <c r="QCA107"/>
      <c r="QCB107"/>
      <c r="QCC107"/>
      <c r="QCD107"/>
      <c r="QCE107"/>
      <c r="QCF107"/>
      <c r="QCG107"/>
      <c r="QCH107"/>
      <c r="QCI107"/>
      <c r="QCJ107"/>
      <c r="QCK107"/>
      <c r="QCL107"/>
      <c r="QCM107"/>
      <c r="QCN107"/>
      <c r="QCO107"/>
      <c r="QCP107"/>
      <c r="QCQ107"/>
      <c r="QCR107"/>
      <c r="QCS107"/>
      <c r="QCT107"/>
      <c r="QCU107"/>
      <c r="QCV107"/>
      <c r="QCW107"/>
      <c r="QCX107"/>
      <c r="QCY107"/>
      <c r="QCZ107"/>
      <c r="QDA107"/>
      <c r="QDB107"/>
      <c r="QDC107"/>
      <c r="QDD107"/>
      <c r="QDE107"/>
      <c r="QDF107"/>
      <c r="QDG107"/>
      <c r="QDH107"/>
      <c r="QDI107"/>
      <c r="QDJ107"/>
      <c r="QDK107"/>
      <c r="QDL107"/>
      <c r="QDM107"/>
      <c r="QDN107"/>
      <c r="QDO107"/>
      <c r="QDP107"/>
      <c r="QDQ107"/>
      <c r="QDR107"/>
      <c r="QDS107"/>
      <c r="QDT107"/>
      <c r="QDU107"/>
      <c r="QDV107"/>
      <c r="QDW107"/>
      <c r="QDX107"/>
      <c r="QDY107"/>
      <c r="QDZ107"/>
      <c r="QEA107"/>
      <c r="QEB107"/>
      <c r="QEC107"/>
      <c r="QED107"/>
      <c r="QEE107"/>
      <c r="QEF107"/>
      <c r="QEG107"/>
      <c r="QEH107"/>
      <c r="QEI107"/>
      <c r="QEJ107"/>
      <c r="QEK107"/>
      <c r="QEL107"/>
      <c r="QEM107"/>
      <c r="QEN107"/>
      <c r="QEO107"/>
      <c r="QEP107"/>
      <c r="QEQ107"/>
      <c r="QER107"/>
      <c r="QES107"/>
      <c r="QET107"/>
      <c r="QEU107"/>
      <c r="QEV107"/>
      <c r="QEW107"/>
      <c r="QEX107"/>
      <c r="QEY107"/>
      <c r="QEZ107"/>
      <c r="QFA107"/>
      <c r="QFB107"/>
      <c r="QFC107"/>
      <c r="QFD107"/>
      <c r="QFE107"/>
      <c r="QFF107"/>
      <c r="QFG107"/>
      <c r="QFH107"/>
      <c r="QFI107"/>
      <c r="QFJ107"/>
      <c r="QFK107"/>
      <c r="QFL107"/>
      <c r="QFM107"/>
      <c r="QFN107"/>
      <c r="QFO107"/>
      <c r="QFP107"/>
      <c r="QFQ107"/>
      <c r="QFR107"/>
      <c r="QFS107"/>
      <c r="QFT107"/>
      <c r="QFU107"/>
      <c r="QFV107"/>
      <c r="QFW107"/>
      <c r="QFX107"/>
      <c r="QFY107"/>
      <c r="QFZ107"/>
      <c r="QGA107"/>
      <c r="QGB107"/>
      <c r="QGC107"/>
      <c r="QGD107"/>
      <c r="QGE107"/>
      <c r="QGF107"/>
      <c r="QGG107"/>
      <c r="QGH107"/>
      <c r="QGI107"/>
      <c r="QGJ107"/>
      <c r="QGK107"/>
      <c r="QGL107"/>
      <c r="QGM107"/>
      <c r="QGN107"/>
      <c r="QGO107"/>
      <c r="QGP107"/>
      <c r="QGQ107"/>
      <c r="QGR107"/>
      <c r="QGS107"/>
      <c r="QGT107"/>
      <c r="QGU107"/>
      <c r="QGV107"/>
      <c r="QGW107"/>
      <c r="QGX107"/>
      <c r="QGY107"/>
      <c r="QGZ107"/>
      <c r="QHA107"/>
      <c r="QHB107"/>
      <c r="QHC107"/>
      <c r="QHD107"/>
      <c r="QHE107"/>
      <c r="QHF107"/>
      <c r="QHG107"/>
      <c r="QHH107"/>
      <c r="QHI107"/>
      <c r="QHJ107"/>
      <c r="QHK107"/>
      <c r="QHL107"/>
      <c r="QHM107"/>
      <c r="QHN107"/>
      <c r="QHO107"/>
      <c r="QHP107"/>
      <c r="QHQ107"/>
      <c r="QHR107"/>
      <c r="QHS107"/>
      <c r="QHT107"/>
      <c r="QHU107"/>
      <c r="QHV107"/>
      <c r="QHW107"/>
      <c r="QHX107"/>
      <c r="QHY107"/>
      <c r="QHZ107"/>
      <c r="QIA107"/>
      <c r="QIB107"/>
      <c r="QIC107"/>
      <c r="QID107"/>
      <c r="QIE107"/>
      <c r="QIF107"/>
      <c r="QIG107"/>
      <c r="QIH107"/>
      <c r="QII107"/>
      <c r="QIJ107"/>
      <c r="QIK107"/>
      <c r="QIL107"/>
      <c r="QIM107"/>
      <c r="QIN107"/>
      <c r="QIO107"/>
      <c r="QIP107"/>
      <c r="QIQ107"/>
      <c r="QIR107"/>
      <c r="QIS107"/>
      <c r="QIT107"/>
      <c r="QIU107"/>
      <c r="QIV107"/>
      <c r="QIW107"/>
      <c r="QIX107"/>
      <c r="QIY107"/>
      <c r="QIZ107"/>
      <c r="QJA107"/>
      <c r="QJB107"/>
      <c r="QJC107"/>
      <c r="QJD107"/>
      <c r="QJE107"/>
      <c r="QJF107"/>
      <c r="QJG107"/>
      <c r="QJH107"/>
      <c r="QJI107"/>
      <c r="QJJ107"/>
      <c r="QJK107"/>
      <c r="QJL107"/>
      <c r="QJM107"/>
      <c r="QJN107"/>
      <c r="QJO107"/>
      <c r="QJP107"/>
      <c r="QJQ107"/>
      <c r="QJR107"/>
      <c r="QJS107"/>
      <c r="QJT107"/>
      <c r="QJU107"/>
      <c r="QJV107"/>
      <c r="QJW107"/>
      <c r="QJX107"/>
      <c r="QJY107"/>
      <c r="QJZ107"/>
      <c r="QKA107"/>
      <c r="QKB107"/>
      <c r="QKC107"/>
      <c r="QKD107"/>
      <c r="QKE107"/>
      <c r="QKF107"/>
      <c r="QKG107"/>
      <c r="QKH107"/>
      <c r="QKI107"/>
      <c r="QKJ107"/>
      <c r="QKK107"/>
      <c r="QKL107"/>
      <c r="QKM107"/>
      <c r="QKN107"/>
      <c r="QKO107"/>
      <c r="QKP107"/>
      <c r="QKQ107"/>
      <c r="QKR107"/>
      <c r="QKS107"/>
      <c r="QKT107"/>
      <c r="QKU107"/>
      <c r="QKV107"/>
      <c r="QKW107"/>
      <c r="QKX107"/>
      <c r="QKY107"/>
      <c r="QKZ107"/>
      <c r="QLA107"/>
      <c r="QLB107"/>
      <c r="QLC107"/>
      <c r="QLD107"/>
      <c r="QLE107"/>
      <c r="QLF107"/>
      <c r="QLG107"/>
      <c r="QLH107"/>
      <c r="QLI107"/>
      <c r="QLJ107"/>
      <c r="QLK107"/>
      <c r="QLL107"/>
      <c r="QLM107"/>
      <c r="QLN107"/>
      <c r="QLO107"/>
      <c r="QLP107"/>
      <c r="QLQ107"/>
      <c r="QLR107"/>
      <c r="QLS107"/>
      <c r="QLT107"/>
      <c r="QLU107"/>
      <c r="QLV107"/>
      <c r="QLW107"/>
      <c r="QLX107"/>
      <c r="QLY107"/>
      <c r="QLZ107"/>
      <c r="QMA107"/>
      <c r="QMB107"/>
      <c r="QMC107"/>
      <c r="QMD107"/>
      <c r="QME107"/>
      <c r="QMF107"/>
      <c r="QMG107"/>
      <c r="QMH107"/>
      <c r="QMI107"/>
      <c r="QMJ107"/>
      <c r="QMK107"/>
      <c r="QML107"/>
      <c r="QMM107"/>
      <c r="QMN107"/>
      <c r="QMO107"/>
      <c r="QMP107"/>
      <c r="QMQ107"/>
      <c r="QMR107"/>
      <c r="QMS107"/>
      <c r="QMT107"/>
      <c r="QMU107"/>
      <c r="QMV107"/>
      <c r="QMW107"/>
      <c r="QMX107"/>
      <c r="QMY107"/>
      <c r="QMZ107"/>
      <c r="QNA107"/>
      <c r="QNB107"/>
      <c r="QNC107"/>
      <c r="QND107"/>
      <c r="QNE107"/>
      <c r="QNF107"/>
      <c r="QNG107"/>
      <c r="QNH107"/>
      <c r="QNI107"/>
      <c r="QNJ107"/>
      <c r="QNK107"/>
      <c r="QNL107"/>
      <c r="QNM107"/>
      <c r="QNN107"/>
      <c r="QNO107"/>
      <c r="QNP107"/>
      <c r="QNQ107"/>
      <c r="QNR107"/>
      <c r="QNS107"/>
      <c r="QNT107"/>
      <c r="QNU107"/>
      <c r="QNV107"/>
      <c r="QNW107"/>
      <c r="QNX107"/>
      <c r="QNY107"/>
      <c r="QNZ107"/>
      <c r="QOA107"/>
      <c r="QOB107"/>
      <c r="QOC107"/>
      <c r="QOD107"/>
      <c r="QOE107"/>
      <c r="QOF107"/>
      <c r="QOG107"/>
      <c r="QOH107"/>
      <c r="QOI107"/>
      <c r="QOJ107"/>
      <c r="QOK107"/>
      <c r="QOL107"/>
      <c r="QOM107"/>
      <c r="QON107"/>
      <c r="QOO107"/>
      <c r="QOP107"/>
      <c r="QOQ107"/>
      <c r="QOR107"/>
      <c r="QOS107"/>
      <c r="QOT107"/>
      <c r="QOU107"/>
      <c r="QOV107"/>
      <c r="QOW107"/>
      <c r="QOX107"/>
      <c r="QOY107"/>
      <c r="QOZ107"/>
      <c r="QPA107"/>
      <c r="QPB107"/>
      <c r="QPC107"/>
      <c r="QPD107"/>
      <c r="QPE107"/>
      <c r="QPF107"/>
      <c r="QPG107"/>
      <c r="QPH107"/>
      <c r="QPI107"/>
      <c r="QPJ107"/>
      <c r="QPK107"/>
      <c r="QPL107"/>
      <c r="QPM107"/>
      <c r="QPN107"/>
      <c r="QPO107"/>
      <c r="QPP107"/>
      <c r="QPQ107"/>
      <c r="QPR107"/>
      <c r="QPS107"/>
      <c r="QPT107"/>
      <c r="QPU107"/>
      <c r="QPV107"/>
      <c r="QPW107"/>
      <c r="QPX107"/>
      <c r="QPY107"/>
      <c r="QPZ107"/>
      <c r="QQA107"/>
      <c r="QQB107"/>
      <c r="QQC107"/>
      <c r="QQD107"/>
      <c r="QQE107"/>
      <c r="QQF107"/>
      <c r="QQG107"/>
      <c r="QQH107"/>
      <c r="QQI107"/>
      <c r="QQJ107"/>
      <c r="QQK107"/>
      <c r="QQL107"/>
      <c r="QQM107"/>
      <c r="QQN107"/>
      <c r="QQO107"/>
      <c r="QQP107"/>
      <c r="QQQ107"/>
      <c r="QQR107"/>
      <c r="QQS107"/>
      <c r="QQT107"/>
      <c r="QQU107"/>
      <c r="QQV107"/>
      <c r="QQW107"/>
      <c r="QQX107"/>
      <c r="QQY107"/>
      <c r="QQZ107"/>
      <c r="QRA107"/>
      <c r="QRB107"/>
      <c r="QRC107"/>
      <c r="QRD107"/>
      <c r="QRE107"/>
      <c r="QRF107"/>
      <c r="QRG107"/>
      <c r="QRH107"/>
      <c r="QRI107"/>
      <c r="QRJ107"/>
      <c r="QRK107"/>
      <c r="QRL107"/>
      <c r="QRM107"/>
      <c r="QRN107"/>
      <c r="QRO107"/>
      <c r="QRP107"/>
      <c r="QRQ107"/>
      <c r="QRR107"/>
      <c r="QRS107"/>
      <c r="QRT107"/>
      <c r="QRU107"/>
      <c r="QRV107"/>
      <c r="QRW107"/>
      <c r="QRX107"/>
      <c r="QRY107"/>
      <c r="QRZ107"/>
      <c r="QSA107"/>
      <c r="QSB107"/>
      <c r="QSC107"/>
      <c r="QSD107"/>
      <c r="QSE107"/>
      <c r="QSF107"/>
      <c r="QSG107"/>
      <c r="QSH107"/>
      <c r="QSI107"/>
      <c r="QSJ107"/>
      <c r="QSK107"/>
      <c r="QSL107"/>
      <c r="QSM107"/>
      <c r="QSN107"/>
      <c r="QSO107"/>
      <c r="QSP107"/>
      <c r="QSQ107"/>
      <c r="QSR107"/>
      <c r="QSS107"/>
      <c r="QST107"/>
      <c r="QSU107"/>
      <c r="QSV107"/>
      <c r="QSW107"/>
      <c r="QSX107"/>
      <c r="QSY107"/>
      <c r="QSZ107"/>
      <c r="QTA107"/>
      <c r="QTB107"/>
      <c r="QTC107"/>
      <c r="QTD107"/>
      <c r="QTE107"/>
      <c r="QTF107"/>
      <c r="QTG107"/>
      <c r="QTH107"/>
      <c r="QTI107"/>
      <c r="QTJ107"/>
      <c r="QTK107"/>
      <c r="QTL107"/>
      <c r="QTM107"/>
      <c r="QTN107"/>
      <c r="QTO107"/>
      <c r="QTP107"/>
      <c r="QTQ107"/>
      <c r="QTR107"/>
      <c r="QTS107"/>
      <c r="QTT107"/>
      <c r="QTU107"/>
      <c r="QTV107"/>
      <c r="QTW107"/>
      <c r="QTX107"/>
      <c r="QTY107"/>
      <c r="QTZ107"/>
      <c r="QUA107"/>
      <c r="QUB107"/>
      <c r="QUC107"/>
      <c r="QUD107"/>
      <c r="QUE107"/>
      <c r="QUF107"/>
      <c r="QUG107"/>
      <c r="QUH107"/>
      <c r="QUI107"/>
      <c r="QUJ107"/>
      <c r="QUK107"/>
      <c r="QUL107"/>
      <c r="QUM107"/>
      <c r="QUN107"/>
      <c r="QUO107"/>
      <c r="QUP107"/>
      <c r="QUQ107"/>
      <c r="QUR107"/>
      <c r="QUS107"/>
      <c r="QUT107"/>
      <c r="QUU107"/>
      <c r="QUV107"/>
      <c r="QUW107"/>
      <c r="QUX107"/>
      <c r="QUY107"/>
      <c r="QUZ107"/>
      <c r="QVA107"/>
      <c r="QVB107"/>
      <c r="QVC107"/>
      <c r="QVD107"/>
      <c r="QVE107"/>
      <c r="QVF107"/>
      <c r="QVG107"/>
      <c r="QVH107"/>
      <c r="QVI107"/>
      <c r="QVJ107"/>
      <c r="QVK107"/>
      <c r="QVL107"/>
      <c r="QVM107"/>
      <c r="QVN107"/>
      <c r="QVO107"/>
      <c r="QVP107"/>
      <c r="QVQ107"/>
      <c r="QVR107"/>
      <c r="QVS107"/>
      <c r="QVT107"/>
      <c r="QVU107"/>
      <c r="QVV107"/>
      <c r="QVW107"/>
      <c r="QVX107"/>
      <c r="QVY107"/>
      <c r="QVZ107"/>
      <c r="QWA107"/>
      <c r="QWB107"/>
      <c r="QWC107"/>
      <c r="QWD107"/>
      <c r="QWE107"/>
      <c r="QWF107"/>
      <c r="QWG107"/>
      <c r="QWH107"/>
      <c r="QWI107"/>
      <c r="QWJ107"/>
      <c r="QWK107"/>
      <c r="QWL107"/>
      <c r="QWM107"/>
      <c r="QWN107"/>
      <c r="QWO107"/>
      <c r="QWP107"/>
      <c r="QWQ107"/>
      <c r="QWR107"/>
      <c r="QWS107"/>
      <c r="QWT107"/>
      <c r="QWU107"/>
      <c r="QWV107"/>
      <c r="QWW107"/>
      <c r="QWX107"/>
      <c r="QWY107"/>
      <c r="QWZ107"/>
      <c r="QXA107"/>
      <c r="QXB107"/>
      <c r="QXC107"/>
      <c r="QXD107"/>
      <c r="QXE107"/>
      <c r="QXF107"/>
      <c r="QXG107"/>
      <c r="QXH107"/>
      <c r="QXI107"/>
      <c r="QXJ107"/>
      <c r="QXK107"/>
      <c r="QXL107"/>
      <c r="QXM107"/>
      <c r="QXN107"/>
      <c r="QXO107"/>
      <c r="QXP107"/>
      <c r="QXQ107"/>
      <c r="QXR107"/>
      <c r="QXS107"/>
      <c r="QXT107"/>
      <c r="QXU107"/>
      <c r="QXV107"/>
      <c r="QXW107"/>
      <c r="QXX107"/>
      <c r="QXY107"/>
      <c r="QXZ107"/>
      <c r="QYA107"/>
      <c r="QYB107"/>
      <c r="QYC107"/>
      <c r="QYD107"/>
      <c r="QYE107"/>
      <c r="QYF107"/>
      <c r="QYG107"/>
      <c r="QYH107"/>
      <c r="QYI107"/>
      <c r="QYJ107"/>
      <c r="QYK107"/>
      <c r="QYL107"/>
      <c r="QYM107"/>
      <c r="QYN107"/>
      <c r="QYO107"/>
      <c r="QYP107"/>
      <c r="QYQ107"/>
      <c r="QYR107"/>
      <c r="QYS107"/>
      <c r="QYT107"/>
      <c r="QYU107"/>
      <c r="QYV107"/>
      <c r="QYW107"/>
      <c r="QYX107"/>
      <c r="QYY107"/>
      <c r="QYZ107"/>
      <c r="QZA107"/>
      <c r="QZB107"/>
      <c r="QZC107"/>
      <c r="QZD107"/>
      <c r="QZE107"/>
      <c r="QZF107"/>
      <c r="QZG107"/>
      <c r="QZH107"/>
      <c r="QZI107"/>
      <c r="QZJ107"/>
      <c r="QZK107"/>
      <c r="QZL107"/>
      <c r="QZM107"/>
      <c r="QZN107"/>
      <c r="QZO107"/>
      <c r="QZP107"/>
      <c r="QZQ107"/>
      <c r="QZR107"/>
      <c r="QZS107"/>
      <c r="QZT107"/>
      <c r="QZU107"/>
      <c r="QZV107"/>
      <c r="QZW107"/>
      <c r="QZX107"/>
      <c r="QZY107"/>
      <c r="QZZ107"/>
      <c r="RAA107"/>
      <c r="RAB107"/>
      <c r="RAC107"/>
      <c r="RAD107"/>
      <c r="RAE107"/>
      <c r="RAF107"/>
      <c r="RAG107"/>
      <c r="RAH107"/>
      <c r="RAI107"/>
      <c r="RAJ107"/>
      <c r="RAK107"/>
      <c r="RAL107"/>
      <c r="RAM107"/>
      <c r="RAN107"/>
      <c r="RAO107"/>
      <c r="RAP107"/>
      <c r="RAQ107"/>
      <c r="RAR107"/>
      <c r="RAS107"/>
      <c r="RAT107"/>
      <c r="RAU107"/>
      <c r="RAV107"/>
      <c r="RAW107"/>
      <c r="RAX107"/>
      <c r="RAY107"/>
      <c r="RAZ107"/>
      <c r="RBA107"/>
      <c r="RBB107"/>
      <c r="RBC107"/>
      <c r="RBD107"/>
      <c r="RBE107"/>
      <c r="RBF107"/>
      <c r="RBG107"/>
      <c r="RBH107"/>
      <c r="RBI107"/>
      <c r="RBJ107"/>
      <c r="RBK107"/>
      <c r="RBL107"/>
      <c r="RBM107"/>
      <c r="RBN107"/>
      <c r="RBO107"/>
      <c r="RBP107"/>
      <c r="RBQ107"/>
      <c r="RBR107"/>
      <c r="RBS107"/>
      <c r="RBT107"/>
      <c r="RBU107"/>
      <c r="RBV107"/>
      <c r="RBW107"/>
      <c r="RBX107"/>
      <c r="RBY107"/>
      <c r="RBZ107"/>
      <c r="RCA107"/>
      <c r="RCB107"/>
      <c r="RCC107"/>
      <c r="RCD107"/>
      <c r="RCE107"/>
      <c r="RCF107"/>
      <c r="RCG107"/>
      <c r="RCH107"/>
      <c r="RCI107"/>
      <c r="RCJ107"/>
      <c r="RCK107"/>
      <c r="RCL107"/>
      <c r="RCM107"/>
      <c r="RCN107"/>
      <c r="RCO107"/>
      <c r="RCP107"/>
      <c r="RCQ107"/>
      <c r="RCR107"/>
      <c r="RCS107"/>
      <c r="RCT107"/>
      <c r="RCU107"/>
      <c r="RCV107"/>
      <c r="RCW107"/>
      <c r="RCX107"/>
      <c r="RCY107"/>
      <c r="RCZ107"/>
      <c r="RDA107"/>
      <c r="RDB107"/>
      <c r="RDC107"/>
      <c r="RDD107"/>
      <c r="RDE107"/>
      <c r="RDF107"/>
      <c r="RDG107"/>
      <c r="RDH107"/>
      <c r="RDI107"/>
      <c r="RDJ107"/>
      <c r="RDK107"/>
      <c r="RDL107"/>
      <c r="RDM107"/>
      <c r="RDN107"/>
      <c r="RDO107"/>
      <c r="RDP107"/>
      <c r="RDQ107"/>
      <c r="RDR107"/>
      <c r="RDS107"/>
      <c r="RDT107"/>
      <c r="RDU107"/>
      <c r="RDV107"/>
      <c r="RDW107"/>
      <c r="RDX107"/>
      <c r="RDY107"/>
      <c r="RDZ107"/>
      <c r="REA107"/>
      <c r="REB107"/>
      <c r="REC107"/>
      <c r="RED107"/>
      <c r="REE107"/>
      <c r="REF107"/>
      <c r="REG107"/>
      <c r="REH107"/>
      <c r="REI107"/>
      <c r="REJ107"/>
      <c r="REK107"/>
      <c r="REL107"/>
      <c r="REM107"/>
      <c r="REN107"/>
      <c r="REO107"/>
      <c r="REP107"/>
      <c r="REQ107"/>
      <c r="RER107"/>
      <c r="RES107"/>
      <c r="RET107"/>
      <c r="REU107"/>
      <c r="REV107"/>
      <c r="REW107"/>
      <c r="REX107"/>
      <c r="REY107"/>
      <c r="REZ107"/>
      <c r="RFA107"/>
      <c r="RFB107"/>
      <c r="RFC107"/>
      <c r="RFD107"/>
      <c r="RFE107"/>
      <c r="RFF107"/>
      <c r="RFG107"/>
      <c r="RFH107"/>
      <c r="RFI107"/>
      <c r="RFJ107"/>
      <c r="RFK107"/>
      <c r="RFL107"/>
      <c r="RFM107"/>
      <c r="RFN107"/>
      <c r="RFO107"/>
      <c r="RFP107"/>
      <c r="RFQ107"/>
      <c r="RFR107"/>
      <c r="RFS107"/>
      <c r="RFT107"/>
      <c r="RFU107"/>
      <c r="RFV107"/>
      <c r="RFW107"/>
      <c r="RFX107"/>
      <c r="RFY107"/>
      <c r="RFZ107"/>
      <c r="RGA107"/>
      <c r="RGB107"/>
      <c r="RGC107"/>
      <c r="RGD107"/>
      <c r="RGE107"/>
      <c r="RGF107"/>
      <c r="RGG107"/>
      <c r="RGH107"/>
      <c r="RGI107"/>
      <c r="RGJ107"/>
      <c r="RGK107"/>
      <c r="RGL107"/>
      <c r="RGM107"/>
      <c r="RGN107"/>
      <c r="RGO107"/>
      <c r="RGP107"/>
      <c r="RGQ107"/>
      <c r="RGR107"/>
      <c r="RGS107"/>
      <c r="RGT107"/>
      <c r="RGU107"/>
      <c r="RGV107"/>
      <c r="RGW107"/>
      <c r="RGX107"/>
      <c r="RGY107"/>
      <c r="RGZ107"/>
      <c r="RHA107"/>
      <c r="RHB107"/>
      <c r="RHC107"/>
      <c r="RHD107"/>
      <c r="RHE107"/>
      <c r="RHF107"/>
      <c r="RHG107"/>
      <c r="RHH107"/>
      <c r="RHI107"/>
      <c r="RHJ107"/>
      <c r="RHK107"/>
      <c r="RHL107"/>
      <c r="RHM107"/>
      <c r="RHN107"/>
      <c r="RHO107"/>
      <c r="RHP107"/>
      <c r="RHQ107"/>
      <c r="RHR107"/>
      <c r="RHS107"/>
      <c r="RHT107"/>
      <c r="RHU107"/>
      <c r="RHV107"/>
      <c r="RHW107"/>
      <c r="RHX107"/>
      <c r="RHY107"/>
      <c r="RHZ107"/>
      <c r="RIA107"/>
      <c r="RIB107"/>
      <c r="RIC107"/>
      <c r="RID107"/>
      <c r="RIE107"/>
      <c r="RIF107"/>
      <c r="RIG107"/>
      <c r="RIH107"/>
      <c r="RII107"/>
      <c r="RIJ107"/>
      <c r="RIK107"/>
      <c r="RIL107"/>
      <c r="RIM107"/>
      <c r="RIN107"/>
      <c r="RIO107"/>
      <c r="RIP107"/>
      <c r="RIQ107"/>
      <c r="RIR107"/>
      <c r="RIS107"/>
      <c r="RIT107"/>
      <c r="RIU107"/>
      <c r="RIV107"/>
      <c r="RIW107"/>
      <c r="RIX107"/>
      <c r="RIY107"/>
      <c r="RIZ107"/>
      <c r="RJA107"/>
      <c r="RJB107"/>
      <c r="RJC107"/>
      <c r="RJD107"/>
      <c r="RJE107"/>
      <c r="RJF107"/>
      <c r="RJG107"/>
      <c r="RJH107"/>
      <c r="RJI107"/>
      <c r="RJJ107"/>
      <c r="RJK107"/>
      <c r="RJL107"/>
      <c r="RJM107"/>
      <c r="RJN107"/>
      <c r="RJO107"/>
      <c r="RJP107"/>
      <c r="RJQ107"/>
      <c r="RJR107"/>
      <c r="RJS107"/>
      <c r="RJT107"/>
      <c r="RJU107"/>
      <c r="RJV107"/>
      <c r="RJW107"/>
      <c r="RJX107"/>
      <c r="RJY107"/>
      <c r="RJZ107"/>
      <c r="RKA107"/>
      <c r="RKB107"/>
      <c r="RKC107"/>
      <c r="RKD107"/>
      <c r="RKE107"/>
      <c r="RKF107"/>
      <c r="RKG107"/>
      <c r="RKH107"/>
      <c r="RKI107"/>
      <c r="RKJ107"/>
      <c r="RKK107"/>
      <c r="RKL107"/>
      <c r="RKM107"/>
      <c r="RKN107"/>
      <c r="RKO107"/>
      <c r="RKP107"/>
      <c r="RKQ107"/>
      <c r="RKR107"/>
      <c r="RKS107"/>
      <c r="RKT107"/>
      <c r="RKU107"/>
      <c r="RKV107"/>
      <c r="RKW107"/>
      <c r="RKX107"/>
      <c r="RKY107"/>
      <c r="RKZ107"/>
      <c r="RLA107"/>
      <c r="RLB107"/>
      <c r="RLC107"/>
      <c r="RLD107"/>
      <c r="RLE107"/>
      <c r="RLF107"/>
      <c r="RLG107"/>
      <c r="RLH107"/>
      <c r="RLI107"/>
      <c r="RLJ107"/>
      <c r="RLK107"/>
      <c r="RLL107"/>
      <c r="RLM107"/>
      <c r="RLN107"/>
      <c r="RLO107"/>
      <c r="RLP107"/>
      <c r="RLQ107"/>
      <c r="RLR107"/>
      <c r="RLS107"/>
      <c r="RLT107"/>
      <c r="RLU107"/>
      <c r="RLV107"/>
      <c r="RLW107"/>
      <c r="RLX107"/>
      <c r="RLY107"/>
      <c r="RLZ107"/>
      <c r="RMA107"/>
      <c r="RMB107"/>
      <c r="RMC107"/>
      <c r="RMD107"/>
      <c r="RME107"/>
      <c r="RMF107"/>
      <c r="RMG107"/>
      <c r="RMH107"/>
      <c r="RMI107"/>
      <c r="RMJ107"/>
      <c r="RMK107"/>
      <c r="RML107"/>
      <c r="RMM107"/>
      <c r="RMN107"/>
      <c r="RMO107"/>
      <c r="RMP107"/>
      <c r="RMQ107"/>
      <c r="RMR107"/>
      <c r="RMS107"/>
      <c r="RMT107"/>
      <c r="RMU107"/>
      <c r="RMV107"/>
      <c r="RMW107"/>
      <c r="RMX107"/>
      <c r="RMY107"/>
      <c r="RMZ107"/>
      <c r="RNA107"/>
      <c r="RNB107"/>
      <c r="RNC107"/>
      <c r="RND107"/>
      <c r="RNE107"/>
      <c r="RNF107"/>
      <c r="RNG107"/>
      <c r="RNH107"/>
      <c r="RNI107"/>
      <c r="RNJ107"/>
      <c r="RNK107"/>
      <c r="RNL107"/>
      <c r="RNM107"/>
      <c r="RNN107"/>
      <c r="RNO107"/>
      <c r="RNP107"/>
      <c r="RNQ107"/>
      <c r="RNR107"/>
      <c r="RNS107"/>
      <c r="RNT107"/>
      <c r="RNU107"/>
      <c r="RNV107"/>
      <c r="RNW107"/>
      <c r="RNX107"/>
      <c r="RNY107"/>
      <c r="RNZ107"/>
      <c r="ROA107"/>
      <c r="ROB107"/>
      <c r="ROC107"/>
      <c r="ROD107"/>
      <c r="ROE107"/>
      <c r="ROF107"/>
      <c r="ROG107"/>
      <c r="ROH107"/>
      <c r="ROI107"/>
      <c r="ROJ107"/>
      <c r="ROK107"/>
      <c r="ROL107"/>
      <c r="ROM107"/>
      <c r="RON107"/>
      <c r="ROO107"/>
      <c r="ROP107"/>
      <c r="ROQ107"/>
      <c r="ROR107"/>
      <c r="ROS107"/>
      <c r="ROT107"/>
      <c r="ROU107"/>
      <c r="ROV107"/>
      <c r="ROW107"/>
      <c r="ROX107"/>
      <c r="ROY107"/>
      <c r="ROZ107"/>
      <c r="RPA107"/>
      <c r="RPB107"/>
      <c r="RPC107"/>
      <c r="RPD107"/>
      <c r="RPE107"/>
      <c r="RPF107"/>
      <c r="RPG107"/>
      <c r="RPH107"/>
      <c r="RPI107"/>
      <c r="RPJ107"/>
      <c r="RPK107"/>
      <c r="RPL107"/>
      <c r="RPM107"/>
      <c r="RPN107"/>
      <c r="RPO107"/>
      <c r="RPP107"/>
      <c r="RPQ107"/>
      <c r="RPR107"/>
      <c r="RPS107"/>
      <c r="RPT107"/>
      <c r="RPU107"/>
      <c r="RPV107"/>
      <c r="RPW107"/>
      <c r="RPX107"/>
      <c r="RPY107"/>
      <c r="RPZ107"/>
      <c r="RQA107"/>
      <c r="RQB107"/>
      <c r="RQC107"/>
      <c r="RQD107"/>
      <c r="RQE107"/>
      <c r="RQF107"/>
      <c r="RQG107"/>
      <c r="RQH107"/>
      <c r="RQI107"/>
      <c r="RQJ107"/>
      <c r="RQK107"/>
      <c r="RQL107"/>
      <c r="RQM107"/>
      <c r="RQN107"/>
      <c r="RQO107"/>
      <c r="RQP107"/>
      <c r="RQQ107"/>
      <c r="RQR107"/>
      <c r="RQS107"/>
      <c r="RQT107"/>
      <c r="RQU107"/>
      <c r="RQV107"/>
      <c r="RQW107"/>
      <c r="RQX107"/>
      <c r="RQY107"/>
      <c r="RQZ107"/>
      <c r="RRA107"/>
      <c r="RRB107"/>
      <c r="RRC107"/>
      <c r="RRD107"/>
      <c r="RRE107"/>
      <c r="RRF107"/>
      <c r="RRG107"/>
      <c r="RRH107"/>
      <c r="RRI107"/>
      <c r="RRJ107"/>
      <c r="RRK107"/>
      <c r="RRL107"/>
      <c r="RRM107"/>
      <c r="RRN107"/>
      <c r="RRO107"/>
      <c r="RRP107"/>
      <c r="RRQ107"/>
      <c r="RRR107"/>
      <c r="RRS107"/>
      <c r="RRT107"/>
      <c r="RRU107"/>
      <c r="RRV107"/>
      <c r="RRW107"/>
      <c r="RRX107"/>
      <c r="RRY107"/>
      <c r="RRZ107"/>
      <c r="RSA107"/>
      <c r="RSB107"/>
      <c r="RSC107"/>
      <c r="RSD107"/>
      <c r="RSE107"/>
      <c r="RSF107"/>
      <c r="RSG107"/>
      <c r="RSH107"/>
      <c r="RSI107"/>
      <c r="RSJ107"/>
      <c r="RSK107"/>
      <c r="RSL107"/>
      <c r="RSM107"/>
      <c r="RSN107"/>
      <c r="RSO107"/>
      <c r="RSP107"/>
      <c r="RSQ107"/>
      <c r="RSR107"/>
      <c r="RSS107"/>
      <c r="RST107"/>
      <c r="RSU107"/>
      <c r="RSV107"/>
      <c r="RSW107"/>
      <c r="RSX107"/>
      <c r="RSY107"/>
      <c r="RSZ107"/>
      <c r="RTA107"/>
      <c r="RTB107"/>
      <c r="RTC107"/>
      <c r="RTD107"/>
      <c r="RTE107"/>
      <c r="RTF107"/>
      <c r="RTG107"/>
      <c r="RTH107"/>
      <c r="RTI107"/>
      <c r="RTJ107"/>
      <c r="RTK107"/>
      <c r="RTL107"/>
      <c r="RTM107"/>
      <c r="RTN107"/>
      <c r="RTO107"/>
      <c r="RTP107"/>
      <c r="RTQ107"/>
      <c r="RTR107"/>
      <c r="RTS107"/>
      <c r="RTT107"/>
      <c r="RTU107"/>
      <c r="RTV107"/>
      <c r="RTW107"/>
      <c r="RTX107"/>
      <c r="RTY107"/>
      <c r="RTZ107"/>
      <c r="RUA107"/>
      <c r="RUB107"/>
      <c r="RUC107"/>
      <c r="RUD107"/>
      <c r="RUE107"/>
      <c r="RUF107"/>
      <c r="RUG107"/>
      <c r="RUH107"/>
      <c r="RUI107"/>
      <c r="RUJ107"/>
      <c r="RUK107"/>
      <c r="RUL107"/>
      <c r="RUM107"/>
      <c r="RUN107"/>
      <c r="RUO107"/>
      <c r="RUP107"/>
      <c r="RUQ107"/>
      <c r="RUR107"/>
      <c r="RUS107"/>
      <c r="RUT107"/>
      <c r="RUU107"/>
      <c r="RUV107"/>
      <c r="RUW107"/>
      <c r="RUX107"/>
      <c r="RUY107"/>
      <c r="RUZ107"/>
      <c r="RVA107"/>
      <c r="RVB107"/>
      <c r="RVC107"/>
      <c r="RVD107"/>
      <c r="RVE107"/>
      <c r="RVF107"/>
      <c r="RVG107"/>
      <c r="RVH107"/>
      <c r="RVI107"/>
      <c r="RVJ107"/>
      <c r="RVK107"/>
      <c r="RVL107"/>
      <c r="RVM107"/>
      <c r="RVN107"/>
      <c r="RVO107"/>
      <c r="RVP107"/>
      <c r="RVQ107"/>
      <c r="RVR107"/>
      <c r="RVS107"/>
      <c r="RVT107"/>
      <c r="RVU107"/>
      <c r="RVV107"/>
      <c r="RVW107"/>
      <c r="RVX107"/>
      <c r="RVY107"/>
      <c r="RVZ107"/>
      <c r="RWA107"/>
      <c r="RWB107"/>
      <c r="RWC107"/>
      <c r="RWD107"/>
      <c r="RWE107"/>
      <c r="RWF107"/>
      <c r="RWG107"/>
      <c r="RWH107"/>
      <c r="RWI107"/>
      <c r="RWJ107"/>
      <c r="RWK107"/>
      <c r="RWL107"/>
      <c r="RWM107"/>
      <c r="RWN107"/>
      <c r="RWO107"/>
      <c r="RWP107"/>
      <c r="RWQ107"/>
      <c r="RWR107"/>
      <c r="RWS107"/>
      <c r="RWT107"/>
      <c r="RWU107"/>
      <c r="RWV107"/>
      <c r="RWW107"/>
      <c r="RWX107"/>
      <c r="RWY107"/>
      <c r="RWZ107"/>
      <c r="RXA107"/>
      <c r="RXB107"/>
      <c r="RXC107"/>
      <c r="RXD107"/>
      <c r="RXE107"/>
      <c r="RXF107"/>
      <c r="RXG107"/>
      <c r="RXH107"/>
      <c r="RXI107"/>
      <c r="RXJ107"/>
      <c r="RXK107"/>
      <c r="RXL107"/>
      <c r="RXM107"/>
      <c r="RXN107"/>
      <c r="RXO107"/>
      <c r="RXP107"/>
      <c r="RXQ107"/>
      <c r="RXR107"/>
      <c r="RXS107"/>
      <c r="RXT107"/>
      <c r="RXU107"/>
      <c r="RXV107"/>
      <c r="RXW107"/>
      <c r="RXX107"/>
      <c r="RXY107"/>
      <c r="RXZ107"/>
      <c r="RYA107"/>
      <c r="RYB107"/>
      <c r="RYC107"/>
      <c r="RYD107"/>
      <c r="RYE107"/>
      <c r="RYF107"/>
      <c r="RYG107"/>
      <c r="RYH107"/>
      <c r="RYI107"/>
      <c r="RYJ107"/>
      <c r="RYK107"/>
      <c r="RYL107"/>
      <c r="RYM107"/>
      <c r="RYN107"/>
      <c r="RYO107"/>
      <c r="RYP107"/>
      <c r="RYQ107"/>
      <c r="RYR107"/>
      <c r="RYS107"/>
      <c r="RYT107"/>
      <c r="RYU107"/>
      <c r="RYV107"/>
      <c r="RYW107"/>
      <c r="RYX107"/>
      <c r="RYY107"/>
      <c r="RYZ107"/>
      <c r="RZA107"/>
      <c r="RZB107"/>
      <c r="RZC107"/>
      <c r="RZD107"/>
      <c r="RZE107"/>
      <c r="RZF107"/>
      <c r="RZG107"/>
      <c r="RZH107"/>
      <c r="RZI107"/>
      <c r="RZJ107"/>
      <c r="RZK107"/>
      <c r="RZL107"/>
      <c r="RZM107"/>
      <c r="RZN107"/>
      <c r="RZO107"/>
      <c r="RZP107"/>
      <c r="RZQ107"/>
      <c r="RZR107"/>
      <c r="RZS107"/>
      <c r="RZT107"/>
      <c r="RZU107"/>
      <c r="RZV107"/>
      <c r="RZW107"/>
      <c r="RZX107"/>
      <c r="RZY107"/>
      <c r="RZZ107"/>
      <c r="SAA107"/>
      <c r="SAB107"/>
      <c r="SAC107"/>
      <c r="SAD107"/>
      <c r="SAE107"/>
      <c r="SAF107"/>
      <c r="SAG107"/>
      <c r="SAH107"/>
      <c r="SAI107"/>
      <c r="SAJ107"/>
      <c r="SAK107"/>
      <c r="SAL107"/>
      <c r="SAM107"/>
      <c r="SAN107"/>
      <c r="SAO107"/>
      <c r="SAP107"/>
      <c r="SAQ107"/>
      <c r="SAR107"/>
      <c r="SAS107"/>
      <c r="SAT107"/>
      <c r="SAU107"/>
      <c r="SAV107"/>
      <c r="SAW107"/>
      <c r="SAX107"/>
      <c r="SAY107"/>
      <c r="SAZ107"/>
      <c r="SBA107"/>
      <c r="SBB107"/>
      <c r="SBC107"/>
      <c r="SBD107"/>
      <c r="SBE107"/>
      <c r="SBF107"/>
      <c r="SBG107"/>
      <c r="SBH107"/>
      <c r="SBI107"/>
      <c r="SBJ107"/>
      <c r="SBK107"/>
      <c r="SBL107"/>
      <c r="SBM107"/>
      <c r="SBN107"/>
      <c r="SBO107"/>
      <c r="SBP107"/>
      <c r="SBQ107"/>
      <c r="SBR107"/>
      <c r="SBS107"/>
      <c r="SBT107"/>
      <c r="SBU107"/>
      <c r="SBV107"/>
      <c r="SBW107"/>
      <c r="SBX107"/>
      <c r="SBY107"/>
      <c r="SBZ107"/>
      <c r="SCA107"/>
      <c r="SCB107"/>
      <c r="SCC107"/>
      <c r="SCD107"/>
      <c r="SCE107"/>
      <c r="SCF107"/>
      <c r="SCG107"/>
      <c r="SCH107"/>
      <c r="SCI107"/>
      <c r="SCJ107"/>
      <c r="SCK107"/>
      <c r="SCL107"/>
      <c r="SCM107"/>
      <c r="SCN107"/>
      <c r="SCO107"/>
      <c r="SCP107"/>
      <c r="SCQ107"/>
      <c r="SCR107"/>
      <c r="SCS107"/>
      <c r="SCT107"/>
      <c r="SCU107"/>
      <c r="SCV107"/>
      <c r="SCW107"/>
      <c r="SCX107"/>
      <c r="SCY107"/>
      <c r="SCZ107"/>
      <c r="SDA107"/>
      <c r="SDB107"/>
      <c r="SDC107"/>
      <c r="SDD107"/>
      <c r="SDE107"/>
      <c r="SDF107"/>
      <c r="SDG107"/>
      <c r="SDH107"/>
      <c r="SDI107"/>
      <c r="SDJ107"/>
      <c r="SDK107"/>
      <c r="SDL107"/>
      <c r="SDM107"/>
      <c r="SDN107"/>
      <c r="SDO107"/>
      <c r="SDP107"/>
      <c r="SDQ107"/>
      <c r="SDR107"/>
      <c r="SDS107"/>
      <c r="SDT107"/>
      <c r="SDU107"/>
      <c r="SDV107"/>
      <c r="SDW107"/>
      <c r="SDX107"/>
      <c r="SDY107"/>
      <c r="SDZ107"/>
      <c r="SEA107"/>
      <c r="SEB107"/>
      <c r="SEC107"/>
      <c r="SED107"/>
      <c r="SEE107"/>
      <c r="SEF107"/>
      <c r="SEG107"/>
      <c r="SEH107"/>
      <c r="SEI107"/>
      <c r="SEJ107"/>
      <c r="SEK107"/>
      <c r="SEL107"/>
      <c r="SEM107"/>
      <c r="SEN107"/>
      <c r="SEO107"/>
      <c r="SEP107"/>
      <c r="SEQ107"/>
      <c r="SER107"/>
      <c r="SES107"/>
      <c r="SET107"/>
      <c r="SEU107"/>
      <c r="SEV107"/>
      <c r="SEW107"/>
      <c r="SEX107"/>
      <c r="SEY107"/>
      <c r="SEZ107"/>
      <c r="SFA107"/>
      <c r="SFB107"/>
      <c r="SFC107"/>
      <c r="SFD107"/>
      <c r="SFE107"/>
      <c r="SFF107"/>
      <c r="SFG107"/>
      <c r="SFH107"/>
      <c r="SFI107"/>
      <c r="SFJ107"/>
      <c r="SFK107"/>
      <c r="SFL107"/>
      <c r="SFM107"/>
      <c r="SFN107"/>
      <c r="SFO107"/>
      <c r="SFP107"/>
      <c r="SFQ107"/>
      <c r="SFR107"/>
      <c r="SFS107"/>
      <c r="SFT107"/>
      <c r="SFU107"/>
      <c r="SFV107"/>
      <c r="SFW107"/>
      <c r="SFX107"/>
      <c r="SFY107"/>
      <c r="SFZ107"/>
      <c r="SGA107"/>
      <c r="SGB107"/>
      <c r="SGC107"/>
      <c r="SGD107"/>
      <c r="SGE107"/>
      <c r="SGF107"/>
      <c r="SGG107"/>
      <c r="SGH107"/>
      <c r="SGI107"/>
      <c r="SGJ107"/>
      <c r="SGK107"/>
      <c r="SGL107"/>
      <c r="SGM107"/>
      <c r="SGN107"/>
      <c r="SGO107"/>
      <c r="SGP107"/>
      <c r="SGQ107"/>
      <c r="SGR107"/>
      <c r="SGS107"/>
      <c r="SGT107"/>
      <c r="SGU107"/>
      <c r="SGV107"/>
      <c r="SGW107"/>
      <c r="SGX107"/>
      <c r="SGY107"/>
      <c r="SGZ107"/>
      <c r="SHA107"/>
      <c r="SHB107"/>
      <c r="SHC107"/>
      <c r="SHD107"/>
      <c r="SHE107"/>
      <c r="SHF107"/>
      <c r="SHG107"/>
      <c r="SHH107"/>
      <c r="SHI107"/>
      <c r="SHJ107"/>
      <c r="SHK107"/>
      <c r="SHL107"/>
      <c r="SHM107"/>
      <c r="SHN107"/>
      <c r="SHO107"/>
      <c r="SHP107"/>
      <c r="SHQ107"/>
      <c r="SHR107"/>
      <c r="SHS107"/>
      <c r="SHT107"/>
      <c r="SHU107"/>
      <c r="SHV107"/>
      <c r="SHW107"/>
      <c r="SHX107"/>
      <c r="SHY107"/>
      <c r="SHZ107"/>
      <c r="SIA107"/>
      <c r="SIB107"/>
      <c r="SIC107"/>
      <c r="SID107"/>
      <c r="SIE107"/>
      <c r="SIF107"/>
      <c r="SIG107"/>
      <c r="SIH107"/>
      <c r="SII107"/>
      <c r="SIJ107"/>
      <c r="SIK107"/>
      <c r="SIL107"/>
      <c r="SIM107"/>
      <c r="SIN107"/>
      <c r="SIO107"/>
      <c r="SIP107"/>
      <c r="SIQ107"/>
      <c r="SIR107"/>
      <c r="SIS107"/>
      <c r="SIT107"/>
      <c r="SIU107"/>
      <c r="SIV107"/>
      <c r="SIW107"/>
      <c r="SIX107"/>
      <c r="SIY107"/>
      <c r="SIZ107"/>
      <c r="SJA107"/>
      <c r="SJB107"/>
      <c r="SJC107"/>
      <c r="SJD107"/>
      <c r="SJE107"/>
      <c r="SJF107"/>
      <c r="SJG107"/>
      <c r="SJH107"/>
      <c r="SJI107"/>
      <c r="SJJ107"/>
      <c r="SJK107"/>
      <c r="SJL107"/>
      <c r="SJM107"/>
      <c r="SJN107"/>
      <c r="SJO107"/>
      <c r="SJP107"/>
      <c r="SJQ107"/>
      <c r="SJR107"/>
      <c r="SJS107"/>
      <c r="SJT107"/>
      <c r="SJU107"/>
      <c r="SJV107"/>
      <c r="SJW107"/>
      <c r="SJX107"/>
      <c r="SJY107"/>
      <c r="SJZ107"/>
      <c r="SKA107"/>
      <c r="SKB107"/>
      <c r="SKC107"/>
      <c r="SKD107"/>
      <c r="SKE107"/>
      <c r="SKF107"/>
      <c r="SKG107"/>
      <c r="SKH107"/>
      <c r="SKI107"/>
      <c r="SKJ107"/>
      <c r="SKK107"/>
      <c r="SKL107"/>
      <c r="SKM107"/>
      <c r="SKN107"/>
      <c r="SKO107"/>
      <c r="SKP107"/>
      <c r="SKQ107"/>
      <c r="SKR107"/>
      <c r="SKS107"/>
      <c r="SKT107"/>
      <c r="SKU107"/>
      <c r="SKV107"/>
      <c r="SKW107"/>
      <c r="SKX107"/>
      <c r="SKY107"/>
      <c r="SKZ107"/>
      <c r="SLA107"/>
      <c r="SLB107"/>
      <c r="SLC107"/>
      <c r="SLD107"/>
      <c r="SLE107"/>
      <c r="SLF107"/>
      <c r="SLG107"/>
      <c r="SLH107"/>
      <c r="SLI107"/>
      <c r="SLJ107"/>
      <c r="SLK107"/>
      <c r="SLL107"/>
      <c r="SLM107"/>
      <c r="SLN107"/>
      <c r="SLO107"/>
      <c r="SLP107"/>
      <c r="SLQ107"/>
      <c r="SLR107"/>
      <c r="SLS107"/>
      <c r="SLT107"/>
      <c r="SLU107"/>
      <c r="SLV107"/>
      <c r="SLW107"/>
      <c r="SLX107"/>
      <c r="SLY107"/>
      <c r="SLZ107"/>
      <c r="SMA107"/>
      <c r="SMB107"/>
      <c r="SMC107"/>
      <c r="SMD107"/>
      <c r="SME107"/>
      <c r="SMF107"/>
      <c r="SMG107"/>
      <c r="SMH107"/>
      <c r="SMI107"/>
      <c r="SMJ107"/>
      <c r="SMK107"/>
      <c r="SML107"/>
      <c r="SMM107"/>
      <c r="SMN107"/>
      <c r="SMO107"/>
      <c r="SMP107"/>
      <c r="SMQ107"/>
      <c r="SMR107"/>
      <c r="SMS107"/>
      <c r="SMT107"/>
      <c r="SMU107"/>
      <c r="SMV107"/>
      <c r="SMW107"/>
      <c r="SMX107"/>
      <c r="SMY107"/>
      <c r="SMZ107"/>
      <c r="SNA107"/>
      <c r="SNB107"/>
      <c r="SNC107"/>
      <c r="SND107"/>
      <c r="SNE107"/>
      <c r="SNF107"/>
      <c r="SNG107"/>
      <c r="SNH107"/>
      <c r="SNI107"/>
      <c r="SNJ107"/>
      <c r="SNK107"/>
      <c r="SNL107"/>
      <c r="SNM107"/>
      <c r="SNN107"/>
      <c r="SNO107"/>
      <c r="SNP107"/>
      <c r="SNQ107"/>
      <c r="SNR107"/>
      <c r="SNS107"/>
      <c r="SNT107"/>
      <c r="SNU107"/>
      <c r="SNV107"/>
      <c r="SNW107"/>
      <c r="SNX107"/>
      <c r="SNY107"/>
      <c r="SNZ107"/>
      <c r="SOA107"/>
      <c r="SOB107"/>
      <c r="SOC107"/>
      <c r="SOD107"/>
      <c r="SOE107"/>
      <c r="SOF107"/>
      <c r="SOG107"/>
      <c r="SOH107"/>
      <c r="SOI107"/>
      <c r="SOJ107"/>
      <c r="SOK107"/>
      <c r="SOL107"/>
      <c r="SOM107"/>
      <c r="SON107"/>
      <c r="SOO107"/>
      <c r="SOP107"/>
      <c r="SOQ107"/>
      <c r="SOR107"/>
      <c r="SOS107"/>
      <c r="SOT107"/>
      <c r="SOU107"/>
      <c r="SOV107"/>
      <c r="SOW107"/>
      <c r="SOX107"/>
      <c r="SOY107"/>
      <c r="SOZ107"/>
      <c r="SPA107"/>
      <c r="SPB107"/>
      <c r="SPC107"/>
      <c r="SPD107"/>
      <c r="SPE107"/>
      <c r="SPF107"/>
      <c r="SPG107"/>
      <c r="SPH107"/>
      <c r="SPI107"/>
      <c r="SPJ107"/>
      <c r="SPK107"/>
      <c r="SPL107"/>
      <c r="SPM107"/>
      <c r="SPN107"/>
      <c r="SPO107"/>
      <c r="SPP107"/>
      <c r="SPQ107"/>
      <c r="SPR107"/>
      <c r="SPS107"/>
      <c r="SPT107"/>
      <c r="SPU107"/>
      <c r="SPV107"/>
      <c r="SPW107"/>
      <c r="SPX107"/>
      <c r="SPY107"/>
      <c r="SPZ107"/>
      <c r="SQA107"/>
      <c r="SQB107"/>
      <c r="SQC107"/>
      <c r="SQD107"/>
      <c r="SQE107"/>
      <c r="SQF107"/>
      <c r="SQG107"/>
      <c r="SQH107"/>
      <c r="SQI107"/>
      <c r="SQJ107"/>
      <c r="SQK107"/>
      <c r="SQL107"/>
      <c r="SQM107"/>
      <c r="SQN107"/>
      <c r="SQO107"/>
      <c r="SQP107"/>
      <c r="SQQ107"/>
      <c r="SQR107"/>
      <c r="SQS107"/>
      <c r="SQT107"/>
      <c r="SQU107"/>
      <c r="SQV107"/>
      <c r="SQW107"/>
      <c r="SQX107"/>
      <c r="SQY107"/>
      <c r="SQZ107"/>
      <c r="SRA107"/>
      <c r="SRB107"/>
      <c r="SRC107"/>
      <c r="SRD107"/>
      <c r="SRE107"/>
      <c r="SRF107"/>
      <c r="SRG107"/>
      <c r="SRH107"/>
      <c r="SRI107"/>
      <c r="SRJ107"/>
      <c r="SRK107"/>
      <c r="SRL107"/>
      <c r="SRM107"/>
      <c r="SRN107"/>
      <c r="SRO107"/>
      <c r="SRP107"/>
      <c r="SRQ107"/>
      <c r="SRR107"/>
      <c r="SRS107"/>
      <c r="SRT107"/>
      <c r="SRU107"/>
      <c r="SRV107"/>
      <c r="SRW107"/>
      <c r="SRX107"/>
      <c r="SRY107"/>
      <c r="SRZ107"/>
      <c r="SSA107"/>
      <c r="SSB107"/>
      <c r="SSC107"/>
      <c r="SSD107"/>
      <c r="SSE107"/>
      <c r="SSF107"/>
      <c r="SSG107"/>
      <c r="SSH107"/>
      <c r="SSI107"/>
      <c r="SSJ107"/>
      <c r="SSK107"/>
      <c r="SSL107"/>
      <c r="SSM107"/>
      <c r="SSN107"/>
      <c r="SSO107"/>
      <c r="SSP107"/>
      <c r="SSQ107"/>
      <c r="SSR107"/>
      <c r="SSS107"/>
      <c r="SST107"/>
      <c r="SSU107"/>
      <c r="SSV107"/>
      <c r="SSW107"/>
      <c r="SSX107"/>
      <c r="SSY107"/>
      <c r="SSZ107"/>
      <c r="STA107"/>
      <c r="STB107"/>
      <c r="STC107"/>
      <c r="STD107"/>
      <c r="STE107"/>
      <c r="STF107"/>
      <c r="STG107"/>
      <c r="STH107"/>
      <c r="STI107"/>
      <c r="STJ107"/>
      <c r="STK107"/>
      <c r="STL107"/>
      <c r="STM107"/>
      <c r="STN107"/>
      <c r="STO107"/>
      <c r="STP107"/>
      <c r="STQ107"/>
      <c r="STR107"/>
      <c r="STS107"/>
      <c r="STT107"/>
      <c r="STU107"/>
      <c r="STV107"/>
      <c r="STW107"/>
      <c r="STX107"/>
      <c r="STY107"/>
      <c r="STZ107"/>
      <c r="SUA107"/>
      <c r="SUB107"/>
      <c r="SUC107"/>
      <c r="SUD107"/>
      <c r="SUE107"/>
      <c r="SUF107"/>
      <c r="SUG107"/>
      <c r="SUH107"/>
      <c r="SUI107"/>
      <c r="SUJ107"/>
      <c r="SUK107"/>
      <c r="SUL107"/>
      <c r="SUM107"/>
      <c r="SUN107"/>
      <c r="SUO107"/>
      <c r="SUP107"/>
      <c r="SUQ107"/>
      <c r="SUR107"/>
      <c r="SUS107"/>
      <c r="SUT107"/>
      <c r="SUU107"/>
      <c r="SUV107"/>
      <c r="SUW107"/>
      <c r="SUX107"/>
      <c r="SUY107"/>
      <c r="SUZ107"/>
      <c r="SVA107"/>
      <c r="SVB107"/>
      <c r="SVC107"/>
      <c r="SVD107"/>
      <c r="SVE107"/>
      <c r="SVF107"/>
      <c r="SVG107"/>
      <c r="SVH107"/>
      <c r="SVI107"/>
      <c r="SVJ107"/>
      <c r="SVK107"/>
      <c r="SVL107"/>
      <c r="SVM107"/>
      <c r="SVN107"/>
      <c r="SVO107"/>
      <c r="SVP107"/>
      <c r="SVQ107"/>
      <c r="SVR107"/>
      <c r="SVS107"/>
      <c r="SVT107"/>
      <c r="SVU107"/>
      <c r="SVV107"/>
      <c r="SVW107"/>
      <c r="SVX107"/>
      <c r="SVY107"/>
      <c r="SVZ107"/>
      <c r="SWA107"/>
      <c r="SWB107"/>
      <c r="SWC107"/>
      <c r="SWD107"/>
      <c r="SWE107"/>
      <c r="SWF107"/>
      <c r="SWG107"/>
      <c r="SWH107"/>
      <c r="SWI107"/>
      <c r="SWJ107"/>
      <c r="SWK107"/>
      <c r="SWL107"/>
      <c r="SWM107"/>
      <c r="SWN107"/>
      <c r="SWO107"/>
      <c r="SWP107"/>
      <c r="SWQ107"/>
      <c r="SWR107"/>
      <c r="SWS107"/>
      <c r="SWT107"/>
      <c r="SWU107"/>
      <c r="SWV107"/>
      <c r="SWW107"/>
      <c r="SWX107"/>
      <c r="SWY107"/>
      <c r="SWZ107"/>
      <c r="SXA107"/>
      <c r="SXB107"/>
      <c r="SXC107"/>
      <c r="SXD107"/>
      <c r="SXE107"/>
      <c r="SXF107"/>
      <c r="SXG107"/>
      <c r="SXH107"/>
      <c r="SXI107"/>
      <c r="SXJ107"/>
      <c r="SXK107"/>
      <c r="SXL107"/>
      <c r="SXM107"/>
      <c r="SXN107"/>
      <c r="SXO107"/>
      <c r="SXP107"/>
      <c r="SXQ107"/>
      <c r="SXR107"/>
      <c r="SXS107"/>
      <c r="SXT107"/>
      <c r="SXU107"/>
      <c r="SXV107"/>
      <c r="SXW107"/>
      <c r="SXX107"/>
      <c r="SXY107"/>
      <c r="SXZ107"/>
      <c r="SYA107"/>
      <c r="SYB107"/>
      <c r="SYC107"/>
      <c r="SYD107"/>
      <c r="SYE107"/>
      <c r="SYF107"/>
      <c r="SYG107"/>
      <c r="SYH107"/>
      <c r="SYI107"/>
      <c r="SYJ107"/>
      <c r="SYK107"/>
      <c r="SYL107"/>
      <c r="SYM107"/>
      <c r="SYN107"/>
      <c r="SYO107"/>
      <c r="SYP107"/>
      <c r="SYQ107"/>
      <c r="SYR107"/>
      <c r="SYS107"/>
      <c r="SYT107"/>
      <c r="SYU107"/>
      <c r="SYV107"/>
      <c r="SYW107"/>
      <c r="SYX107"/>
      <c r="SYY107"/>
      <c r="SYZ107"/>
      <c r="SZA107"/>
      <c r="SZB107"/>
      <c r="SZC107"/>
      <c r="SZD107"/>
      <c r="SZE107"/>
      <c r="SZF107"/>
      <c r="SZG107"/>
      <c r="SZH107"/>
      <c r="SZI107"/>
      <c r="SZJ107"/>
      <c r="SZK107"/>
      <c r="SZL107"/>
      <c r="SZM107"/>
      <c r="SZN107"/>
      <c r="SZO107"/>
      <c r="SZP107"/>
      <c r="SZQ107"/>
      <c r="SZR107"/>
      <c r="SZS107"/>
      <c r="SZT107"/>
      <c r="SZU107"/>
      <c r="SZV107"/>
      <c r="SZW107"/>
      <c r="SZX107"/>
      <c r="SZY107"/>
      <c r="SZZ107"/>
      <c r="TAA107"/>
      <c r="TAB107"/>
      <c r="TAC107"/>
      <c r="TAD107"/>
      <c r="TAE107"/>
      <c r="TAF107"/>
      <c r="TAG107"/>
      <c r="TAH107"/>
      <c r="TAI107"/>
      <c r="TAJ107"/>
      <c r="TAK107"/>
      <c r="TAL107"/>
      <c r="TAM107"/>
      <c r="TAN107"/>
      <c r="TAO107"/>
      <c r="TAP107"/>
      <c r="TAQ107"/>
      <c r="TAR107"/>
      <c r="TAS107"/>
      <c r="TAT107"/>
      <c r="TAU107"/>
      <c r="TAV107"/>
      <c r="TAW107"/>
      <c r="TAX107"/>
      <c r="TAY107"/>
      <c r="TAZ107"/>
      <c r="TBA107"/>
      <c r="TBB107"/>
      <c r="TBC107"/>
      <c r="TBD107"/>
      <c r="TBE107"/>
      <c r="TBF107"/>
      <c r="TBG107"/>
      <c r="TBH107"/>
      <c r="TBI107"/>
      <c r="TBJ107"/>
      <c r="TBK107"/>
      <c r="TBL107"/>
      <c r="TBM107"/>
      <c r="TBN107"/>
      <c r="TBO107"/>
      <c r="TBP107"/>
      <c r="TBQ107"/>
      <c r="TBR107"/>
      <c r="TBS107"/>
      <c r="TBT107"/>
      <c r="TBU107"/>
      <c r="TBV107"/>
      <c r="TBW107"/>
      <c r="TBX107"/>
      <c r="TBY107"/>
      <c r="TBZ107"/>
      <c r="TCA107"/>
      <c r="TCB107"/>
      <c r="TCC107"/>
      <c r="TCD107"/>
      <c r="TCE107"/>
      <c r="TCF107"/>
      <c r="TCG107"/>
      <c r="TCH107"/>
      <c r="TCI107"/>
      <c r="TCJ107"/>
      <c r="TCK107"/>
      <c r="TCL107"/>
      <c r="TCM107"/>
      <c r="TCN107"/>
      <c r="TCO107"/>
      <c r="TCP107"/>
      <c r="TCQ107"/>
      <c r="TCR107"/>
      <c r="TCS107"/>
      <c r="TCT107"/>
      <c r="TCU107"/>
      <c r="TCV107"/>
      <c r="TCW107"/>
      <c r="TCX107"/>
      <c r="TCY107"/>
      <c r="TCZ107"/>
      <c r="TDA107"/>
      <c r="TDB107"/>
      <c r="TDC107"/>
      <c r="TDD107"/>
      <c r="TDE107"/>
      <c r="TDF107"/>
      <c r="TDG107"/>
      <c r="TDH107"/>
      <c r="TDI107"/>
      <c r="TDJ107"/>
      <c r="TDK107"/>
      <c r="TDL107"/>
      <c r="TDM107"/>
      <c r="TDN107"/>
      <c r="TDO107"/>
      <c r="TDP107"/>
      <c r="TDQ107"/>
      <c r="TDR107"/>
      <c r="TDS107"/>
      <c r="TDT107"/>
      <c r="TDU107"/>
      <c r="TDV107"/>
      <c r="TDW107"/>
      <c r="TDX107"/>
      <c r="TDY107"/>
      <c r="TDZ107"/>
      <c r="TEA107"/>
      <c r="TEB107"/>
      <c r="TEC107"/>
      <c r="TED107"/>
      <c r="TEE107"/>
      <c r="TEF107"/>
      <c r="TEG107"/>
      <c r="TEH107"/>
      <c r="TEI107"/>
      <c r="TEJ107"/>
      <c r="TEK107"/>
      <c r="TEL107"/>
      <c r="TEM107"/>
      <c r="TEN107"/>
      <c r="TEO107"/>
      <c r="TEP107"/>
      <c r="TEQ107"/>
      <c r="TER107"/>
      <c r="TES107"/>
      <c r="TET107"/>
      <c r="TEU107"/>
      <c r="TEV107"/>
      <c r="TEW107"/>
      <c r="TEX107"/>
      <c r="TEY107"/>
      <c r="TEZ107"/>
      <c r="TFA107"/>
      <c r="TFB107"/>
      <c r="TFC107"/>
      <c r="TFD107"/>
      <c r="TFE107"/>
      <c r="TFF107"/>
      <c r="TFG107"/>
      <c r="TFH107"/>
      <c r="TFI107"/>
      <c r="TFJ107"/>
      <c r="TFK107"/>
      <c r="TFL107"/>
      <c r="TFM107"/>
      <c r="TFN107"/>
      <c r="TFO107"/>
      <c r="TFP107"/>
      <c r="TFQ107"/>
      <c r="TFR107"/>
      <c r="TFS107"/>
      <c r="TFT107"/>
      <c r="TFU107"/>
      <c r="TFV107"/>
      <c r="TFW107"/>
      <c r="TFX107"/>
      <c r="TFY107"/>
      <c r="TFZ107"/>
      <c r="TGA107"/>
      <c r="TGB107"/>
      <c r="TGC107"/>
      <c r="TGD107"/>
      <c r="TGE107"/>
      <c r="TGF107"/>
      <c r="TGG107"/>
      <c r="TGH107"/>
      <c r="TGI107"/>
      <c r="TGJ107"/>
      <c r="TGK107"/>
      <c r="TGL107"/>
      <c r="TGM107"/>
      <c r="TGN107"/>
      <c r="TGO107"/>
      <c r="TGP107"/>
      <c r="TGQ107"/>
      <c r="TGR107"/>
      <c r="TGS107"/>
      <c r="TGT107"/>
      <c r="TGU107"/>
      <c r="TGV107"/>
      <c r="TGW107"/>
      <c r="TGX107"/>
      <c r="TGY107"/>
      <c r="TGZ107"/>
      <c r="THA107"/>
      <c r="THB107"/>
      <c r="THC107"/>
      <c r="THD107"/>
      <c r="THE107"/>
      <c r="THF107"/>
      <c r="THG107"/>
      <c r="THH107"/>
      <c r="THI107"/>
      <c r="THJ107"/>
      <c r="THK107"/>
      <c r="THL107"/>
      <c r="THM107"/>
      <c r="THN107"/>
      <c r="THO107"/>
      <c r="THP107"/>
      <c r="THQ107"/>
      <c r="THR107"/>
      <c r="THS107"/>
      <c r="THT107"/>
      <c r="THU107"/>
      <c r="THV107"/>
      <c r="THW107"/>
      <c r="THX107"/>
      <c r="THY107"/>
      <c r="THZ107"/>
      <c r="TIA107"/>
      <c r="TIB107"/>
      <c r="TIC107"/>
      <c r="TID107"/>
      <c r="TIE107"/>
      <c r="TIF107"/>
      <c r="TIG107"/>
      <c r="TIH107"/>
      <c r="TII107"/>
      <c r="TIJ107"/>
      <c r="TIK107"/>
      <c r="TIL107"/>
      <c r="TIM107"/>
      <c r="TIN107"/>
      <c r="TIO107"/>
      <c r="TIP107"/>
      <c r="TIQ107"/>
      <c r="TIR107"/>
      <c r="TIS107"/>
      <c r="TIT107"/>
      <c r="TIU107"/>
      <c r="TIV107"/>
      <c r="TIW107"/>
      <c r="TIX107"/>
      <c r="TIY107"/>
      <c r="TIZ107"/>
      <c r="TJA107"/>
      <c r="TJB107"/>
      <c r="TJC107"/>
      <c r="TJD107"/>
      <c r="TJE107"/>
      <c r="TJF107"/>
      <c r="TJG107"/>
      <c r="TJH107"/>
      <c r="TJI107"/>
      <c r="TJJ107"/>
      <c r="TJK107"/>
      <c r="TJL107"/>
      <c r="TJM107"/>
      <c r="TJN107"/>
      <c r="TJO107"/>
      <c r="TJP107"/>
      <c r="TJQ107"/>
      <c r="TJR107"/>
      <c r="TJS107"/>
      <c r="TJT107"/>
      <c r="TJU107"/>
      <c r="TJV107"/>
      <c r="TJW107"/>
      <c r="TJX107"/>
      <c r="TJY107"/>
      <c r="TJZ107"/>
      <c r="TKA107"/>
      <c r="TKB107"/>
      <c r="TKC107"/>
      <c r="TKD107"/>
      <c r="TKE107"/>
      <c r="TKF107"/>
      <c r="TKG107"/>
      <c r="TKH107"/>
      <c r="TKI107"/>
      <c r="TKJ107"/>
      <c r="TKK107"/>
      <c r="TKL107"/>
      <c r="TKM107"/>
      <c r="TKN107"/>
      <c r="TKO107"/>
      <c r="TKP107"/>
      <c r="TKQ107"/>
      <c r="TKR107"/>
      <c r="TKS107"/>
      <c r="TKT107"/>
      <c r="TKU107"/>
      <c r="TKV107"/>
      <c r="TKW107"/>
      <c r="TKX107"/>
      <c r="TKY107"/>
      <c r="TKZ107"/>
      <c r="TLA107"/>
      <c r="TLB107"/>
      <c r="TLC107"/>
      <c r="TLD107"/>
      <c r="TLE107"/>
      <c r="TLF107"/>
      <c r="TLG107"/>
      <c r="TLH107"/>
      <c r="TLI107"/>
      <c r="TLJ107"/>
      <c r="TLK107"/>
      <c r="TLL107"/>
      <c r="TLM107"/>
      <c r="TLN107"/>
      <c r="TLO107"/>
      <c r="TLP107"/>
      <c r="TLQ107"/>
      <c r="TLR107"/>
      <c r="TLS107"/>
      <c r="TLT107"/>
      <c r="TLU107"/>
      <c r="TLV107"/>
      <c r="TLW107"/>
      <c r="TLX107"/>
      <c r="TLY107"/>
      <c r="TLZ107"/>
      <c r="TMA107"/>
      <c r="TMB107"/>
      <c r="TMC107"/>
      <c r="TMD107"/>
      <c r="TME107"/>
      <c r="TMF107"/>
      <c r="TMG107"/>
      <c r="TMH107"/>
      <c r="TMI107"/>
      <c r="TMJ107"/>
      <c r="TMK107"/>
      <c r="TML107"/>
      <c r="TMM107"/>
      <c r="TMN107"/>
      <c r="TMO107"/>
      <c r="TMP107"/>
      <c r="TMQ107"/>
      <c r="TMR107"/>
      <c r="TMS107"/>
      <c r="TMT107"/>
      <c r="TMU107"/>
      <c r="TMV107"/>
      <c r="TMW107"/>
      <c r="TMX107"/>
      <c r="TMY107"/>
      <c r="TMZ107"/>
      <c r="TNA107"/>
      <c r="TNB107"/>
      <c r="TNC107"/>
      <c r="TND107"/>
      <c r="TNE107"/>
      <c r="TNF107"/>
      <c r="TNG107"/>
      <c r="TNH107"/>
      <c r="TNI107"/>
      <c r="TNJ107"/>
      <c r="TNK107"/>
      <c r="TNL107"/>
      <c r="TNM107"/>
      <c r="TNN107"/>
      <c r="TNO107"/>
      <c r="TNP107"/>
      <c r="TNQ107"/>
      <c r="TNR107"/>
      <c r="TNS107"/>
      <c r="TNT107"/>
      <c r="TNU107"/>
      <c r="TNV107"/>
      <c r="TNW107"/>
      <c r="TNX107"/>
      <c r="TNY107"/>
      <c r="TNZ107"/>
      <c r="TOA107"/>
      <c r="TOB107"/>
      <c r="TOC107"/>
      <c r="TOD107"/>
      <c r="TOE107"/>
      <c r="TOF107"/>
      <c r="TOG107"/>
      <c r="TOH107"/>
      <c r="TOI107"/>
      <c r="TOJ107"/>
      <c r="TOK107"/>
      <c r="TOL107"/>
      <c r="TOM107"/>
      <c r="TON107"/>
      <c r="TOO107"/>
      <c r="TOP107"/>
      <c r="TOQ107"/>
      <c r="TOR107"/>
      <c r="TOS107"/>
      <c r="TOT107"/>
      <c r="TOU107"/>
      <c r="TOV107"/>
      <c r="TOW107"/>
      <c r="TOX107"/>
      <c r="TOY107"/>
      <c r="TOZ107"/>
      <c r="TPA107"/>
      <c r="TPB107"/>
      <c r="TPC107"/>
      <c r="TPD107"/>
      <c r="TPE107"/>
      <c r="TPF107"/>
      <c r="TPG107"/>
      <c r="TPH107"/>
      <c r="TPI107"/>
      <c r="TPJ107"/>
      <c r="TPK107"/>
      <c r="TPL107"/>
      <c r="TPM107"/>
      <c r="TPN107"/>
      <c r="TPO107"/>
      <c r="TPP107"/>
      <c r="TPQ107"/>
      <c r="TPR107"/>
      <c r="TPS107"/>
      <c r="TPT107"/>
      <c r="TPU107"/>
      <c r="TPV107"/>
      <c r="TPW107"/>
      <c r="TPX107"/>
      <c r="TPY107"/>
      <c r="TPZ107"/>
      <c r="TQA107"/>
      <c r="TQB107"/>
      <c r="TQC107"/>
      <c r="TQD107"/>
      <c r="TQE107"/>
      <c r="TQF107"/>
      <c r="TQG107"/>
      <c r="TQH107"/>
      <c r="TQI107"/>
      <c r="TQJ107"/>
      <c r="TQK107"/>
      <c r="TQL107"/>
      <c r="TQM107"/>
      <c r="TQN107"/>
      <c r="TQO107"/>
      <c r="TQP107"/>
      <c r="TQQ107"/>
      <c r="TQR107"/>
      <c r="TQS107"/>
      <c r="TQT107"/>
      <c r="TQU107"/>
      <c r="TQV107"/>
      <c r="TQW107"/>
      <c r="TQX107"/>
      <c r="TQY107"/>
      <c r="TQZ107"/>
      <c r="TRA107"/>
      <c r="TRB107"/>
      <c r="TRC107"/>
      <c r="TRD107"/>
      <c r="TRE107"/>
      <c r="TRF107"/>
      <c r="TRG107"/>
      <c r="TRH107"/>
      <c r="TRI107"/>
      <c r="TRJ107"/>
      <c r="TRK107"/>
      <c r="TRL107"/>
      <c r="TRM107"/>
      <c r="TRN107"/>
      <c r="TRO107"/>
      <c r="TRP107"/>
      <c r="TRQ107"/>
      <c r="TRR107"/>
      <c r="TRS107"/>
      <c r="TRT107"/>
      <c r="TRU107"/>
      <c r="TRV107"/>
      <c r="TRW107"/>
      <c r="TRX107"/>
      <c r="TRY107"/>
      <c r="TRZ107"/>
      <c r="TSA107"/>
      <c r="TSB107"/>
      <c r="TSC107"/>
      <c r="TSD107"/>
      <c r="TSE107"/>
      <c r="TSF107"/>
      <c r="TSG107"/>
      <c r="TSH107"/>
      <c r="TSI107"/>
      <c r="TSJ107"/>
      <c r="TSK107"/>
      <c r="TSL107"/>
      <c r="TSM107"/>
      <c r="TSN107"/>
      <c r="TSO107"/>
      <c r="TSP107"/>
      <c r="TSQ107"/>
      <c r="TSR107"/>
      <c r="TSS107"/>
      <c r="TST107"/>
      <c r="TSU107"/>
      <c r="TSV107"/>
      <c r="TSW107"/>
      <c r="TSX107"/>
      <c r="TSY107"/>
      <c r="TSZ107"/>
      <c r="TTA107"/>
      <c r="TTB107"/>
      <c r="TTC107"/>
      <c r="TTD107"/>
      <c r="TTE107"/>
      <c r="TTF107"/>
      <c r="TTG107"/>
      <c r="TTH107"/>
      <c r="TTI107"/>
      <c r="TTJ107"/>
      <c r="TTK107"/>
      <c r="TTL107"/>
      <c r="TTM107"/>
      <c r="TTN107"/>
      <c r="TTO107"/>
      <c r="TTP107"/>
      <c r="TTQ107"/>
      <c r="TTR107"/>
      <c r="TTS107"/>
      <c r="TTT107"/>
      <c r="TTU107"/>
      <c r="TTV107"/>
      <c r="TTW107"/>
      <c r="TTX107"/>
      <c r="TTY107"/>
      <c r="TTZ107"/>
      <c r="TUA107"/>
      <c r="TUB107"/>
      <c r="TUC107"/>
      <c r="TUD107"/>
      <c r="TUE107"/>
      <c r="TUF107"/>
      <c r="TUG107"/>
      <c r="TUH107"/>
      <c r="TUI107"/>
      <c r="TUJ107"/>
      <c r="TUK107"/>
      <c r="TUL107"/>
      <c r="TUM107"/>
      <c r="TUN107"/>
      <c r="TUO107"/>
      <c r="TUP107"/>
      <c r="TUQ107"/>
      <c r="TUR107"/>
      <c r="TUS107"/>
      <c r="TUT107"/>
      <c r="TUU107"/>
      <c r="TUV107"/>
      <c r="TUW107"/>
      <c r="TUX107"/>
      <c r="TUY107"/>
      <c r="TUZ107"/>
      <c r="TVA107"/>
      <c r="TVB107"/>
      <c r="TVC107"/>
      <c r="TVD107"/>
      <c r="TVE107"/>
      <c r="TVF107"/>
      <c r="TVG107"/>
      <c r="TVH107"/>
      <c r="TVI107"/>
      <c r="TVJ107"/>
      <c r="TVK107"/>
      <c r="TVL107"/>
      <c r="TVM107"/>
      <c r="TVN107"/>
      <c r="TVO107"/>
      <c r="TVP107"/>
      <c r="TVQ107"/>
      <c r="TVR107"/>
      <c r="TVS107"/>
      <c r="TVT107"/>
      <c r="TVU107"/>
      <c r="TVV107"/>
      <c r="TVW107"/>
      <c r="TVX107"/>
      <c r="TVY107"/>
      <c r="TVZ107"/>
      <c r="TWA107"/>
      <c r="TWB107"/>
      <c r="TWC107"/>
      <c r="TWD107"/>
      <c r="TWE107"/>
      <c r="TWF107"/>
      <c r="TWG107"/>
      <c r="TWH107"/>
      <c r="TWI107"/>
      <c r="TWJ107"/>
      <c r="TWK107"/>
      <c r="TWL107"/>
      <c r="TWM107"/>
      <c r="TWN107"/>
      <c r="TWO107"/>
      <c r="TWP107"/>
      <c r="TWQ107"/>
      <c r="TWR107"/>
      <c r="TWS107"/>
      <c r="TWT107"/>
      <c r="TWU107"/>
      <c r="TWV107"/>
      <c r="TWW107"/>
      <c r="TWX107"/>
      <c r="TWY107"/>
      <c r="TWZ107"/>
      <c r="TXA107"/>
      <c r="TXB107"/>
      <c r="TXC107"/>
      <c r="TXD107"/>
      <c r="TXE107"/>
      <c r="TXF107"/>
      <c r="TXG107"/>
      <c r="TXH107"/>
      <c r="TXI107"/>
      <c r="TXJ107"/>
      <c r="TXK107"/>
      <c r="TXL107"/>
      <c r="TXM107"/>
      <c r="TXN107"/>
      <c r="TXO107"/>
      <c r="TXP107"/>
      <c r="TXQ107"/>
      <c r="TXR107"/>
      <c r="TXS107"/>
      <c r="TXT107"/>
      <c r="TXU107"/>
      <c r="TXV107"/>
      <c r="TXW107"/>
      <c r="TXX107"/>
      <c r="TXY107"/>
      <c r="TXZ107"/>
      <c r="TYA107"/>
      <c r="TYB107"/>
      <c r="TYC107"/>
      <c r="TYD107"/>
      <c r="TYE107"/>
      <c r="TYF107"/>
      <c r="TYG107"/>
      <c r="TYH107"/>
      <c r="TYI107"/>
      <c r="TYJ107"/>
      <c r="TYK107"/>
      <c r="TYL107"/>
      <c r="TYM107"/>
      <c r="TYN107"/>
      <c r="TYO107"/>
      <c r="TYP107"/>
      <c r="TYQ107"/>
      <c r="TYR107"/>
      <c r="TYS107"/>
      <c r="TYT107"/>
      <c r="TYU107"/>
      <c r="TYV107"/>
      <c r="TYW107"/>
      <c r="TYX107"/>
      <c r="TYY107"/>
      <c r="TYZ107"/>
      <c r="TZA107"/>
      <c r="TZB107"/>
      <c r="TZC107"/>
      <c r="TZD107"/>
      <c r="TZE107"/>
      <c r="TZF107"/>
      <c r="TZG107"/>
      <c r="TZH107"/>
      <c r="TZI107"/>
      <c r="TZJ107"/>
      <c r="TZK107"/>
      <c r="TZL107"/>
      <c r="TZM107"/>
      <c r="TZN107"/>
      <c r="TZO107"/>
      <c r="TZP107"/>
      <c r="TZQ107"/>
      <c r="TZR107"/>
      <c r="TZS107"/>
      <c r="TZT107"/>
      <c r="TZU107"/>
      <c r="TZV107"/>
      <c r="TZW107"/>
      <c r="TZX107"/>
      <c r="TZY107"/>
      <c r="TZZ107"/>
      <c r="UAA107"/>
      <c r="UAB107"/>
      <c r="UAC107"/>
      <c r="UAD107"/>
      <c r="UAE107"/>
      <c r="UAF107"/>
      <c r="UAG107"/>
      <c r="UAH107"/>
      <c r="UAI107"/>
      <c r="UAJ107"/>
      <c r="UAK107"/>
      <c r="UAL107"/>
      <c r="UAM107"/>
      <c r="UAN107"/>
      <c r="UAO107"/>
      <c r="UAP107"/>
      <c r="UAQ107"/>
      <c r="UAR107"/>
      <c r="UAS107"/>
      <c r="UAT107"/>
      <c r="UAU107"/>
      <c r="UAV107"/>
      <c r="UAW107"/>
      <c r="UAX107"/>
      <c r="UAY107"/>
      <c r="UAZ107"/>
      <c r="UBA107"/>
      <c r="UBB107"/>
      <c r="UBC107"/>
      <c r="UBD107"/>
      <c r="UBE107"/>
      <c r="UBF107"/>
      <c r="UBG107"/>
      <c r="UBH107"/>
      <c r="UBI107"/>
      <c r="UBJ107"/>
      <c r="UBK107"/>
      <c r="UBL107"/>
      <c r="UBM107"/>
      <c r="UBN107"/>
      <c r="UBO107"/>
      <c r="UBP107"/>
      <c r="UBQ107"/>
      <c r="UBR107"/>
      <c r="UBS107"/>
      <c r="UBT107"/>
      <c r="UBU107"/>
      <c r="UBV107"/>
      <c r="UBW107"/>
      <c r="UBX107"/>
      <c r="UBY107"/>
      <c r="UBZ107"/>
      <c r="UCA107"/>
      <c r="UCB107"/>
      <c r="UCC107"/>
      <c r="UCD107"/>
      <c r="UCE107"/>
      <c r="UCF107"/>
      <c r="UCG107"/>
      <c r="UCH107"/>
      <c r="UCI107"/>
      <c r="UCJ107"/>
      <c r="UCK107"/>
      <c r="UCL107"/>
      <c r="UCM107"/>
      <c r="UCN107"/>
      <c r="UCO107"/>
      <c r="UCP107"/>
      <c r="UCQ107"/>
      <c r="UCR107"/>
      <c r="UCS107"/>
      <c r="UCT107"/>
      <c r="UCU107"/>
      <c r="UCV107"/>
      <c r="UCW107"/>
      <c r="UCX107"/>
      <c r="UCY107"/>
      <c r="UCZ107"/>
      <c r="UDA107"/>
      <c r="UDB107"/>
      <c r="UDC107"/>
      <c r="UDD107"/>
      <c r="UDE107"/>
      <c r="UDF107"/>
      <c r="UDG107"/>
      <c r="UDH107"/>
      <c r="UDI107"/>
      <c r="UDJ107"/>
      <c r="UDK107"/>
      <c r="UDL107"/>
      <c r="UDM107"/>
      <c r="UDN107"/>
      <c r="UDO107"/>
      <c r="UDP107"/>
      <c r="UDQ107"/>
      <c r="UDR107"/>
      <c r="UDS107"/>
      <c r="UDT107"/>
      <c r="UDU107"/>
      <c r="UDV107"/>
      <c r="UDW107"/>
      <c r="UDX107"/>
      <c r="UDY107"/>
      <c r="UDZ107"/>
      <c r="UEA107"/>
      <c r="UEB107"/>
      <c r="UEC107"/>
      <c r="UED107"/>
      <c r="UEE107"/>
      <c r="UEF107"/>
      <c r="UEG107"/>
      <c r="UEH107"/>
      <c r="UEI107"/>
      <c r="UEJ107"/>
      <c r="UEK107"/>
      <c r="UEL107"/>
      <c r="UEM107"/>
      <c r="UEN107"/>
      <c r="UEO107"/>
      <c r="UEP107"/>
      <c r="UEQ107"/>
      <c r="UER107"/>
      <c r="UES107"/>
      <c r="UET107"/>
      <c r="UEU107"/>
      <c r="UEV107"/>
      <c r="UEW107"/>
      <c r="UEX107"/>
      <c r="UEY107"/>
      <c r="UEZ107"/>
      <c r="UFA107"/>
      <c r="UFB107"/>
      <c r="UFC107"/>
      <c r="UFD107"/>
      <c r="UFE107"/>
      <c r="UFF107"/>
      <c r="UFG107"/>
      <c r="UFH107"/>
      <c r="UFI107"/>
      <c r="UFJ107"/>
      <c r="UFK107"/>
      <c r="UFL107"/>
      <c r="UFM107"/>
      <c r="UFN107"/>
      <c r="UFO107"/>
      <c r="UFP107"/>
      <c r="UFQ107"/>
      <c r="UFR107"/>
      <c r="UFS107"/>
      <c r="UFT107"/>
      <c r="UFU107"/>
      <c r="UFV107"/>
      <c r="UFW107"/>
      <c r="UFX107"/>
      <c r="UFY107"/>
      <c r="UFZ107"/>
      <c r="UGA107"/>
      <c r="UGB107"/>
      <c r="UGC107"/>
      <c r="UGD107"/>
      <c r="UGE107"/>
      <c r="UGF107"/>
      <c r="UGG107"/>
      <c r="UGH107"/>
      <c r="UGI107"/>
      <c r="UGJ107"/>
      <c r="UGK107"/>
      <c r="UGL107"/>
      <c r="UGM107"/>
      <c r="UGN107"/>
      <c r="UGO107"/>
      <c r="UGP107"/>
      <c r="UGQ107"/>
      <c r="UGR107"/>
      <c r="UGS107"/>
      <c r="UGT107"/>
      <c r="UGU107"/>
      <c r="UGV107"/>
      <c r="UGW107"/>
      <c r="UGX107"/>
      <c r="UGY107"/>
      <c r="UGZ107"/>
      <c r="UHA107"/>
      <c r="UHB107"/>
      <c r="UHC107"/>
      <c r="UHD107"/>
      <c r="UHE107"/>
      <c r="UHF107"/>
      <c r="UHG107"/>
      <c r="UHH107"/>
      <c r="UHI107"/>
      <c r="UHJ107"/>
      <c r="UHK107"/>
      <c r="UHL107"/>
      <c r="UHM107"/>
      <c r="UHN107"/>
      <c r="UHO107"/>
      <c r="UHP107"/>
      <c r="UHQ107"/>
      <c r="UHR107"/>
      <c r="UHS107"/>
      <c r="UHT107"/>
      <c r="UHU107"/>
      <c r="UHV107"/>
      <c r="UHW107"/>
      <c r="UHX107"/>
      <c r="UHY107"/>
      <c r="UHZ107"/>
      <c r="UIA107"/>
      <c r="UIB107"/>
      <c r="UIC107"/>
      <c r="UID107"/>
      <c r="UIE107"/>
      <c r="UIF107"/>
      <c r="UIG107"/>
      <c r="UIH107"/>
      <c r="UII107"/>
      <c r="UIJ107"/>
      <c r="UIK107"/>
      <c r="UIL107"/>
      <c r="UIM107"/>
      <c r="UIN107"/>
      <c r="UIO107"/>
      <c r="UIP107"/>
      <c r="UIQ107"/>
      <c r="UIR107"/>
      <c r="UIS107"/>
      <c r="UIT107"/>
      <c r="UIU107"/>
      <c r="UIV107"/>
      <c r="UIW107"/>
      <c r="UIX107"/>
      <c r="UIY107"/>
      <c r="UIZ107"/>
      <c r="UJA107"/>
      <c r="UJB107"/>
      <c r="UJC107"/>
      <c r="UJD107"/>
      <c r="UJE107"/>
      <c r="UJF107"/>
      <c r="UJG107"/>
      <c r="UJH107"/>
      <c r="UJI107"/>
      <c r="UJJ107"/>
      <c r="UJK107"/>
      <c r="UJL107"/>
      <c r="UJM107"/>
      <c r="UJN107"/>
      <c r="UJO107"/>
      <c r="UJP107"/>
      <c r="UJQ107"/>
      <c r="UJR107"/>
      <c r="UJS107"/>
      <c r="UJT107"/>
      <c r="UJU107"/>
      <c r="UJV107"/>
      <c r="UJW107"/>
      <c r="UJX107"/>
      <c r="UJY107"/>
      <c r="UJZ107"/>
      <c r="UKA107"/>
      <c r="UKB107"/>
      <c r="UKC107"/>
      <c r="UKD107"/>
      <c r="UKE107"/>
      <c r="UKF107"/>
      <c r="UKG107"/>
      <c r="UKH107"/>
      <c r="UKI107"/>
      <c r="UKJ107"/>
      <c r="UKK107"/>
      <c r="UKL107"/>
      <c r="UKM107"/>
      <c r="UKN107"/>
      <c r="UKO107"/>
      <c r="UKP107"/>
      <c r="UKQ107"/>
      <c r="UKR107"/>
      <c r="UKS107"/>
      <c r="UKT107"/>
      <c r="UKU107"/>
      <c r="UKV107"/>
      <c r="UKW107"/>
      <c r="UKX107"/>
      <c r="UKY107"/>
      <c r="UKZ107"/>
      <c r="ULA107"/>
      <c r="ULB107"/>
      <c r="ULC107"/>
      <c r="ULD107"/>
      <c r="ULE107"/>
      <c r="ULF107"/>
      <c r="ULG107"/>
      <c r="ULH107"/>
      <c r="ULI107"/>
      <c r="ULJ107"/>
      <c r="ULK107"/>
      <c r="ULL107"/>
      <c r="ULM107"/>
      <c r="ULN107"/>
      <c r="ULO107"/>
      <c r="ULP107"/>
      <c r="ULQ107"/>
      <c r="ULR107"/>
      <c r="ULS107"/>
      <c r="ULT107"/>
      <c r="ULU107"/>
      <c r="ULV107"/>
      <c r="ULW107"/>
      <c r="ULX107"/>
      <c r="ULY107"/>
      <c r="ULZ107"/>
      <c r="UMA107"/>
      <c r="UMB107"/>
      <c r="UMC107"/>
      <c r="UMD107"/>
      <c r="UME107"/>
      <c r="UMF107"/>
      <c r="UMG107"/>
      <c r="UMH107"/>
      <c r="UMI107"/>
      <c r="UMJ107"/>
      <c r="UMK107"/>
      <c r="UML107"/>
      <c r="UMM107"/>
      <c r="UMN107"/>
      <c r="UMO107"/>
      <c r="UMP107"/>
      <c r="UMQ107"/>
      <c r="UMR107"/>
      <c r="UMS107"/>
      <c r="UMT107"/>
      <c r="UMU107"/>
      <c r="UMV107"/>
      <c r="UMW107"/>
      <c r="UMX107"/>
      <c r="UMY107"/>
      <c r="UMZ107"/>
      <c r="UNA107"/>
      <c r="UNB107"/>
      <c r="UNC107"/>
      <c r="UND107"/>
      <c r="UNE107"/>
      <c r="UNF107"/>
      <c r="UNG107"/>
      <c r="UNH107"/>
      <c r="UNI107"/>
      <c r="UNJ107"/>
      <c r="UNK107"/>
      <c r="UNL107"/>
      <c r="UNM107"/>
      <c r="UNN107"/>
      <c r="UNO107"/>
      <c r="UNP107"/>
      <c r="UNQ107"/>
      <c r="UNR107"/>
      <c r="UNS107"/>
      <c r="UNT107"/>
      <c r="UNU107"/>
      <c r="UNV107"/>
      <c r="UNW107"/>
      <c r="UNX107"/>
      <c r="UNY107"/>
      <c r="UNZ107"/>
      <c r="UOA107"/>
      <c r="UOB107"/>
      <c r="UOC107"/>
      <c r="UOD107"/>
      <c r="UOE107"/>
      <c r="UOF107"/>
      <c r="UOG107"/>
      <c r="UOH107"/>
      <c r="UOI107"/>
      <c r="UOJ107"/>
      <c r="UOK107"/>
      <c r="UOL107"/>
      <c r="UOM107"/>
      <c r="UON107"/>
      <c r="UOO107"/>
      <c r="UOP107"/>
      <c r="UOQ107"/>
      <c r="UOR107"/>
      <c r="UOS107"/>
      <c r="UOT107"/>
      <c r="UOU107"/>
      <c r="UOV107"/>
      <c r="UOW107"/>
      <c r="UOX107"/>
      <c r="UOY107"/>
      <c r="UOZ107"/>
      <c r="UPA107"/>
      <c r="UPB107"/>
      <c r="UPC107"/>
      <c r="UPD107"/>
      <c r="UPE107"/>
      <c r="UPF107"/>
      <c r="UPG107"/>
      <c r="UPH107"/>
      <c r="UPI107"/>
      <c r="UPJ107"/>
      <c r="UPK107"/>
      <c r="UPL107"/>
      <c r="UPM107"/>
      <c r="UPN107"/>
      <c r="UPO107"/>
      <c r="UPP107"/>
      <c r="UPQ107"/>
      <c r="UPR107"/>
      <c r="UPS107"/>
      <c r="UPT107"/>
      <c r="UPU107"/>
      <c r="UPV107"/>
      <c r="UPW107"/>
      <c r="UPX107"/>
      <c r="UPY107"/>
      <c r="UPZ107"/>
      <c r="UQA107"/>
      <c r="UQB107"/>
      <c r="UQC107"/>
      <c r="UQD107"/>
      <c r="UQE107"/>
      <c r="UQF107"/>
      <c r="UQG107"/>
      <c r="UQH107"/>
      <c r="UQI107"/>
      <c r="UQJ107"/>
      <c r="UQK107"/>
      <c r="UQL107"/>
      <c r="UQM107"/>
      <c r="UQN107"/>
      <c r="UQO107"/>
      <c r="UQP107"/>
      <c r="UQQ107"/>
      <c r="UQR107"/>
      <c r="UQS107"/>
      <c r="UQT107"/>
      <c r="UQU107"/>
      <c r="UQV107"/>
      <c r="UQW107"/>
      <c r="UQX107"/>
      <c r="UQY107"/>
      <c r="UQZ107"/>
      <c r="URA107"/>
      <c r="URB107"/>
      <c r="URC107"/>
      <c r="URD107"/>
      <c r="URE107"/>
      <c r="URF107"/>
      <c r="URG107"/>
      <c r="URH107"/>
      <c r="URI107"/>
      <c r="URJ107"/>
      <c r="URK107"/>
      <c r="URL107"/>
      <c r="URM107"/>
      <c r="URN107"/>
      <c r="URO107"/>
      <c r="URP107"/>
      <c r="URQ107"/>
      <c r="URR107"/>
      <c r="URS107"/>
      <c r="URT107"/>
      <c r="URU107"/>
      <c r="URV107"/>
      <c r="URW107"/>
      <c r="URX107"/>
      <c r="URY107"/>
      <c r="URZ107"/>
      <c r="USA107"/>
      <c r="USB107"/>
      <c r="USC107"/>
      <c r="USD107"/>
      <c r="USE107"/>
      <c r="USF107"/>
      <c r="USG107"/>
      <c r="USH107"/>
      <c r="USI107"/>
      <c r="USJ107"/>
      <c r="USK107"/>
      <c r="USL107"/>
      <c r="USM107"/>
      <c r="USN107"/>
      <c r="USO107"/>
      <c r="USP107"/>
      <c r="USQ107"/>
      <c r="USR107"/>
      <c r="USS107"/>
      <c r="UST107"/>
      <c r="USU107"/>
      <c r="USV107"/>
      <c r="USW107"/>
      <c r="USX107"/>
      <c r="USY107"/>
      <c r="USZ107"/>
      <c r="UTA107"/>
      <c r="UTB107"/>
      <c r="UTC107"/>
      <c r="UTD107"/>
      <c r="UTE107"/>
      <c r="UTF107"/>
      <c r="UTG107"/>
      <c r="UTH107"/>
      <c r="UTI107"/>
      <c r="UTJ107"/>
      <c r="UTK107"/>
      <c r="UTL107"/>
      <c r="UTM107"/>
      <c r="UTN107"/>
      <c r="UTO107"/>
      <c r="UTP107"/>
      <c r="UTQ107"/>
      <c r="UTR107"/>
      <c r="UTS107"/>
      <c r="UTT107"/>
      <c r="UTU107"/>
      <c r="UTV107"/>
      <c r="UTW107"/>
      <c r="UTX107"/>
      <c r="UTY107"/>
      <c r="UTZ107"/>
      <c r="UUA107"/>
      <c r="UUB107"/>
      <c r="UUC107"/>
      <c r="UUD107"/>
      <c r="UUE107"/>
      <c r="UUF107"/>
      <c r="UUG107"/>
      <c r="UUH107"/>
      <c r="UUI107"/>
      <c r="UUJ107"/>
      <c r="UUK107"/>
      <c r="UUL107"/>
      <c r="UUM107"/>
      <c r="UUN107"/>
      <c r="UUO107"/>
      <c r="UUP107"/>
      <c r="UUQ107"/>
      <c r="UUR107"/>
      <c r="UUS107"/>
      <c r="UUT107"/>
      <c r="UUU107"/>
      <c r="UUV107"/>
      <c r="UUW107"/>
      <c r="UUX107"/>
      <c r="UUY107"/>
      <c r="UUZ107"/>
      <c r="UVA107"/>
      <c r="UVB107"/>
      <c r="UVC107"/>
      <c r="UVD107"/>
      <c r="UVE107"/>
      <c r="UVF107"/>
      <c r="UVG107"/>
      <c r="UVH107"/>
      <c r="UVI107"/>
      <c r="UVJ107"/>
      <c r="UVK107"/>
      <c r="UVL107"/>
      <c r="UVM107"/>
      <c r="UVN107"/>
      <c r="UVO107"/>
      <c r="UVP107"/>
      <c r="UVQ107"/>
      <c r="UVR107"/>
      <c r="UVS107"/>
      <c r="UVT107"/>
      <c r="UVU107"/>
      <c r="UVV107"/>
      <c r="UVW107"/>
      <c r="UVX107"/>
      <c r="UVY107"/>
      <c r="UVZ107"/>
      <c r="UWA107"/>
      <c r="UWB107"/>
      <c r="UWC107"/>
      <c r="UWD107"/>
      <c r="UWE107"/>
      <c r="UWF107"/>
      <c r="UWG107"/>
      <c r="UWH107"/>
      <c r="UWI107"/>
      <c r="UWJ107"/>
      <c r="UWK107"/>
      <c r="UWL107"/>
      <c r="UWM107"/>
      <c r="UWN107"/>
      <c r="UWO107"/>
      <c r="UWP107"/>
      <c r="UWQ107"/>
      <c r="UWR107"/>
      <c r="UWS107"/>
      <c r="UWT107"/>
      <c r="UWU107"/>
      <c r="UWV107"/>
      <c r="UWW107"/>
      <c r="UWX107"/>
      <c r="UWY107"/>
      <c r="UWZ107"/>
      <c r="UXA107"/>
      <c r="UXB107"/>
      <c r="UXC107"/>
      <c r="UXD107"/>
      <c r="UXE107"/>
      <c r="UXF107"/>
      <c r="UXG107"/>
      <c r="UXH107"/>
      <c r="UXI107"/>
      <c r="UXJ107"/>
      <c r="UXK107"/>
      <c r="UXL107"/>
      <c r="UXM107"/>
      <c r="UXN107"/>
      <c r="UXO107"/>
      <c r="UXP107"/>
      <c r="UXQ107"/>
      <c r="UXR107"/>
      <c r="UXS107"/>
      <c r="UXT107"/>
      <c r="UXU107"/>
      <c r="UXV107"/>
      <c r="UXW107"/>
      <c r="UXX107"/>
      <c r="UXY107"/>
      <c r="UXZ107"/>
      <c r="UYA107"/>
      <c r="UYB107"/>
      <c r="UYC107"/>
      <c r="UYD107"/>
      <c r="UYE107"/>
      <c r="UYF107"/>
      <c r="UYG107"/>
      <c r="UYH107"/>
      <c r="UYI107"/>
      <c r="UYJ107"/>
      <c r="UYK107"/>
      <c r="UYL107"/>
      <c r="UYM107"/>
      <c r="UYN107"/>
      <c r="UYO107"/>
      <c r="UYP107"/>
      <c r="UYQ107"/>
      <c r="UYR107"/>
      <c r="UYS107"/>
      <c r="UYT107"/>
      <c r="UYU107"/>
      <c r="UYV107"/>
      <c r="UYW107"/>
      <c r="UYX107"/>
      <c r="UYY107"/>
      <c r="UYZ107"/>
      <c r="UZA107"/>
      <c r="UZB107"/>
      <c r="UZC107"/>
      <c r="UZD107"/>
      <c r="UZE107"/>
      <c r="UZF107"/>
      <c r="UZG107"/>
      <c r="UZH107"/>
      <c r="UZI107"/>
      <c r="UZJ107"/>
      <c r="UZK107"/>
      <c r="UZL107"/>
      <c r="UZM107"/>
      <c r="UZN107"/>
      <c r="UZO107"/>
      <c r="UZP107"/>
      <c r="UZQ107"/>
      <c r="UZR107"/>
      <c r="UZS107"/>
      <c r="UZT107"/>
      <c r="UZU107"/>
      <c r="UZV107"/>
      <c r="UZW107"/>
      <c r="UZX107"/>
      <c r="UZY107"/>
      <c r="UZZ107"/>
      <c r="VAA107"/>
      <c r="VAB107"/>
      <c r="VAC107"/>
      <c r="VAD107"/>
      <c r="VAE107"/>
      <c r="VAF107"/>
      <c r="VAG107"/>
      <c r="VAH107"/>
      <c r="VAI107"/>
      <c r="VAJ107"/>
      <c r="VAK107"/>
      <c r="VAL107"/>
      <c r="VAM107"/>
      <c r="VAN107"/>
      <c r="VAO107"/>
      <c r="VAP107"/>
      <c r="VAQ107"/>
      <c r="VAR107"/>
      <c r="VAS107"/>
      <c r="VAT107"/>
      <c r="VAU107"/>
      <c r="VAV107"/>
      <c r="VAW107"/>
      <c r="VAX107"/>
      <c r="VAY107"/>
      <c r="VAZ107"/>
      <c r="VBA107"/>
      <c r="VBB107"/>
      <c r="VBC107"/>
      <c r="VBD107"/>
      <c r="VBE107"/>
      <c r="VBF107"/>
      <c r="VBG107"/>
      <c r="VBH107"/>
      <c r="VBI107"/>
      <c r="VBJ107"/>
      <c r="VBK107"/>
      <c r="VBL107"/>
      <c r="VBM107"/>
      <c r="VBN107"/>
      <c r="VBO107"/>
      <c r="VBP107"/>
      <c r="VBQ107"/>
      <c r="VBR107"/>
      <c r="VBS107"/>
      <c r="VBT107"/>
      <c r="VBU107"/>
      <c r="VBV107"/>
      <c r="VBW107"/>
      <c r="VBX107"/>
      <c r="VBY107"/>
      <c r="VBZ107"/>
      <c r="VCA107"/>
      <c r="VCB107"/>
      <c r="VCC107"/>
      <c r="VCD107"/>
      <c r="VCE107"/>
      <c r="VCF107"/>
      <c r="VCG107"/>
      <c r="VCH107"/>
      <c r="VCI107"/>
      <c r="VCJ107"/>
      <c r="VCK107"/>
      <c r="VCL107"/>
      <c r="VCM107"/>
      <c r="VCN107"/>
      <c r="VCO107"/>
      <c r="VCP107"/>
      <c r="VCQ107"/>
      <c r="VCR107"/>
      <c r="VCS107"/>
      <c r="VCT107"/>
      <c r="VCU107"/>
      <c r="VCV107"/>
      <c r="VCW107"/>
      <c r="VCX107"/>
      <c r="VCY107"/>
      <c r="VCZ107"/>
      <c r="VDA107"/>
      <c r="VDB107"/>
      <c r="VDC107"/>
      <c r="VDD107"/>
      <c r="VDE107"/>
      <c r="VDF107"/>
      <c r="VDG107"/>
      <c r="VDH107"/>
      <c r="VDI107"/>
      <c r="VDJ107"/>
      <c r="VDK107"/>
      <c r="VDL107"/>
      <c r="VDM107"/>
      <c r="VDN107"/>
      <c r="VDO107"/>
      <c r="VDP107"/>
      <c r="VDQ107"/>
      <c r="VDR107"/>
      <c r="VDS107"/>
      <c r="VDT107"/>
      <c r="VDU107"/>
      <c r="VDV107"/>
      <c r="VDW107"/>
      <c r="VDX107"/>
      <c r="VDY107"/>
      <c r="VDZ107"/>
      <c r="VEA107"/>
      <c r="VEB107"/>
      <c r="VEC107"/>
      <c r="VED107"/>
      <c r="VEE107"/>
      <c r="VEF107"/>
      <c r="VEG107"/>
      <c r="VEH107"/>
      <c r="VEI107"/>
      <c r="VEJ107"/>
      <c r="VEK107"/>
      <c r="VEL107"/>
      <c r="VEM107"/>
      <c r="VEN107"/>
      <c r="VEO107"/>
      <c r="VEP107"/>
      <c r="VEQ107"/>
      <c r="VER107"/>
      <c r="VES107"/>
      <c r="VET107"/>
      <c r="VEU107"/>
      <c r="VEV107"/>
      <c r="VEW107"/>
      <c r="VEX107"/>
      <c r="VEY107"/>
      <c r="VEZ107"/>
      <c r="VFA107"/>
      <c r="VFB107"/>
      <c r="VFC107"/>
      <c r="VFD107"/>
      <c r="VFE107"/>
      <c r="VFF107"/>
      <c r="VFG107"/>
      <c r="VFH107"/>
      <c r="VFI107"/>
      <c r="VFJ107"/>
      <c r="VFK107"/>
      <c r="VFL107"/>
      <c r="VFM107"/>
      <c r="VFN107"/>
      <c r="VFO107"/>
      <c r="VFP107"/>
      <c r="VFQ107"/>
      <c r="VFR107"/>
      <c r="VFS107"/>
      <c r="VFT107"/>
      <c r="VFU107"/>
      <c r="VFV107"/>
      <c r="VFW107"/>
      <c r="VFX107"/>
      <c r="VFY107"/>
      <c r="VFZ107"/>
      <c r="VGA107"/>
      <c r="VGB107"/>
      <c r="VGC107"/>
      <c r="VGD107"/>
      <c r="VGE107"/>
      <c r="VGF107"/>
      <c r="VGG107"/>
      <c r="VGH107"/>
      <c r="VGI107"/>
      <c r="VGJ107"/>
      <c r="VGK107"/>
      <c r="VGL107"/>
      <c r="VGM107"/>
      <c r="VGN107"/>
      <c r="VGO107"/>
      <c r="VGP107"/>
      <c r="VGQ107"/>
      <c r="VGR107"/>
      <c r="VGS107"/>
      <c r="VGT107"/>
      <c r="VGU107"/>
      <c r="VGV107"/>
      <c r="VGW107"/>
      <c r="VGX107"/>
      <c r="VGY107"/>
      <c r="VGZ107"/>
      <c r="VHA107"/>
      <c r="VHB107"/>
      <c r="VHC107"/>
      <c r="VHD107"/>
      <c r="VHE107"/>
      <c r="VHF107"/>
      <c r="VHG107"/>
      <c r="VHH107"/>
      <c r="VHI107"/>
      <c r="VHJ107"/>
      <c r="VHK107"/>
      <c r="VHL107"/>
      <c r="VHM107"/>
      <c r="VHN107"/>
      <c r="VHO107"/>
      <c r="VHP107"/>
      <c r="VHQ107"/>
      <c r="VHR107"/>
      <c r="VHS107"/>
      <c r="VHT107"/>
      <c r="VHU107"/>
      <c r="VHV107"/>
      <c r="VHW107"/>
      <c r="VHX107"/>
      <c r="VHY107"/>
      <c r="VHZ107"/>
      <c r="VIA107"/>
      <c r="VIB107"/>
      <c r="VIC107"/>
      <c r="VID107"/>
      <c r="VIE107"/>
      <c r="VIF107"/>
      <c r="VIG107"/>
      <c r="VIH107"/>
      <c r="VII107"/>
      <c r="VIJ107"/>
      <c r="VIK107"/>
      <c r="VIL107"/>
      <c r="VIM107"/>
      <c r="VIN107"/>
      <c r="VIO107"/>
      <c r="VIP107"/>
      <c r="VIQ107"/>
      <c r="VIR107"/>
      <c r="VIS107"/>
      <c r="VIT107"/>
      <c r="VIU107"/>
      <c r="VIV107"/>
      <c r="VIW107"/>
      <c r="VIX107"/>
      <c r="VIY107"/>
      <c r="VIZ107"/>
      <c r="VJA107"/>
      <c r="VJB107"/>
      <c r="VJC107"/>
      <c r="VJD107"/>
      <c r="VJE107"/>
      <c r="VJF107"/>
      <c r="VJG107"/>
      <c r="VJH107"/>
      <c r="VJI107"/>
      <c r="VJJ107"/>
      <c r="VJK107"/>
      <c r="VJL107"/>
      <c r="VJM107"/>
      <c r="VJN107"/>
      <c r="VJO107"/>
      <c r="VJP107"/>
      <c r="VJQ107"/>
      <c r="VJR107"/>
      <c r="VJS107"/>
      <c r="VJT107"/>
      <c r="VJU107"/>
      <c r="VJV107"/>
      <c r="VJW107"/>
      <c r="VJX107"/>
      <c r="VJY107"/>
      <c r="VJZ107"/>
      <c r="VKA107"/>
      <c r="VKB107"/>
      <c r="VKC107"/>
      <c r="VKD107"/>
      <c r="VKE107"/>
      <c r="VKF107"/>
      <c r="VKG107"/>
      <c r="VKH107"/>
      <c r="VKI107"/>
      <c r="VKJ107"/>
      <c r="VKK107"/>
      <c r="VKL107"/>
      <c r="VKM107"/>
      <c r="VKN107"/>
      <c r="VKO107"/>
      <c r="VKP107"/>
      <c r="VKQ107"/>
      <c r="VKR107"/>
      <c r="VKS107"/>
      <c r="VKT107"/>
      <c r="VKU107"/>
      <c r="VKV107"/>
      <c r="VKW107"/>
      <c r="VKX107"/>
      <c r="VKY107"/>
      <c r="VKZ107"/>
      <c r="VLA107"/>
      <c r="VLB107"/>
      <c r="VLC107"/>
      <c r="VLD107"/>
      <c r="VLE107"/>
      <c r="VLF107"/>
      <c r="VLG107"/>
      <c r="VLH107"/>
      <c r="VLI107"/>
      <c r="VLJ107"/>
      <c r="VLK107"/>
      <c r="VLL107"/>
      <c r="VLM107"/>
      <c r="VLN107"/>
      <c r="VLO107"/>
      <c r="VLP107"/>
      <c r="VLQ107"/>
      <c r="VLR107"/>
      <c r="VLS107"/>
      <c r="VLT107"/>
      <c r="VLU107"/>
      <c r="VLV107"/>
      <c r="VLW107"/>
      <c r="VLX107"/>
      <c r="VLY107"/>
      <c r="VLZ107"/>
      <c r="VMA107"/>
      <c r="VMB107"/>
      <c r="VMC107"/>
      <c r="VMD107"/>
      <c r="VME107"/>
      <c r="VMF107"/>
      <c r="VMG107"/>
      <c r="VMH107"/>
      <c r="VMI107"/>
      <c r="VMJ107"/>
      <c r="VMK107"/>
      <c r="VML107"/>
      <c r="VMM107"/>
      <c r="VMN107"/>
      <c r="VMO107"/>
      <c r="VMP107"/>
      <c r="VMQ107"/>
      <c r="VMR107"/>
      <c r="VMS107"/>
      <c r="VMT107"/>
      <c r="VMU107"/>
      <c r="VMV107"/>
      <c r="VMW107"/>
      <c r="VMX107"/>
      <c r="VMY107"/>
      <c r="VMZ107"/>
      <c r="VNA107"/>
      <c r="VNB107"/>
      <c r="VNC107"/>
      <c r="VND107"/>
      <c r="VNE107"/>
      <c r="VNF107"/>
      <c r="VNG107"/>
      <c r="VNH107"/>
      <c r="VNI107"/>
      <c r="VNJ107"/>
      <c r="VNK107"/>
      <c r="VNL107"/>
      <c r="VNM107"/>
      <c r="VNN107"/>
      <c r="VNO107"/>
      <c r="VNP107"/>
      <c r="VNQ107"/>
      <c r="VNR107"/>
      <c r="VNS107"/>
      <c r="VNT107"/>
      <c r="VNU107"/>
      <c r="VNV107"/>
      <c r="VNW107"/>
      <c r="VNX107"/>
      <c r="VNY107"/>
      <c r="VNZ107"/>
      <c r="VOA107"/>
      <c r="VOB107"/>
      <c r="VOC107"/>
      <c r="VOD107"/>
      <c r="VOE107"/>
      <c r="VOF107"/>
      <c r="VOG107"/>
      <c r="VOH107"/>
      <c r="VOI107"/>
      <c r="VOJ107"/>
      <c r="VOK107"/>
      <c r="VOL107"/>
      <c r="VOM107"/>
      <c r="VON107"/>
      <c r="VOO107"/>
      <c r="VOP107"/>
      <c r="VOQ107"/>
      <c r="VOR107"/>
      <c r="VOS107"/>
      <c r="VOT107"/>
      <c r="VOU107"/>
      <c r="VOV107"/>
      <c r="VOW107"/>
      <c r="VOX107"/>
      <c r="VOY107"/>
      <c r="VOZ107"/>
      <c r="VPA107"/>
      <c r="VPB107"/>
      <c r="VPC107"/>
      <c r="VPD107"/>
      <c r="VPE107"/>
      <c r="VPF107"/>
      <c r="VPG107"/>
      <c r="VPH107"/>
      <c r="VPI107"/>
      <c r="VPJ107"/>
      <c r="VPK107"/>
      <c r="VPL107"/>
      <c r="VPM107"/>
      <c r="VPN107"/>
      <c r="VPO107"/>
      <c r="VPP107"/>
      <c r="VPQ107"/>
      <c r="VPR107"/>
      <c r="VPS107"/>
      <c r="VPT107"/>
      <c r="VPU107"/>
      <c r="VPV107"/>
      <c r="VPW107"/>
      <c r="VPX107"/>
      <c r="VPY107"/>
      <c r="VPZ107"/>
      <c r="VQA107"/>
      <c r="VQB107"/>
      <c r="VQC107"/>
      <c r="VQD107"/>
      <c r="VQE107"/>
      <c r="VQF107"/>
      <c r="VQG107"/>
      <c r="VQH107"/>
      <c r="VQI107"/>
      <c r="VQJ107"/>
      <c r="VQK107"/>
      <c r="VQL107"/>
      <c r="VQM107"/>
      <c r="VQN107"/>
      <c r="VQO107"/>
      <c r="VQP107"/>
      <c r="VQQ107"/>
      <c r="VQR107"/>
      <c r="VQS107"/>
      <c r="VQT107"/>
      <c r="VQU107"/>
      <c r="VQV107"/>
      <c r="VQW107"/>
      <c r="VQX107"/>
      <c r="VQY107"/>
      <c r="VQZ107"/>
      <c r="VRA107"/>
      <c r="VRB107"/>
      <c r="VRC107"/>
      <c r="VRD107"/>
      <c r="VRE107"/>
      <c r="VRF107"/>
      <c r="VRG107"/>
      <c r="VRH107"/>
      <c r="VRI107"/>
      <c r="VRJ107"/>
      <c r="VRK107"/>
      <c r="VRL107"/>
      <c r="VRM107"/>
      <c r="VRN107"/>
      <c r="VRO107"/>
      <c r="VRP107"/>
      <c r="VRQ107"/>
      <c r="VRR107"/>
      <c r="VRS107"/>
      <c r="VRT107"/>
      <c r="VRU107"/>
      <c r="VRV107"/>
      <c r="VRW107"/>
      <c r="VRX107"/>
      <c r="VRY107"/>
      <c r="VRZ107"/>
      <c r="VSA107"/>
      <c r="VSB107"/>
      <c r="VSC107"/>
      <c r="VSD107"/>
      <c r="VSE107"/>
      <c r="VSF107"/>
      <c r="VSG107"/>
      <c r="VSH107"/>
      <c r="VSI107"/>
      <c r="VSJ107"/>
      <c r="VSK107"/>
      <c r="VSL107"/>
      <c r="VSM107"/>
      <c r="VSN107"/>
      <c r="VSO107"/>
      <c r="VSP107"/>
      <c r="VSQ107"/>
      <c r="VSR107"/>
      <c r="VSS107"/>
      <c r="VST107"/>
      <c r="VSU107"/>
      <c r="VSV107"/>
      <c r="VSW107"/>
      <c r="VSX107"/>
      <c r="VSY107"/>
      <c r="VSZ107"/>
      <c r="VTA107"/>
      <c r="VTB107"/>
      <c r="VTC107"/>
      <c r="VTD107"/>
      <c r="VTE107"/>
      <c r="VTF107"/>
      <c r="VTG107"/>
      <c r="VTH107"/>
      <c r="VTI107"/>
      <c r="VTJ107"/>
      <c r="VTK107"/>
      <c r="VTL107"/>
      <c r="VTM107"/>
      <c r="VTN107"/>
      <c r="VTO107"/>
      <c r="VTP107"/>
      <c r="VTQ107"/>
      <c r="VTR107"/>
      <c r="VTS107"/>
      <c r="VTT107"/>
      <c r="VTU107"/>
      <c r="VTV107"/>
      <c r="VTW107"/>
      <c r="VTX107"/>
      <c r="VTY107"/>
      <c r="VTZ107"/>
      <c r="VUA107"/>
      <c r="VUB107"/>
      <c r="VUC107"/>
      <c r="VUD107"/>
      <c r="VUE107"/>
      <c r="VUF107"/>
      <c r="VUG107"/>
      <c r="VUH107"/>
      <c r="VUI107"/>
      <c r="VUJ107"/>
      <c r="VUK107"/>
      <c r="VUL107"/>
      <c r="VUM107"/>
      <c r="VUN107"/>
      <c r="VUO107"/>
      <c r="VUP107"/>
      <c r="VUQ107"/>
      <c r="VUR107"/>
      <c r="VUS107"/>
      <c r="VUT107"/>
      <c r="VUU107"/>
      <c r="VUV107"/>
      <c r="VUW107"/>
      <c r="VUX107"/>
      <c r="VUY107"/>
      <c r="VUZ107"/>
      <c r="VVA107"/>
      <c r="VVB107"/>
      <c r="VVC107"/>
      <c r="VVD107"/>
      <c r="VVE107"/>
      <c r="VVF107"/>
      <c r="VVG107"/>
      <c r="VVH107"/>
      <c r="VVI107"/>
      <c r="VVJ107"/>
      <c r="VVK107"/>
      <c r="VVL107"/>
      <c r="VVM107"/>
      <c r="VVN107"/>
      <c r="VVO107"/>
      <c r="VVP107"/>
      <c r="VVQ107"/>
      <c r="VVR107"/>
      <c r="VVS107"/>
      <c r="VVT107"/>
      <c r="VVU107"/>
      <c r="VVV107"/>
      <c r="VVW107"/>
      <c r="VVX107"/>
      <c r="VVY107"/>
      <c r="VVZ107"/>
      <c r="VWA107"/>
      <c r="VWB107"/>
      <c r="VWC107"/>
      <c r="VWD107"/>
      <c r="VWE107"/>
      <c r="VWF107"/>
      <c r="VWG107"/>
      <c r="VWH107"/>
      <c r="VWI107"/>
      <c r="VWJ107"/>
      <c r="VWK107"/>
      <c r="VWL107"/>
      <c r="VWM107"/>
      <c r="VWN107"/>
      <c r="VWO107"/>
      <c r="VWP107"/>
      <c r="VWQ107"/>
      <c r="VWR107"/>
      <c r="VWS107"/>
      <c r="VWT107"/>
      <c r="VWU107"/>
      <c r="VWV107"/>
      <c r="VWW107"/>
      <c r="VWX107"/>
      <c r="VWY107"/>
      <c r="VWZ107"/>
      <c r="VXA107"/>
      <c r="VXB107"/>
      <c r="VXC107"/>
      <c r="VXD107"/>
      <c r="VXE107"/>
      <c r="VXF107"/>
      <c r="VXG107"/>
      <c r="VXH107"/>
      <c r="VXI107"/>
      <c r="VXJ107"/>
      <c r="VXK107"/>
      <c r="VXL107"/>
      <c r="VXM107"/>
      <c r="VXN107"/>
      <c r="VXO107"/>
      <c r="VXP107"/>
      <c r="VXQ107"/>
      <c r="VXR107"/>
      <c r="VXS107"/>
      <c r="VXT107"/>
      <c r="VXU107"/>
      <c r="VXV107"/>
      <c r="VXW107"/>
      <c r="VXX107"/>
      <c r="VXY107"/>
      <c r="VXZ107"/>
      <c r="VYA107"/>
      <c r="VYB107"/>
      <c r="VYC107"/>
      <c r="VYD107"/>
      <c r="VYE107"/>
      <c r="VYF107"/>
      <c r="VYG107"/>
      <c r="VYH107"/>
      <c r="VYI107"/>
      <c r="VYJ107"/>
      <c r="VYK107"/>
      <c r="VYL107"/>
      <c r="VYM107"/>
      <c r="VYN107"/>
      <c r="VYO107"/>
      <c r="VYP107"/>
      <c r="VYQ107"/>
      <c r="VYR107"/>
      <c r="VYS107"/>
      <c r="VYT107"/>
      <c r="VYU107"/>
      <c r="VYV107"/>
      <c r="VYW107"/>
      <c r="VYX107"/>
      <c r="VYY107"/>
      <c r="VYZ107"/>
      <c r="VZA107"/>
      <c r="VZB107"/>
      <c r="VZC107"/>
      <c r="VZD107"/>
      <c r="VZE107"/>
      <c r="VZF107"/>
      <c r="VZG107"/>
      <c r="VZH107"/>
      <c r="VZI107"/>
      <c r="VZJ107"/>
      <c r="VZK107"/>
      <c r="VZL107"/>
      <c r="VZM107"/>
      <c r="VZN107"/>
      <c r="VZO107"/>
      <c r="VZP107"/>
      <c r="VZQ107"/>
      <c r="VZR107"/>
      <c r="VZS107"/>
      <c r="VZT107"/>
      <c r="VZU107"/>
      <c r="VZV107"/>
      <c r="VZW107"/>
      <c r="VZX107"/>
      <c r="VZY107"/>
      <c r="VZZ107"/>
      <c r="WAA107"/>
      <c r="WAB107"/>
      <c r="WAC107"/>
      <c r="WAD107"/>
      <c r="WAE107"/>
      <c r="WAF107"/>
      <c r="WAG107"/>
      <c r="WAH107"/>
      <c r="WAI107"/>
      <c r="WAJ107"/>
      <c r="WAK107"/>
      <c r="WAL107"/>
      <c r="WAM107"/>
      <c r="WAN107"/>
      <c r="WAO107"/>
      <c r="WAP107"/>
      <c r="WAQ107"/>
      <c r="WAR107"/>
      <c r="WAS107"/>
      <c r="WAT107"/>
      <c r="WAU107"/>
      <c r="WAV107"/>
      <c r="WAW107"/>
      <c r="WAX107"/>
      <c r="WAY107"/>
      <c r="WAZ107"/>
      <c r="WBA107"/>
      <c r="WBB107"/>
      <c r="WBC107"/>
      <c r="WBD107"/>
      <c r="WBE107"/>
      <c r="WBF107"/>
      <c r="WBG107"/>
      <c r="WBH107"/>
      <c r="WBI107"/>
      <c r="WBJ107"/>
      <c r="WBK107"/>
      <c r="WBL107"/>
      <c r="WBM107"/>
      <c r="WBN107"/>
      <c r="WBO107"/>
      <c r="WBP107"/>
      <c r="WBQ107"/>
      <c r="WBR107"/>
      <c r="WBS107"/>
      <c r="WBT107"/>
      <c r="WBU107"/>
      <c r="WBV107"/>
      <c r="WBW107"/>
      <c r="WBX107"/>
      <c r="WBY107"/>
      <c r="WBZ107"/>
      <c r="WCA107"/>
      <c r="WCB107"/>
      <c r="WCC107"/>
      <c r="WCD107"/>
      <c r="WCE107"/>
      <c r="WCF107"/>
      <c r="WCG107"/>
      <c r="WCH107"/>
      <c r="WCI107"/>
      <c r="WCJ107"/>
      <c r="WCK107"/>
      <c r="WCL107"/>
      <c r="WCM107"/>
      <c r="WCN107"/>
      <c r="WCO107"/>
      <c r="WCP107"/>
      <c r="WCQ107"/>
      <c r="WCR107"/>
      <c r="WCS107"/>
      <c r="WCT107"/>
      <c r="WCU107"/>
      <c r="WCV107"/>
      <c r="WCW107"/>
      <c r="WCX107"/>
      <c r="WCY107"/>
      <c r="WCZ107"/>
      <c r="WDA107"/>
      <c r="WDB107"/>
      <c r="WDC107"/>
      <c r="WDD107"/>
      <c r="WDE107"/>
      <c r="WDF107"/>
      <c r="WDG107"/>
      <c r="WDH107"/>
      <c r="WDI107"/>
      <c r="WDJ107"/>
      <c r="WDK107"/>
      <c r="WDL107"/>
      <c r="WDM107"/>
      <c r="WDN107"/>
      <c r="WDO107"/>
      <c r="WDP107"/>
      <c r="WDQ107"/>
      <c r="WDR107"/>
      <c r="WDS107"/>
      <c r="WDT107"/>
      <c r="WDU107"/>
      <c r="WDV107"/>
      <c r="WDW107"/>
      <c r="WDX107"/>
      <c r="WDY107"/>
      <c r="WDZ107"/>
      <c r="WEA107"/>
      <c r="WEB107"/>
      <c r="WEC107"/>
      <c r="WED107"/>
      <c r="WEE107"/>
      <c r="WEF107"/>
      <c r="WEG107"/>
      <c r="WEH107"/>
      <c r="WEI107"/>
      <c r="WEJ107"/>
      <c r="WEK107"/>
      <c r="WEL107"/>
      <c r="WEM107"/>
      <c r="WEN107"/>
      <c r="WEO107"/>
      <c r="WEP107"/>
      <c r="WEQ107"/>
      <c r="WER107"/>
      <c r="WES107"/>
      <c r="WET107"/>
      <c r="WEU107"/>
      <c r="WEV107"/>
      <c r="WEW107"/>
      <c r="WEX107"/>
      <c r="WEY107"/>
      <c r="WEZ107"/>
      <c r="WFA107"/>
      <c r="WFB107"/>
      <c r="WFC107"/>
      <c r="WFD107"/>
      <c r="WFE107"/>
      <c r="WFF107"/>
      <c r="WFG107"/>
      <c r="WFH107"/>
      <c r="WFI107"/>
      <c r="WFJ107"/>
      <c r="WFK107"/>
      <c r="WFL107"/>
      <c r="WFM107"/>
      <c r="WFN107"/>
      <c r="WFO107"/>
      <c r="WFP107"/>
      <c r="WFQ107"/>
      <c r="WFR107"/>
      <c r="WFS107"/>
      <c r="WFT107"/>
      <c r="WFU107"/>
      <c r="WFV107"/>
      <c r="WFW107"/>
      <c r="WFX107"/>
      <c r="WFY107"/>
      <c r="WFZ107"/>
      <c r="WGA107"/>
      <c r="WGB107"/>
      <c r="WGC107"/>
      <c r="WGD107"/>
      <c r="WGE107"/>
      <c r="WGF107"/>
      <c r="WGG107"/>
      <c r="WGH107"/>
      <c r="WGI107"/>
      <c r="WGJ107"/>
      <c r="WGK107"/>
      <c r="WGL107"/>
      <c r="WGM107"/>
      <c r="WGN107"/>
      <c r="WGO107"/>
      <c r="WGP107"/>
      <c r="WGQ107"/>
      <c r="WGR107"/>
      <c r="WGS107"/>
      <c r="WGT107"/>
      <c r="WGU107"/>
      <c r="WGV107"/>
      <c r="WGW107"/>
      <c r="WGX107"/>
      <c r="WGY107"/>
      <c r="WGZ107"/>
      <c r="WHA107"/>
      <c r="WHB107"/>
      <c r="WHC107"/>
      <c r="WHD107"/>
      <c r="WHE107"/>
      <c r="WHF107"/>
      <c r="WHG107"/>
      <c r="WHH107"/>
      <c r="WHI107"/>
      <c r="WHJ107"/>
      <c r="WHK107"/>
      <c r="WHL107"/>
      <c r="WHM107"/>
      <c r="WHN107"/>
      <c r="WHO107"/>
      <c r="WHP107"/>
      <c r="WHQ107"/>
      <c r="WHR107"/>
      <c r="WHS107"/>
      <c r="WHT107"/>
      <c r="WHU107"/>
      <c r="WHV107"/>
      <c r="WHW107"/>
      <c r="WHX107"/>
      <c r="WHY107"/>
      <c r="WHZ107"/>
      <c r="WIA107"/>
      <c r="WIB107"/>
      <c r="WIC107"/>
      <c r="WID107"/>
      <c r="WIE107"/>
      <c r="WIF107"/>
      <c r="WIG107"/>
      <c r="WIH107"/>
      <c r="WII107"/>
      <c r="WIJ107"/>
      <c r="WIK107"/>
      <c r="WIL107"/>
      <c r="WIM107"/>
      <c r="WIN107"/>
      <c r="WIO107"/>
      <c r="WIP107"/>
      <c r="WIQ107"/>
      <c r="WIR107"/>
      <c r="WIS107"/>
      <c r="WIT107"/>
      <c r="WIU107"/>
      <c r="WIV107"/>
      <c r="WIW107"/>
      <c r="WIX107"/>
      <c r="WIY107"/>
      <c r="WIZ107"/>
      <c r="WJA107"/>
      <c r="WJB107"/>
      <c r="WJC107"/>
      <c r="WJD107"/>
      <c r="WJE107"/>
      <c r="WJF107"/>
      <c r="WJG107"/>
      <c r="WJH107"/>
      <c r="WJI107"/>
      <c r="WJJ107"/>
      <c r="WJK107"/>
      <c r="WJL107"/>
      <c r="WJM107"/>
      <c r="WJN107"/>
      <c r="WJO107"/>
      <c r="WJP107"/>
      <c r="WJQ107"/>
      <c r="WJR107"/>
      <c r="WJS107"/>
      <c r="WJT107"/>
      <c r="WJU107"/>
      <c r="WJV107"/>
      <c r="WJW107"/>
      <c r="WJX107"/>
      <c r="WJY107"/>
      <c r="WJZ107"/>
      <c r="WKA107"/>
      <c r="WKB107"/>
      <c r="WKC107"/>
      <c r="WKD107"/>
      <c r="WKE107"/>
      <c r="WKF107"/>
      <c r="WKG107"/>
      <c r="WKH107"/>
      <c r="WKI107"/>
      <c r="WKJ107"/>
      <c r="WKK107"/>
      <c r="WKL107"/>
      <c r="WKM107"/>
      <c r="WKN107"/>
      <c r="WKO107"/>
      <c r="WKP107"/>
      <c r="WKQ107"/>
      <c r="WKR107"/>
      <c r="WKS107"/>
      <c r="WKT107"/>
      <c r="WKU107"/>
      <c r="WKV107"/>
      <c r="WKW107"/>
      <c r="WKX107"/>
      <c r="WKY107"/>
      <c r="WKZ107"/>
      <c r="WLA107"/>
      <c r="WLB107"/>
      <c r="WLC107"/>
      <c r="WLD107"/>
      <c r="WLE107"/>
      <c r="WLF107"/>
      <c r="WLG107"/>
      <c r="WLH107"/>
      <c r="WLI107"/>
      <c r="WLJ107"/>
      <c r="WLK107"/>
      <c r="WLL107"/>
      <c r="WLM107"/>
      <c r="WLN107"/>
      <c r="WLO107"/>
      <c r="WLP107"/>
      <c r="WLQ107"/>
      <c r="WLR107"/>
      <c r="WLS107"/>
      <c r="WLT107"/>
      <c r="WLU107"/>
      <c r="WLV107"/>
      <c r="WLW107"/>
      <c r="WLX107"/>
      <c r="WLY107"/>
      <c r="WLZ107"/>
      <c r="WMA107"/>
      <c r="WMB107"/>
      <c r="WMC107"/>
      <c r="WMD107"/>
      <c r="WME107"/>
      <c r="WMF107"/>
      <c r="WMG107"/>
      <c r="WMH107"/>
      <c r="WMI107"/>
      <c r="WMJ107"/>
      <c r="WMK107"/>
      <c r="WML107"/>
      <c r="WMM107"/>
      <c r="WMN107"/>
      <c r="WMO107"/>
      <c r="WMP107"/>
      <c r="WMQ107"/>
      <c r="WMR107"/>
      <c r="WMS107"/>
      <c r="WMT107"/>
      <c r="WMU107"/>
      <c r="WMV107"/>
      <c r="WMW107"/>
      <c r="WMX107"/>
      <c r="WMY107"/>
      <c r="WMZ107"/>
      <c r="WNA107"/>
      <c r="WNB107"/>
      <c r="WNC107"/>
      <c r="WND107"/>
      <c r="WNE107"/>
      <c r="WNF107"/>
      <c r="WNG107"/>
      <c r="WNH107"/>
      <c r="WNI107"/>
      <c r="WNJ107"/>
      <c r="WNK107"/>
      <c r="WNL107"/>
      <c r="WNM107"/>
      <c r="WNN107"/>
      <c r="WNO107"/>
      <c r="WNP107"/>
      <c r="WNQ107"/>
      <c r="WNR107"/>
      <c r="WNS107"/>
      <c r="WNT107"/>
      <c r="WNU107"/>
      <c r="WNV107"/>
      <c r="WNW107"/>
      <c r="WNX107"/>
      <c r="WNY107"/>
      <c r="WNZ107"/>
      <c r="WOA107"/>
      <c r="WOB107"/>
      <c r="WOC107"/>
      <c r="WOD107"/>
      <c r="WOE107"/>
      <c r="WOF107"/>
      <c r="WOG107"/>
      <c r="WOH107"/>
      <c r="WOI107"/>
      <c r="WOJ107"/>
      <c r="WOK107"/>
      <c r="WOL107"/>
      <c r="WOM107"/>
      <c r="WON107"/>
      <c r="WOO107"/>
      <c r="WOP107"/>
      <c r="WOQ107"/>
      <c r="WOR107"/>
      <c r="WOS107"/>
      <c r="WOT107"/>
      <c r="WOU107"/>
      <c r="WOV107"/>
      <c r="WOW107"/>
      <c r="WOX107"/>
      <c r="WOY107"/>
      <c r="WOZ107"/>
      <c r="WPA107"/>
      <c r="WPB107"/>
      <c r="WPC107"/>
      <c r="WPD107"/>
      <c r="WPE107"/>
      <c r="WPF107"/>
      <c r="WPG107"/>
      <c r="WPH107"/>
      <c r="WPI107"/>
      <c r="WPJ107"/>
      <c r="WPK107"/>
      <c r="WPL107"/>
      <c r="WPM107"/>
      <c r="WPN107"/>
      <c r="WPO107"/>
      <c r="WPP107"/>
      <c r="WPQ107"/>
      <c r="WPR107"/>
      <c r="WPS107"/>
      <c r="WPT107"/>
      <c r="WPU107"/>
      <c r="WPV107"/>
      <c r="WPW107"/>
      <c r="WPX107"/>
      <c r="WPY107"/>
      <c r="WPZ107"/>
      <c r="WQA107"/>
      <c r="WQB107"/>
      <c r="WQC107"/>
      <c r="WQD107"/>
      <c r="WQE107"/>
      <c r="WQF107"/>
      <c r="WQG107"/>
      <c r="WQH107"/>
      <c r="WQI107"/>
      <c r="WQJ107"/>
      <c r="WQK107"/>
      <c r="WQL107"/>
      <c r="WQM107"/>
      <c r="WQN107"/>
      <c r="WQO107"/>
      <c r="WQP107"/>
      <c r="WQQ107"/>
      <c r="WQR107"/>
      <c r="WQS107"/>
      <c r="WQT107"/>
      <c r="WQU107"/>
      <c r="WQV107"/>
      <c r="WQW107"/>
      <c r="WQX107"/>
      <c r="WQY107"/>
      <c r="WQZ107"/>
      <c r="WRA107"/>
      <c r="WRB107"/>
      <c r="WRC107"/>
      <c r="WRD107"/>
      <c r="WRE107"/>
      <c r="WRF107"/>
      <c r="WRG107"/>
      <c r="WRH107"/>
      <c r="WRI107"/>
      <c r="WRJ107"/>
      <c r="WRK107"/>
      <c r="WRL107"/>
      <c r="WRM107"/>
      <c r="WRN107"/>
      <c r="WRO107"/>
      <c r="WRP107"/>
      <c r="WRQ107"/>
      <c r="WRR107"/>
      <c r="WRS107"/>
      <c r="WRT107"/>
      <c r="WRU107"/>
      <c r="WRV107"/>
      <c r="WRW107"/>
      <c r="WRX107"/>
      <c r="WRY107"/>
      <c r="WRZ107"/>
      <c r="WSA107"/>
      <c r="WSB107"/>
      <c r="WSC107"/>
      <c r="WSD107"/>
      <c r="WSE107"/>
      <c r="WSF107"/>
      <c r="WSG107"/>
      <c r="WSH107"/>
      <c r="WSI107"/>
      <c r="WSJ107"/>
      <c r="WSK107"/>
      <c r="WSL107"/>
      <c r="WSM107"/>
      <c r="WSN107"/>
      <c r="WSO107"/>
      <c r="WSP107"/>
      <c r="WSQ107"/>
      <c r="WSR107"/>
      <c r="WSS107"/>
      <c r="WST107"/>
      <c r="WSU107"/>
      <c r="WSV107"/>
      <c r="WSW107"/>
      <c r="WSX107"/>
      <c r="WSY107"/>
      <c r="WSZ107"/>
      <c r="WTA107"/>
      <c r="WTB107"/>
      <c r="WTC107"/>
      <c r="WTD107"/>
      <c r="WTE107"/>
      <c r="WTF107"/>
      <c r="WTG107"/>
      <c r="WTH107"/>
      <c r="WTI107"/>
      <c r="WTJ107"/>
      <c r="WTK107"/>
      <c r="WTL107"/>
      <c r="WTM107"/>
      <c r="WTN107"/>
      <c r="WTO107"/>
      <c r="WTP107"/>
      <c r="WTQ107"/>
      <c r="WTR107"/>
      <c r="WTS107"/>
      <c r="WTT107"/>
      <c r="WTU107"/>
      <c r="WTV107"/>
      <c r="WTW107"/>
      <c r="WTX107"/>
      <c r="WTY107"/>
      <c r="WTZ107"/>
      <c r="WUA107"/>
      <c r="WUB107"/>
      <c r="WUC107"/>
      <c r="WUD107"/>
      <c r="WUE107"/>
      <c r="WUF107"/>
      <c r="WUG107"/>
      <c r="WUH107"/>
      <c r="WUI107"/>
      <c r="WUJ107"/>
      <c r="WUK107"/>
      <c r="WUL107"/>
      <c r="WUM107"/>
      <c r="WUN107"/>
      <c r="WUO107"/>
      <c r="WUP107"/>
      <c r="WUQ107"/>
      <c r="WUR107"/>
      <c r="WUS107"/>
      <c r="WUT107"/>
      <c r="WUU107"/>
      <c r="WUV107"/>
      <c r="WUW107"/>
      <c r="WUX107"/>
      <c r="WUY107"/>
      <c r="WUZ107"/>
      <c r="WVA107"/>
      <c r="WVB107"/>
      <c r="WVC107"/>
      <c r="WVD107"/>
      <c r="WVE107"/>
      <c r="WVF107"/>
      <c r="WVG107"/>
      <c r="WVH107"/>
      <c r="WVI107"/>
      <c r="WVJ107"/>
      <c r="WVK107"/>
      <c r="WVL107"/>
      <c r="WVM107"/>
      <c r="WVN107"/>
      <c r="WVO107"/>
      <c r="WVP107"/>
      <c r="WVQ107"/>
      <c r="WVR107"/>
      <c r="WVS107"/>
      <c r="WVT107"/>
      <c r="WVU107"/>
      <c r="WVV107"/>
      <c r="WVW107"/>
      <c r="WVX107"/>
      <c r="WVY107"/>
      <c r="WVZ107"/>
      <c r="WWA107"/>
      <c r="WWB107"/>
      <c r="WWC107"/>
      <c r="WWD107"/>
      <c r="WWE107"/>
      <c r="WWF107"/>
      <c r="WWG107"/>
      <c r="WWH107"/>
      <c r="WWI107"/>
      <c r="WWJ107"/>
      <c r="WWK107"/>
      <c r="WWL107"/>
      <c r="WWM107"/>
      <c r="WWN107"/>
      <c r="WWO107"/>
      <c r="WWP107"/>
      <c r="WWQ107"/>
      <c r="WWR107"/>
      <c r="WWS107"/>
      <c r="WWT107"/>
      <c r="WWU107"/>
      <c r="WWV107"/>
      <c r="WWW107"/>
      <c r="WWX107"/>
      <c r="WWY107"/>
      <c r="WWZ107"/>
      <c r="WXA107"/>
      <c r="WXB107"/>
      <c r="WXC107"/>
      <c r="WXD107"/>
      <c r="WXE107"/>
      <c r="WXF107"/>
      <c r="WXG107"/>
      <c r="WXH107"/>
      <c r="WXI107"/>
      <c r="WXJ107"/>
      <c r="WXK107"/>
      <c r="WXL107"/>
      <c r="WXM107"/>
      <c r="WXN107"/>
      <c r="WXO107"/>
      <c r="WXP107"/>
      <c r="WXQ107"/>
      <c r="WXR107"/>
      <c r="WXS107"/>
      <c r="WXT107"/>
      <c r="WXU107"/>
      <c r="WXV107"/>
      <c r="WXW107"/>
      <c r="WXX107"/>
      <c r="WXY107"/>
      <c r="WXZ107"/>
      <c r="WYA107"/>
      <c r="WYB107"/>
      <c r="WYC107"/>
      <c r="WYD107"/>
      <c r="WYE107"/>
      <c r="WYF107"/>
      <c r="WYG107"/>
      <c r="WYH107"/>
      <c r="WYI107"/>
      <c r="WYJ107"/>
      <c r="WYK107"/>
      <c r="WYL107"/>
      <c r="WYM107"/>
      <c r="WYN107"/>
      <c r="WYO107"/>
      <c r="WYP107"/>
      <c r="WYQ107"/>
      <c r="WYR107"/>
      <c r="WYS107"/>
      <c r="WYT107"/>
      <c r="WYU107"/>
      <c r="WYV107"/>
      <c r="WYW107"/>
      <c r="WYX107"/>
      <c r="WYY107"/>
      <c r="WYZ107"/>
      <c r="WZA107"/>
      <c r="WZB107"/>
      <c r="WZC107"/>
      <c r="WZD107"/>
      <c r="WZE107"/>
      <c r="WZF107"/>
      <c r="WZG107"/>
      <c r="WZH107"/>
      <c r="WZI107"/>
      <c r="WZJ107"/>
      <c r="WZK107"/>
      <c r="WZL107"/>
      <c r="WZM107"/>
      <c r="WZN107"/>
      <c r="WZO107"/>
      <c r="WZP107"/>
      <c r="WZQ107"/>
      <c r="WZR107"/>
      <c r="WZS107"/>
      <c r="WZT107"/>
      <c r="WZU107"/>
      <c r="WZV107"/>
      <c r="WZW107"/>
      <c r="WZX107"/>
      <c r="WZY107"/>
      <c r="WZZ107"/>
      <c r="XAA107"/>
      <c r="XAB107"/>
      <c r="XAC107"/>
      <c r="XAD107"/>
      <c r="XAE107"/>
      <c r="XAF107"/>
      <c r="XAG107"/>
      <c r="XAH107"/>
      <c r="XAI107"/>
      <c r="XAJ107"/>
      <c r="XAK107"/>
      <c r="XAL107"/>
      <c r="XAM107"/>
      <c r="XAN107"/>
      <c r="XAO107"/>
      <c r="XAP107"/>
      <c r="XAQ107"/>
      <c r="XAR107"/>
      <c r="XAS107"/>
      <c r="XAT107"/>
      <c r="XAU107"/>
      <c r="XAV107"/>
      <c r="XAW107"/>
      <c r="XAX107"/>
      <c r="XAY107"/>
      <c r="XAZ107"/>
      <c r="XBA107"/>
      <c r="XBB107"/>
      <c r="XBC107"/>
      <c r="XBD107"/>
      <c r="XBE107"/>
      <c r="XBF107"/>
      <c r="XBG107"/>
      <c r="XBH107"/>
      <c r="XBI107"/>
      <c r="XBJ107"/>
      <c r="XBK107"/>
      <c r="XBL107"/>
      <c r="XBM107"/>
      <c r="XBN107"/>
      <c r="XBO107"/>
      <c r="XBP107"/>
      <c r="XBQ107"/>
      <c r="XBR107"/>
      <c r="XBS107"/>
      <c r="XBT107"/>
      <c r="XBU107"/>
      <c r="XBV107"/>
      <c r="XBW107"/>
      <c r="XBX107"/>
      <c r="XBY107"/>
      <c r="XBZ107"/>
      <c r="XCA107"/>
      <c r="XCB107"/>
      <c r="XCC107"/>
      <c r="XCD107"/>
      <c r="XCE107"/>
      <c r="XCF107"/>
      <c r="XCG107"/>
      <c r="XCH107"/>
      <c r="XCI107"/>
      <c r="XCJ107"/>
      <c r="XCK107"/>
      <c r="XCL107"/>
      <c r="XCM107"/>
      <c r="XCN107"/>
      <c r="XCO107"/>
      <c r="XCP107"/>
      <c r="XCQ107"/>
      <c r="XCR107"/>
      <c r="XCS107"/>
      <c r="XCT107"/>
      <c r="XCU107"/>
      <c r="XCV107"/>
      <c r="XCW107"/>
      <c r="XCX107"/>
      <c r="XCY107"/>
      <c r="XCZ107"/>
      <c r="XDA107"/>
      <c r="XDB107"/>
      <c r="XDC107"/>
      <c r="XDD107"/>
      <c r="XDE107"/>
      <c r="XDF107"/>
      <c r="XDG107"/>
      <c r="XDH107"/>
      <c r="XDI107"/>
      <c r="XDJ107"/>
      <c r="XDK107"/>
      <c r="XDL107"/>
      <c r="XDM107"/>
      <c r="XDN107"/>
      <c r="XDO107"/>
      <c r="XDP107"/>
      <c r="XDQ107"/>
      <c r="XDR107"/>
      <c r="XDS107"/>
      <c r="XDT107"/>
      <c r="XDU107"/>
      <c r="XDV107"/>
      <c r="XDW107"/>
      <c r="XDX107"/>
      <c r="XDY107"/>
      <c r="XDZ107"/>
      <c r="XEA107"/>
      <c r="XEB107"/>
      <c r="XEC107"/>
      <c r="XED107"/>
      <c r="XEE107"/>
      <c r="XEF107"/>
      <c r="XEG107"/>
      <c r="XEH107"/>
      <c r="XEI107"/>
      <c r="XEJ107"/>
      <c r="XEK107"/>
      <c r="XEL107"/>
      <c r="XEM107"/>
      <c r="XEN107"/>
      <c r="XEO107"/>
      <c r="XEP107"/>
      <c r="XEQ107"/>
      <c r="XER107"/>
      <c r="XES107"/>
      <c r="XET107"/>
      <c r="XEU107"/>
      <c r="XEV107"/>
      <c r="XEW107"/>
      <c r="XEX107"/>
      <c r="XEY107"/>
      <c r="XEZ107"/>
      <c r="XFA107"/>
      <c r="XFB107"/>
    </row>
    <row r="108" spans="1:16382" hidden="1" x14ac:dyDescent="0.25">
      <c r="A108" s="483" t="s">
        <v>7941</v>
      </c>
      <c r="B108" t="s">
        <v>572</v>
      </c>
      <c r="C108" s="28" t="s">
        <v>410</v>
      </c>
      <c r="D108" s="233">
        <v>46120</v>
      </c>
      <c r="E108" s="28"/>
      <c r="F108" s="28" t="s">
        <v>2437</v>
      </c>
      <c r="G108" s="21" t="s">
        <v>8102</v>
      </c>
      <c r="H108" s="30" t="s">
        <v>7969</v>
      </c>
      <c r="I108" s="915">
        <v>7570</v>
      </c>
      <c r="J108" s="88">
        <f t="shared" si="4"/>
        <v>6661.6</v>
      </c>
      <c r="K108" s="30" t="s">
        <v>17</v>
      </c>
      <c r="L108" s="233">
        <v>46119</v>
      </c>
      <c r="N108" s="88"/>
      <c r="U108" t="s">
        <v>7942</v>
      </c>
      <c r="V108" s="360">
        <v>0.42083333333333334</v>
      </c>
      <c r="W108" s="360"/>
    </row>
    <row r="109" spans="1:16382" hidden="1" x14ac:dyDescent="0.25">
      <c r="A109" s="483" t="s">
        <v>8055</v>
      </c>
      <c r="B109" t="s">
        <v>572</v>
      </c>
      <c r="C109" s="28" t="s">
        <v>13</v>
      </c>
      <c r="D109" s="233">
        <v>46143</v>
      </c>
      <c r="E109" s="28"/>
      <c r="F109" s="28" t="s">
        <v>207</v>
      </c>
      <c r="G109" s="88" t="s">
        <v>8058</v>
      </c>
      <c r="H109" s="30" t="s">
        <v>8061</v>
      </c>
      <c r="I109" s="88">
        <v>10880</v>
      </c>
      <c r="J109" s="798">
        <v>9574.4</v>
      </c>
      <c r="K109" s="236" t="s">
        <v>17</v>
      </c>
      <c r="L109" s="233">
        <v>46143</v>
      </c>
      <c r="U109" t="s">
        <v>7942</v>
      </c>
      <c r="V109" s="360">
        <v>0.60347222222222219</v>
      </c>
      <c r="W109" s="360">
        <v>0.76180555555555562</v>
      </c>
    </row>
    <row r="110" spans="1:16382" hidden="1" x14ac:dyDescent="0.25">
      <c r="A110" s="483" t="s">
        <v>8056</v>
      </c>
      <c r="B110" t="s">
        <v>572</v>
      </c>
      <c r="C110" s="28" t="s">
        <v>13</v>
      </c>
      <c r="D110" s="233">
        <v>46144</v>
      </c>
      <c r="E110" s="28"/>
      <c r="F110" s="28" t="s">
        <v>207</v>
      </c>
      <c r="G110" s="88" t="s">
        <v>8059</v>
      </c>
      <c r="H110" s="30" t="s">
        <v>8062</v>
      </c>
      <c r="I110" s="88">
        <v>10880</v>
      </c>
      <c r="J110" s="798">
        <v>9574.4</v>
      </c>
      <c r="K110" s="236" t="s">
        <v>17</v>
      </c>
      <c r="L110" s="233">
        <v>46143</v>
      </c>
      <c r="U110" t="s">
        <v>894</v>
      </c>
      <c r="V110" s="360">
        <v>0.28125</v>
      </c>
      <c r="W110" s="360">
        <v>0.52777777777777779</v>
      </c>
    </row>
    <row r="111" spans="1:16382" hidden="1" x14ac:dyDescent="0.25">
      <c r="A111" s="483" t="s">
        <v>8107</v>
      </c>
      <c r="B111" t="s">
        <v>572</v>
      </c>
      <c r="C111" s="28" t="s">
        <v>13</v>
      </c>
      <c r="D111" s="233">
        <v>46156</v>
      </c>
      <c r="E111" s="28" t="s">
        <v>8111</v>
      </c>
      <c r="F111" s="28" t="s">
        <v>207</v>
      </c>
      <c r="G111" s="88" t="s">
        <v>8253</v>
      </c>
      <c r="H111" s="30" t="s">
        <v>8111</v>
      </c>
      <c r="I111" s="798">
        <v>10880</v>
      </c>
      <c r="J111" s="798">
        <v>9574.4</v>
      </c>
      <c r="K111" s="236" t="s">
        <v>17</v>
      </c>
      <c r="L111" s="233">
        <v>46156</v>
      </c>
      <c r="M111" s="798"/>
      <c r="V111" t="s">
        <v>8065</v>
      </c>
      <c r="W111" s="360">
        <v>0.49374999999999997</v>
      </c>
      <c r="X111" s="360">
        <v>0.69166666666666676</v>
      </c>
    </row>
    <row r="112" spans="1:16382" hidden="1" x14ac:dyDescent="0.25">
      <c r="A112" s="483">
        <v>22052026</v>
      </c>
      <c r="B112" t="s">
        <v>572</v>
      </c>
      <c r="C112" s="28" t="s">
        <v>4218</v>
      </c>
      <c r="D112" s="233">
        <v>46164</v>
      </c>
      <c r="E112" s="28"/>
      <c r="F112" s="28" t="s">
        <v>68</v>
      </c>
      <c r="G112" s="88" t="s">
        <v>8162</v>
      </c>
      <c r="H112" s="30" t="s">
        <v>8155</v>
      </c>
      <c r="I112" s="798">
        <v>12069.2</v>
      </c>
      <c r="J112" s="798">
        <f t="shared" ref="J112:J120" si="5">+I112*0.88</f>
        <v>10620.896000000001</v>
      </c>
      <c r="K112" s="30" t="s">
        <v>17</v>
      </c>
      <c r="L112" s="233">
        <v>46165</v>
      </c>
      <c r="M112" s="798"/>
      <c r="V112" t="s">
        <v>8121</v>
      </c>
      <c r="W112" s="360">
        <v>0.7055555555555556</v>
      </c>
      <c r="X112" s="360">
        <v>0.96736111111111101</v>
      </c>
    </row>
    <row r="113" spans="1:24" hidden="1" x14ac:dyDescent="0.25">
      <c r="A113" s="483">
        <v>23052026</v>
      </c>
      <c r="B113" t="s">
        <v>572</v>
      </c>
      <c r="C113" s="28" t="s">
        <v>13</v>
      </c>
      <c r="D113" s="233">
        <v>46165</v>
      </c>
      <c r="E113" s="28"/>
      <c r="F113" s="28" t="s">
        <v>207</v>
      </c>
      <c r="G113" s="1342" t="s">
        <v>8163</v>
      </c>
      <c r="H113" s="30" t="s">
        <v>8156</v>
      </c>
      <c r="I113" s="798">
        <v>9574.4</v>
      </c>
      <c r="J113" s="798">
        <f t="shared" si="5"/>
        <v>8425.4719999999998</v>
      </c>
      <c r="K113" s="30" t="s">
        <v>17</v>
      </c>
      <c r="L113" s="233">
        <v>46165</v>
      </c>
      <c r="M113" s="798"/>
      <c r="V113" t="s">
        <v>7060</v>
      </c>
      <c r="W113" s="360">
        <v>0.26527777777777778</v>
      </c>
      <c r="X113" s="360">
        <v>0.51180555555555551</v>
      </c>
    </row>
    <row r="114" spans="1:24" hidden="1" x14ac:dyDescent="0.25">
      <c r="A114" s="483">
        <v>28052026</v>
      </c>
      <c r="B114" t="s">
        <v>572</v>
      </c>
      <c r="C114" s="28" t="s">
        <v>4218</v>
      </c>
      <c r="D114" s="233">
        <v>46170</v>
      </c>
      <c r="E114" s="28"/>
      <c r="F114" s="28" t="s">
        <v>207</v>
      </c>
      <c r="G114" s="88" t="s">
        <v>8254</v>
      </c>
      <c r="H114" s="30" t="s">
        <v>8168</v>
      </c>
      <c r="I114" s="798">
        <v>10880</v>
      </c>
      <c r="J114" s="798">
        <f t="shared" si="5"/>
        <v>9574.4</v>
      </c>
      <c r="K114" s="1438" t="s">
        <v>17</v>
      </c>
      <c r="L114" s="233">
        <v>46171</v>
      </c>
      <c r="M114" s="798"/>
      <c r="V114" t="s">
        <v>7060</v>
      </c>
      <c r="W114" s="360">
        <v>0.27847222222222223</v>
      </c>
      <c r="X114" s="360">
        <v>0.48819444444444443</v>
      </c>
    </row>
    <row r="115" spans="1:24" hidden="1" x14ac:dyDescent="0.25">
      <c r="A115" s="483">
        <v>29052026</v>
      </c>
      <c r="B115" t="s">
        <v>572</v>
      </c>
      <c r="C115" s="28" t="s">
        <v>4218</v>
      </c>
      <c r="D115" s="233">
        <v>46171</v>
      </c>
      <c r="E115" s="28"/>
      <c r="F115" s="28" t="s">
        <v>317</v>
      </c>
      <c r="G115" s="88" t="s">
        <v>8255</v>
      </c>
      <c r="H115" s="30" t="s">
        <v>8169</v>
      </c>
      <c r="I115" s="798">
        <v>14193.18181818182</v>
      </c>
      <c r="J115" s="798">
        <f t="shared" si="5"/>
        <v>12490.000000000002</v>
      </c>
      <c r="K115" s="1438" t="s">
        <v>17</v>
      </c>
      <c r="L115" s="233">
        <v>46171</v>
      </c>
      <c r="M115" s="798"/>
      <c r="V115" t="s">
        <v>8125</v>
      </c>
      <c r="W115" s="360">
        <v>0.26597222222222222</v>
      </c>
      <c r="X115" s="360"/>
    </row>
    <row r="116" spans="1:24" ht="15" hidden="1" customHeight="1" x14ac:dyDescent="0.25">
      <c r="A116" s="483">
        <v>31052026</v>
      </c>
      <c r="B116" t="s">
        <v>572</v>
      </c>
      <c r="C116" s="28" t="s">
        <v>410</v>
      </c>
      <c r="D116" s="233">
        <v>46173</v>
      </c>
      <c r="E116" s="28"/>
      <c r="F116" s="28" t="s">
        <v>207</v>
      </c>
      <c r="G116" s="88" t="s">
        <v>8256</v>
      </c>
      <c r="H116" s="30" t="s">
        <v>8181</v>
      </c>
      <c r="I116" s="798">
        <v>10766.363636363636</v>
      </c>
      <c r="J116" s="798">
        <f t="shared" si="5"/>
        <v>9474.4</v>
      </c>
      <c r="K116" s="1438" t="s">
        <v>17</v>
      </c>
      <c r="L116" s="233">
        <v>46172</v>
      </c>
      <c r="M116" s="798"/>
      <c r="V116" t="s">
        <v>8118</v>
      </c>
      <c r="W116" s="360">
        <v>0.26874999999999999</v>
      </c>
      <c r="X116" s="360">
        <v>0.48194444444444445</v>
      </c>
    </row>
    <row r="117" spans="1:24" hidden="1" x14ac:dyDescent="0.25">
      <c r="A117" s="483" t="s">
        <v>8179</v>
      </c>
      <c r="B117" t="s">
        <v>572</v>
      </c>
      <c r="C117" s="28" t="s">
        <v>4218</v>
      </c>
      <c r="D117" s="233">
        <v>46175</v>
      </c>
      <c r="E117" s="28"/>
      <c r="F117" s="28" t="s">
        <v>207</v>
      </c>
      <c r="G117" s="88" t="s">
        <v>8252</v>
      </c>
      <c r="H117" s="30" t="s">
        <v>8257</v>
      </c>
      <c r="I117" s="798">
        <v>11100</v>
      </c>
      <c r="J117" s="798">
        <f t="shared" si="5"/>
        <v>9768</v>
      </c>
      <c r="K117" s="1439" t="s">
        <v>17</v>
      </c>
      <c r="L117" s="233">
        <v>46177</v>
      </c>
      <c r="M117" s="798"/>
      <c r="V117" t="s">
        <v>6503</v>
      </c>
      <c r="W117" s="360">
        <v>0.28263888888888888</v>
      </c>
      <c r="X117" s="360"/>
    </row>
    <row r="118" spans="1:24" hidden="1" x14ac:dyDescent="0.25">
      <c r="A118" s="483" t="s">
        <v>8182</v>
      </c>
      <c r="B118" t="s">
        <v>572</v>
      </c>
      <c r="C118" s="28" t="s">
        <v>4218</v>
      </c>
      <c r="D118" s="233">
        <v>46176</v>
      </c>
      <c r="E118" s="28"/>
      <c r="F118" s="28" t="s">
        <v>207</v>
      </c>
      <c r="G118" s="88" t="s">
        <v>8252</v>
      </c>
      <c r="H118" s="30" t="s">
        <v>8258</v>
      </c>
      <c r="I118" s="798">
        <v>11100</v>
      </c>
      <c r="J118" s="798">
        <f t="shared" si="5"/>
        <v>9768</v>
      </c>
      <c r="K118" s="1438" t="s">
        <v>17</v>
      </c>
      <c r="L118" s="233">
        <v>46175</v>
      </c>
      <c r="V118" t="s">
        <v>8150</v>
      </c>
      <c r="W118" s="360"/>
      <c r="X118" s="360"/>
    </row>
    <row r="119" spans="1:24" hidden="1" x14ac:dyDescent="0.25">
      <c r="A119" s="483">
        <v>22062026</v>
      </c>
      <c r="B119" t="s">
        <v>572</v>
      </c>
      <c r="C119" s="31" t="s">
        <v>410</v>
      </c>
      <c r="D119" s="233">
        <v>46195</v>
      </c>
      <c r="E119" s="28"/>
      <c r="F119" s="28" t="s">
        <v>207</v>
      </c>
      <c r="G119" s="88" t="s">
        <v>8265</v>
      </c>
      <c r="H119" s="30" t="s">
        <v>8267</v>
      </c>
      <c r="I119" s="798">
        <v>11003.977272727274</v>
      </c>
      <c r="J119" s="798">
        <f t="shared" si="5"/>
        <v>9683.5000000000018</v>
      </c>
      <c r="K119" s="1438" t="s">
        <v>17</v>
      </c>
      <c r="L119" s="233">
        <v>46196</v>
      </c>
      <c r="M119" s="798"/>
      <c r="V119" s="21" t="s">
        <v>4983</v>
      </c>
      <c r="W119" s="360">
        <v>0.59722222222222221</v>
      </c>
      <c r="X119" s="360">
        <v>0.75486111111111109</v>
      </c>
    </row>
    <row r="120" spans="1:24" hidden="1" x14ac:dyDescent="0.25">
      <c r="A120" s="483">
        <v>23062026</v>
      </c>
      <c r="B120" t="s">
        <v>572</v>
      </c>
      <c r="C120" s="31" t="s">
        <v>13</v>
      </c>
      <c r="D120" s="233">
        <v>46196</v>
      </c>
      <c r="E120" s="28"/>
      <c r="F120" s="28" t="s">
        <v>207</v>
      </c>
      <c r="G120" s="88" t="s">
        <v>8266</v>
      </c>
      <c r="H120" s="30" t="s">
        <v>8268</v>
      </c>
      <c r="I120" s="798">
        <v>11003.977272727274</v>
      </c>
      <c r="J120" s="798">
        <f t="shared" si="5"/>
        <v>9683.5000000000018</v>
      </c>
      <c r="K120" s="1438" t="s">
        <v>17</v>
      </c>
      <c r="L120" s="233">
        <v>46196</v>
      </c>
      <c r="M120" s="798"/>
      <c r="V120" s="21" t="s">
        <v>4297</v>
      </c>
      <c r="W120" s="360">
        <v>0.29305555555555557</v>
      </c>
      <c r="X120" s="360"/>
    </row>
    <row r="121" spans="1:24" hidden="1" x14ac:dyDescent="0.25">
      <c r="A121" s="483" t="s">
        <v>8295</v>
      </c>
      <c r="B121" t="s">
        <v>572</v>
      </c>
      <c r="C121" s="31" t="s">
        <v>13</v>
      </c>
      <c r="D121" s="233">
        <v>46205</v>
      </c>
      <c r="E121" s="28"/>
      <c r="F121" s="313" t="s">
        <v>317</v>
      </c>
      <c r="G121" s="88" t="s">
        <v>8419</v>
      </c>
      <c r="H121" t="s">
        <v>8298</v>
      </c>
      <c r="I121" s="88">
        <v>14490.000000000002</v>
      </c>
      <c r="J121" s="798">
        <v>12751.200000000003</v>
      </c>
      <c r="K121" t="s">
        <v>17</v>
      </c>
      <c r="L121" s="233">
        <v>46205</v>
      </c>
      <c r="M121" s="313"/>
      <c r="W121" s="360"/>
      <c r="X121" s="30"/>
    </row>
    <row r="122" spans="1:24" hidden="1" x14ac:dyDescent="0.25">
      <c r="A122" s="483" t="s">
        <v>8355</v>
      </c>
      <c r="B122" t="s">
        <v>572</v>
      </c>
      <c r="C122" s="31" t="s">
        <v>13</v>
      </c>
      <c r="D122" s="233">
        <v>46218</v>
      </c>
      <c r="E122" s="28"/>
      <c r="F122" s="313" t="s">
        <v>207</v>
      </c>
      <c r="G122" s="88" t="s">
        <v>8420</v>
      </c>
      <c r="H122" s="30" t="s">
        <v>8417</v>
      </c>
      <c r="I122" s="88">
        <v>11003.977272727272</v>
      </c>
      <c r="J122" s="798">
        <v>12751.2</v>
      </c>
      <c r="K122" s="1438" t="s">
        <v>17</v>
      </c>
      <c r="L122" s="233">
        <v>46217</v>
      </c>
      <c r="M122" s="313"/>
      <c r="O122" s="88"/>
      <c r="V122" t="s">
        <v>8196</v>
      </c>
      <c r="W122" s="360">
        <v>0.20208333333333331</v>
      </c>
      <c r="X122" s="360"/>
    </row>
    <row r="123" spans="1:24" hidden="1" x14ac:dyDescent="0.25">
      <c r="A123" s="483">
        <v>18072026</v>
      </c>
      <c r="B123" t="s">
        <v>572</v>
      </c>
      <c r="C123" s="31" t="s">
        <v>4218</v>
      </c>
      <c r="D123" s="233">
        <v>46221</v>
      </c>
      <c r="F123" s="313" t="s">
        <v>207</v>
      </c>
      <c r="G123" s="88" t="s">
        <v>8421</v>
      </c>
      <c r="H123" s="30" t="s">
        <v>8418</v>
      </c>
      <c r="I123" s="32">
        <v>11003.98</v>
      </c>
      <c r="J123" s="798">
        <f>+I123*0.88</f>
        <v>9683.5023999999994</v>
      </c>
      <c r="K123" s="1438" t="s">
        <v>17</v>
      </c>
      <c r="L123" s="233">
        <v>46221</v>
      </c>
      <c r="M123" s="313"/>
      <c r="O123" s="88"/>
      <c r="P123" t="s">
        <v>7914</v>
      </c>
      <c r="Q123">
        <v>0.49375000000000002</v>
      </c>
      <c r="R123">
        <v>0.70347222222222228</v>
      </c>
      <c r="W123" s="360"/>
      <c r="X123" s="360"/>
    </row>
    <row r="124" spans="1:24" hidden="1" x14ac:dyDescent="0.25">
      <c r="A124" s="483">
        <v>21072026</v>
      </c>
      <c r="B124" t="s">
        <v>572</v>
      </c>
      <c r="C124" s="31" t="s">
        <v>13</v>
      </c>
      <c r="D124" s="233">
        <v>46224</v>
      </c>
      <c r="F124" s="313" t="s">
        <v>68</v>
      </c>
      <c r="G124" s="88" t="s">
        <v>8423</v>
      </c>
      <c r="H124" s="30" t="s">
        <v>8372</v>
      </c>
      <c r="I124" s="32">
        <v>13332</v>
      </c>
      <c r="J124" s="798">
        <f t="shared" ref="J124:J130" si="6">+I124*0.88</f>
        <v>11732.16</v>
      </c>
      <c r="K124" s="1438" t="s">
        <v>17</v>
      </c>
      <c r="L124" s="233">
        <v>46224</v>
      </c>
      <c r="M124" s="313"/>
      <c r="O124" s="88"/>
      <c r="P124" t="s">
        <v>8118</v>
      </c>
      <c r="Q124">
        <v>0.59722222222222221</v>
      </c>
      <c r="R124">
        <v>0.86388888888888893</v>
      </c>
      <c r="W124" s="360"/>
      <c r="X124" s="360"/>
    </row>
    <row r="125" spans="1:24" hidden="1" x14ac:dyDescent="0.25">
      <c r="A125" s="483">
        <v>21072026</v>
      </c>
      <c r="B125" t="s">
        <v>572</v>
      </c>
      <c r="C125" s="31" t="s">
        <v>4218</v>
      </c>
      <c r="D125" s="233">
        <v>46224</v>
      </c>
      <c r="F125" s="313" t="s">
        <v>68</v>
      </c>
      <c r="G125" s="88" t="s">
        <v>8422</v>
      </c>
      <c r="H125" s="30" t="s">
        <v>8373</v>
      </c>
      <c r="I125" s="32">
        <v>13332</v>
      </c>
      <c r="J125" s="798">
        <f t="shared" si="6"/>
        <v>11732.16</v>
      </c>
      <c r="K125" s="1438" t="s">
        <v>17</v>
      </c>
      <c r="L125" s="233">
        <v>46224</v>
      </c>
      <c r="M125" s="313"/>
      <c r="O125" s="88"/>
      <c r="P125" t="s">
        <v>8318</v>
      </c>
      <c r="Q125">
        <v>0.69166666666666665</v>
      </c>
      <c r="R125">
        <v>0.96875</v>
      </c>
      <c r="W125" s="360"/>
      <c r="X125" s="360"/>
    </row>
    <row r="126" spans="1:24" hidden="1" x14ac:dyDescent="0.25">
      <c r="A126" s="483">
        <v>25072026</v>
      </c>
      <c r="B126" t="s">
        <v>572</v>
      </c>
      <c r="C126" s="31" t="s">
        <v>4218</v>
      </c>
      <c r="D126" s="233">
        <v>46228</v>
      </c>
      <c r="F126" s="313" t="s">
        <v>68</v>
      </c>
      <c r="G126" s="88" t="s">
        <v>8424</v>
      </c>
      <c r="H126" s="30" t="s">
        <v>8397</v>
      </c>
      <c r="I126" s="88">
        <v>13332</v>
      </c>
      <c r="J126" s="798">
        <f t="shared" si="6"/>
        <v>11732.16</v>
      </c>
      <c r="K126" s="1438" t="s">
        <v>17</v>
      </c>
      <c r="L126" s="233">
        <v>46229</v>
      </c>
      <c r="M126" s="313"/>
      <c r="O126" s="88"/>
      <c r="P126" t="s">
        <v>7548</v>
      </c>
      <c r="Q126">
        <v>0.72222222222222221</v>
      </c>
      <c r="R126">
        <v>0.97847222222222219</v>
      </c>
      <c r="W126" s="360"/>
      <c r="X126" s="360"/>
    </row>
    <row r="127" spans="1:24" hidden="1" x14ac:dyDescent="0.25">
      <c r="A127" s="483">
        <v>28072026</v>
      </c>
      <c r="B127" t="s">
        <v>572</v>
      </c>
      <c r="C127" s="31" t="s">
        <v>4218</v>
      </c>
      <c r="D127" s="233">
        <v>46231</v>
      </c>
      <c r="F127" s="313" t="s">
        <v>317</v>
      </c>
      <c r="G127" s="88" t="s">
        <v>8425</v>
      </c>
      <c r="H127" s="30" t="s">
        <v>8399</v>
      </c>
      <c r="I127" s="88">
        <v>14689</v>
      </c>
      <c r="J127" s="798">
        <f t="shared" si="6"/>
        <v>12926.32</v>
      </c>
      <c r="K127" s="1438" t="s">
        <v>17</v>
      </c>
      <c r="L127" s="233">
        <v>46232</v>
      </c>
      <c r="M127" s="313"/>
      <c r="O127" s="88"/>
      <c r="P127" t="s">
        <v>4983</v>
      </c>
      <c r="Q127">
        <v>0.64374999999999993</v>
      </c>
      <c r="R127">
        <v>6.2499999999999995E-3</v>
      </c>
      <c r="W127" s="360"/>
      <c r="X127" s="360"/>
    </row>
    <row r="128" spans="1:24" hidden="1" x14ac:dyDescent="0.25">
      <c r="A128" s="483" t="s">
        <v>8416</v>
      </c>
      <c r="B128" t="s">
        <v>572</v>
      </c>
      <c r="C128" s="31" t="s">
        <v>4218</v>
      </c>
      <c r="D128" s="233">
        <v>46237</v>
      </c>
      <c r="E128" s="28"/>
      <c r="F128" s="313" t="s">
        <v>425</v>
      </c>
      <c r="G128" s="88" t="s">
        <v>8446</v>
      </c>
      <c r="H128" t="s">
        <v>8428</v>
      </c>
      <c r="I128" s="88">
        <v>9826</v>
      </c>
      <c r="J128" s="798">
        <f t="shared" si="6"/>
        <v>8646.8799999999992</v>
      </c>
      <c r="K128" s="1439" t="s">
        <v>17</v>
      </c>
      <c r="L128" s="233">
        <v>46237</v>
      </c>
      <c r="M128" s="313"/>
      <c r="O128" s="88"/>
      <c r="P128" t="s">
        <v>4297</v>
      </c>
      <c r="W128" s="360"/>
      <c r="X128" s="360"/>
    </row>
    <row r="129" spans="1:24" hidden="1" x14ac:dyDescent="0.25">
      <c r="A129" s="1448" t="s">
        <v>8458</v>
      </c>
      <c r="B129" t="s">
        <v>572</v>
      </c>
      <c r="C129" s="31" t="s">
        <v>13</v>
      </c>
      <c r="D129" s="233">
        <v>46243</v>
      </c>
      <c r="E129" s="28"/>
      <c r="F129" s="313" t="s">
        <v>207</v>
      </c>
      <c r="G129" s="88" t="s">
        <v>8472</v>
      </c>
      <c r="H129" s="30" t="s">
        <v>8473</v>
      </c>
      <c r="I129" s="915">
        <v>11280</v>
      </c>
      <c r="J129" s="798">
        <f t="shared" si="6"/>
        <v>9926.4</v>
      </c>
      <c r="K129" s="1439" t="s">
        <v>17</v>
      </c>
      <c r="L129" s="233">
        <v>46243</v>
      </c>
      <c r="M129" s="915"/>
      <c r="N129" s="915"/>
      <c r="O129" s="88"/>
      <c r="V129" t="s">
        <v>8457</v>
      </c>
      <c r="W129" s="360">
        <v>0.60138888888888886</v>
      </c>
      <c r="X129" s="360">
        <v>0.76944444444444438</v>
      </c>
    </row>
    <row r="130" spans="1:24" hidden="1" x14ac:dyDescent="0.25">
      <c r="A130" s="1448" t="s">
        <v>8458</v>
      </c>
      <c r="B130" t="s">
        <v>572</v>
      </c>
      <c r="C130" s="31" t="s">
        <v>4218</v>
      </c>
      <c r="D130" s="233">
        <v>46243</v>
      </c>
      <c r="E130" s="28"/>
      <c r="F130" s="313" t="s">
        <v>317</v>
      </c>
      <c r="G130" s="88" t="s">
        <v>8475</v>
      </c>
      <c r="H130" s="30" t="s">
        <v>8474</v>
      </c>
      <c r="I130" s="915">
        <v>14895.000000000002</v>
      </c>
      <c r="J130" s="798">
        <f t="shared" si="6"/>
        <v>13107.600000000002</v>
      </c>
      <c r="K130" s="1439" t="s">
        <v>17</v>
      </c>
      <c r="L130" s="233">
        <v>46243</v>
      </c>
      <c r="M130" s="915"/>
      <c r="N130" s="915"/>
      <c r="O130" s="88"/>
      <c r="V130" t="s">
        <v>8459</v>
      </c>
      <c r="W130" s="360">
        <v>0.7284722222222223</v>
      </c>
      <c r="X130" s="360">
        <v>0.9243055555555556</v>
      </c>
    </row>
    <row r="131" spans="1:24" hidden="1" x14ac:dyDescent="0.25">
      <c r="A131" s="1448" t="s">
        <v>8545</v>
      </c>
      <c r="B131" t="s">
        <v>572</v>
      </c>
      <c r="C131" s="31" t="s">
        <v>13</v>
      </c>
      <c r="D131" s="233">
        <v>46262</v>
      </c>
      <c r="E131" s="28"/>
      <c r="F131" s="313" t="s">
        <v>207</v>
      </c>
      <c r="G131" s="88" t="s">
        <v>8566</v>
      </c>
      <c r="H131"/>
      <c r="I131" s="915">
        <v>11265.000000000002</v>
      </c>
      <c r="J131" s="798">
        <f>+I131*0.88</f>
        <v>9913.2000000000025</v>
      </c>
      <c r="K131" s="1439" t="s">
        <v>17</v>
      </c>
      <c r="L131" s="233">
        <v>46263</v>
      </c>
      <c r="M131" s="798"/>
      <c r="O131" s="88"/>
      <c r="V131" t="s">
        <v>8193</v>
      </c>
      <c r="W131" s="360">
        <v>0.6118055555555556</v>
      </c>
      <c r="X131" s="360">
        <v>0.78263888888888899</v>
      </c>
    </row>
    <row r="132" spans="1:24" x14ac:dyDescent="0.25">
      <c r="A132" s="1448"/>
      <c r="C132" s="31"/>
      <c r="D132" s="233"/>
      <c r="E132" s="28"/>
      <c r="F132" s="313"/>
      <c r="G132" s="88"/>
      <c r="H132"/>
      <c r="I132"/>
      <c r="J132" s="798"/>
      <c r="K132"/>
      <c r="M132" s="915"/>
      <c r="N132" s="558"/>
      <c r="O132" s="88"/>
      <c r="W132" s="360"/>
      <c r="X132" s="360"/>
    </row>
    <row r="133" spans="1:24" x14ac:dyDescent="0.25">
      <c r="I133" s="88"/>
      <c r="J133" s="88"/>
      <c r="K133" s="236"/>
    </row>
    <row r="134" spans="1:24" x14ac:dyDescent="0.25">
      <c r="A134" s="483"/>
      <c r="C134" s="31"/>
      <c r="D134" s="233"/>
      <c r="E134" s="28"/>
      <c r="F134" s="313"/>
      <c r="G134" s="88"/>
      <c r="H134"/>
      <c r="I134" s="798"/>
      <c r="J134" s="798"/>
      <c r="K134"/>
      <c r="M134" s="313"/>
      <c r="W134" s="360"/>
      <c r="X134" s="360"/>
    </row>
    <row r="135" spans="1:24" ht="15.75" thickBot="1" x14ac:dyDescent="0.3">
      <c r="A135" s="116"/>
      <c r="D135" s="122"/>
      <c r="E135" s="32"/>
      <c r="K135" s="236"/>
      <c r="L135" s="233"/>
      <c r="M135" s="149"/>
      <c r="P135" s="14"/>
      <c r="Q135" s="14"/>
    </row>
    <row r="136" spans="1:24" ht="15.75" thickBot="1" x14ac:dyDescent="0.3">
      <c r="I136" s="242">
        <f>SUBTOTAL(9,I3:I135)</f>
        <v>0</v>
      </c>
      <c r="K136" s="637"/>
      <c r="L136" s="233"/>
      <c r="P136" s="149"/>
    </row>
    <row r="137" spans="1:24" x14ac:dyDescent="0.25">
      <c r="K137" s="637"/>
      <c r="L137" s="233"/>
      <c r="M137" s="149"/>
      <c r="N137" s="149"/>
      <c r="P137" s="149"/>
    </row>
    <row r="138" spans="1:24" ht="19.5" customHeight="1" thickBot="1" x14ac:dyDescent="0.3">
      <c r="G138" s="1134"/>
      <c r="H138" s="836"/>
      <c r="K138" s="1168"/>
      <c r="L138" s="233"/>
      <c r="O138" s="149"/>
    </row>
    <row r="139" spans="1:24" ht="15.75" thickBot="1" x14ac:dyDescent="0.3">
      <c r="H139" s="115" t="s">
        <v>3218</v>
      </c>
      <c r="I139" s="1088"/>
      <c r="K139" s="1168"/>
      <c r="L139" s="233"/>
      <c r="M139" s="17"/>
    </row>
    <row r="140" spans="1:24" x14ac:dyDescent="0.25">
      <c r="L140" s="233"/>
      <c r="O140" s="149"/>
    </row>
    <row r="141" spans="1:24" x14ac:dyDescent="0.25">
      <c r="G141" s="836"/>
      <c r="L141" s="233"/>
      <c r="R141" s="149"/>
      <c r="S141" s="149"/>
    </row>
    <row r="142" spans="1:24" x14ac:dyDescent="0.25">
      <c r="F142" s="1133" t="s">
        <v>7719</v>
      </c>
      <c r="H142" s="368"/>
      <c r="L142" s="233"/>
      <c r="N142" s="149"/>
    </row>
    <row r="143" spans="1:24" s="1" customFormat="1" x14ac:dyDescent="0.25">
      <c r="F143" s="1273" t="s">
        <v>7721</v>
      </c>
      <c r="G143" s="25" t="s">
        <v>7720</v>
      </c>
      <c r="H143" s="1274"/>
      <c r="I143" s="87"/>
      <c r="J143" s="87"/>
      <c r="K143" s="1274"/>
      <c r="N143" s="1275"/>
    </row>
    <row r="144" spans="1:24" x14ac:dyDescent="0.25">
      <c r="D144" t="s">
        <v>7717</v>
      </c>
      <c r="E144" s="1294">
        <f>+F144/G144</f>
        <v>3.4878177966101696</v>
      </c>
      <c r="F144" s="590">
        <v>3951</v>
      </c>
      <c r="G144" s="32">
        <f>9440*0.12</f>
        <v>1132.8</v>
      </c>
      <c r="H144" s="836" t="s">
        <v>7692</v>
      </c>
    </row>
    <row r="145" spans="2:18" x14ac:dyDescent="0.25">
      <c r="C145" t="s">
        <v>7714</v>
      </c>
      <c r="D145" t="s">
        <v>7715</v>
      </c>
      <c r="E145" s="1294">
        <f t="shared" ref="E145:E147" si="7">+F145/G145</f>
        <v>3.527542372881356</v>
      </c>
      <c r="F145" s="590">
        <v>3330</v>
      </c>
      <c r="G145" s="32">
        <f>+I85*0.1</f>
        <v>944</v>
      </c>
      <c r="H145" s="836" t="s">
        <v>7691</v>
      </c>
      <c r="I145"/>
      <c r="J145"/>
      <c r="R145" s="149"/>
    </row>
    <row r="146" spans="2:18" x14ac:dyDescent="0.25">
      <c r="D146" t="s">
        <v>7716</v>
      </c>
      <c r="E146" s="1294">
        <f t="shared" si="7"/>
        <v>3.527542372881356</v>
      </c>
      <c r="F146" s="590">
        <v>3330</v>
      </c>
      <c r="G146" s="88">
        <v>944</v>
      </c>
      <c r="H146" s="688"/>
      <c r="J146"/>
      <c r="L146" s="17"/>
    </row>
    <row r="147" spans="2:18" x14ac:dyDescent="0.25">
      <c r="D147" t="s">
        <v>7718</v>
      </c>
      <c r="E147" s="1294">
        <f t="shared" si="7"/>
        <v>3.4874857342294985</v>
      </c>
      <c r="F147" s="590">
        <v>3909</v>
      </c>
      <c r="G147" s="32">
        <v>1120.8648000000001</v>
      </c>
      <c r="H147" s="836"/>
      <c r="I147"/>
      <c r="J147"/>
    </row>
    <row r="148" spans="2:18" x14ac:dyDescent="0.25">
      <c r="F148" s="1296">
        <f>SUM(F144:F147)</f>
        <v>14520</v>
      </c>
      <c r="G148" s="1295">
        <f>SUM(G144:G147)</f>
        <v>4141.6648000000005</v>
      </c>
    </row>
    <row r="149" spans="2:18" x14ac:dyDescent="0.25">
      <c r="F149" s="1297"/>
      <c r="H149" s="368"/>
    </row>
    <row r="155" spans="2:18" x14ac:dyDescent="0.25">
      <c r="B155" t="s">
        <v>7831</v>
      </c>
    </row>
  </sheetData>
  <autoFilter ref="A2:Q137" xr:uid="{00000000-0009-0000-0000-000029000000}">
    <filterColumn colId="10">
      <filters blank="1"/>
    </filterColumn>
    <filterColumn colId="13" showButton="0"/>
    <filterColumn colId="14" showButton="0"/>
    <filterColumn colId="15" showButton="0"/>
  </autoFilter>
  <mergeCells count="1">
    <mergeCell ref="N2:Q2"/>
  </mergeCells>
  <phoneticPr fontId="16" type="noConversion"/>
  <pageMargins left="0.7" right="0.7" top="0.75" bottom="0.75" header="0.3" footer="0.3"/>
  <pageSetup paperSize="9" orientation="portrait" r:id="rId1"/>
  <ignoredErrors>
    <ignoredError sqref="J7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87781" r:id="rId4" name="Button 1">
              <controlPr defaultSize="0" print="0" autoFill="0" autoPict="0" macro="[0]!RETORNAR">
                <anchor moveWithCells="1" sizeWithCells="1">
                  <from>
                    <xdr:col>0</xdr:col>
                    <xdr:colOff>38100</xdr:colOff>
                    <xdr:row>0</xdr:row>
                    <xdr:rowOff>47625</xdr:rowOff>
                  </from>
                  <to>
                    <xdr:col>1</xdr:col>
                    <xdr:colOff>790575</xdr:colOff>
                    <xdr:row>0</xdr:row>
                    <xdr:rowOff>314325</xdr:rowOff>
                  </to>
                </anchor>
              </controlPr>
            </control>
          </mc:Choice>
        </mc:AlternateContent>
        <mc:AlternateContent xmlns:mc="http://schemas.openxmlformats.org/markup-compatibility/2006">
          <mc:Choice Requires="x14">
            <control shapeId="587811" r:id="rId5" name="Botón 35">
              <controlPr defaultSize="0" print="0" autoFill="0" autoPict="0" macro="[0]!IR_VENTAS_B200_2026">
                <anchor moveWithCells="1" sizeWithCells="1">
                  <from>
                    <xdr:col>0</xdr:col>
                    <xdr:colOff>885825</xdr:colOff>
                    <xdr:row>143</xdr:row>
                    <xdr:rowOff>142875</xdr:rowOff>
                  </from>
                  <to>
                    <xdr:col>1</xdr:col>
                    <xdr:colOff>1123950</xdr:colOff>
                    <xdr:row>146</xdr:row>
                    <xdr:rowOff>171450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50" filterMode="1"/>
  <dimension ref="A1:X8"/>
  <sheetViews>
    <sheetView topLeftCell="B1" workbookViewId="0">
      <selection activeCell="I16" sqref="I16"/>
    </sheetView>
  </sheetViews>
  <sheetFormatPr baseColWidth="10" defaultColWidth="10.85546875" defaultRowHeight="15" x14ac:dyDescent="0.25"/>
  <cols>
    <col min="1" max="1" width="14.42578125" customWidth="1"/>
    <col min="2" max="2" width="45.5703125" customWidth="1"/>
    <col min="7" max="7" width="20.28515625" customWidth="1"/>
    <col min="9" max="9" width="11.5703125" bestFit="1" customWidth="1"/>
    <col min="10" max="10" width="11.85546875" style="32" bestFit="1" customWidth="1"/>
  </cols>
  <sheetData>
    <row r="1" spans="1:24" ht="30.6" customHeight="1" x14ac:dyDescent="0.25"/>
    <row r="2" spans="1:24" x14ac:dyDescent="0.25">
      <c r="A2" t="s">
        <v>706</v>
      </c>
      <c r="B2" s="1" t="s">
        <v>0</v>
      </c>
      <c r="C2" s="1" t="s">
        <v>1</v>
      </c>
      <c r="D2" s="1" t="s">
        <v>2</v>
      </c>
      <c r="E2" s="1"/>
      <c r="F2" s="1" t="s">
        <v>3</v>
      </c>
      <c r="G2" s="1" t="s">
        <v>4</v>
      </c>
      <c r="H2" s="1" t="s">
        <v>5</v>
      </c>
      <c r="I2" s="1" t="s">
        <v>6</v>
      </c>
      <c r="J2" s="1" t="s">
        <v>1780</v>
      </c>
      <c r="K2" s="1" t="s">
        <v>8</v>
      </c>
      <c r="L2" s="1" t="s">
        <v>3997</v>
      </c>
      <c r="M2" s="1" t="s">
        <v>10</v>
      </c>
      <c r="N2" s="1480" t="s">
        <v>11</v>
      </c>
      <c r="O2" s="1480"/>
      <c r="P2" s="1480"/>
      <c r="Q2" s="1480"/>
    </row>
    <row r="3" spans="1:24" hidden="1" x14ac:dyDescent="0.25">
      <c r="A3" s="116" t="s">
        <v>1176</v>
      </c>
      <c r="B3" t="s">
        <v>1211</v>
      </c>
      <c r="C3" s="169" t="s">
        <v>693</v>
      </c>
      <c r="D3" s="122">
        <v>44806</v>
      </c>
      <c r="E3" s="32"/>
      <c r="F3" t="s">
        <v>1212</v>
      </c>
      <c r="G3" s="163" t="s">
        <v>1215</v>
      </c>
      <c r="H3" t="s">
        <v>1463</v>
      </c>
      <c r="I3" s="32">
        <v>37000</v>
      </c>
      <c r="J3" s="3">
        <f t="shared" ref="J3:J5" si="0">+I3-ROUND(I3*0.12,0)</f>
        <v>32560</v>
      </c>
      <c r="K3" t="s">
        <v>17</v>
      </c>
      <c r="L3" s="2">
        <v>44839</v>
      </c>
      <c r="M3" t="s">
        <v>1400</v>
      </c>
      <c r="O3" t="s">
        <v>1029</v>
      </c>
      <c r="P3" s="157">
        <v>0.51041666666666663</v>
      </c>
      <c r="Q3" s="157">
        <v>0.77777777777777779</v>
      </c>
    </row>
    <row r="4" spans="1:24" hidden="1" x14ac:dyDescent="0.25">
      <c r="A4" s="95" t="s">
        <v>1726</v>
      </c>
      <c r="B4" t="s">
        <v>1211</v>
      </c>
      <c r="C4" t="s">
        <v>410</v>
      </c>
      <c r="D4" s="122">
        <v>44930</v>
      </c>
      <c r="F4" t="s">
        <v>673</v>
      </c>
      <c r="G4" t="s">
        <v>8448</v>
      </c>
      <c r="H4" t="s">
        <v>1761</v>
      </c>
      <c r="I4" s="32">
        <v>37760</v>
      </c>
      <c r="J4" s="3">
        <f t="shared" si="0"/>
        <v>33229</v>
      </c>
      <c r="K4" t="s">
        <v>17</v>
      </c>
      <c r="L4" s="2">
        <v>44959</v>
      </c>
      <c r="M4" t="s">
        <v>1400</v>
      </c>
      <c r="S4" t="s">
        <v>1729</v>
      </c>
      <c r="T4" s="14">
        <v>0.44027777777777777</v>
      </c>
      <c r="U4" s="14">
        <v>0.4993055555555555</v>
      </c>
    </row>
    <row r="5" spans="1:24" hidden="1" x14ac:dyDescent="0.25">
      <c r="A5" s="256">
        <v>16072026</v>
      </c>
      <c r="B5" t="s">
        <v>8364</v>
      </c>
      <c r="C5" s="31" t="s">
        <v>13</v>
      </c>
      <c r="D5" s="233">
        <v>46219</v>
      </c>
      <c r="F5" s="313" t="s">
        <v>8371</v>
      </c>
      <c r="G5" s="88" t="s">
        <v>8447</v>
      </c>
      <c r="H5" s="28" t="s">
        <v>8401</v>
      </c>
      <c r="I5" s="313">
        <v>38370</v>
      </c>
      <c r="J5" s="3">
        <f t="shared" si="0"/>
        <v>33766</v>
      </c>
      <c r="K5" t="s">
        <v>17</v>
      </c>
      <c r="L5" s="233">
        <v>46252</v>
      </c>
      <c r="N5" s="88"/>
      <c r="O5" s="88"/>
      <c r="V5" t="s">
        <v>8193</v>
      </c>
      <c r="W5" s="360">
        <v>0.61944444444444446</v>
      </c>
      <c r="X5" s="360">
        <v>0.77569444444444446</v>
      </c>
    </row>
    <row r="6" spans="1:24" x14ac:dyDescent="0.25">
      <c r="A6" s="115"/>
      <c r="D6" s="2"/>
      <c r="E6" s="88"/>
      <c r="J6" s="88"/>
      <c r="K6" s="88"/>
      <c r="L6" s="2"/>
      <c r="P6" s="14"/>
      <c r="Q6" s="14"/>
    </row>
    <row r="7" spans="1:24" x14ac:dyDescent="0.25">
      <c r="A7" s="116"/>
      <c r="D7" s="122"/>
      <c r="E7" s="32"/>
      <c r="H7" s="19"/>
      <c r="K7" s="32"/>
      <c r="P7" s="14"/>
      <c r="Q7" s="14"/>
    </row>
    <row r="8" spans="1:24" x14ac:dyDescent="0.25">
      <c r="H8" t="s">
        <v>423</v>
      </c>
      <c r="I8" s="9">
        <f>SUBTOTAL(9,I3:I7)</f>
        <v>0</v>
      </c>
      <c r="J8" s="88"/>
    </row>
  </sheetData>
  <autoFilter ref="A2:Q7" xr:uid="{00000000-0009-0000-0000-00002A000000}">
    <filterColumn colId="10">
      <filters blank="1"/>
    </filterColumn>
    <filterColumn colId="13" showButton="0"/>
    <filterColumn colId="14" showButton="0"/>
    <filterColumn colId="15" showButton="0"/>
  </autoFilter>
  <mergeCells count="1">
    <mergeCell ref="N2: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9670" r:id="rId3" name="Button 1">
              <controlPr defaultSize="0" print="0" autoFill="0" autoPict="0" macro="[0]!RETORNAR">
                <anchor moveWithCells="1" sizeWithCells="1">
                  <from>
                    <xdr:col>0</xdr:col>
                    <xdr:colOff>38100</xdr:colOff>
                    <xdr:row>0</xdr:row>
                    <xdr:rowOff>47625</xdr:rowOff>
                  </from>
                  <to>
                    <xdr:col>1</xdr:col>
                    <xdr:colOff>838200</xdr:colOff>
                    <xdr:row>0</xdr:row>
                    <xdr:rowOff>314325</xdr:rowOff>
                  </to>
                </anchor>
              </controlPr>
            </control>
          </mc:Choice>
        </mc:AlternateContent>
        <mc:AlternateContent xmlns:mc="http://schemas.openxmlformats.org/markup-compatibility/2006">
          <mc:Choice Requires="x14">
            <control shapeId="369674" r:id="rId4" name="Botón 10">
              <controlPr defaultSize="0" print="0" autoFill="0" autoPict="0" macro="[0]!IR_VENTAS_B200_2026">
                <anchor moveWithCells="1" sizeWithCells="1">
                  <from>
                    <xdr:col>0</xdr:col>
                    <xdr:colOff>885825</xdr:colOff>
                    <xdr:row>13</xdr:row>
                    <xdr:rowOff>114300</xdr:rowOff>
                  </from>
                  <to>
                    <xdr:col>1</xdr:col>
                    <xdr:colOff>1171575</xdr:colOff>
                    <xdr:row>16</xdr:row>
                    <xdr:rowOff>142875</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38" filterMode="1"/>
  <dimension ref="A1:Q5"/>
  <sheetViews>
    <sheetView workbookViewId="0">
      <selection activeCell="A13" sqref="A13"/>
    </sheetView>
  </sheetViews>
  <sheetFormatPr baseColWidth="10" defaultColWidth="10.85546875" defaultRowHeight="15" x14ac:dyDescent="0.25"/>
  <cols>
    <col min="1" max="1" width="16.28515625" customWidth="1"/>
    <col min="2" max="2" width="33.7109375" customWidth="1"/>
    <col min="7" max="7" width="11.42578125" customWidth="1"/>
    <col min="9" max="9" width="11.85546875" style="32" bestFit="1" customWidth="1"/>
  </cols>
  <sheetData>
    <row r="1" spans="1:17" ht="40.5" customHeight="1" x14ac:dyDescent="0.25"/>
    <row r="2" spans="1:17" x14ac:dyDescent="0.25">
      <c r="A2" t="s">
        <v>706</v>
      </c>
      <c r="B2" s="1" t="s">
        <v>0</v>
      </c>
      <c r="C2" s="1" t="s">
        <v>1</v>
      </c>
      <c r="D2" s="1" t="s">
        <v>2</v>
      </c>
      <c r="E2" s="1"/>
      <c r="F2" s="1" t="s">
        <v>3</v>
      </c>
      <c r="G2" s="1" t="s">
        <v>4</v>
      </c>
      <c r="H2" s="1" t="s">
        <v>5</v>
      </c>
      <c r="I2" s="1" t="s">
        <v>7</v>
      </c>
      <c r="J2" s="1" t="s">
        <v>1780</v>
      </c>
      <c r="K2" s="1" t="s">
        <v>8</v>
      </c>
      <c r="L2" s="1" t="s">
        <v>3997</v>
      </c>
      <c r="M2" s="1" t="s">
        <v>10</v>
      </c>
      <c r="N2" s="1480" t="s">
        <v>11</v>
      </c>
      <c r="O2" s="1480"/>
      <c r="P2" s="1480"/>
      <c r="Q2" s="1480"/>
    </row>
    <row r="3" spans="1:17" hidden="1" x14ac:dyDescent="0.25">
      <c r="A3" s="115">
        <v>28052022</v>
      </c>
      <c r="B3" t="s">
        <v>873</v>
      </c>
      <c r="C3" t="s">
        <v>693</v>
      </c>
      <c r="D3" s="122">
        <v>44709</v>
      </c>
      <c r="E3" s="32"/>
      <c r="F3" t="s">
        <v>861</v>
      </c>
      <c r="G3" t="s">
        <v>279</v>
      </c>
      <c r="H3" t="s">
        <v>889</v>
      </c>
      <c r="I3" s="140">
        <v>9440</v>
      </c>
      <c r="J3" s="32"/>
      <c r="K3" s="32" t="s">
        <v>977</v>
      </c>
      <c r="L3" s="2">
        <v>44732</v>
      </c>
      <c r="O3" t="s">
        <v>655</v>
      </c>
      <c r="P3" s="14">
        <v>0.55138888888888882</v>
      </c>
      <c r="Q3" s="14">
        <v>0.74444444444444446</v>
      </c>
    </row>
    <row r="4" spans="1:17" x14ac:dyDescent="0.25">
      <c r="A4" s="116"/>
      <c r="D4" s="122"/>
      <c r="E4" s="32"/>
      <c r="H4" s="19"/>
      <c r="K4" s="32"/>
      <c r="P4" s="14"/>
      <c r="Q4" s="14"/>
    </row>
    <row r="5" spans="1:17" x14ac:dyDescent="0.25">
      <c r="H5" t="s">
        <v>423</v>
      </c>
      <c r="I5" s="89">
        <f>SUBTOTAL(9,I3:I4)</f>
        <v>0</v>
      </c>
      <c r="J5" s="3"/>
    </row>
  </sheetData>
  <autoFilter ref="A2:Q4" xr:uid="{00000000-0009-0000-0000-00002B000000}">
    <filterColumn colId="10">
      <filters blank="1"/>
    </filterColumn>
    <filterColumn colId="13" showButton="0"/>
    <filterColumn colId="14" showButton="0"/>
    <filterColumn colId="15" showButton="0"/>
  </autoFilter>
  <mergeCells count="1">
    <mergeCell ref="N2: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88805" r:id="rId3" name="Button 1">
              <controlPr defaultSize="0" print="0" autoFill="0" autoPict="0" macro="[0]!RETORNAR">
                <anchor moveWithCells="1" sizeWithCells="1">
                  <from>
                    <xdr:col>0</xdr:col>
                    <xdr:colOff>38100</xdr:colOff>
                    <xdr:row>0</xdr:row>
                    <xdr:rowOff>47625</xdr:rowOff>
                  </from>
                  <to>
                    <xdr:col>1</xdr:col>
                    <xdr:colOff>714375</xdr:colOff>
                    <xdr:row>0</xdr:row>
                    <xdr:rowOff>314325</xdr:rowOff>
                  </to>
                </anchor>
              </controlPr>
            </control>
          </mc:Choice>
        </mc:AlternateContent>
        <mc:AlternateContent xmlns:mc="http://schemas.openxmlformats.org/markup-compatibility/2006">
          <mc:Choice Requires="x14">
            <control shapeId="588809" r:id="rId4" name="Botón 9">
              <controlPr defaultSize="0" print="0" autoFill="0" autoPict="0" macro="[0]!IR_VENTAS_B200_2026">
                <anchor moveWithCells="1" sizeWithCells="1">
                  <from>
                    <xdr:col>0</xdr:col>
                    <xdr:colOff>885825</xdr:colOff>
                    <xdr:row>12</xdr:row>
                    <xdr:rowOff>171450</xdr:rowOff>
                  </from>
                  <to>
                    <xdr:col>1</xdr:col>
                    <xdr:colOff>1047750</xdr:colOff>
                    <xdr:row>16</xdr:row>
                    <xdr:rowOff>19050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Hoja18" filterMode="1"/>
  <dimension ref="A1:V188"/>
  <sheetViews>
    <sheetView zoomScale="80" zoomScaleNormal="80" workbookViewId="0">
      <selection activeCell="H115" sqref="H115"/>
    </sheetView>
  </sheetViews>
  <sheetFormatPr baseColWidth="10" defaultColWidth="10.85546875" defaultRowHeight="15" x14ac:dyDescent="0.25"/>
  <cols>
    <col min="1" max="1" width="14.140625" style="30" customWidth="1"/>
    <col min="2" max="2" width="33.7109375" customWidth="1"/>
    <col min="3" max="3" width="11.42578125" style="30"/>
    <col min="5" max="5" width="8.140625" customWidth="1"/>
    <col min="6" max="6" width="10.85546875" style="28"/>
    <col min="7" max="7" width="55.85546875" customWidth="1"/>
    <col min="8" max="8" width="19.140625" style="30" customWidth="1"/>
    <col min="9" max="9" width="14.5703125" bestFit="1" customWidth="1"/>
    <col min="10" max="10" width="12" bestFit="1" customWidth="1"/>
    <col min="11" max="11" width="11.140625" style="30" bestFit="1" customWidth="1"/>
    <col min="12" max="12" width="11.42578125" style="122"/>
    <col min="15" max="15" width="25.5703125" bestFit="1" customWidth="1"/>
  </cols>
  <sheetData>
    <row r="1" spans="1:18" ht="36.6" customHeight="1" x14ac:dyDescent="0.25"/>
    <row r="2" spans="1:18" x14ac:dyDescent="0.25">
      <c r="B2" s="1" t="s">
        <v>0</v>
      </c>
      <c r="C2" s="115" t="s">
        <v>1</v>
      </c>
      <c r="D2" s="1" t="s">
        <v>2</v>
      </c>
      <c r="E2" s="1"/>
      <c r="F2" s="25" t="s">
        <v>3</v>
      </c>
      <c r="G2" s="1" t="s">
        <v>4</v>
      </c>
      <c r="H2" s="115" t="s">
        <v>5</v>
      </c>
      <c r="I2" s="1" t="s">
        <v>6</v>
      </c>
      <c r="J2" s="1" t="s">
        <v>1780</v>
      </c>
      <c r="K2" s="115" t="s">
        <v>8</v>
      </c>
      <c r="L2" s="1" t="s">
        <v>3997</v>
      </c>
      <c r="M2" s="1" t="s">
        <v>10</v>
      </c>
      <c r="N2" s="1480" t="s">
        <v>11</v>
      </c>
      <c r="O2" s="1480"/>
      <c r="P2" s="1480"/>
      <c r="Q2" s="1480"/>
    </row>
    <row r="3" spans="1:18" ht="15" hidden="1" customHeight="1" x14ac:dyDescent="0.25">
      <c r="A3"/>
      <c r="B3" t="s">
        <v>303</v>
      </c>
      <c r="C3" t="s">
        <v>27</v>
      </c>
      <c r="D3" s="122">
        <v>44198</v>
      </c>
      <c r="E3" s="2"/>
      <c r="F3" s="28" t="s">
        <v>304</v>
      </c>
      <c r="G3" t="s">
        <v>305</v>
      </c>
      <c r="H3" s="30" t="s">
        <v>306</v>
      </c>
      <c r="I3" s="3">
        <v>38660</v>
      </c>
      <c r="K3" s="30" t="s">
        <v>17</v>
      </c>
      <c r="L3" s="122">
        <v>44314</v>
      </c>
      <c r="O3" t="s">
        <v>307</v>
      </c>
    </row>
    <row r="4" spans="1:18" ht="15" hidden="1" customHeight="1" x14ac:dyDescent="0.25">
      <c r="A4"/>
      <c r="B4" t="s">
        <v>303</v>
      </c>
      <c r="C4" t="s">
        <v>31</v>
      </c>
      <c r="D4" s="122">
        <v>44200</v>
      </c>
      <c r="E4" s="2"/>
      <c r="F4" s="28" t="s">
        <v>304</v>
      </c>
      <c r="G4" t="s">
        <v>308</v>
      </c>
      <c r="H4" s="30" t="s">
        <v>309</v>
      </c>
      <c r="I4" s="3">
        <v>38660</v>
      </c>
      <c r="K4" s="30" t="s">
        <v>17</v>
      </c>
      <c r="L4" s="122">
        <v>44314</v>
      </c>
      <c r="O4" t="s">
        <v>307</v>
      </c>
    </row>
    <row r="5" spans="1:18" ht="15" hidden="1" customHeight="1" x14ac:dyDescent="0.25">
      <c r="A5"/>
      <c r="B5" t="s">
        <v>303</v>
      </c>
      <c r="C5" t="s">
        <v>278</v>
      </c>
      <c r="D5" s="122">
        <v>44321</v>
      </c>
      <c r="E5" s="2"/>
      <c r="F5" s="28" t="s">
        <v>310</v>
      </c>
      <c r="G5" t="s">
        <v>311</v>
      </c>
      <c r="H5" s="30" t="s">
        <v>312</v>
      </c>
      <c r="I5" s="3">
        <v>43579</v>
      </c>
      <c r="J5" s="4"/>
      <c r="K5" s="30" t="s">
        <v>17</v>
      </c>
      <c r="L5" s="122">
        <v>44392</v>
      </c>
      <c r="O5" t="s">
        <v>140</v>
      </c>
    </row>
    <row r="6" spans="1:18" ht="15" hidden="1" customHeight="1" x14ac:dyDescent="0.25">
      <c r="A6"/>
      <c r="B6" t="s">
        <v>303</v>
      </c>
      <c r="C6" t="s">
        <v>31</v>
      </c>
      <c r="D6" s="122">
        <v>44374</v>
      </c>
      <c r="E6" s="2"/>
      <c r="F6" s="28" t="s">
        <v>310</v>
      </c>
      <c r="G6" t="s">
        <v>313</v>
      </c>
      <c r="H6" s="30" t="s">
        <v>314</v>
      </c>
      <c r="I6" s="3">
        <v>48405</v>
      </c>
      <c r="J6" s="4"/>
      <c r="K6" s="30" t="s">
        <v>17</v>
      </c>
      <c r="L6" s="122">
        <v>44468</v>
      </c>
      <c r="M6" t="s">
        <v>81</v>
      </c>
      <c r="O6" t="s">
        <v>176</v>
      </c>
    </row>
    <row r="7" spans="1:18" ht="15" hidden="1" customHeight="1" x14ac:dyDescent="0.25">
      <c r="A7"/>
      <c r="B7" t="s">
        <v>303</v>
      </c>
      <c r="C7" t="s">
        <v>67</v>
      </c>
      <c r="D7" s="122">
        <v>44424</v>
      </c>
      <c r="E7" s="7">
        <v>3.3</v>
      </c>
      <c r="F7" s="28" t="s">
        <v>304</v>
      </c>
      <c r="G7" t="s">
        <v>315</v>
      </c>
      <c r="H7" s="30" t="s">
        <v>421</v>
      </c>
      <c r="I7" s="3">
        <v>48405</v>
      </c>
      <c r="K7" s="30" t="s">
        <v>17</v>
      </c>
      <c r="L7" s="122">
        <v>44917</v>
      </c>
      <c r="M7" t="s">
        <v>81</v>
      </c>
    </row>
    <row r="8" spans="1:18" ht="15" hidden="1" customHeight="1" x14ac:dyDescent="0.25">
      <c r="A8"/>
      <c r="B8" t="s">
        <v>303</v>
      </c>
      <c r="C8" t="s">
        <v>67</v>
      </c>
      <c r="D8" s="122">
        <v>44438</v>
      </c>
      <c r="E8" s="7">
        <v>3.3</v>
      </c>
      <c r="F8" s="28" t="s">
        <v>304</v>
      </c>
      <c r="G8" t="s">
        <v>316</v>
      </c>
      <c r="H8" s="30" t="s">
        <v>367</v>
      </c>
      <c r="I8" s="3">
        <v>48405</v>
      </c>
      <c r="K8" s="30" t="s">
        <v>17</v>
      </c>
      <c r="L8" s="122">
        <v>44557</v>
      </c>
      <c r="M8" t="s">
        <v>81</v>
      </c>
    </row>
    <row r="9" spans="1:18" ht="15" hidden="1" customHeight="1" x14ac:dyDescent="0.25">
      <c r="A9"/>
      <c r="B9" t="s">
        <v>303</v>
      </c>
      <c r="C9" t="s">
        <v>67</v>
      </c>
      <c r="D9" s="122">
        <v>44303</v>
      </c>
      <c r="E9" s="7">
        <v>3.3</v>
      </c>
      <c r="F9" s="28" t="s">
        <v>304</v>
      </c>
      <c r="G9" t="s">
        <v>856</v>
      </c>
      <c r="H9" s="30" t="s">
        <v>846</v>
      </c>
      <c r="I9" s="3">
        <v>36800</v>
      </c>
      <c r="K9" s="30" t="s">
        <v>17</v>
      </c>
      <c r="L9" s="122">
        <v>44693</v>
      </c>
    </row>
    <row r="10" spans="1:18" ht="15" hidden="1" customHeight="1" x14ac:dyDescent="0.25">
      <c r="A10" s="116" t="s">
        <v>824</v>
      </c>
      <c r="B10" t="s">
        <v>826</v>
      </c>
      <c r="C10" t="s">
        <v>693</v>
      </c>
      <c r="D10" s="122">
        <v>44687</v>
      </c>
      <c r="E10" s="7">
        <v>3.3</v>
      </c>
      <c r="F10" s="28" t="s">
        <v>304</v>
      </c>
      <c r="G10" t="s">
        <v>855</v>
      </c>
      <c r="H10" s="30" t="s">
        <v>988</v>
      </c>
      <c r="I10" s="88">
        <v>36800</v>
      </c>
      <c r="K10" s="368" t="s">
        <v>17</v>
      </c>
      <c r="L10" s="122">
        <v>44740</v>
      </c>
      <c r="P10" t="s">
        <v>655</v>
      </c>
      <c r="Q10" s="14">
        <v>0.52222222222222225</v>
      </c>
      <c r="R10" s="14">
        <v>0.7715277777777777</v>
      </c>
    </row>
    <row r="11" spans="1:18" ht="15" hidden="1" customHeight="1" x14ac:dyDescent="0.25">
      <c r="A11" s="115">
        <v>11052022</v>
      </c>
      <c r="B11" t="s">
        <v>762</v>
      </c>
      <c r="C11" t="s">
        <v>410</v>
      </c>
      <c r="D11" s="122">
        <v>44692</v>
      </c>
      <c r="E11" s="7">
        <v>3.3</v>
      </c>
      <c r="F11" s="28" t="s">
        <v>304</v>
      </c>
      <c r="G11" t="s">
        <v>854</v>
      </c>
      <c r="H11" s="30" t="s">
        <v>1001</v>
      </c>
      <c r="I11" s="88">
        <v>36800</v>
      </c>
      <c r="J11">
        <f>+I11*0.88</f>
        <v>32384</v>
      </c>
      <c r="K11" s="368" t="s">
        <v>17</v>
      </c>
      <c r="L11" s="122">
        <v>44762</v>
      </c>
      <c r="P11" t="s">
        <v>652</v>
      </c>
      <c r="Q11" s="14">
        <v>0.3833333333333333</v>
      </c>
      <c r="R11" s="14">
        <v>0.56736111111111109</v>
      </c>
    </row>
    <row r="12" spans="1:18" ht="15" hidden="1" customHeight="1" x14ac:dyDescent="0.25">
      <c r="A12" s="115"/>
      <c r="C12"/>
      <c r="D12" s="1554">
        <v>44709</v>
      </c>
      <c r="E12" s="7">
        <v>3.3</v>
      </c>
      <c r="F12" s="1491" t="s">
        <v>304</v>
      </c>
      <c r="G12" s="10" t="s">
        <v>964</v>
      </c>
      <c r="H12" s="30" t="s">
        <v>1044</v>
      </c>
      <c r="I12" s="414">
        <v>25700.19</v>
      </c>
      <c r="J12" s="159"/>
      <c r="K12" s="590" t="s">
        <v>17</v>
      </c>
      <c r="L12" s="122">
        <v>44768</v>
      </c>
      <c r="M12" t="s">
        <v>388</v>
      </c>
      <c r="Q12" s="14"/>
      <c r="R12" s="14"/>
    </row>
    <row r="13" spans="1:18" ht="15" hidden="1" customHeight="1" x14ac:dyDescent="0.25">
      <c r="A13" s="115">
        <v>28052022</v>
      </c>
      <c r="B13" t="s">
        <v>762</v>
      </c>
      <c r="C13" t="s">
        <v>410</v>
      </c>
      <c r="D13" s="1554"/>
      <c r="E13" s="7">
        <v>3.3</v>
      </c>
      <c r="F13" s="1491"/>
      <c r="G13" s="10" t="s">
        <v>964</v>
      </c>
      <c r="H13" s="30" t="s">
        <v>1045</v>
      </c>
      <c r="I13" s="414">
        <v>11099.81</v>
      </c>
      <c r="J13" s="159"/>
      <c r="K13" s="590" t="s">
        <v>17</v>
      </c>
      <c r="L13" s="122">
        <v>44768</v>
      </c>
      <c r="M13" t="s">
        <v>388</v>
      </c>
      <c r="O13" t="s">
        <v>651</v>
      </c>
      <c r="P13" s="14">
        <v>0.4291666666666667</v>
      </c>
      <c r="Q13" s="14">
        <v>0.6777777777777777</v>
      </c>
    </row>
    <row r="14" spans="1:18" ht="15" hidden="1" customHeight="1" x14ac:dyDescent="0.25">
      <c r="A14" s="115">
        <v>20072022</v>
      </c>
      <c r="B14" s="169" t="s">
        <v>762</v>
      </c>
      <c r="C14" s="21" t="s">
        <v>693</v>
      </c>
      <c r="D14" s="122">
        <v>44762</v>
      </c>
      <c r="E14" s="7">
        <v>3.2</v>
      </c>
      <c r="F14" s="209" t="s">
        <v>294</v>
      </c>
      <c r="G14" s="163" t="s">
        <v>1186</v>
      </c>
      <c r="H14" s="30" t="s">
        <v>1195</v>
      </c>
      <c r="I14" s="414">
        <v>36395</v>
      </c>
      <c r="J14" s="159"/>
      <c r="K14" s="236" t="s">
        <v>297</v>
      </c>
      <c r="L14" s="122">
        <v>44830</v>
      </c>
      <c r="M14" t="s">
        <v>388</v>
      </c>
      <c r="O14" s="163" t="s">
        <v>651</v>
      </c>
      <c r="P14" s="14">
        <v>0.64930555555555558</v>
      </c>
      <c r="Q14" s="14">
        <v>0.90625</v>
      </c>
    </row>
    <row r="15" spans="1:18" ht="15" hidden="1" customHeight="1" x14ac:dyDescent="0.25">
      <c r="A15" s="115">
        <v>26072022</v>
      </c>
      <c r="B15" s="169" t="s">
        <v>762</v>
      </c>
      <c r="C15" s="21" t="s">
        <v>693</v>
      </c>
      <c r="D15" s="122">
        <v>44768</v>
      </c>
      <c r="E15" s="7">
        <v>3.3</v>
      </c>
      <c r="F15" s="209" t="s">
        <v>759</v>
      </c>
      <c r="G15" s="163" t="s">
        <v>1188</v>
      </c>
      <c r="H15" s="30" t="s">
        <v>1196</v>
      </c>
      <c r="I15" s="160">
        <v>39385</v>
      </c>
      <c r="J15" s="159"/>
      <c r="K15" s="368" t="s">
        <v>17</v>
      </c>
      <c r="L15" s="122">
        <v>44833</v>
      </c>
      <c r="M15" t="s">
        <v>388</v>
      </c>
      <c r="O15" s="163" t="s">
        <v>652</v>
      </c>
      <c r="P15" s="14">
        <v>0.34930555555555554</v>
      </c>
      <c r="Q15" s="14">
        <v>0.54375000000000007</v>
      </c>
    </row>
    <row r="16" spans="1:18" ht="15" hidden="1" customHeight="1" x14ac:dyDescent="0.25">
      <c r="A16" s="116" t="s">
        <v>1089</v>
      </c>
      <c r="B16" s="169" t="s">
        <v>762</v>
      </c>
      <c r="C16" s="169" t="s">
        <v>693</v>
      </c>
      <c r="D16" s="122">
        <v>44779</v>
      </c>
      <c r="E16" s="7">
        <v>3.3</v>
      </c>
      <c r="F16" s="209" t="s">
        <v>1094</v>
      </c>
      <c r="G16" s="163" t="s">
        <v>1187</v>
      </c>
      <c r="H16" s="30" t="s">
        <v>1197</v>
      </c>
      <c r="I16" s="160">
        <v>39385</v>
      </c>
      <c r="J16" s="160"/>
      <c r="K16" s="368" t="s">
        <v>17</v>
      </c>
      <c r="L16" s="122">
        <v>44846</v>
      </c>
      <c r="O16" s="163" t="s">
        <v>653</v>
      </c>
      <c r="P16" s="157">
        <v>0.34583333333333338</v>
      </c>
      <c r="Q16" s="157">
        <v>0.55902777777777779</v>
      </c>
    </row>
    <row r="17" spans="1:21" ht="15" hidden="1" customHeight="1" x14ac:dyDescent="0.25">
      <c r="A17" s="116" t="s">
        <v>1175</v>
      </c>
      <c r="B17" t="s">
        <v>762</v>
      </c>
      <c r="C17" s="169" t="s">
        <v>693</v>
      </c>
      <c r="D17" s="122">
        <v>44805</v>
      </c>
      <c r="E17" s="7">
        <v>3.3</v>
      </c>
      <c r="F17" s="28" t="s">
        <v>304</v>
      </c>
      <c r="G17" s="163" t="s">
        <v>1270</v>
      </c>
      <c r="H17" s="30" t="s">
        <v>1362</v>
      </c>
      <c r="I17" s="160">
        <v>34835</v>
      </c>
      <c r="J17" s="159"/>
      <c r="K17" s="368" t="s">
        <v>17</v>
      </c>
      <c r="L17" s="122">
        <v>44851</v>
      </c>
      <c r="O17" s="163" t="s">
        <v>916</v>
      </c>
      <c r="P17" s="157">
        <v>0.35972222222222222</v>
      </c>
      <c r="Q17" s="157">
        <v>0.59027777777777779</v>
      </c>
    </row>
    <row r="18" spans="1:21" ht="15" hidden="1" customHeight="1" x14ac:dyDescent="0.25">
      <c r="A18" s="116"/>
      <c r="C18" s="169"/>
      <c r="D18" s="122"/>
      <c r="E18" s="7"/>
      <c r="G18" s="163" t="s">
        <v>1271</v>
      </c>
      <c r="H18" s="30" t="s">
        <v>1363</v>
      </c>
      <c r="I18" s="160">
        <v>5757</v>
      </c>
      <c r="J18" s="159"/>
      <c r="K18" s="368" t="s">
        <v>17</v>
      </c>
      <c r="L18" s="122">
        <v>44851</v>
      </c>
      <c r="O18" s="163"/>
      <c r="P18" s="157"/>
      <c r="Q18" s="157"/>
    </row>
    <row r="19" spans="1:21" ht="15" hidden="1" customHeight="1" x14ac:dyDescent="0.25">
      <c r="A19" s="116" t="s">
        <v>1349</v>
      </c>
      <c r="B19" s="169" t="s">
        <v>762</v>
      </c>
      <c r="C19" s="169" t="s">
        <v>693</v>
      </c>
      <c r="D19" s="122">
        <v>44842</v>
      </c>
      <c r="E19" s="88"/>
      <c r="F19" s="28" t="s">
        <v>304</v>
      </c>
      <c r="G19" s="163" t="s">
        <v>1440</v>
      </c>
      <c r="H19" s="30" t="s">
        <v>1442</v>
      </c>
      <c r="I19" s="160">
        <v>40592</v>
      </c>
      <c r="J19" s="160"/>
      <c r="K19" s="236" t="s">
        <v>17</v>
      </c>
      <c r="L19" s="122">
        <v>44876</v>
      </c>
      <c r="O19" s="21"/>
      <c r="P19" s="157">
        <v>0.4381944444444445</v>
      </c>
      <c r="Q19" s="157">
        <v>0.65902777777777777</v>
      </c>
    </row>
    <row r="20" spans="1:21" ht="15" hidden="1" customHeight="1" x14ac:dyDescent="0.25">
      <c r="A20" s="116">
        <v>11102022</v>
      </c>
      <c r="B20" s="169" t="s">
        <v>762</v>
      </c>
      <c r="C20" s="30" t="s">
        <v>410</v>
      </c>
      <c r="D20" s="122">
        <v>44845</v>
      </c>
      <c r="E20" s="88"/>
      <c r="F20" s="28" t="s">
        <v>304</v>
      </c>
      <c r="G20" s="163" t="s">
        <v>1441</v>
      </c>
      <c r="H20" s="30" t="s">
        <v>1443</v>
      </c>
      <c r="I20" s="160">
        <v>40592</v>
      </c>
      <c r="J20" s="160"/>
      <c r="K20" s="236" t="s">
        <v>17</v>
      </c>
      <c r="L20" s="122">
        <v>44876</v>
      </c>
      <c r="O20" s="21" t="s">
        <v>916</v>
      </c>
      <c r="P20" s="157">
        <v>0.58333333333333337</v>
      </c>
      <c r="Q20" s="157">
        <v>0.78888888888888886</v>
      </c>
    </row>
    <row r="21" spans="1:21" ht="15" hidden="1" customHeight="1" x14ac:dyDescent="0.25">
      <c r="A21" s="1555">
        <v>20102022</v>
      </c>
      <c r="B21" s="1586" t="s">
        <v>762</v>
      </c>
      <c r="D21" s="1577">
        <v>44854</v>
      </c>
      <c r="E21" s="88"/>
      <c r="G21" s="163" t="s">
        <v>1457</v>
      </c>
      <c r="H21" s="30" t="s">
        <v>1455</v>
      </c>
      <c r="I21" s="160">
        <v>37139.82</v>
      </c>
      <c r="J21" s="160"/>
      <c r="K21" s="236" t="s">
        <v>17</v>
      </c>
      <c r="L21" s="122">
        <v>44882</v>
      </c>
      <c r="O21" s="21"/>
      <c r="P21" s="157"/>
      <c r="Q21" s="157"/>
    </row>
    <row r="22" spans="1:21" ht="15" hidden="1" customHeight="1" x14ac:dyDescent="0.25">
      <c r="A22" s="1555"/>
      <c r="B22" s="1586"/>
      <c r="C22" s="169" t="s">
        <v>693</v>
      </c>
      <c r="D22" s="1577"/>
      <c r="E22" s="88"/>
      <c r="F22" s="28" t="s">
        <v>1399</v>
      </c>
      <c r="G22" s="163" t="s">
        <v>1459</v>
      </c>
      <c r="H22" s="30" t="s">
        <v>1464</v>
      </c>
      <c r="I22" s="160">
        <v>3452.18</v>
      </c>
      <c r="J22" s="160"/>
      <c r="K22" s="236" t="s">
        <v>17</v>
      </c>
      <c r="L22" s="122">
        <v>44882</v>
      </c>
      <c r="O22" s="21"/>
      <c r="P22" s="157">
        <v>0.34513888888888888</v>
      </c>
      <c r="Q22" s="21"/>
    </row>
    <row r="23" spans="1:21" ht="15" hidden="1" customHeight="1" x14ac:dyDescent="0.25">
      <c r="A23" s="116">
        <v>24102022</v>
      </c>
      <c r="B23" s="169" t="s">
        <v>762</v>
      </c>
      <c r="C23" s="169" t="s">
        <v>693</v>
      </c>
      <c r="D23" s="233">
        <v>44858</v>
      </c>
      <c r="E23" s="88"/>
      <c r="F23" s="28" t="s">
        <v>1399</v>
      </c>
      <c r="G23" s="163" t="s">
        <v>1458</v>
      </c>
      <c r="H23" s="30" t="s">
        <v>1456</v>
      </c>
      <c r="I23" s="160">
        <v>40592</v>
      </c>
      <c r="J23" s="160"/>
      <c r="K23" s="236" t="s">
        <v>17</v>
      </c>
      <c r="L23" s="122">
        <v>44883</v>
      </c>
      <c r="O23" s="21"/>
      <c r="P23" s="157"/>
      <c r="Q23" s="21"/>
    </row>
    <row r="24" spans="1:21" ht="15" hidden="1" customHeight="1" x14ac:dyDescent="0.25">
      <c r="A24" s="116" t="s">
        <v>1449</v>
      </c>
      <c r="B24" s="169" t="s">
        <v>762</v>
      </c>
      <c r="C24" s="169" t="s">
        <v>693</v>
      </c>
      <c r="D24" s="122">
        <v>44871</v>
      </c>
      <c r="E24" s="88"/>
      <c r="F24" s="28" t="s">
        <v>1399</v>
      </c>
      <c r="G24" s="21" t="s">
        <v>1520</v>
      </c>
      <c r="H24" s="30" t="s">
        <v>1540</v>
      </c>
      <c r="I24" s="160">
        <v>17684.48</v>
      </c>
      <c r="J24" s="160"/>
      <c r="K24" s="236" t="s">
        <v>17</v>
      </c>
      <c r="L24" s="122">
        <v>44914</v>
      </c>
      <c r="O24" s="21" t="s">
        <v>922</v>
      </c>
      <c r="P24" s="157">
        <v>0.37361111111111112</v>
      </c>
      <c r="Q24" s="157">
        <v>0.6069444444444444</v>
      </c>
    </row>
    <row r="25" spans="1:21" ht="15" hidden="1" customHeight="1" x14ac:dyDescent="0.25">
      <c r="A25" s="116"/>
      <c r="B25" s="169"/>
      <c r="C25" s="169"/>
      <c r="D25" s="122"/>
      <c r="E25" s="88"/>
      <c r="G25" s="21" t="s">
        <v>1520</v>
      </c>
      <c r="H25" s="30" t="s">
        <v>1541</v>
      </c>
      <c r="I25" s="160">
        <v>23407.52</v>
      </c>
      <c r="J25" s="160"/>
      <c r="K25" s="236" t="s">
        <v>17</v>
      </c>
      <c r="L25" s="122">
        <v>44914</v>
      </c>
      <c r="O25" s="21"/>
      <c r="P25" s="157"/>
      <c r="Q25" s="157"/>
    </row>
    <row r="26" spans="1:21" ht="15" hidden="1" customHeight="1" x14ac:dyDescent="0.25">
      <c r="A26" s="116">
        <v>12112022</v>
      </c>
      <c r="B26" s="169" t="s">
        <v>762</v>
      </c>
      <c r="C26" s="169" t="s">
        <v>693</v>
      </c>
      <c r="D26" s="122">
        <v>44877</v>
      </c>
      <c r="E26" s="88"/>
      <c r="F26" s="28" t="s">
        <v>1467</v>
      </c>
      <c r="G26" s="21" t="s">
        <v>1483</v>
      </c>
      <c r="H26" s="30" t="s">
        <v>1542</v>
      </c>
      <c r="I26" s="160">
        <v>40592</v>
      </c>
      <c r="J26" s="160"/>
      <c r="K26" s="236" t="s">
        <v>17</v>
      </c>
      <c r="L26" s="122">
        <v>44921</v>
      </c>
      <c r="O26" s="21" t="s">
        <v>929</v>
      </c>
      <c r="P26" s="157">
        <v>0.39652777777777781</v>
      </c>
      <c r="Q26" s="21"/>
    </row>
    <row r="27" spans="1:21" ht="15" hidden="1" customHeight="1" x14ac:dyDescent="0.25">
      <c r="A27" s="116">
        <v>13112022</v>
      </c>
      <c r="B27" s="169" t="s">
        <v>762</v>
      </c>
      <c r="C27" s="169" t="s">
        <v>693</v>
      </c>
      <c r="D27" s="122">
        <v>44878</v>
      </c>
      <c r="E27" s="88"/>
      <c r="F27" s="28" t="s">
        <v>1467</v>
      </c>
      <c r="G27" s="21" t="s">
        <v>1521</v>
      </c>
      <c r="H27" s="30" t="s">
        <v>1543</v>
      </c>
      <c r="I27" s="32">
        <v>41092</v>
      </c>
      <c r="J27" s="160"/>
      <c r="K27" s="236" t="s">
        <v>17</v>
      </c>
      <c r="L27" s="122">
        <v>44914</v>
      </c>
      <c r="O27" s="21" t="s">
        <v>1029</v>
      </c>
      <c r="P27" s="157">
        <v>0.3923611111111111</v>
      </c>
      <c r="Q27" s="157">
        <v>0.59305555555555556</v>
      </c>
    </row>
    <row r="28" spans="1:21" ht="15" hidden="1" customHeight="1" x14ac:dyDescent="0.25">
      <c r="A28" s="116">
        <v>14112022</v>
      </c>
      <c r="B28" s="169" t="s">
        <v>762</v>
      </c>
      <c r="C28" s="169" t="s">
        <v>693</v>
      </c>
      <c r="D28" s="122">
        <v>44879</v>
      </c>
      <c r="E28" s="88"/>
      <c r="F28" s="28" t="s">
        <v>1467</v>
      </c>
      <c r="G28" s="21" t="s">
        <v>1591</v>
      </c>
      <c r="H28" s="30" t="s">
        <v>1653</v>
      </c>
      <c r="I28" s="160">
        <v>40592</v>
      </c>
      <c r="J28" s="160"/>
      <c r="K28" s="236" t="s">
        <v>17</v>
      </c>
      <c r="L28" s="122">
        <v>44936</v>
      </c>
      <c r="O28" s="21" t="s">
        <v>989</v>
      </c>
      <c r="P28" s="157">
        <v>0.36874999999999997</v>
      </c>
      <c r="Q28" s="21"/>
    </row>
    <row r="29" spans="1:21" ht="15" hidden="1" customHeight="1" x14ac:dyDescent="0.25">
      <c r="A29" s="116">
        <v>27112022</v>
      </c>
      <c r="B29" s="169" t="s">
        <v>762</v>
      </c>
      <c r="C29" s="169" t="s">
        <v>693</v>
      </c>
      <c r="D29" s="122">
        <v>44892</v>
      </c>
      <c r="E29" s="88"/>
      <c r="F29" s="28" t="s">
        <v>1467</v>
      </c>
      <c r="G29" s="21" t="s">
        <v>1592</v>
      </c>
      <c r="H29" s="30" t="s">
        <v>1650</v>
      </c>
      <c r="I29" s="160">
        <v>40592</v>
      </c>
      <c r="J29" s="160"/>
      <c r="K29" s="236" t="s">
        <v>17</v>
      </c>
      <c r="L29" s="122">
        <v>44929</v>
      </c>
      <c r="O29" s="21" t="s">
        <v>1505</v>
      </c>
      <c r="P29" s="157">
        <v>0.3430555555555555</v>
      </c>
      <c r="Q29" s="157">
        <v>0.57291666666666663</v>
      </c>
    </row>
    <row r="30" spans="1:21" hidden="1" x14ac:dyDescent="0.25">
      <c r="A30" s="116" t="s">
        <v>1814</v>
      </c>
      <c r="B30" t="s">
        <v>762</v>
      </c>
      <c r="C30" t="s">
        <v>410</v>
      </c>
      <c r="D30" s="122">
        <v>44958</v>
      </c>
      <c r="F30" s="28" t="s">
        <v>1399</v>
      </c>
      <c r="G30" t="s">
        <v>1884</v>
      </c>
      <c r="H30" s="30" t="s">
        <v>2277</v>
      </c>
      <c r="I30" s="32">
        <v>39600</v>
      </c>
      <c r="J30" s="32">
        <f t="shared" ref="J30:J40" si="0">+I30*0.88</f>
        <v>34848</v>
      </c>
      <c r="K30" s="368" t="s">
        <v>17</v>
      </c>
      <c r="L30" s="122">
        <v>45051</v>
      </c>
      <c r="M30" s="28"/>
      <c r="S30" t="s">
        <v>1815</v>
      </c>
      <c r="T30" s="14">
        <v>0.50069444444444444</v>
      </c>
      <c r="U30" s="14">
        <v>0.71666666666666667</v>
      </c>
    </row>
    <row r="31" spans="1:21" hidden="1" x14ac:dyDescent="0.25">
      <c r="A31" s="116" t="s">
        <v>1843</v>
      </c>
      <c r="B31" t="s">
        <v>762</v>
      </c>
      <c r="C31" t="s">
        <v>809</v>
      </c>
      <c r="D31" s="122">
        <v>44960</v>
      </c>
      <c r="F31" s="28" t="s">
        <v>304</v>
      </c>
      <c r="G31" t="s">
        <v>1885</v>
      </c>
      <c r="H31" s="30" t="s">
        <v>2275</v>
      </c>
      <c r="I31" s="32">
        <v>39600</v>
      </c>
      <c r="J31" s="32">
        <f t="shared" si="0"/>
        <v>34848</v>
      </c>
      <c r="K31" s="368" t="s">
        <v>17</v>
      </c>
      <c r="L31" s="122">
        <v>45051</v>
      </c>
      <c r="S31" t="s">
        <v>1178</v>
      </c>
      <c r="T31" s="14">
        <v>0.32013888888888892</v>
      </c>
      <c r="U31" s="14">
        <v>0.5756944444444444</v>
      </c>
    </row>
    <row r="32" spans="1:21" hidden="1" x14ac:dyDescent="0.25">
      <c r="A32" s="116">
        <v>11022023</v>
      </c>
      <c r="B32" s="95" t="s">
        <v>762</v>
      </c>
      <c r="C32" t="s">
        <v>809</v>
      </c>
      <c r="D32" s="255">
        <v>44968</v>
      </c>
      <c r="F32" s="28" t="s">
        <v>294</v>
      </c>
      <c r="G32" t="s">
        <v>1934</v>
      </c>
      <c r="H32" s="30" t="s">
        <v>2276</v>
      </c>
      <c r="I32" s="32">
        <v>39600</v>
      </c>
      <c r="J32" s="32">
        <f t="shared" si="0"/>
        <v>34848</v>
      </c>
      <c r="K32" s="368" t="s">
        <v>17</v>
      </c>
      <c r="L32" s="122">
        <v>45051</v>
      </c>
      <c r="S32" t="s">
        <v>1894</v>
      </c>
      <c r="T32" s="14">
        <v>0.65972222222222221</v>
      </c>
      <c r="U32" s="14">
        <v>0.85486111111111107</v>
      </c>
    </row>
    <row r="33" spans="1:22" hidden="1" x14ac:dyDescent="0.25">
      <c r="A33" s="116">
        <v>24022023</v>
      </c>
      <c r="B33" t="s">
        <v>762</v>
      </c>
      <c r="C33" t="s">
        <v>410</v>
      </c>
      <c r="D33" s="122">
        <v>44981</v>
      </c>
      <c r="F33" s="28" t="s">
        <v>872</v>
      </c>
      <c r="G33" t="s">
        <v>1935</v>
      </c>
      <c r="H33" s="30" t="s">
        <v>2278</v>
      </c>
      <c r="I33" s="32">
        <v>39600</v>
      </c>
      <c r="J33" s="32">
        <f t="shared" si="0"/>
        <v>34848</v>
      </c>
      <c r="K33" s="368" t="s">
        <v>17</v>
      </c>
      <c r="L33" s="122">
        <v>45051</v>
      </c>
      <c r="S33" t="s">
        <v>1029</v>
      </c>
      <c r="T33" s="14">
        <v>0.49722222222222223</v>
      </c>
      <c r="U33" s="14"/>
    </row>
    <row r="34" spans="1:22" hidden="1" x14ac:dyDescent="0.25">
      <c r="A34" s="116">
        <v>26022023</v>
      </c>
      <c r="B34" t="s">
        <v>762</v>
      </c>
      <c r="C34" t="s">
        <v>13</v>
      </c>
      <c r="D34" s="122">
        <v>44983</v>
      </c>
      <c r="F34" s="28" t="s">
        <v>872</v>
      </c>
      <c r="G34" t="s">
        <v>1933</v>
      </c>
      <c r="H34" s="30" t="s">
        <v>2279</v>
      </c>
      <c r="I34" s="32">
        <f>39600+2255.89</f>
        <v>41855.89</v>
      </c>
      <c r="J34" s="32">
        <f t="shared" si="0"/>
        <v>36833.183199999999</v>
      </c>
      <c r="K34" s="368" t="s">
        <v>17</v>
      </c>
      <c r="L34" s="122">
        <v>45051</v>
      </c>
      <c r="S34" t="s">
        <v>1029</v>
      </c>
      <c r="T34" s="14">
        <v>0.34861111111111115</v>
      </c>
      <c r="U34" s="14">
        <v>0.60347222222222219</v>
      </c>
    </row>
    <row r="35" spans="1:22" hidden="1" x14ac:dyDescent="0.25">
      <c r="A35" s="116" t="s">
        <v>1990</v>
      </c>
      <c r="B35" t="s">
        <v>762</v>
      </c>
      <c r="C35" t="s">
        <v>13</v>
      </c>
      <c r="D35" s="122">
        <v>44990</v>
      </c>
      <c r="F35" s="28" t="s">
        <v>294</v>
      </c>
      <c r="G35" t="s">
        <v>2137</v>
      </c>
      <c r="H35" s="30" t="s">
        <v>2280</v>
      </c>
      <c r="I35" s="32">
        <v>39600</v>
      </c>
      <c r="J35" s="32">
        <f t="shared" si="0"/>
        <v>34848</v>
      </c>
      <c r="K35" s="368" t="s">
        <v>17</v>
      </c>
      <c r="L35" s="122">
        <v>45051</v>
      </c>
      <c r="S35" t="s">
        <v>1506</v>
      </c>
      <c r="T35" s="14">
        <v>0.35694444444444445</v>
      </c>
      <c r="U35" s="14">
        <v>0.57291666666666663</v>
      </c>
    </row>
    <row r="36" spans="1:22" hidden="1" x14ac:dyDescent="0.25">
      <c r="A36" s="256">
        <v>12042023</v>
      </c>
      <c r="B36" t="s">
        <v>762</v>
      </c>
      <c r="C36" t="s">
        <v>693</v>
      </c>
      <c r="D36" s="122">
        <v>45028</v>
      </c>
      <c r="F36" s="28" t="s">
        <v>1399</v>
      </c>
      <c r="G36" t="s">
        <v>2244</v>
      </c>
      <c r="H36" s="30" t="s">
        <v>2281</v>
      </c>
      <c r="I36" s="88">
        <v>39600</v>
      </c>
      <c r="J36" s="32">
        <f t="shared" si="0"/>
        <v>34848</v>
      </c>
      <c r="K36" s="368" t="s">
        <v>17</v>
      </c>
      <c r="L36" s="122">
        <v>45051</v>
      </c>
      <c r="T36" t="s">
        <v>1029</v>
      </c>
      <c r="U36" s="14">
        <v>0.34166666666666662</v>
      </c>
    </row>
    <row r="37" spans="1:22" hidden="1" x14ac:dyDescent="0.25">
      <c r="A37" s="256">
        <v>21042023</v>
      </c>
      <c r="B37" t="s">
        <v>762</v>
      </c>
      <c r="C37" t="s">
        <v>693</v>
      </c>
      <c r="D37" s="233">
        <v>45037</v>
      </c>
      <c r="F37" s="28" t="s">
        <v>872</v>
      </c>
      <c r="G37" t="s">
        <v>2270</v>
      </c>
      <c r="H37" s="30" t="s">
        <v>2601</v>
      </c>
      <c r="I37" s="88">
        <v>39600</v>
      </c>
      <c r="J37" s="32">
        <f t="shared" si="0"/>
        <v>34848</v>
      </c>
      <c r="K37" s="236" t="s">
        <v>17</v>
      </c>
      <c r="L37" s="122">
        <v>45125</v>
      </c>
      <c r="T37" t="s">
        <v>922</v>
      </c>
      <c r="U37" s="14">
        <v>0.46249999999999997</v>
      </c>
      <c r="V37" s="14"/>
    </row>
    <row r="38" spans="1:22" hidden="1" x14ac:dyDescent="0.25">
      <c r="A38" s="256">
        <v>26042023</v>
      </c>
      <c r="B38" t="s">
        <v>762</v>
      </c>
      <c r="C38" t="s">
        <v>410</v>
      </c>
      <c r="D38" s="233">
        <v>45042</v>
      </c>
      <c r="F38" s="28" t="s">
        <v>872</v>
      </c>
      <c r="G38" s="30" t="s">
        <v>2360</v>
      </c>
      <c r="H38" s="30" t="s">
        <v>2602</v>
      </c>
      <c r="I38" s="313">
        <v>39600</v>
      </c>
      <c r="J38" s="32">
        <f t="shared" si="0"/>
        <v>34848</v>
      </c>
      <c r="K38" s="236" t="s">
        <v>17</v>
      </c>
      <c r="L38" s="122">
        <v>45125</v>
      </c>
      <c r="T38" t="s">
        <v>1029</v>
      </c>
      <c r="U38" s="14">
        <v>0.43958333333333338</v>
      </c>
    </row>
    <row r="39" spans="1:22" hidden="1" x14ac:dyDescent="0.25">
      <c r="A39" s="256">
        <v>26042023</v>
      </c>
      <c r="B39" t="s">
        <v>762</v>
      </c>
      <c r="C39" t="s">
        <v>693</v>
      </c>
      <c r="D39" s="233">
        <v>45042</v>
      </c>
      <c r="F39" s="28" t="s">
        <v>872</v>
      </c>
      <c r="G39" s="30" t="s">
        <v>2359</v>
      </c>
      <c r="H39" s="30" t="s">
        <v>2604</v>
      </c>
      <c r="I39" s="313">
        <v>39600</v>
      </c>
      <c r="J39" s="32">
        <f t="shared" si="0"/>
        <v>34848</v>
      </c>
      <c r="K39" s="236" t="s">
        <v>17</v>
      </c>
      <c r="L39" s="122">
        <v>45125</v>
      </c>
      <c r="T39" t="s">
        <v>1042</v>
      </c>
      <c r="U39" s="14">
        <v>0.44444444444444442</v>
      </c>
    </row>
    <row r="40" spans="1:22" hidden="1" x14ac:dyDescent="0.25">
      <c r="A40" s="256" t="s">
        <v>2327</v>
      </c>
      <c r="B40" t="s">
        <v>762</v>
      </c>
      <c r="C40" t="s">
        <v>693</v>
      </c>
      <c r="D40" s="233">
        <v>45050</v>
      </c>
      <c r="F40" s="28" t="s">
        <v>872</v>
      </c>
      <c r="G40" s="968" t="s">
        <v>2361</v>
      </c>
      <c r="H40" s="30" t="s">
        <v>2603</v>
      </c>
      <c r="I40" s="313">
        <v>39600</v>
      </c>
      <c r="J40" s="32">
        <f t="shared" si="0"/>
        <v>34848</v>
      </c>
      <c r="K40" s="236" t="s">
        <v>17</v>
      </c>
      <c r="L40" s="122">
        <v>45125</v>
      </c>
      <c r="T40" t="s">
        <v>1644</v>
      </c>
      <c r="U40" s="14">
        <v>0.34027777777777773</v>
      </c>
      <c r="V40" s="14">
        <v>0.57777777777777783</v>
      </c>
    </row>
    <row r="41" spans="1:22" hidden="1" x14ac:dyDescent="0.25">
      <c r="A41" s="256" t="s">
        <v>2337</v>
      </c>
      <c r="B41" t="s">
        <v>762</v>
      </c>
      <c r="C41" t="s">
        <v>693</v>
      </c>
      <c r="D41" s="233">
        <v>45051</v>
      </c>
      <c r="F41" s="28" t="s">
        <v>872</v>
      </c>
      <c r="G41" s="30" t="s">
        <v>2362</v>
      </c>
      <c r="H41" s="30" t="s">
        <v>2818</v>
      </c>
      <c r="I41" s="236">
        <v>39600</v>
      </c>
      <c r="J41" s="32">
        <f t="shared" ref="J41:J56" si="1">+I41</f>
        <v>39600</v>
      </c>
      <c r="K41" s="236" t="s">
        <v>17</v>
      </c>
      <c r="L41" s="88" t="s">
        <v>2893</v>
      </c>
      <c r="T41" t="s">
        <v>916</v>
      </c>
      <c r="U41" s="14">
        <v>0.4145833333333333</v>
      </c>
      <c r="V41" s="14"/>
    </row>
    <row r="42" spans="1:22" hidden="1" x14ac:dyDescent="0.25">
      <c r="A42" s="256" t="s">
        <v>2347</v>
      </c>
      <c r="B42" t="s">
        <v>762</v>
      </c>
      <c r="C42" t="s">
        <v>693</v>
      </c>
      <c r="D42" s="233">
        <v>45055</v>
      </c>
      <c r="F42" s="28" t="s">
        <v>872</v>
      </c>
      <c r="G42" s="30" t="s">
        <v>2363</v>
      </c>
      <c r="H42" s="30" t="s">
        <v>2819</v>
      </c>
      <c r="I42" s="236">
        <v>39600</v>
      </c>
      <c r="J42" s="32">
        <f t="shared" si="1"/>
        <v>39600</v>
      </c>
      <c r="K42" s="236" t="s">
        <v>17</v>
      </c>
      <c r="L42" s="88" t="s">
        <v>2893</v>
      </c>
      <c r="T42" t="s">
        <v>1225</v>
      </c>
      <c r="U42" s="14">
        <v>0.4458333333333333</v>
      </c>
      <c r="V42" s="14"/>
    </row>
    <row r="43" spans="1:22" hidden="1" x14ac:dyDescent="0.25">
      <c r="A43" s="256">
        <v>10052023</v>
      </c>
      <c r="B43" t="s">
        <v>762</v>
      </c>
      <c r="C43" t="s">
        <v>693</v>
      </c>
      <c r="D43" s="233">
        <v>45056</v>
      </c>
      <c r="F43" s="28" t="s">
        <v>872</v>
      </c>
      <c r="G43" s="30" t="s">
        <v>2364</v>
      </c>
      <c r="H43" s="30" t="s">
        <v>2833</v>
      </c>
      <c r="I43" s="313">
        <v>39600</v>
      </c>
      <c r="J43" s="32">
        <f t="shared" si="1"/>
        <v>39600</v>
      </c>
      <c r="K43" s="30" t="s">
        <v>17</v>
      </c>
      <c r="L43" s="233">
        <v>45173</v>
      </c>
      <c r="T43" t="s">
        <v>922</v>
      </c>
      <c r="U43" s="14">
        <v>0.4284722222222222</v>
      </c>
      <c r="V43" s="14"/>
    </row>
    <row r="44" spans="1:22" hidden="1" x14ac:dyDescent="0.25">
      <c r="A44" s="256">
        <v>20052023</v>
      </c>
      <c r="B44" t="s">
        <v>762</v>
      </c>
      <c r="C44" t="s">
        <v>693</v>
      </c>
      <c r="D44" s="233">
        <v>45066</v>
      </c>
      <c r="F44" s="28" t="s">
        <v>872</v>
      </c>
      <c r="G44" s="30" t="s">
        <v>2387</v>
      </c>
      <c r="H44" s="30" t="s">
        <v>2834</v>
      </c>
      <c r="I44" s="313">
        <v>39600</v>
      </c>
      <c r="J44" s="32">
        <f t="shared" si="1"/>
        <v>39600</v>
      </c>
      <c r="K44" s="30" t="s">
        <v>17</v>
      </c>
      <c r="L44" s="233">
        <v>45173</v>
      </c>
      <c r="T44" t="s">
        <v>1816</v>
      </c>
      <c r="U44" s="14">
        <v>0.2986111111111111</v>
      </c>
      <c r="V44" s="14">
        <v>0.50138888888888888</v>
      </c>
    </row>
    <row r="45" spans="1:22" s="30" customFormat="1" hidden="1" x14ac:dyDescent="0.25">
      <c r="A45" s="256" t="s">
        <v>2438</v>
      </c>
      <c r="B45" s="30" t="s">
        <v>762</v>
      </c>
      <c r="D45" s="359">
        <v>45079</v>
      </c>
      <c r="F45" s="28" t="s">
        <v>872</v>
      </c>
      <c r="G45" s="30" t="s">
        <v>2531</v>
      </c>
      <c r="H45" s="30" t="s">
        <v>2835</v>
      </c>
      <c r="I45" s="236">
        <v>39600</v>
      </c>
      <c r="J45" s="32">
        <f t="shared" si="1"/>
        <v>39600</v>
      </c>
      <c r="K45" s="30" t="s">
        <v>17</v>
      </c>
      <c r="L45" s="233">
        <v>45173</v>
      </c>
    </row>
    <row r="46" spans="1:22" hidden="1" x14ac:dyDescent="0.25">
      <c r="A46" s="95" t="s">
        <v>2498</v>
      </c>
      <c r="B46" t="s">
        <v>762</v>
      </c>
      <c r="C46" t="s">
        <v>410</v>
      </c>
      <c r="D46" s="359">
        <v>45085</v>
      </c>
      <c r="F46" s="28" t="s">
        <v>872</v>
      </c>
      <c r="G46" s="30" t="s">
        <v>2530</v>
      </c>
      <c r="H46" s="30" t="s">
        <v>2836</v>
      </c>
      <c r="I46" s="61">
        <v>39600</v>
      </c>
      <c r="J46" s="32">
        <f t="shared" si="1"/>
        <v>39600</v>
      </c>
      <c r="K46" s="30" t="s">
        <v>17</v>
      </c>
      <c r="L46" s="233">
        <v>45173</v>
      </c>
      <c r="T46" s="5" t="s">
        <v>1042</v>
      </c>
    </row>
    <row r="47" spans="1:22" hidden="1" x14ac:dyDescent="0.25">
      <c r="A47" s="256">
        <v>12062023</v>
      </c>
      <c r="B47" t="s">
        <v>762</v>
      </c>
      <c r="C47" t="s">
        <v>693</v>
      </c>
      <c r="D47" s="359">
        <v>45089</v>
      </c>
      <c r="F47" s="28" t="s">
        <v>872</v>
      </c>
      <c r="G47" s="30" t="s">
        <v>2529</v>
      </c>
      <c r="H47" s="30" t="s">
        <v>2837</v>
      </c>
      <c r="I47" s="236">
        <v>39600</v>
      </c>
      <c r="J47" s="32">
        <f t="shared" si="1"/>
        <v>39600</v>
      </c>
      <c r="K47" s="30" t="s">
        <v>17</v>
      </c>
      <c r="L47" s="233">
        <v>45173</v>
      </c>
      <c r="T47" t="s">
        <v>1644</v>
      </c>
    </row>
    <row r="48" spans="1:22" hidden="1" x14ac:dyDescent="0.25">
      <c r="A48" s="256">
        <v>14062023</v>
      </c>
      <c r="B48" t="s">
        <v>762</v>
      </c>
      <c r="C48" t="s">
        <v>693</v>
      </c>
      <c r="D48" s="359">
        <v>45091</v>
      </c>
      <c r="F48" s="28" t="s">
        <v>872</v>
      </c>
      <c r="G48" s="30" t="s">
        <v>2533</v>
      </c>
      <c r="H48" s="30" t="s">
        <v>2838</v>
      </c>
      <c r="I48" s="236">
        <v>39600</v>
      </c>
      <c r="J48" s="32">
        <f t="shared" si="1"/>
        <v>39600</v>
      </c>
      <c r="K48" s="30" t="s">
        <v>17</v>
      </c>
      <c r="L48" s="233">
        <v>45173</v>
      </c>
      <c r="T48" t="s">
        <v>1225</v>
      </c>
      <c r="U48" s="14">
        <v>0.53680555555555554</v>
      </c>
    </row>
    <row r="49" spans="1:22" hidden="1" x14ac:dyDescent="0.25">
      <c r="A49" s="256">
        <v>21062023</v>
      </c>
      <c r="B49" t="s">
        <v>762</v>
      </c>
      <c r="C49" t="s">
        <v>693</v>
      </c>
      <c r="D49" s="359">
        <v>45098</v>
      </c>
      <c r="F49" s="28" t="s">
        <v>872</v>
      </c>
      <c r="G49" s="968" t="s">
        <v>2605</v>
      </c>
      <c r="H49" s="30" t="s">
        <v>2839</v>
      </c>
      <c r="I49" s="368">
        <v>39600</v>
      </c>
      <c r="J49" s="32">
        <f t="shared" si="1"/>
        <v>39600</v>
      </c>
      <c r="K49" s="30" t="s">
        <v>17</v>
      </c>
      <c r="L49" s="233">
        <v>45173</v>
      </c>
      <c r="T49" s="14" t="s">
        <v>1029</v>
      </c>
      <c r="U49" s="14">
        <v>0.3125</v>
      </c>
      <c r="V49" s="14">
        <v>0.55555555555555558</v>
      </c>
    </row>
    <row r="50" spans="1:22" hidden="1" x14ac:dyDescent="0.25">
      <c r="A50" s="256">
        <v>10082023</v>
      </c>
      <c r="B50" t="s">
        <v>762</v>
      </c>
      <c r="C50" t="s">
        <v>13</v>
      </c>
      <c r="D50" s="359">
        <v>45148</v>
      </c>
      <c r="F50" s="28" t="s">
        <v>872</v>
      </c>
      <c r="G50" s="30" t="s">
        <v>2766</v>
      </c>
      <c r="H50" s="30" t="s">
        <v>2840</v>
      </c>
      <c r="I50" s="236">
        <v>39600</v>
      </c>
      <c r="J50" s="32">
        <f t="shared" si="1"/>
        <v>39600</v>
      </c>
      <c r="K50" s="30" t="s">
        <v>17</v>
      </c>
      <c r="L50" s="233">
        <v>45173</v>
      </c>
      <c r="T50" s="14" t="s">
        <v>1506</v>
      </c>
      <c r="U50" s="14">
        <v>0.41597222222222219</v>
      </c>
      <c r="V50" s="14"/>
    </row>
    <row r="51" spans="1:22" hidden="1" x14ac:dyDescent="0.25">
      <c r="A51" s="256">
        <v>12082023</v>
      </c>
      <c r="B51" t="s">
        <v>762</v>
      </c>
      <c r="C51" t="s">
        <v>13</v>
      </c>
      <c r="D51" s="359">
        <v>45150</v>
      </c>
      <c r="F51" s="28" t="s">
        <v>872</v>
      </c>
      <c r="G51" s="968" t="s">
        <v>2767</v>
      </c>
      <c r="H51" s="30" t="s">
        <v>3346</v>
      </c>
      <c r="I51" s="236">
        <v>39600</v>
      </c>
      <c r="J51" s="32">
        <f t="shared" si="1"/>
        <v>39600</v>
      </c>
      <c r="K51" s="30" t="s">
        <v>17</v>
      </c>
      <c r="L51" s="359">
        <v>45289</v>
      </c>
      <c r="T51" s="14" t="s">
        <v>1656</v>
      </c>
      <c r="U51" s="14">
        <v>0.31388888888888888</v>
      </c>
      <c r="V51" s="14">
        <v>0.61875000000000002</v>
      </c>
    </row>
    <row r="52" spans="1:22" hidden="1" x14ac:dyDescent="0.25">
      <c r="A52" s="256">
        <v>21082023</v>
      </c>
      <c r="B52" t="s">
        <v>762</v>
      </c>
      <c r="C52" t="s">
        <v>410</v>
      </c>
      <c r="D52" s="359">
        <v>45159</v>
      </c>
      <c r="F52" s="28" t="s">
        <v>872</v>
      </c>
      <c r="G52" s="968" t="s">
        <v>2803</v>
      </c>
      <c r="H52" s="30" t="s">
        <v>3347</v>
      </c>
      <c r="I52" s="236">
        <v>39600</v>
      </c>
      <c r="J52" s="32">
        <f t="shared" si="1"/>
        <v>39600</v>
      </c>
      <c r="K52" s="30" t="s">
        <v>17</v>
      </c>
      <c r="L52" s="359">
        <v>45289</v>
      </c>
      <c r="T52" s="14" t="s">
        <v>893</v>
      </c>
      <c r="U52" s="14">
        <v>0.35486111111111113</v>
      </c>
      <c r="V52" s="14">
        <v>0.57638888888888895</v>
      </c>
    </row>
    <row r="53" spans="1:22" hidden="1" x14ac:dyDescent="0.25">
      <c r="A53" s="256">
        <v>23082023</v>
      </c>
      <c r="B53" s="30" t="s">
        <v>762</v>
      </c>
      <c r="C53" t="s">
        <v>13</v>
      </c>
      <c r="D53" s="359">
        <v>45161</v>
      </c>
      <c r="F53" s="28" t="s">
        <v>872</v>
      </c>
      <c r="G53" s="966" t="s">
        <v>2857</v>
      </c>
      <c r="H53" s="30" t="s">
        <v>3348</v>
      </c>
      <c r="I53" s="414">
        <v>39600</v>
      </c>
      <c r="J53" s="32">
        <f t="shared" si="1"/>
        <v>39600</v>
      </c>
      <c r="K53" s="30" t="s">
        <v>17</v>
      </c>
      <c r="L53" s="359">
        <v>45289</v>
      </c>
      <c r="T53" s="14" t="s">
        <v>916</v>
      </c>
      <c r="U53" s="14">
        <v>0.4916666666666667</v>
      </c>
      <c r="V53" s="14"/>
    </row>
    <row r="54" spans="1:22" hidden="1" x14ac:dyDescent="0.25">
      <c r="A54" s="256">
        <v>14092023</v>
      </c>
      <c r="B54" t="s">
        <v>762</v>
      </c>
      <c r="C54" t="s">
        <v>410</v>
      </c>
      <c r="D54" s="359">
        <v>45183</v>
      </c>
      <c r="F54" s="28" t="s">
        <v>872</v>
      </c>
      <c r="G54" s="30" t="s">
        <v>2923</v>
      </c>
      <c r="H54" s="30" t="s">
        <v>3349</v>
      </c>
      <c r="I54" s="236">
        <v>39600</v>
      </c>
      <c r="J54" s="32">
        <f t="shared" si="1"/>
        <v>39600</v>
      </c>
      <c r="K54" s="30" t="s">
        <v>17</v>
      </c>
      <c r="L54" s="359">
        <v>45289</v>
      </c>
      <c r="T54" s="14" t="s">
        <v>2050</v>
      </c>
      <c r="U54" s="14">
        <v>0.58680555555555558</v>
      </c>
      <c r="V54" s="14"/>
    </row>
    <row r="55" spans="1:22" hidden="1" x14ac:dyDescent="0.25">
      <c r="A55" s="256">
        <v>1102023</v>
      </c>
      <c r="B55" t="s">
        <v>762</v>
      </c>
      <c r="C55" t="s">
        <v>13</v>
      </c>
      <c r="D55" s="359">
        <v>45200</v>
      </c>
      <c r="F55" s="28" t="s">
        <v>294</v>
      </c>
      <c r="G55" t="s">
        <v>3112</v>
      </c>
      <c r="H55" s="30" t="s">
        <v>3350</v>
      </c>
      <c r="I55" s="414">
        <v>39600</v>
      </c>
      <c r="J55" s="32">
        <f t="shared" si="1"/>
        <v>39600</v>
      </c>
      <c r="K55" s="30" t="s">
        <v>17</v>
      </c>
      <c r="L55" s="359">
        <v>45289</v>
      </c>
      <c r="T55" s="14" t="s">
        <v>1225</v>
      </c>
      <c r="U55" s="14">
        <v>0.58472222222222225</v>
      </c>
      <c r="V55" s="14">
        <v>0.75</v>
      </c>
    </row>
    <row r="56" spans="1:22" s="30" customFormat="1" hidden="1" x14ac:dyDescent="0.25">
      <c r="A56" s="430" t="s">
        <v>3330</v>
      </c>
      <c r="B56" s="30" t="s">
        <v>3276</v>
      </c>
      <c r="C56" s="30" t="s">
        <v>410</v>
      </c>
      <c r="D56" s="359">
        <v>45278</v>
      </c>
      <c r="F56" s="28" t="s">
        <v>1984</v>
      </c>
      <c r="G56" s="30" t="s">
        <v>3354</v>
      </c>
      <c r="H56" s="30" t="s">
        <v>3419</v>
      </c>
      <c r="I56" s="414">
        <v>57820</v>
      </c>
      <c r="J56" s="32">
        <f t="shared" si="1"/>
        <v>57820</v>
      </c>
      <c r="K56" s="30" t="s">
        <v>17</v>
      </c>
      <c r="L56" s="359">
        <v>45295</v>
      </c>
      <c r="T56" s="360" t="s">
        <v>795</v>
      </c>
      <c r="U56" s="360">
        <v>0.27638888888888885</v>
      </c>
      <c r="V56" s="360"/>
    </row>
    <row r="57" spans="1:22" hidden="1" x14ac:dyDescent="0.25">
      <c r="A57" s="509" t="s">
        <v>1869</v>
      </c>
      <c r="B57" s="30" t="s">
        <v>3276</v>
      </c>
      <c r="C57" s="28" t="s">
        <v>13</v>
      </c>
      <c r="D57" s="233">
        <v>45331</v>
      </c>
      <c r="F57" s="28" t="s">
        <v>872</v>
      </c>
      <c r="G57" s="373" t="s">
        <v>3755</v>
      </c>
      <c r="H57" s="30" t="s">
        <v>4112</v>
      </c>
      <c r="I57" s="237">
        <v>39600</v>
      </c>
      <c r="J57" s="160">
        <f t="shared" ref="J57:J81" si="2">+I57*0.88</f>
        <v>34848</v>
      </c>
      <c r="K57" s="30" t="s">
        <v>17</v>
      </c>
      <c r="L57" s="233">
        <v>45439</v>
      </c>
      <c r="T57" s="14" t="s">
        <v>989</v>
      </c>
      <c r="U57" s="360">
        <v>0.45</v>
      </c>
      <c r="V57" s="360"/>
    </row>
    <row r="58" spans="1:22" hidden="1" x14ac:dyDescent="0.25">
      <c r="A58" s="509">
        <v>22022024</v>
      </c>
      <c r="B58" s="30" t="s">
        <v>3276</v>
      </c>
      <c r="C58" s="28" t="s">
        <v>13</v>
      </c>
      <c r="D58" s="233">
        <v>45344</v>
      </c>
      <c r="F58" s="28" t="s">
        <v>872</v>
      </c>
      <c r="G58" s="373" t="s">
        <v>3864</v>
      </c>
      <c r="H58" s="30" t="s">
        <v>4113</v>
      </c>
      <c r="I58" s="237">
        <v>39600</v>
      </c>
      <c r="J58" s="160">
        <f t="shared" si="2"/>
        <v>34848</v>
      </c>
      <c r="K58" s="30" t="s">
        <v>17</v>
      </c>
      <c r="L58" s="233">
        <v>45439</v>
      </c>
      <c r="T58" s="14" t="s">
        <v>1644</v>
      </c>
      <c r="U58" s="360">
        <v>0.34791666666666665</v>
      </c>
      <c r="V58" s="360"/>
    </row>
    <row r="59" spans="1:22" hidden="1" x14ac:dyDescent="0.25">
      <c r="A59" s="509">
        <v>23022024</v>
      </c>
      <c r="B59" s="30" t="s">
        <v>3276</v>
      </c>
      <c r="C59" s="28" t="s">
        <v>809</v>
      </c>
      <c r="D59" s="233">
        <v>45345</v>
      </c>
      <c r="F59" s="28" t="s">
        <v>872</v>
      </c>
      <c r="G59" s="373" t="s">
        <v>3865</v>
      </c>
      <c r="H59" s="30" t="s">
        <v>4114</v>
      </c>
      <c r="I59" s="237">
        <v>39600</v>
      </c>
      <c r="J59" s="160">
        <f t="shared" si="2"/>
        <v>34848</v>
      </c>
      <c r="K59" s="30" t="s">
        <v>17</v>
      </c>
      <c r="L59" s="233">
        <v>45439</v>
      </c>
      <c r="T59" s="14" t="s">
        <v>3765</v>
      </c>
      <c r="U59" s="360">
        <v>0.3444444444444445</v>
      </c>
      <c r="V59" s="360">
        <v>0.58333333333333337</v>
      </c>
    </row>
    <row r="60" spans="1:22" hidden="1" x14ac:dyDescent="0.25">
      <c r="A60" s="509">
        <v>18032024</v>
      </c>
      <c r="B60" s="30" t="s">
        <v>3276</v>
      </c>
      <c r="C60" s="28" t="s">
        <v>13</v>
      </c>
      <c r="D60" s="233">
        <v>45369</v>
      </c>
      <c r="F60" s="28" t="s">
        <v>872</v>
      </c>
      <c r="G60" s="373" t="s">
        <v>3953</v>
      </c>
      <c r="H60" s="30" t="s">
        <v>4115</v>
      </c>
      <c r="I60" s="237">
        <v>39600</v>
      </c>
      <c r="J60" s="160">
        <f t="shared" si="2"/>
        <v>34848</v>
      </c>
      <c r="K60" s="30" t="s">
        <v>17</v>
      </c>
      <c r="L60" s="233">
        <v>45439</v>
      </c>
      <c r="T60" s="14" t="s">
        <v>2037</v>
      </c>
      <c r="U60" s="360"/>
      <c r="V60" s="360"/>
    </row>
    <row r="61" spans="1:22" hidden="1" x14ac:dyDescent="0.25">
      <c r="A61" s="509">
        <v>20032024</v>
      </c>
      <c r="B61" s="30" t="s">
        <v>3276</v>
      </c>
      <c r="C61" s="28" t="s">
        <v>13</v>
      </c>
      <c r="D61" s="233">
        <v>45371</v>
      </c>
      <c r="F61" s="28" t="s">
        <v>872</v>
      </c>
      <c r="G61" s="373" t="s">
        <v>3952</v>
      </c>
      <c r="H61" s="30" t="s">
        <v>4116</v>
      </c>
      <c r="I61" s="237">
        <v>39600</v>
      </c>
      <c r="J61" s="160">
        <f t="shared" si="2"/>
        <v>34848</v>
      </c>
      <c r="K61" s="30" t="s">
        <v>17</v>
      </c>
      <c r="L61" s="233">
        <v>45439</v>
      </c>
      <c r="T61" s="14" t="s">
        <v>1042</v>
      </c>
      <c r="U61" s="360">
        <v>0.33194444444444443</v>
      </c>
      <c r="V61" s="360"/>
    </row>
    <row r="62" spans="1:22" hidden="1" x14ac:dyDescent="0.25">
      <c r="A62" s="483">
        <v>16042024</v>
      </c>
      <c r="B62" t="s">
        <v>3276</v>
      </c>
      <c r="C62" s="28" t="s">
        <v>13</v>
      </c>
      <c r="D62" s="233">
        <v>45398</v>
      </c>
      <c r="F62" s="28" t="s">
        <v>872</v>
      </c>
      <c r="G62" s="30" t="s">
        <v>4104</v>
      </c>
      <c r="H62" s="30" t="s">
        <v>4117</v>
      </c>
      <c r="I62" s="237">
        <v>39600</v>
      </c>
      <c r="J62" s="160">
        <f t="shared" si="2"/>
        <v>34848</v>
      </c>
      <c r="K62" s="30" t="s">
        <v>17</v>
      </c>
      <c r="L62" s="233">
        <v>45485</v>
      </c>
      <c r="T62" s="14" t="s">
        <v>4022</v>
      </c>
      <c r="U62" s="360">
        <v>0.33263888888888887</v>
      </c>
      <c r="V62" s="360"/>
    </row>
    <row r="63" spans="1:22" hidden="1" x14ac:dyDescent="0.25">
      <c r="A63" s="483">
        <v>23042024</v>
      </c>
      <c r="B63" t="s">
        <v>3276</v>
      </c>
      <c r="C63" s="28" t="s">
        <v>13</v>
      </c>
      <c r="D63" s="233">
        <v>45405</v>
      </c>
      <c r="F63" s="28" t="s">
        <v>872</v>
      </c>
      <c r="G63" s="30" t="s">
        <v>4103</v>
      </c>
      <c r="H63" s="30" t="s">
        <v>4118</v>
      </c>
      <c r="I63" s="237">
        <v>39600</v>
      </c>
      <c r="J63" s="160">
        <f t="shared" si="2"/>
        <v>34848</v>
      </c>
      <c r="K63" s="30" t="s">
        <v>17</v>
      </c>
      <c r="L63" s="233">
        <v>45485</v>
      </c>
      <c r="T63" s="14" t="s">
        <v>2380</v>
      </c>
      <c r="U63" s="360">
        <v>0.32708333333333334</v>
      </c>
      <c r="V63" s="360"/>
    </row>
    <row r="64" spans="1:22" hidden="1" x14ac:dyDescent="0.25">
      <c r="A64" s="483">
        <v>29042024</v>
      </c>
      <c r="B64" t="s">
        <v>3276</v>
      </c>
      <c r="C64" s="28" t="s">
        <v>13</v>
      </c>
      <c r="D64" s="233">
        <v>45411</v>
      </c>
      <c r="F64" s="28" t="s">
        <v>872</v>
      </c>
      <c r="G64" s="30" t="s">
        <v>4102</v>
      </c>
      <c r="H64" s="30" t="s">
        <v>4119</v>
      </c>
      <c r="I64" s="237">
        <v>39600</v>
      </c>
      <c r="J64" s="160">
        <f t="shared" si="2"/>
        <v>34848</v>
      </c>
      <c r="K64" s="30" t="s">
        <v>17</v>
      </c>
      <c r="L64" s="233">
        <v>45485</v>
      </c>
      <c r="T64" s="14" t="s">
        <v>4022</v>
      </c>
      <c r="U64" s="360">
        <v>0.33888888888888891</v>
      </c>
      <c r="V64" s="360">
        <v>0.58819444444444446</v>
      </c>
    </row>
    <row r="65" spans="1:22" hidden="1" x14ac:dyDescent="0.25">
      <c r="A65" s="509">
        <v>2052024</v>
      </c>
      <c r="B65" t="s">
        <v>3276</v>
      </c>
      <c r="C65" s="28" t="s">
        <v>410</v>
      </c>
      <c r="D65" s="233">
        <v>45414</v>
      </c>
      <c r="F65" s="28" t="s">
        <v>872</v>
      </c>
      <c r="G65" s="30" t="s">
        <v>4101</v>
      </c>
      <c r="H65" s="30" t="s">
        <v>4120</v>
      </c>
      <c r="I65" s="237">
        <v>39600</v>
      </c>
      <c r="J65" s="160">
        <f t="shared" si="2"/>
        <v>34848</v>
      </c>
      <c r="K65" s="30" t="s">
        <v>17</v>
      </c>
      <c r="L65" s="233">
        <v>45485</v>
      </c>
      <c r="T65" s="14" t="s">
        <v>4070</v>
      </c>
      <c r="U65" s="360">
        <v>0.5756944444444444</v>
      </c>
      <c r="V65" s="360">
        <v>0.78333333333333333</v>
      </c>
    </row>
    <row r="66" spans="1:22" hidden="1" x14ac:dyDescent="0.25">
      <c r="A66" s="483">
        <v>17052024</v>
      </c>
      <c r="B66" t="s">
        <v>3276</v>
      </c>
      <c r="C66" s="28" t="s">
        <v>410</v>
      </c>
      <c r="D66" s="233">
        <v>45429</v>
      </c>
      <c r="F66" s="28" t="s">
        <v>872</v>
      </c>
      <c r="G66" s="30" t="s">
        <v>4219</v>
      </c>
      <c r="H66" s="30" t="s">
        <v>4220</v>
      </c>
      <c r="I66" s="236">
        <v>39600</v>
      </c>
      <c r="J66" s="160">
        <f t="shared" si="2"/>
        <v>34848</v>
      </c>
      <c r="K66" s="30" t="s">
        <v>17</v>
      </c>
      <c r="L66" s="233">
        <v>45485</v>
      </c>
      <c r="T66" s="14" t="s">
        <v>4186</v>
      </c>
      <c r="U66" s="360">
        <v>0.36180555555555555</v>
      </c>
      <c r="V66" s="360">
        <v>0.53888888888888886</v>
      </c>
    </row>
    <row r="67" spans="1:22" hidden="1" x14ac:dyDescent="0.25">
      <c r="A67" s="509" t="s">
        <v>4262</v>
      </c>
      <c r="B67" t="s">
        <v>3276</v>
      </c>
      <c r="C67" s="28" t="s">
        <v>410</v>
      </c>
      <c r="D67" s="233">
        <v>45452</v>
      </c>
      <c r="F67" s="28" t="s">
        <v>294</v>
      </c>
      <c r="G67" s="30" t="s">
        <v>4364</v>
      </c>
      <c r="H67" s="30" t="s">
        <v>4395</v>
      </c>
      <c r="I67" s="236">
        <v>36816</v>
      </c>
      <c r="J67" s="160">
        <f t="shared" si="2"/>
        <v>32398.080000000002</v>
      </c>
      <c r="K67" s="30" t="s">
        <v>17</v>
      </c>
      <c r="L67" s="233">
        <v>45506</v>
      </c>
      <c r="T67" s="14" t="s">
        <v>4138</v>
      </c>
      <c r="U67" s="360">
        <v>0.40763888888888888</v>
      </c>
      <c r="V67" s="360">
        <v>0.59375</v>
      </c>
    </row>
    <row r="68" spans="1:22" hidden="1" x14ac:dyDescent="0.25">
      <c r="A68" s="509">
        <v>12062024</v>
      </c>
      <c r="B68" t="s">
        <v>3276</v>
      </c>
      <c r="C68" s="28" t="s">
        <v>13</v>
      </c>
      <c r="D68" s="233">
        <v>45455</v>
      </c>
      <c r="F68" s="28" t="s">
        <v>872</v>
      </c>
      <c r="G68" s="30" t="s">
        <v>4363</v>
      </c>
      <c r="H68" s="30" t="s">
        <v>4362</v>
      </c>
      <c r="I68" s="237">
        <v>39600</v>
      </c>
      <c r="J68" s="160">
        <f t="shared" si="2"/>
        <v>34848</v>
      </c>
      <c r="K68" s="30" t="s">
        <v>17</v>
      </c>
      <c r="L68" s="233">
        <v>45506</v>
      </c>
      <c r="T68" s="14" t="s">
        <v>4022</v>
      </c>
      <c r="U68" s="360">
        <v>0.33055555555555555</v>
      </c>
      <c r="V68" s="360">
        <v>0.57777777777777783</v>
      </c>
    </row>
    <row r="69" spans="1:22" hidden="1" x14ac:dyDescent="0.25">
      <c r="A69" s="483">
        <v>24122024</v>
      </c>
      <c r="B69" t="s">
        <v>3276</v>
      </c>
      <c r="C69" s="233" t="s">
        <v>410</v>
      </c>
      <c r="D69" s="233">
        <v>45650</v>
      </c>
      <c r="E69" s="28"/>
      <c r="F69" s="28" t="s">
        <v>872</v>
      </c>
      <c r="G69" t="s">
        <v>5420</v>
      </c>
      <c r="H69" s="30" t="s">
        <v>5421</v>
      </c>
      <c r="I69" s="88">
        <v>39800</v>
      </c>
      <c r="J69" s="160">
        <f t="shared" si="2"/>
        <v>35024</v>
      </c>
      <c r="K69" s="30" t="s">
        <v>17</v>
      </c>
      <c r="L69" s="233">
        <v>45659</v>
      </c>
      <c r="T69" t="s">
        <v>4983</v>
      </c>
      <c r="U69" s="360">
        <v>0.3430555555555555</v>
      </c>
      <c r="V69" s="360">
        <v>0.54513888888888895</v>
      </c>
    </row>
    <row r="70" spans="1:22" hidden="1" x14ac:dyDescent="0.25">
      <c r="A70" s="483">
        <v>28122024</v>
      </c>
      <c r="B70" t="s">
        <v>3276</v>
      </c>
      <c r="C70" s="233" t="s">
        <v>410</v>
      </c>
      <c r="D70" s="233">
        <v>45654</v>
      </c>
      <c r="E70" s="28"/>
      <c r="F70" s="28" t="s">
        <v>872</v>
      </c>
      <c r="G70" t="s">
        <v>5456</v>
      </c>
      <c r="H70" s="30" t="s">
        <v>5457</v>
      </c>
      <c r="I70" s="88">
        <v>39800</v>
      </c>
      <c r="J70" s="160">
        <f t="shared" si="2"/>
        <v>35024</v>
      </c>
      <c r="K70" s="30" t="s">
        <v>17</v>
      </c>
      <c r="L70" s="233">
        <v>45667</v>
      </c>
      <c r="T70" t="s">
        <v>4417</v>
      </c>
      <c r="U70" s="360">
        <v>0.46736111111111112</v>
      </c>
      <c r="V70" s="360">
        <v>0.70972222222222225</v>
      </c>
    </row>
    <row r="71" spans="1:22" hidden="1" x14ac:dyDescent="0.25">
      <c r="A71" s="483">
        <v>8012025</v>
      </c>
      <c r="B71" t="s">
        <v>3276</v>
      </c>
      <c r="C71" s="233" t="s">
        <v>410</v>
      </c>
      <c r="D71" s="602">
        <v>45665</v>
      </c>
      <c r="E71" s="420"/>
      <c r="F71" s="420" t="s">
        <v>872</v>
      </c>
      <c r="G71" s="418" t="s">
        <v>5535</v>
      </c>
      <c r="H71" s="694" t="s">
        <v>5713</v>
      </c>
      <c r="I71" s="422">
        <v>39800</v>
      </c>
      <c r="J71" s="1081">
        <f t="shared" si="2"/>
        <v>35024</v>
      </c>
      <c r="K71" s="694" t="s">
        <v>17</v>
      </c>
      <c r="L71" s="602">
        <v>45736</v>
      </c>
      <c r="T71" t="s">
        <v>2050</v>
      </c>
      <c r="U71" s="360">
        <v>0.3347222222222222</v>
      </c>
      <c r="V71" s="360">
        <v>0.54791666666666672</v>
      </c>
    </row>
    <row r="72" spans="1:22" hidden="1" x14ac:dyDescent="0.25">
      <c r="A72" s="483">
        <v>11012025</v>
      </c>
      <c r="B72" t="s">
        <v>3276</v>
      </c>
      <c r="C72" s="233" t="s">
        <v>13</v>
      </c>
      <c r="D72" s="602">
        <v>45668</v>
      </c>
      <c r="E72" s="420"/>
      <c r="F72" s="420" t="s">
        <v>872</v>
      </c>
      <c r="G72" s="418" t="s">
        <v>5536</v>
      </c>
      <c r="H72" s="694" t="s">
        <v>5714</v>
      </c>
      <c r="I72" s="422">
        <v>39800</v>
      </c>
      <c r="J72" s="1081">
        <f t="shared" si="2"/>
        <v>35024</v>
      </c>
      <c r="K72" s="694" t="s">
        <v>17</v>
      </c>
      <c r="L72" s="602">
        <v>45744</v>
      </c>
      <c r="T72" t="s">
        <v>5020</v>
      </c>
      <c r="U72" s="360">
        <v>0.54236111111111118</v>
      </c>
      <c r="V72" s="360">
        <v>0.7715277777777777</v>
      </c>
    </row>
    <row r="73" spans="1:22" hidden="1" x14ac:dyDescent="0.25">
      <c r="A73" s="483">
        <v>19012025</v>
      </c>
      <c r="B73" t="s">
        <v>3276</v>
      </c>
      <c r="C73" s="233" t="s">
        <v>4218</v>
      </c>
      <c r="D73" s="602">
        <v>45676</v>
      </c>
      <c r="E73" s="420"/>
      <c r="F73" s="420" t="s">
        <v>294</v>
      </c>
      <c r="G73" s="418" t="s">
        <v>5609</v>
      </c>
      <c r="H73" s="694" t="s">
        <v>5715</v>
      </c>
      <c r="I73" s="422">
        <v>39800</v>
      </c>
      <c r="J73" s="1081">
        <f t="shared" si="2"/>
        <v>35024</v>
      </c>
      <c r="K73" s="694" t="s">
        <v>17</v>
      </c>
      <c r="L73" s="602">
        <v>45744</v>
      </c>
      <c r="T73" t="s">
        <v>1644</v>
      </c>
      <c r="U73" s="360">
        <v>0.34861111111111115</v>
      </c>
      <c r="V73" s="360">
        <v>0.50416666666666665</v>
      </c>
    </row>
    <row r="74" spans="1:22" hidden="1" x14ac:dyDescent="0.25">
      <c r="A74" s="483">
        <v>29012025</v>
      </c>
      <c r="B74" t="s">
        <v>3276</v>
      </c>
      <c r="C74" s="28" t="s">
        <v>4218</v>
      </c>
      <c r="D74" s="602">
        <v>45686</v>
      </c>
      <c r="E74" s="418"/>
      <c r="F74" s="420" t="s">
        <v>872</v>
      </c>
      <c r="G74" s="418" t="s">
        <v>5610</v>
      </c>
      <c r="H74" s="694" t="s">
        <v>5716</v>
      </c>
      <c r="I74" s="421">
        <v>39800</v>
      </c>
      <c r="J74" s="1081">
        <f t="shared" si="2"/>
        <v>35024</v>
      </c>
      <c r="K74" s="694" t="s">
        <v>17</v>
      </c>
      <c r="L74" s="602">
        <v>45744</v>
      </c>
      <c r="T74" t="s">
        <v>1506</v>
      </c>
      <c r="U74" s="360">
        <v>0.45</v>
      </c>
      <c r="V74" s="360">
        <v>0.62777777777777777</v>
      </c>
    </row>
    <row r="75" spans="1:22" hidden="1" x14ac:dyDescent="0.25">
      <c r="A75" s="483">
        <v>17022024</v>
      </c>
      <c r="B75" t="s">
        <v>3276</v>
      </c>
      <c r="C75" s="28" t="s">
        <v>13</v>
      </c>
      <c r="D75" s="602">
        <v>45705</v>
      </c>
      <c r="E75" s="420"/>
      <c r="F75" s="420" t="s">
        <v>872</v>
      </c>
      <c r="G75" s="694" t="s">
        <v>5710</v>
      </c>
      <c r="H75" s="694" t="s">
        <v>5718</v>
      </c>
      <c r="I75" s="1079">
        <v>39800</v>
      </c>
      <c r="J75" s="1081">
        <f>+I75*0.88</f>
        <v>35024</v>
      </c>
      <c r="K75" s="694" t="s">
        <v>17</v>
      </c>
      <c r="L75" s="602">
        <v>45744</v>
      </c>
      <c r="T75" t="s">
        <v>5654</v>
      </c>
      <c r="U75" s="360">
        <v>0.39513888888888887</v>
      </c>
      <c r="V75" s="360"/>
    </row>
    <row r="76" spans="1:22" hidden="1" x14ac:dyDescent="0.25">
      <c r="A76" s="483">
        <v>17022024</v>
      </c>
      <c r="B76" t="s">
        <v>3276</v>
      </c>
      <c r="C76" s="28" t="s">
        <v>4218</v>
      </c>
      <c r="D76" s="602">
        <v>45705</v>
      </c>
      <c r="E76" s="420"/>
      <c r="F76" s="420" t="s">
        <v>872</v>
      </c>
      <c r="G76" s="694" t="s">
        <v>5709</v>
      </c>
      <c r="H76" s="694" t="s">
        <v>5717</v>
      </c>
      <c r="I76" s="1079">
        <v>39800</v>
      </c>
      <c r="J76" s="1081">
        <f t="shared" si="2"/>
        <v>35024</v>
      </c>
      <c r="K76" s="694" t="s">
        <v>17</v>
      </c>
      <c r="L76" s="602">
        <v>45744</v>
      </c>
      <c r="T76" t="s">
        <v>2050</v>
      </c>
      <c r="U76" s="360">
        <v>0.3756944444444445</v>
      </c>
      <c r="V76" s="360"/>
    </row>
    <row r="77" spans="1:22" hidden="1" x14ac:dyDescent="0.25">
      <c r="A77" s="483">
        <v>22022024</v>
      </c>
      <c r="B77" t="s">
        <v>3276</v>
      </c>
      <c r="C77" s="28" t="s">
        <v>410</v>
      </c>
      <c r="D77" s="587">
        <v>45710</v>
      </c>
      <c r="E77" s="241"/>
      <c r="F77" s="241" t="s">
        <v>872</v>
      </c>
      <c r="G77" s="199" t="s">
        <v>5711</v>
      </c>
      <c r="H77" s="199" t="s">
        <v>6931</v>
      </c>
      <c r="I77" s="322">
        <v>39800</v>
      </c>
      <c r="J77" s="160">
        <f t="shared" si="2"/>
        <v>35024</v>
      </c>
      <c r="K77" s="30" t="s">
        <v>17</v>
      </c>
      <c r="L77" s="122">
        <v>45932</v>
      </c>
      <c r="T77" t="s">
        <v>4139</v>
      </c>
      <c r="U77" s="360">
        <v>0.6069444444444444</v>
      </c>
      <c r="V77" s="360">
        <v>0.78333333333333333</v>
      </c>
    </row>
    <row r="78" spans="1:22" hidden="1" x14ac:dyDescent="0.25">
      <c r="A78" s="483">
        <v>24022024</v>
      </c>
      <c r="B78" t="s">
        <v>3276</v>
      </c>
      <c r="C78" s="28" t="s">
        <v>4218</v>
      </c>
      <c r="D78" s="602">
        <v>45712</v>
      </c>
      <c r="E78" s="420"/>
      <c r="F78" s="420" t="s">
        <v>872</v>
      </c>
      <c r="G78" s="694" t="s">
        <v>5712</v>
      </c>
      <c r="H78" s="694" t="s">
        <v>5744</v>
      </c>
      <c r="I78" s="421">
        <v>39800</v>
      </c>
      <c r="J78" s="1081">
        <f t="shared" si="2"/>
        <v>35024</v>
      </c>
      <c r="K78" s="694" t="s">
        <v>17</v>
      </c>
      <c r="L78" s="602">
        <v>45744</v>
      </c>
      <c r="T78" t="s">
        <v>1644</v>
      </c>
      <c r="U78" s="360">
        <v>0.38611111111111113</v>
      </c>
      <c r="V78" s="30"/>
    </row>
    <row r="79" spans="1:22" hidden="1" x14ac:dyDescent="0.25">
      <c r="A79" s="483" t="s">
        <v>5735</v>
      </c>
      <c r="B79" t="s">
        <v>3276</v>
      </c>
      <c r="C79" s="28" t="s">
        <v>13</v>
      </c>
      <c r="D79" s="602">
        <v>45717</v>
      </c>
      <c r="E79" s="420"/>
      <c r="F79" s="420" t="s">
        <v>872</v>
      </c>
      <c r="G79" s="694" t="s">
        <v>5742</v>
      </c>
      <c r="H79" s="694" t="s">
        <v>5749</v>
      </c>
      <c r="I79" s="1079">
        <v>39800</v>
      </c>
      <c r="J79" s="1081">
        <f t="shared" si="2"/>
        <v>35024</v>
      </c>
      <c r="K79" s="30" t="s">
        <v>17</v>
      </c>
      <c r="L79" s="233">
        <v>45744</v>
      </c>
      <c r="T79" t="s">
        <v>4509</v>
      </c>
      <c r="U79" s="360">
        <v>0.34305555555555556</v>
      </c>
      <c r="V79" s="360">
        <v>0.54305555555555551</v>
      </c>
    </row>
    <row r="80" spans="1:22" hidden="1" x14ac:dyDescent="0.25">
      <c r="A80" s="483" t="s">
        <v>5753</v>
      </c>
      <c r="B80" t="s">
        <v>3276</v>
      </c>
      <c r="C80" s="28" t="s">
        <v>4218</v>
      </c>
      <c r="D80" s="602">
        <v>45722</v>
      </c>
      <c r="E80" s="420"/>
      <c r="F80" s="420" t="s">
        <v>872</v>
      </c>
      <c r="G80" s="694" t="s">
        <v>5779</v>
      </c>
      <c r="H80" s="694" t="s">
        <v>6148</v>
      </c>
      <c r="I80" s="1079">
        <v>39800</v>
      </c>
      <c r="J80" s="1081">
        <f t="shared" si="2"/>
        <v>35024</v>
      </c>
      <c r="K80" s="694" t="s">
        <v>17</v>
      </c>
      <c r="L80" s="602">
        <v>45792</v>
      </c>
      <c r="T80" t="s">
        <v>4983</v>
      </c>
      <c r="U80" s="360">
        <v>0.39097222222222222</v>
      </c>
      <c r="V80" s="360">
        <v>0.6020833333333333</v>
      </c>
    </row>
    <row r="81" spans="1:22" s="5" customFormat="1" hidden="1" x14ac:dyDescent="0.25">
      <c r="A81" s="495" t="s">
        <v>5901</v>
      </c>
      <c r="B81" s="5" t="s">
        <v>3276</v>
      </c>
      <c r="C81" s="127" t="s">
        <v>410</v>
      </c>
      <c r="D81" s="602">
        <v>45751</v>
      </c>
      <c r="E81" s="420"/>
      <c r="F81" s="420" t="s">
        <v>294</v>
      </c>
      <c r="G81" s="418" t="s">
        <v>6011</v>
      </c>
      <c r="H81" s="694" t="s">
        <v>5962</v>
      </c>
      <c r="I81" s="1079">
        <v>35685</v>
      </c>
      <c r="J81" s="422">
        <f t="shared" si="2"/>
        <v>31402.799999999999</v>
      </c>
      <c r="K81" s="1082" t="s">
        <v>17</v>
      </c>
      <c r="L81" s="602">
        <v>45786</v>
      </c>
      <c r="T81" s="5" t="s">
        <v>5026</v>
      </c>
      <c r="U81" s="496">
        <v>0.75</v>
      </c>
      <c r="V81" s="496">
        <v>0.90625</v>
      </c>
    </row>
    <row r="82" spans="1:22" hidden="1" x14ac:dyDescent="0.25">
      <c r="A82" s="483" t="s">
        <v>5930</v>
      </c>
      <c r="B82" t="s">
        <v>3276</v>
      </c>
      <c r="C82" s="28" t="s">
        <v>13</v>
      </c>
      <c r="D82" s="233">
        <v>45753</v>
      </c>
      <c r="E82" s="28"/>
      <c r="F82" s="28" t="s">
        <v>294</v>
      </c>
      <c r="G82" t="s">
        <v>6012</v>
      </c>
      <c r="H82" s="30" t="s">
        <v>6832</v>
      </c>
      <c r="I82" s="798">
        <v>33711</v>
      </c>
      <c r="J82" s="88">
        <f t="shared" ref="J82" si="3">+I82-ROUND(I82*0.12,0)</f>
        <v>29666</v>
      </c>
      <c r="K82" s="30" t="s">
        <v>17</v>
      </c>
      <c r="L82" s="1078">
        <v>45890</v>
      </c>
      <c r="T82" t="s">
        <v>4297</v>
      </c>
      <c r="U82" s="360">
        <v>0.62291666666666667</v>
      </c>
      <c r="V82" s="360">
        <v>0.80347222222222225</v>
      </c>
    </row>
    <row r="83" spans="1:22" hidden="1" x14ac:dyDescent="0.25">
      <c r="A83" s="483" t="s">
        <v>5930</v>
      </c>
      <c r="B83" t="s">
        <v>3276</v>
      </c>
      <c r="C83" s="28" t="s">
        <v>13</v>
      </c>
      <c r="D83" s="233">
        <v>45753</v>
      </c>
      <c r="E83" s="28"/>
      <c r="F83" s="28" t="s">
        <v>294</v>
      </c>
      <c r="G83" t="s">
        <v>6012</v>
      </c>
      <c r="H83" s="30" t="s">
        <v>6833</v>
      </c>
      <c r="I83" s="798">
        <v>1974</v>
      </c>
      <c r="J83" s="88">
        <f t="shared" ref="J83:J97" si="4">+I83-ROUND(I83*0.12,0)</f>
        <v>1737</v>
      </c>
      <c r="K83" s="30" t="s">
        <v>17</v>
      </c>
      <c r="L83" s="1078">
        <v>45890</v>
      </c>
      <c r="T83" t="s">
        <v>4297</v>
      </c>
      <c r="U83" s="360">
        <v>0.62291666666666667</v>
      </c>
      <c r="V83" s="360">
        <v>0.80347222222222225</v>
      </c>
    </row>
    <row r="84" spans="1:22" hidden="1" x14ac:dyDescent="0.25">
      <c r="A84" s="483" t="s">
        <v>5973</v>
      </c>
      <c r="B84" t="s">
        <v>3276</v>
      </c>
      <c r="C84" s="28" t="s">
        <v>13</v>
      </c>
      <c r="D84" s="602">
        <v>45759</v>
      </c>
      <c r="E84" s="420"/>
      <c r="F84" s="420" t="s">
        <v>872</v>
      </c>
      <c r="G84" s="418" t="s">
        <v>6013</v>
      </c>
      <c r="H84" s="694" t="s">
        <v>6289</v>
      </c>
      <c r="I84" s="1079">
        <v>39800</v>
      </c>
      <c r="J84" s="422">
        <f t="shared" si="4"/>
        <v>35024</v>
      </c>
      <c r="K84" s="1082" t="s">
        <v>17</v>
      </c>
      <c r="L84" s="602">
        <v>45786</v>
      </c>
      <c r="T84" t="s">
        <v>5026</v>
      </c>
      <c r="U84" s="360">
        <v>0.53819444444444442</v>
      </c>
      <c r="V84" s="30">
        <v>17.59</v>
      </c>
    </row>
    <row r="85" spans="1:22" hidden="1" x14ac:dyDescent="0.25">
      <c r="A85" s="483" t="s">
        <v>6213</v>
      </c>
      <c r="B85" t="s">
        <v>3276</v>
      </c>
      <c r="C85" s="28" t="s">
        <v>4437</v>
      </c>
      <c r="D85" s="602">
        <v>45791</v>
      </c>
      <c r="E85" s="420"/>
      <c r="F85" s="420" t="s">
        <v>872</v>
      </c>
      <c r="G85" s="418" t="s">
        <v>6224</v>
      </c>
      <c r="H85" s="694" t="s">
        <v>6365</v>
      </c>
      <c r="I85" s="1079">
        <v>39800</v>
      </c>
      <c r="J85" s="422">
        <f t="shared" si="4"/>
        <v>35024</v>
      </c>
      <c r="K85" s="694" t="s">
        <v>17</v>
      </c>
      <c r="L85" s="602">
        <v>45817</v>
      </c>
      <c r="T85" t="s">
        <v>4138</v>
      </c>
      <c r="U85" s="360">
        <v>0.51527777777777772</v>
      </c>
      <c r="V85" s="360">
        <v>0.73611111111111116</v>
      </c>
    </row>
    <row r="86" spans="1:22" hidden="1" x14ac:dyDescent="0.25">
      <c r="A86" s="690">
        <v>22052025</v>
      </c>
      <c r="B86" t="s">
        <v>3276</v>
      </c>
      <c r="C86" s="28" t="s">
        <v>4437</v>
      </c>
      <c r="D86" s="602">
        <v>45799</v>
      </c>
      <c r="E86" s="420"/>
      <c r="F86" s="420" t="s">
        <v>872</v>
      </c>
      <c r="G86" s="418" t="s">
        <v>6293</v>
      </c>
      <c r="H86" s="694" t="s">
        <v>6367</v>
      </c>
      <c r="I86" s="1079">
        <v>39800</v>
      </c>
      <c r="J86" s="422">
        <f t="shared" si="4"/>
        <v>35024</v>
      </c>
      <c r="K86" s="418" t="s">
        <v>17</v>
      </c>
      <c r="L86" s="602">
        <v>45841</v>
      </c>
      <c r="T86" t="s">
        <v>4297</v>
      </c>
      <c r="U86" s="360">
        <v>0.36041666666666666</v>
      </c>
      <c r="V86" s="30"/>
    </row>
    <row r="87" spans="1:22" hidden="1" x14ac:dyDescent="0.25">
      <c r="A87" s="483">
        <v>23052025</v>
      </c>
      <c r="B87" t="s">
        <v>3276</v>
      </c>
      <c r="C87" s="28" t="s">
        <v>660</v>
      </c>
      <c r="D87" s="602">
        <v>45800</v>
      </c>
      <c r="E87" s="420"/>
      <c r="F87" s="420" t="s">
        <v>872</v>
      </c>
      <c r="G87" s="418" t="s">
        <v>6344</v>
      </c>
      <c r="H87" s="694" t="s">
        <v>6366</v>
      </c>
      <c r="I87" s="1079">
        <v>39800</v>
      </c>
      <c r="J87" s="422">
        <f t="shared" si="4"/>
        <v>35024</v>
      </c>
      <c r="K87" s="418" t="s">
        <v>17</v>
      </c>
      <c r="L87" s="602">
        <v>45824</v>
      </c>
      <c r="T87" t="s">
        <v>4911</v>
      </c>
      <c r="U87" s="360">
        <v>0.35902777777777778</v>
      </c>
      <c r="V87" s="30"/>
    </row>
    <row r="88" spans="1:22" hidden="1" x14ac:dyDescent="0.25">
      <c r="A88" s="483">
        <v>30062025</v>
      </c>
      <c r="B88" t="s">
        <v>762</v>
      </c>
      <c r="C88" s="28" t="s">
        <v>4437</v>
      </c>
      <c r="D88" s="233">
        <v>45838</v>
      </c>
      <c r="E88" s="28"/>
      <c r="F88" s="28" t="s">
        <v>872</v>
      </c>
      <c r="G88" t="s">
        <v>6551</v>
      </c>
      <c r="H88" s="30" t="s">
        <v>7410</v>
      </c>
      <c r="I88" s="798">
        <v>39800</v>
      </c>
      <c r="J88" s="88">
        <f t="shared" si="4"/>
        <v>35024</v>
      </c>
      <c r="K88" s="30" t="s">
        <v>17</v>
      </c>
      <c r="L88" s="1068">
        <v>46014</v>
      </c>
      <c r="T88" t="s">
        <v>5021</v>
      </c>
      <c r="U88" s="360">
        <v>0.37291666666666662</v>
      </c>
      <c r="V88" s="30"/>
    </row>
    <row r="89" spans="1:22" hidden="1" x14ac:dyDescent="0.25">
      <c r="A89" s="483">
        <v>26072025</v>
      </c>
      <c r="B89" t="s">
        <v>762</v>
      </c>
      <c r="C89" s="28" t="s">
        <v>410</v>
      </c>
      <c r="D89" s="1068">
        <v>45864</v>
      </c>
      <c r="E89" s="28"/>
      <c r="F89" s="28" t="s">
        <v>872</v>
      </c>
      <c r="G89" s="1067" t="s">
        <v>6729</v>
      </c>
      <c r="H89" s="30" t="s">
        <v>7411</v>
      </c>
      <c r="I89" s="798">
        <v>39800</v>
      </c>
      <c r="J89" s="88">
        <f t="shared" si="4"/>
        <v>35024</v>
      </c>
      <c r="K89" s="30" t="s">
        <v>17</v>
      </c>
      <c r="L89" s="1068">
        <v>46014</v>
      </c>
      <c r="M89" s="32"/>
      <c r="T89" t="s">
        <v>6685</v>
      </c>
      <c r="U89" s="360">
        <v>0.54513888888888884</v>
      </c>
      <c r="V89" s="360">
        <v>0.75694444444444442</v>
      </c>
    </row>
    <row r="90" spans="1:22" hidden="1" x14ac:dyDescent="0.25">
      <c r="A90" s="483">
        <v>27072025</v>
      </c>
      <c r="B90" t="s">
        <v>762</v>
      </c>
      <c r="C90" s="28" t="s">
        <v>13</v>
      </c>
      <c r="D90" s="1068">
        <v>45865</v>
      </c>
      <c r="E90" s="28"/>
      <c r="F90" s="28" t="s">
        <v>1984</v>
      </c>
      <c r="G90" s="1067" t="s">
        <v>6730</v>
      </c>
      <c r="H90" s="199" t="s">
        <v>6732</v>
      </c>
      <c r="I90" s="798">
        <v>45236</v>
      </c>
      <c r="J90" s="88">
        <f t="shared" si="4"/>
        <v>39808</v>
      </c>
      <c r="K90" s="30" t="s">
        <v>17</v>
      </c>
      <c r="L90" s="1068">
        <v>46022</v>
      </c>
      <c r="M90" s="32"/>
      <c r="T90" t="s">
        <v>4139</v>
      </c>
      <c r="U90" s="360">
        <v>0.46597222222222223</v>
      </c>
      <c r="V90" s="360">
        <v>0.79791666666666672</v>
      </c>
    </row>
    <row r="91" spans="1:22" hidden="1" x14ac:dyDescent="0.25">
      <c r="A91" s="483">
        <v>28072025</v>
      </c>
      <c r="B91" t="s">
        <v>762</v>
      </c>
      <c r="C91" s="28" t="s">
        <v>13</v>
      </c>
      <c r="D91" s="1068">
        <v>45866</v>
      </c>
      <c r="E91" s="28"/>
      <c r="F91" s="28" t="s">
        <v>872</v>
      </c>
      <c r="G91" s="1067" t="s">
        <v>6733</v>
      </c>
      <c r="H91" s="30" t="s">
        <v>7412</v>
      </c>
      <c r="I91" s="798">
        <v>39800</v>
      </c>
      <c r="J91" s="88">
        <f t="shared" si="4"/>
        <v>35024</v>
      </c>
      <c r="K91" s="30" t="s">
        <v>17</v>
      </c>
      <c r="L91" s="1068">
        <v>46014</v>
      </c>
      <c r="M91" s="32"/>
      <c r="T91" t="s">
        <v>6686</v>
      </c>
      <c r="U91" s="360">
        <v>0.35</v>
      </c>
      <c r="V91" s="360">
        <v>0.60069444444444442</v>
      </c>
    </row>
    <row r="92" spans="1:22" hidden="1" x14ac:dyDescent="0.25">
      <c r="A92" s="483" t="s">
        <v>6707</v>
      </c>
      <c r="B92" t="s">
        <v>3276</v>
      </c>
      <c r="C92" s="28" t="s">
        <v>4218</v>
      </c>
      <c r="D92" s="233">
        <v>45873</v>
      </c>
      <c r="E92" s="28"/>
      <c r="F92" s="28" t="s">
        <v>872</v>
      </c>
      <c r="G92" s="1067" t="s">
        <v>6734</v>
      </c>
      <c r="H92" s="30" t="s">
        <v>7413</v>
      </c>
      <c r="I92" s="798">
        <v>39800</v>
      </c>
      <c r="J92" s="88">
        <f t="shared" si="4"/>
        <v>35024</v>
      </c>
      <c r="K92" s="30" t="s">
        <v>17</v>
      </c>
      <c r="L92" s="1068">
        <v>46014</v>
      </c>
      <c r="M92" s="32"/>
      <c r="T92" t="s">
        <v>6503</v>
      </c>
      <c r="U92" s="360">
        <v>0.34236111111111112</v>
      </c>
      <c r="V92" s="360">
        <v>0.54791666666666672</v>
      </c>
    </row>
    <row r="93" spans="1:22" hidden="1" x14ac:dyDescent="0.25">
      <c r="A93" s="483" t="s">
        <v>6765</v>
      </c>
      <c r="B93" t="s">
        <v>3276</v>
      </c>
      <c r="C93" s="28" t="s">
        <v>410</v>
      </c>
      <c r="D93" s="233">
        <v>45878</v>
      </c>
      <c r="E93" s="28"/>
      <c r="F93" s="28" t="s">
        <v>872</v>
      </c>
      <c r="G93" s="1067" t="s">
        <v>6776</v>
      </c>
      <c r="H93" s="30" t="s">
        <v>7414</v>
      </c>
      <c r="I93" s="313">
        <v>39800</v>
      </c>
      <c r="J93" s="88">
        <f t="shared" si="4"/>
        <v>35024</v>
      </c>
      <c r="K93" s="30" t="s">
        <v>17</v>
      </c>
      <c r="L93" s="1068">
        <v>46014</v>
      </c>
      <c r="M93" s="32"/>
      <c r="T93" t="s">
        <v>4297</v>
      </c>
      <c r="U93" s="360">
        <v>0.4680555555555555</v>
      </c>
      <c r="V93" s="360">
        <v>0.71875</v>
      </c>
    </row>
    <row r="94" spans="1:22" hidden="1" x14ac:dyDescent="0.25">
      <c r="A94" s="483" t="s">
        <v>6786</v>
      </c>
      <c r="B94" t="s">
        <v>3276</v>
      </c>
      <c r="C94" s="28" t="s">
        <v>410</v>
      </c>
      <c r="D94" s="233">
        <v>45882</v>
      </c>
      <c r="E94" s="28"/>
      <c r="F94" s="28" t="s">
        <v>872</v>
      </c>
      <c r="G94" s="1067" t="s">
        <v>6815</v>
      </c>
      <c r="H94" s="30" t="s">
        <v>7415</v>
      </c>
      <c r="I94" s="313">
        <v>39800</v>
      </c>
      <c r="J94" s="88">
        <f t="shared" si="4"/>
        <v>35024</v>
      </c>
      <c r="K94" s="30" t="s">
        <v>17</v>
      </c>
      <c r="L94" s="1068">
        <v>46014</v>
      </c>
      <c r="M94" s="32"/>
      <c r="T94" t="s">
        <v>6787</v>
      </c>
      <c r="U94" s="360">
        <v>0.35138888888888892</v>
      </c>
      <c r="V94" s="360"/>
    </row>
    <row r="95" spans="1:22" hidden="1" x14ac:dyDescent="0.25">
      <c r="A95" s="483" t="s">
        <v>6887</v>
      </c>
      <c r="B95" t="s">
        <v>762</v>
      </c>
      <c r="C95" s="28" t="s">
        <v>13</v>
      </c>
      <c r="D95" s="233">
        <v>45907</v>
      </c>
      <c r="E95" s="28"/>
      <c r="F95" s="28" t="s">
        <v>294</v>
      </c>
      <c r="G95" s="1067" t="s">
        <v>6932</v>
      </c>
      <c r="H95" s="30" t="s">
        <v>7416</v>
      </c>
      <c r="I95" s="313">
        <v>35685</v>
      </c>
      <c r="J95" s="88">
        <f t="shared" si="4"/>
        <v>31403</v>
      </c>
      <c r="K95" s="30" t="s">
        <v>17</v>
      </c>
      <c r="L95" s="1068">
        <v>46014</v>
      </c>
      <c r="M95" s="32"/>
      <c r="T95" t="s">
        <v>6889</v>
      </c>
      <c r="U95" s="360">
        <v>0.64583333333333337</v>
      </c>
      <c r="V95" s="360">
        <v>0.80833333333333324</v>
      </c>
    </row>
    <row r="96" spans="1:22" hidden="1" x14ac:dyDescent="0.25">
      <c r="A96" s="483" t="s">
        <v>7445</v>
      </c>
      <c r="B96" t="s">
        <v>3276</v>
      </c>
      <c r="C96" s="233" t="s">
        <v>4218</v>
      </c>
      <c r="D96" s="233">
        <v>46025</v>
      </c>
      <c r="E96" s="28"/>
      <c r="F96" s="28" t="s">
        <v>872</v>
      </c>
      <c r="G96" t="s">
        <v>7494</v>
      </c>
      <c r="H96" t="s">
        <v>7670</v>
      </c>
      <c r="I96" s="88">
        <v>39800</v>
      </c>
      <c r="J96" s="88">
        <f t="shared" si="4"/>
        <v>35024</v>
      </c>
      <c r="K96" s="30" t="s">
        <v>17</v>
      </c>
      <c r="L96" s="233">
        <v>46076</v>
      </c>
      <c r="T96" t="s">
        <v>7078</v>
      </c>
      <c r="U96" s="360">
        <v>0.62152777777777779</v>
      </c>
      <c r="V96" s="360">
        <v>0.80138888888888893</v>
      </c>
    </row>
    <row r="97" spans="1:22" hidden="1" x14ac:dyDescent="0.25">
      <c r="A97" s="483" t="s">
        <v>7608</v>
      </c>
      <c r="B97" t="s">
        <v>3276</v>
      </c>
      <c r="C97" s="28" t="s">
        <v>410</v>
      </c>
      <c r="D97" s="233">
        <v>46051</v>
      </c>
      <c r="E97" s="28"/>
      <c r="F97" s="28" t="s">
        <v>872</v>
      </c>
      <c r="G97" s="1067" t="s">
        <v>7669</v>
      </c>
      <c r="H97" s="30" t="s">
        <v>7671</v>
      </c>
      <c r="I97" s="313">
        <v>39800</v>
      </c>
      <c r="J97" s="88">
        <f t="shared" si="4"/>
        <v>35024</v>
      </c>
      <c r="K97" t="s">
        <v>17</v>
      </c>
      <c r="L97" s="233">
        <v>46077</v>
      </c>
      <c r="M97" s="88"/>
      <c r="T97" t="s">
        <v>894</v>
      </c>
      <c r="U97" s="360">
        <v>0.50138888888888888</v>
      </c>
      <c r="V97" s="360"/>
    </row>
    <row r="98" spans="1:22" ht="15.75" thickBot="1" x14ac:dyDescent="0.3">
      <c r="A98" s="116"/>
      <c r="C98" s="169"/>
      <c r="D98" s="122"/>
      <c r="E98" s="88"/>
      <c r="G98" s="21"/>
      <c r="I98" s="798"/>
      <c r="J98" s="160"/>
      <c r="K98" s="237"/>
      <c r="L98"/>
      <c r="P98" s="157"/>
      <c r="Q98" s="157"/>
    </row>
    <row r="99" spans="1:22" ht="15.75" thickBot="1" x14ac:dyDescent="0.3">
      <c r="H99" s="115" t="s">
        <v>1292</v>
      </c>
      <c r="I99" s="560">
        <f>SUBTOTAL(9,I3:I98)</f>
        <v>0</v>
      </c>
    </row>
    <row r="100" spans="1:22" ht="15.75" thickBot="1" x14ac:dyDescent="0.3"/>
    <row r="101" spans="1:22" ht="15.75" thickBot="1" x14ac:dyDescent="0.3">
      <c r="A101" s="1587" t="s">
        <v>1595</v>
      </c>
      <c r="B101" s="1488"/>
      <c r="C101" s="1488"/>
      <c r="D101" s="1488"/>
      <c r="E101" s="1488"/>
      <c r="F101" s="1488"/>
      <c r="G101" s="1489"/>
      <c r="K101" s="836"/>
    </row>
    <row r="102" spans="1:22" ht="15" hidden="1" customHeight="1" x14ac:dyDescent="0.25">
      <c r="A102" s="256" t="s">
        <v>1549</v>
      </c>
      <c r="B102" t="s">
        <v>762</v>
      </c>
      <c r="C102" s="169" t="s">
        <v>693</v>
      </c>
      <c r="D102" s="122">
        <v>44898</v>
      </c>
      <c r="E102" s="88"/>
      <c r="F102" s="28" t="s">
        <v>304</v>
      </c>
      <c r="G102" s="21" t="s">
        <v>1594</v>
      </c>
      <c r="H102" s="30" t="s">
        <v>1651</v>
      </c>
      <c r="I102" s="160">
        <v>41100</v>
      </c>
      <c r="J102" s="160">
        <f t="shared" ref="J102:J108" si="5">+I102*0.88</f>
        <v>36168</v>
      </c>
      <c r="K102" s="236" t="s">
        <v>17</v>
      </c>
      <c r="L102" s="462">
        <v>44945</v>
      </c>
      <c r="O102" t="s">
        <v>989</v>
      </c>
      <c r="P102" s="157">
        <v>0.36944444444444446</v>
      </c>
      <c r="Q102" s="157">
        <v>0.65555555555555556</v>
      </c>
    </row>
    <row r="103" spans="1:22" ht="15" hidden="1" customHeight="1" x14ac:dyDescent="0.25">
      <c r="A103" s="30">
        <v>27122022</v>
      </c>
      <c r="B103" t="s">
        <v>762</v>
      </c>
      <c r="C103" s="169" t="s">
        <v>693</v>
      </c>
      <c r="D103" s="122">
        <v>44922</v>
      </c>
      <c r="E103" s="88"/>
      <c r="F103" s="28" t="s">
        <v>304</v>
      </c>
      <c r="G103" s="21" t="s">
        <v>1652</v>
      </c>
      <c r="H103" s="30" t="s">
        <v>1654</v>
      </c>
      <c r="I103" s="160">
        <v>41100</v>
      </c>
      <c r="J103" s="160">
        <f t="shared" si="5"/>
        <v>36168</v>
      </c>
      <c r="K103" s="236" t="s">
        <v>17</v>
      </c>
      <c r="L103" s="462">
        <v>44949</v>
      </c>
      <c r="S103" s="2" t="s">
        <v>929</v>
      </c>
      <c r="T103" s="157">
        <v>0.40416666666666662</v>
      </c>
      <c r="U103" s="21"/>
    </row>
    <row r="104" spans="1:22" hidden="1" x14ac:dyDescent="0.25">
      <c r="A104" s="30">
        <v>30122022</v>
      </c>
      <c r="B104" t="s">
        <v>762</v>
      </c>
      <c r="C104" s="169" t="s">
        <v>693</v>
      </c>
      <c r="D104" s="122">
        <v>44925</v>
      </c>
      <c r="E104" s="88"/>
      <c r="F104" s="28" t="s">
        <v>304</v>
      </c>
      <c r="G104" s="21" t="s">
        <v>1724</v>
      </c>
      <c r="H104" s="30" t="s">
        <v>1998</v>
      </c>
      <c r="I104" s="160">
        <v>41100</v>
      </c>
      <c r="J104" s="160">
        <f t="shared" si="5"/>
        <v>36168</v>
      </c>
      <c r="K104" s="236" t="s">
        <v>17</v>
      </c>
      <c r="L104" s="462">
        <v>45006</v>
      </c>
      <c r="S104" s="2" t="s">
        <v>1710</v>
      </c>
      <c r="T104" s="157">
        <v>0.3444444444444445</v>
      </c>
      <c r="U104" s="157">
        <v>0.60347222222222219</v>
      </c>
    </row>
    <row r="105" spans="1:22" hidden="1" x14ac:dyDescent="0.25">
      <c r="A105" s="95" t="s">
        <v>1726</v>
      </c>
      <c r="B105" t="s">
        <v>762</v>
      </c>
      <c r="C105" t="s">
        <v>13</v>
      </c>
      <c r="D105" s="122">
        <v>44930</v>
      </c>
      <c r="F105" s="28" t="s">
        <v>304</v>
      </c>
      <c r="G105" t="s">
        <v>1880</v>
      </c>
      <c r="H105" s="30" t="s">
        <v>1999</v>
      </c>
      <c r="I105" s="160">
        <v>41100</v>
      </c>
      <c r="J105" s="160">
        <f t="shared" si="5"/>
        <v>36168</v>
      </c>
      <c r="K105" s="236" t="s">
        <v>17</v>
      </c>
      <c r="L105" s="462">
        <v>45006</v>
      </c>
      <c r="S105" t="s">
        <v>1506</v>
      </c>
      <c r="T105" s="14">
        <v>0.51527777777777783</v>
      </c>
    </row>
    <row r="106" spans="1:22" hidden="1" x14ac:dyDescent="0.25">
      <c r="A106" s="245" t="s">
        <v>1746</v>
      </c>
      <c r="B106" t="s">
        <v>762</v>
      </c>
      <c r="C106" t="s">
        <v>410</v>
      </c>
      <c r="D106" s="122">
        <v>44935</v>
      </c>
      <c r="F106" s="28" t="s">
        <v>294</v>
      </c>
      <c r="G106" t="s">
        <v>1882</v>
      </c>
      <c r="H106" s="30" t="s">
        <v>2000</v>
      </c>
      <c r="I106" s="160">
        <v>41100</v>
      </c>
      <c r="J106" s="160">
        <f t="shared" si="5"/>
        <v>36168</v>
      </c>
      <c r="K106" s="236" t="s">
        <v>17</v>
      </c>
      <c r="L106" s="462">
        <v>45006</v>
      </c>
      <c r="S106" t="s">
        <v>929</v>
      </c>
      <c r="T106" s="14">
        <v>0.41111111111111115</v>
      </c>
      <c r="U106" s="14">
        <v>0.57152777777777775</v>
      </c>
    </row>
    <row r="107" spans="1:22" hidden="1" x14ac:dyDescent="0.25">
      <c r="A107" s="246">
        <v>13012023</v>
      </c>
      <c r="B107" t="s">
        <v>762</v>
      </c>
      <c r="C107" t="s">
        <v>13</v>
      </c>
      <c r="D107" s="122">
        <v>44939</v>
      </c>
      <c r="F107" s="28" t="s">
        <v>304</v>
      </c>
      <c r="G107" t="s">
        <v>1881</v>
      </c>
      <c r="H107" s="30" t="s">
        <v>2001</v>
      </c>
      <c r="I107" s="32">
        <v>41100</v>
      </c>
      <c r="J107" s="160">
        <f t="shared" si="5"/>
        <v>36168</v>
      </c>
      <c r="K107" s="236" t="s">
        <v>17</v>
      </c>
      <c r="L107" s="462">
        <v>45008</v>
      </c>
      <c r="S107" t="s">
        <v>1712</v>
      </c>
      <c r="T107" s="14">
        <v>0.61597222222222225</v>
      </c>
      <c r="U107" s="14">
        <v>0.8652777777777777</v>
      </c>
    </row>
    <row r="108" spans="1:22" hidden="1" x14ac:dyDescent="0.25">
      <c r="A108" s="246">
        <v>21012023</v>
      </c>
      <c r="B108" t="s">
        <v>762</v>
      </c>
      <c r="C108" t="s">
        <v>410</v>
      </c>
      <c r="D108" s="122">
        <v>44947</v>
      </c>
      <c r="F108" s="28" t="s">
        <v>304</v>
      </c>
      <c r="G108" t="s">
        <v>1883</v>
      </c>
      <c r="H108" s="30" t="s">
        <v>2123</v>
      </c>
      <c r="I108" s="88">
        <v>41100</v>
      </c>
      <c r="J108" s="160">
        <f t="shared" si="5"/>
        <v>36168</v>
      </c>
      <c r="K108" s="236" t="s">
        <v>17</v>
      </c>
      <c r="L108" s="462">
        <v>45008</v>
      </c>
      <c r="S108" t="s">
        <v>1712</v>
      </c>
    </row>
    <row r="109" spans="1:22" ht="15.75" thickBot="1" x14ac:dyDescent="0.3">
      <c r="A109" s="246"/>
      <c r="C109"/>
      <c r="D109" s="122"/>
      <c r="I109" s="32"/>
      <c r="J109" s="32"/>
      <c r="L109"/>
    </row>
    <row r="110" spans="1:22" ht="15.75" thickBot="1" x14ac:dyDescent="0.3">
      <c r="I110" s="206">
        <f>SUBTOTAL(9,I102:I109)</f>
        <v>0</v>
      </c>
      <c r="L110"/>
    </row>
    <row r="111" spans="1:22" ht="15.75" thickBot="1" x14ac:dyDescent="0.3">
      <c r="A111" s="1587" t="s">
        <v>3034</v>
      </c>
      <c r="B111" s="1488"/>
      <c r="C111" s="1488"/>
      <c r="D111" s="1488"/>
      <c r="E111" s="1488"/>
      <c r="F111" s="1488"/>
      <c r="G111" s="1489"/>
      <c r="H111" s="1080"/>
    </row>
    <row r="112" spans="1:22" ht="15" hidden="1" customHeight="1" x14ac:dyDescent="0.25">
      <c r="A112" s="115">
        <v>25062022</v>
      </c>
      <c r="B112" s="169" t="s">
        <v>762</v>
      </c>
      <c r="C112" s="21" t="s">
        <v>410</v>
      </c>
      <c r="D112" s="122">
        <v>44737</v>
      </c>
      <c r="E112" s="7">
        <v>3.3</v>
      </c>
      <c r="F112" s="209" t="s">
        <v>304</v>
      </c>
      <c r="G112" s="163" t="s">
        <v>2126</v>
      </c>
      <c r="H112" s="30" t="s">
        <v>1043</v>
      </c>
      <c r="I112" s="159">
        <v>36395</v>
      </c>
      <c r="K112" s="590" t="s">
        <v>17</v>
      </c>
      <c r="L112" s="122">
        <v>44768</v>
      </c>
      <c r="M112" t="s">
        <v>388</v>
      </c>
      <c r="O112" s="163" t="s">
        <v>989</v>
      </c>
      <c r="P112" s="14">
        <v>0.52847222222222223</v>
      </c>
      <c r="Q112" s="14">
        <v>0.76111111111111107</v>
      </c>
    </row>
    <row r="113" spans="1:22" ht="15" hidden="1" customHeight="1" x14ac:dyDescent="0.25">
      <c r="A113" s="115">
        <v>3072022</v>
      </c>
      <c r="B113" s="1586" t="s">
        <v>762</v>
      </c>
      <c r="C113" s="21" t="s">
        <v>410</v>
      </c>
      <c r="D113" s="122">
        <v>44745</v>
      </c>
      <c r="E113" s="7">
        <v>3.2</v>
      </c>
      <c r="F113" s="1588" t="s">
        <v>294</v>
      </c>
      <c r="G113" s="163" t="s">
        <v>1046</v>
      </c>
      <c r="H113" s="368" t="s">
        <v>1047</v>
      </c>
      <c r="I113" s="159">
        <v>4123</v>
      </c>
      <c r="J113" s="159"/>
      <c r="K113" s="590" t="s">
        <v>17</v>
      </c>
      <c r="L113" s="122">
        <v>44768</v>
      </c>
      <c r="M113" t="s">
        <v>388</v>
      </c>
      <c r="O113" s="163" t="s">
        <v>893</v>
      </c>
      <c r="P113" s="14">
        <v>0.55833333333333335</v>
      </c>
      <c r="Q113" s="14">
        <v>0.73055555555555562</v>
      </c>
    </row>
    <row r="114" spans="1:22" ht="15" hidden="1" customHeight="1" x14ac:dyDescent="0.25">
      <c r="A114" s="115"/>
      <c r="B114" s="1586"/>
      <c r="C114" s="21"/>
      <c r="D114" s="122"/>
      <c r="E114" s="32"/>
      <c r="F114" s="1588"/>
      <c r="G114" s="163" t="s">
        <v>1048</v>
      </c>
      <c r="H114" s="30" t="s">
        <v>1049</v>
      </c>
      <c r="I114" s="159">
        <v>32272</v>
      </c>
      <c r="J114" s="158"/>
      <c r="K114" s="590" t="s">
        <v>17</v>
      </c>
      <c r="L114" s="122">
        <v>44768</v>
      </c>
      <c r="M114" t="s">
        <v>388</v>
      </c>
      <c r="O114" s="163"/>
      <c r="P114" s="14"/>
      <c r="Q114" s="14"/>
    </row>
    <row r="116" spans="1:22" x14ac:dyDescent="0.25">
      <c r="A116" s="115"/>
      <c r="B116" s="177"/>
      <c r="C116" s="169"/>
      <c r="D116" s="122"/>
      <c r="E116" s="32"/>
      <c r="F116" s="209"/>
      <c r="G116" s="163"/>
      <c r="I116" s="159"/>
      <c r="K116" s="590"/>
      <c r="O116" s="163"/>
      <c r="P116" s="14"/>
      <c r="Q116" s="14"/>
    </row>
    <row r="117" spans="1:22" ht="15.75" thickBot="1" x14ac:dyDescent="0.3">
      <c r="I117" s="17"/>
      <c r="L117" s="32"/>
    </row>
    <row r="118" spans="1:22" ht="15.75" thickBot="1" x14ac:dyDescent="0.3">
      <c r="A118" s="1587" t="s">
        <v>3035</v>
      </c>
      <c r="B118" s="1488"/>
      <c r="C118" s="1488"/>
      <c r="D118" s="1488"/>
      <c r="E118" s="1488"/>
      <c r="F118" s="1488"/>
      <c r="G118" s="1489"/>
      <c r="I118" s="149"/>
    </row>
    <row r="119" spans="1:22" s="30" customFormat="1" hidden="1" x14ac:dyDescent="0.25">
      <c r="A119" s="256" t="s">
        <v>3025</v>
      </c>
      <c r="B119" s="30" t="s">
        <v>762</v>
      </c>
      <c r="C119" s="30" t="s">
        <v>13</v>
      </c>
      <c r="D119" s="359">
        <v>45208</v>
      </c>
      <c r="F119" s="28" t="s">
        <v>872</v>
      </c>
      <c r="G119" s="30" t="s">
        <v>3116</v>
      </c>
      <c r="H119" s="373" t="s">
        <v>3171</v>
      </c>
      <c r="I119" s="375">
        <v>39600</v>
      </c>
      <c r="K119" s="30" t="s">
        <v>17</v>
      </c>
      <c r="L119" s="359">
        <v>45250</v>
      </c>
      <c r="T119" s="360" t="s">
        <v>916</v>
      </c>
      <c r="U119" s="360">
        <v>0.34791666666666665</v>
      </c>
      <c r="V119" s="360"/>
    </row>
    <row r="120" spans="1:22" hidden="1" x14ac:dyDescent="0.25">
      <c r="A120" s="256" t="s">
        <v>3025</v>
      </c>
      <c r="B120" t="s">
        <v>762</v>
      </c>
      <c r="C120" t="s">
        <v>410</v>
      </c>
      <c r="D120" s="359">
        <v>45208</v>
      </c>
      <c r="F120" s="28" t="s">
        <v>872</v>
      </c>
      <c r="G120" s="30" t="s">
        <v>3115</v>
      </c>
      <c r="H120" s="373" t="s">
        <v>3172</v>
      </c>
      <c r="I120" s="296">
        <v>39600</v>
      </c>
      <c r="K120" s="30" t="s">
        <v>17</v>
      </c>
      <c r="L120" s="359">
        <v>45250</v>
      </c>
      <c r="T120" s="14" t="s">
        <v>2050</v>
      </c>
      <c r="U120" s="14">
        <v>0.64097222222222217</v>
      </c>
      <c r="V120" s="14">
        <v>0.80902777777777779</v>
      </c>
    </row>
    <row r="121" spans="1:22" s="30" customFormat="1" hidden="1" x14ac:dyDescent="0.25">
      <c r="A121" s="256">
        <v>15102023</v>
      </c>
      <c r="B121" s="30" t="s">
        <v>762</v>
      </c>
      <c r="C121" s="30" t="s">
        <v>13</v>
      </c>
      <c r="D121" s="359">
        <v>45214</v>
      </c>
      <c r="F121" s="28" t="s">
        <v>294</v>
      </c>
      <c r="G121" s="30" t="s">
        <v>3113</v>
      </c>
      <c r="H121" s="373" t="s">
        <v>3173</v>
      </c>
      <c r="I121" s="375">
        <v>39600</v>
      </c>
      <c r="K121" s="30" t="s">
        <v>17</v>
      </c>
      <c r="L121" s="359">
        <v>45250</v>
      </c>
      <c r="T121" s="360" t="s">
        <v>1816</v>
      </c>
      <c r="U121" s="360">
        <v>0.42569444444444443</v>
      </c>
      <c r="V121" s="360">
        <v>0.6430555555555556</v>
      </c>
    </row>
    <row r="122" spans="1:22" s="30" customFormat="1" hidden="1" x14ac:dyDescent="0.25">
      <c r="A122" s="256" t="s">
        <v>3152</v>
      </c>
      <c r="B122" s="30" t="s">
        <v>762</v>
      </c>
      <c r="C122" s="30" t="s">
        <v>410</v>
      </c>
      <c r="D122" s="359">
        <v>45233</v>
      </c>
      <c r="F122" s="28" t="s">
        <v>872</v>
      </c>
      <c r="G122" s="30" t="s">
        <v>3162</v>
      </c>
      <c r="H122" s="373" t="s">
        <v>3174</v>
      </c>
      <c r="I122" s="375">
        <v>38442</v>
      </c>
      <c r="K122" s="30" t="s">
        <v>17</v>
      </c>
      <c r="L122" s="359">
        <v>45250</v>
      </c>
      <c r="T122" s="360"/>
      <c r="U122" s="360"/>
      <c r="V122" s="360"/>
    </row>
    <row r="123" spans="1:22" s="30" customFormat="1" hidden="1" x14ac:dyDescent="0.25">
      <c r="A123" s="256" t="s">
        <v>3152</v>
      </c>
      <c r="B123" s="30" t="s">
        <v>762</v>
      </c>
      <c r="C123" s="30" t="s">
        <v>410</v>
      </c>
      <c r="D123" s="359">
        <v>45233</v>
      </c>
      <c r="F123" s="28" t="s">
        <v>872</v>
      </c>
      <c r="G123" s="30" t="s">
        <v>3162</v>
      </c>
      <c r="H123" s="30" t="s">
        <v>3175</v>
      </c>
      <c r="I123" s="236">
        <v>1158</v>
      </c>
      <c r="K123" s="30" t="s">
        <v>17</v>
      </c>
      <c r="L123" s="359">
        <v>45250</v>
      </c>
      <c r="N123" s="30">
        <f>+I122*0.12</f>
        <v>4613.04</v>
      </c>
      <c r="T123" s="360" t="s">
        <v>2380</v>
      </c>
      <c r="U123" s="360">
        <v>0.50972222222222219</v>
      </c>
      <c r="V123" s="360"/>
    </row>
    <row r="124" spans="1:22" s="21" customFormat="1" hidden="1" x14ac:dyDescent="0.25">
      <c r="A124" s="184">
        <v>11112023</v>
      </c>
      <c r="B124" s="21" t="s">
        <v>762</v>
      </c>
      <c r="C124" s="21" t="s">
        <v>13</v>
      </c>
      <c r="D124" s="466">
        <v>45241</v>
      </c>
      <c r="F124" s="177" t="s">
        <v>872</v>
      </c>
      <c r="G124" s="169" t="s">
        <v>3209</v>
      </c>
      <c r="H124" s="169" t="s">
        <v>3321</v>
      </c>
      <c r="I124" s="465">
        <v>39600</v>
      </c>
      <c r="K124" s="30" t="s">
        <v>17</v>
      </c>
      <c r="L124" s="359">
        <v>45289</v>
      </c>
      <c r="T124" s="157" t="s">
        <v>1042</v>
      </c>
      <c r="U124" s="157">
        <v>0.51041666666666663</v>
      </c>
      <c r="V124" s="157">
        <v>0.66041666666666665</v>
      </c>
    </row>
    <row r="125" spans="1:22" s="21" customFormat="1" hidden="1" x14ac:dyDescent="0.25">
      <c r="A125" s="184">
        <v>12112023</v>
      </c>
      <c r="B125" s="21" t="s">
        <v>762</v>
      </c>
      <c r="C125" s="21" t="s">
        <v>13</v>
      </c>
      <c r="D125" s="466">
        <v>45242</v>
      </c>
      <c r="F125" s="177" t="s">
        <v>872</v>
      </c>
      <c r="G125" s="169" t="s">
        <v>3208</v>
      </c>
      <c r="H125" s="169" t="s">
        <v>4061</v>
      </c>
      <c r="I125" s="465">
        <v>39600</v>
      </c>
      <c r="K125" s="30" t="s">
        <v>17</v>
      </c>
      <c r="L125" s="359">
        <v>45289</v>
      </c>
      <c r="T125" s="157" t="s">
        <v>1029</v>
      </c>
      <c r="U125" s="157">
        <v>0.3430555555555555</v>
      </c>
      <c r="V125" s="157">
        <v>0.58194444444444449</v>
      </c>
    </row>
    <row r="126" spans="1:22" hidden="1" x14ac:dyDescent="0.25">
      <c r="A126" s="256">
        <v>14112023</v>
      </c>
      <c r="B126" t="s">
        <v>762</v>
      </c>
      <c r="C126" t="s">
        <v>13</v>
      </c>
      <c r="D126" s="359">
        <v>45244</v>
      </c>
      <c r="F126" s="28" t="s">
        <v>872</v>
      </c>
      <c r="G126" s="30" t="s">
        <v>3210</v>
      </c>
      <c r="H126" s="30" t="s">
        <v>3322</v>
      </c>
      <c r="I126" s="236">
        <v>39600</v>
      </c>
      <c r="K126" s="30" t="s">
        <v>17</v>
      </c>
      <c r="L126" s="359">
        <v>45295</v>
      </c>
      <c r="T126" s="14" t="s">
        <v>1644</v>
      </c>
      <c r="U126" s="14">
        <v>0.33055555555555555</v>
      </c>
      <c r="V126" s="14">
        <v>0.55972222222222223</v>
      </c>
    </row>
    <row r="127" spans="1:22" hidden="1" x14ac:dyDescent="0.25">
      <c r="A127" s="430" t="s">
        <v>3275</v>
      </c>
      <c r="B127" s="30" t="s">
        <v>3276</v>
      </c>
      <c r="C127" t="s">
        <v>410</v>
      </c>
      <c r="D127" s="233">
        <v>45266</v>
      </c>
      <c r="F127" s="28" t="s">
        <v>872</v>
      </c>
      <c r="G127" s="30" t="s">
        <v>3323</v>
      </c>
      <c r="H127" s="30" t="s">
        <v>4062</v>
      </c>
      <c r="I127" s="236">
        <v>360</v>
      </c>
      <c r="K127" s="30" t="s">
        <v>17</v>
      </c>
      <c r="L127" s="233">
        <v>45401</v>
      </c>
      <c r="T127" s="14"/>
      <c r="U127" s="14"/>
      <c r="V127" s="14"/>
    </row>
    <row r="128" spans="1:22" hidden="1" x14ac:dyDescent="0.25">
      <c r="A128" s="430" t="s">
        <v>3275</v>
      </c>
      <c r="B128" s="30" t="s">
        <v>3276</v>
      </c>
      <c r="C128" t="s">
        <v>410</v>
      </c>
      <c r="D128" s="233">
        <v>45266</v>
      </c>
      <c r="F128" s="28" t="s">
        <v>872</v>
      </c>
      <c r="G128" s="30" t="s">
        <v>3323</v>
      </c>
      <c r="H128" s="30" t="s">
        <v>4060</v>
      </c>
      <c r="I128" s="236">
        <v>39240</v>
      </c>
      <c r="J128" s="160">
        <f t="shared" ref="J128:J138" si="6">+I128*0.88</f>
        <v>34531.199999999997</v>
      </c>
      <c r="K128" s="462" t="s">
        <v>17</v>
      </c>
      <c r="L128" s="233">
        <v>45401</v>
      </c>
      <c r="T128" s="14" t="s">
        <v>1042</v>
      </c>
      <c r="U128" s="14">
        <v>0.3125</v>
      </c>
      <c r="V128" s="14"/>
    </row>
    <row r="129" spans="1:22" hidden="1" x14ac:dyDescent="0.25">
      <c r="A129" s="256" t="s">
        <v>3460</v>
      </c>
      <c r="B129" s="30" t="s">
        <v>3276</v>
      </c>
      <c r="C129" s="30" t="s">
        <v>1604</v>
      </c>
      <c r="D129" s="233">
        <v>45297</v>
      </c>
      <c r="F129" s="28" t="s">
        <v>872</v>
      </c>
      <c r="G129" s="30" t="s">
        <v>3472</v>
      </c>
      <c r="H129" s="30" t="s">
        <v>4058</v>
      </c>
      <c r="I129" s="251">
        <v>39600</v>
      </c>
      <c r="J129" s="160">
        <f t="shared" si="6"/>
        <v>34848</v>
      </c>
      <c r="K129" s="462" t="s">
        <v>17</v>
      </c>
      <c r="L129" s="233">
        <v>45401</v>
      </c>
      <c r="T129" s="14" t="s">
        <v>3458</v>
      </c>
      <c r="U129" s="360">
        <v>0.39027777777777778</v>
      </c>
      <c r="V129" s="360">
        <v>0.61805555555555558</v>
      </c>
    </row>
    <row r="130" spans="1:22" hidden="1" x14ac:dyDescent="0.25">
      <c r="A130" s="256" t="s">
        <v>3464</v>
      </c>
      <c r="B130" s="30" t="s">
        <v>3276</v>
      </c>
      <c r="C130" s="30" t="s">
        <v>1604</v>
      </c>
      <c r="D130" s="233">
        <v>45300</v>
      </c>
      <c r="F130" s="28" t="s">
        <v>872</v>
      </c>
      <c r="G130" t="s">
        <v>3652</v>
      </c>
      <c r="H130" s="30" t="s">
        <v>4057</v>
      </c>
      <c r="I130" s="251">
        <v>39600</v>
      </c>
      <c r="J130" s="160">
        <f t="shared" si="6"/>
        <v>34848</v>
      </c>
      <c r="K130" s="462" t="s">
        <v>17</v>
      </c>
      <c r="L130" s="233">
        <v>45401</v>
      </c>
      <c r="T130" s="14" t="s">
        <v>3458</v>
      </c>
      <c r="U130" s="360">
        <v>0.46249999999999997</v>
      </c>
      <c r="V130" s="360">
        <v>0.72361111111111109</v>
      </c>
    </row>
    <row r="131" spans="1:22" hidden="1" x14ac:dyDescent="0.25">
      <c r="A131" s="256">
        <v>11012024</v>
      </c>
      <c r="B131" s="30" t="s">
        <v>3276</v>
      </c>
      <c r="C131" s="30" t="s">
        <v>1604</v>
      </c>
      <c r="D131" s="233">
        <v>45302</v>
      </c>
      <c r="F131" s="28" t="s">
        <v>872</v>
      </c>
      <c r="G131" t="s">
        <v>3653</v>
      </c>
      <c r="H131" s="30" t="s">
        <v>4059</v>
      </c>
      <c r="I131" s="251">
        <v>39600</v>
      </c>
      <c r="J131" s="160">
        <f t="shared" si="6"/>
        <v>34848</v>
      </c>
      <c r="K131" s="462" t="s">
        <v>17</v>
      </c>
      <c r="L131" s="233">
        <v>45401</v>
      </c>
      <c r="T131" s="14" t="s">
        <v>3458</v>
      </c>
      <c r="U131" s="360">
        <v>0.35069444444444442</v>
      </c>
      <c r="V131" s="360"/>
    </row>
    <row r="132" spans="1:22" hidden="1" x14ac:dyDescent="0.25">
      <c r="A132" s="256" t="s">
        <v>3667</v>
      </c>
      <c r="B132" s="30" t="s">
        <v>3276</v>
      </c>
      <c r="D132" s="359">
        <v>45326</v>
      </c>
      <c r="F132" s="28" t="s">
        <v>872</v>
      </c>
      <c r="G132" s="30" t="s">
        <v>3666</v>
      </c>
      <c r="H132" s="30" t="s">
        <v>4063</v>
      </c>
      <c r="I132" s="251">
        <v>27035</v>
      </c>
      <c r="J132" s="160">
        <f t="shared" si="6"/>
        <v>23790.799999999999</v>
      </c>
      <c r="K132" s="462" t="s">
        <v>17</v>
      </c>
      <c r="L132" s="233">
        <v>45401</v>
      </c>
      <c r="T132" s="14"/>
      <c r="U132" s="360"/>
      <c r="V132" s="360"/>
    </row>
    <row r="133" spans="1:22" s="30" customFormat="1" hidden="1" x14ac:dyDescent="0.25">
      <c r="A133" s="256" t="s">
        <v>3667</v>
      </c>
      <c r="B133" s="30" t="s">
        <v>3276</v>
      </c>
      <c r="D133" s="359">
        <v>45326</v>
      </c>
      <c r="F133" s="28" t="s">
        <v>872</v>
      </c>
      <c r="G133" s="30" t="s">
        <v>3666</v>
      </c>
      <c r="H133" s="30" t="s">
        <v>4064</v>
      </c>
      <c r="I133" s="251">
        <v>12565</v>
      </c>
      <c r="J133" s="160">
        <f t="shared" si="6"/>
        <v>11057.2</v>
      </c>
      <c r="K133" s="462" t="s">
        <v>17</v>
      </c>
      <c r="L133" s="233">
        <v>45401</v>
      </c>
      <c r="M133"/>
      <c r="T133" s="360"/>
      <c r="U133" s="360"/>
      <c r="V133" s="360"/>
    </row>
    <row r="134" spans="1:22" s="30" customFormat="1" hidden="1" x14ac:dyDescent="0.25">
      <c r="A134" s="256" t="s">
        <v>3667</v>
      </c>
      <c r="B134" s="30" t="s">
        <v>3276</v>
      </c>
      <c r="D134" s="359">
        <v>45326</v>
      </c>
      <c r="F134" s="28" t="s">
        <v>872</v>
      </c>
      <c r="G134" s="30" t="s">
        <v>3670</v>
      </c>
      <c r="H134" s="30" t="s">
        <v>4065</v>
      </c>
      <c r="I134" s="251">
        <v>7585</v>
      </c>
      <c r="J134" s="160">
        <f t="shared" si="6"/>
        <v>6674.8</v>
      </c>
      <c r="K134" s="462" t="s">
        <v>17</v>
      </c>
      <c r="L134" s="233">
        <v>45407</v>
      </c>
      <c r="M134"/>
      <c r="T134" s="360"/>
      <c r="U134" s="360"/>
      <c r="V134" s="360"/>
    </row>
    <row r="135" spans="1:22" s="30" customFormat="1" hidden="1" x14ac:dyDescent="0.25">
      <c r="A135" s="256" t="s">
        <v>3667</v>
      </c>
      <c r="B135" s="30" t="s">
        <v>3276</v>
      </c>
      <c r="D135" s="359">
        <v>45326</v>
      </c>
      <c r="F135" s="28" t="s">
        <v>872</v>
      </c>
      <c r="G135" s="30" t="s">
        <v>3670</v>
      </c>
      <c r="H135" s="30" t="s">
        <v>4066</v>
      </c>
      <c r="I135" s="251">
        <v>7020</v>
      </c>
      <c r="J135" s="160">
        <f t="shared" si="6"/>
        <v>6177.6</v>
      </c>
      <c r="K135" s="462" t="s">
        <v>17</v>
      </c>
      <c r="L135" s="233">
        <v>45401</v>
      </c>
      <c r="M135"/>
      <c r="T135" s="360"/>
      <c r="U135" s="360"/>
      <c r="V135" s="360"/>
    </row>
    <row r="136" spans="1:22" s="30" customFormat="1" hidden="1" x14ac:dyDescent="0.25">
      <c r="A136" s="256" t="s">
        <v>3667</v>
      </c>
      <c r="B136" s="30" t="s">
        <v>3276</v>
      </c>
      <c r="D136" s="359">
        <v>45326</v>
      </c>
      <c r="F136" s="28" t="s">
        <v>872</v>
      </c>
      <c r="G136" s="30" t="s">
        <v>3670</v>
      </c>
      <c r="H136" s="30" t="s">
        <v>4067</v>
      </c>
      <c r="I136" s="251">
        <v>15000</v>
      </c>
      <c r="J136" s="160">
        <f t="shared" si="6"/>
        <v>13200</v>
      </c>
      <c r="K136" s="462" t="s">
        <v>17</v>
      </c>
      <c r="L136" s="233">
        <v>45401</v>
      </c>
      <c r="M136"/>
      <c r="T136" s="360"/>
      <c r="U136" s="360"/>
      <c r="V136" s="360"/>
    </row>
    <row r="137" spans="1:22" s="30" customFormat="1" hidden="1" x14ac:dyDescent="0.25">
      <c r="A137" s="256" t="s">
        <v>3667</v>
      </c>
      <c r="B137" s="30" t="s">
        <v>3276</v>
      </c>
      <c r="D137" s="359">
        <v>45326</v>
      </c>
      <c r="F137" s="28" t="s">
        <v>872</v>
      </c>
      <c r="G137" s="30" t="s">
        <v>3670</v>
      </c>
      <c r="H137" s="30" t="s">
        <v>4068</v>
      </c>
      <c r="I137" s="251">
        <v>412</v>
      </c>
      <c r="J137" s="160">
        <f t="shared" si="6"/>
        <v>362.56</v>
      </c>
      <c r="K137" s="462" t="s">
        <v>17</v>
      </c>
      <c r="L137" s="233">
        <v>45401</v>
      </c>
      <c r="M137"/>
      <c r="T137" s="360"/>
      <c r="U137" s="360"/>
      <c r="V137" s="360"/>
    </row>
    <row r="138" spans="1:22" hidden="1" x14ac:dyDescent="0.25">
      <c r="A138" s="256" t="s">
        <v>3667</v>
      </c>
      <c r="B138" s="30" t="s">
        <v>3276</v>
      </c>
      <c r="D138" s="359">
        <v>45326</v>
      </c>
      <c r="F138" s="28" t="s">
        <v>872</v>
      </c>
      <c r="G138" s="30" t="s">
        <v>3670</v>
      </c>
      <c r="H138" s="30" t="s">
        <v>4069</v>
      </c>
      <c r="I138" s="251">
        <v>9583</v>
      </c>
      <c r="J138" s="160">
        <f t="shared" si="6"/>
        <v>8433.0400000000009</v>
      </c>
      <c r="K138" s="462" t="s">
        <v>17</v>
      </c>
      <c r="L138" s="233">
        <v>45401</v>
      </c>
    </row>
    <row r="139" spans="1:22" x14ac:dyDescent="0.25">
      <c r="A139" s="256"/>
      <c r="B139" s="30"/>
      <c r="D139" s="359"/>
      <c r="G139" s="30"/>
      <c r="I139" s="251"/>
      <c r="J139" s="160"/>
      <c r="K139" s="462"/>
      <c r="L139" s="233"/>
    </row>
    <row r="140" spans="1:22" x14ac:dyDescent="0.25">
      <c r="A140" s="184"/>
      <c r="C140" s="28"/>
      <c r="D140" s="233"/>
      <c r="G140" s="30"/>
      <c r="I140" s="30"/>
      <c r="J140" s="237"/>
      <c r="L140" s="251"/>
      <c r="T140" s="14"/>
      <c r="U140" s="360"/>
      <c r="V140" s="360"/>
    </row>
    <row r="141" spans="1:22" ht="15.75" thickBot="1" x14ac:dyDescent="0.3"/>
    <row r="142" spans="1:22" ht="15.75" thickBot="1" x14ac:dyDescent="0.3">
      <c r="I142" s="448">
        <f>SUBTOTAL(9,I119:I141)</f>
        <v>0</v>
      </c>
    </row>
    <row r="143" spans="1:22" ht="15.75" thickBot="1" x14ac:dyDescent="0.3"/>
    <row r="144" spans="1:22" ht="21.95" customHeight="1" thickBot="1" x14ac:dyDescent="0.3">
      <c r="A144" s="1587" t="s">
        <v>4469</v>
      </c>
      <c r="B144" s="1488"/>
      <c r="C144" s="1488"/>
      <c r="D144" s="1488"/>
      <c r="E144" s="1488"/>
      <c r="F144" s="1488"/>
      <c r="G144" s="1489"/>
    </row>
    <row r="145" spans="1:22" hidden="1" x14ac:dyDescent="0.25">
      <c r="A145" s="184">
        <v>28062024</v>
      </c>
      <c r="B145" t="s">
        <v>3276</v>
      </c>
      <c r="C145" s="28" t="s">
        <v>410</v>
      </c>
      <c r="D145" s="233">
        <v>45471</v>
      </c>
      <c r="F145" s="28" t="s">
        <v>872</v>
      </c>
      <c r="G145" s="30" t="s">
        <v>4470</v>
      </c>
      <c r="H145" s="199" t="s">
        <v>5412</v>
      </c>
      <c r="I145" s="237">
        <v>40592</v>
      </c>
      <c r="J145" s="3">
        <f t="shared" ref="J145:J159" si="7">+I145-ROUND(I145*0.12,0)</f>
        <v>35721</v>
      </c>
      <c r="K145" s="30" t="s">
        <v>17</v>
      </c>
      <c r="L145" s="233">
        <v>45611</v>
      </c>
      <c r="T145" s="14" t="s">
        <v>4139</v>
      </c>
      <c r="U145" s="360">
        <v>0.4777777777777778</v>
      </c>
      <c r="V145" s="360"/>
    </row>
    <row r="146" spans="1:22" hidden="1" x14ac:dyDescent="0.25">
      <c r="A146" s="184">
        <v>30062024</v>
      </c>
      <c r="B146" t="s">
        <v>3276</v>
      </c>
      <c r="C146" s="28" t="s">
        <v>410</v>
      </c>
      <c r="D146" s="233">
        <v>45473</v>
      </c>
      <c r="F146" s="28" t="s">
        <v>294</v>
      </c>
      <c r="G146" s="30" t="s">
        <v>4447</v>
      </c>
      <c r="H146" s="779" t="s">
        <v>5405</v>
      </c>
      <c r="I146" s="777">
        <v>40592</v>
      </c>
      <c r="J146" s="776">
        <f t="shared" si="7"/>
        <v>35721</v>
      </c>
      <c r="K146" s="774" t="s">
        <v>17</v>
      </c>
      <c r="L146" s="233">
        <v>45611</v>
      </c>
      <c r="T146" s="14" t="s">
        <v>4417</v>
      </c>
      <c r="U146" s="360">
        <v>0.7090277777777777</v>
      </c>
      <c r="V146" s="360">
        <v>0.84930555555555554</v>
      </c>
    </row>
    <row r="147" spans="1:22" hidden="1" x14ac:dyDescent="0.25">
      <c r="A147" s="256" t="s">
        <v>4463</v>
      </c>
      <c r="B147" t="s">
        <v>762</v>
      </c>
      <c r="C147" s="28" t="s">
        <v>13</v>
      </c>
      <c r="D147" s="233">
        <v>45478</v>
      </c>
      <c r="F147" s="28" t="s">
        <v>294</v>
      </c>
      <c r="G147" s="30" t="s">
        <v>4484</v>
      </c>
      <c r="H147" s="778" t="s">
        <v>4985</v>
      </c>
      <c r="I147" s="729">
        <v>40592</v>
      </c>
      <c r="J147" s="702">
        <f t="shared" si="7"/>
        <v>35721</v>
      </c>
      <c r="K147" s="778" t="s">
        <v>17</v>
      </c>
      <c r="L147" s="233">
        <v>45594</v>
      </c>
      <c r="T147" s="14" t="s">
        <v>4295</v>
      </c>
      <c r="U147" s="360">
        <v>0.34652777777777777</v>
      </c>
      <c r="V147" s="360">
        <v>0.51597222222222217</v>
      </c>
    </row>
    <row r="148" spans="1:22" ht="14.1" hidden="1" customHeight="1" x14ac:dyDescent="0.25">
      <c r="A148" s="256" t="s">
        <v>4577</v>
      </c>
      <c r="B148" t="s">
        <v>3276</v>
      </c>
      <c r="C148" s="28" t="s">
        <v>13</v>
      </c>
      <c r="D148" s="233">
        <v>45506</v>
      </c>
      <c r="F148" s="28" t="s">
        <v>294</v>
      </c>
      <c r="G148" s="30" t="s">
        <v>4645</v>
      </c>
      <c r="H148" s="779" t="s">
        <v>5067</v>
      </c>
      <c r="I148" s="775">
        <v>40592</v>
      </c>
      <c r="J148" s="776">
        <f t="shared" si="7"/>
        <v>35721</v>
      </c>
      <c r="K148" s="774" t="s">
        <v>17</v>
      </c>
      <c r="L148" s="233">
        <v>45611</v>
      </c>
      <c r="T148" t="s">
        <v>4097</v>
      </c>
      <c r="U148" s="360">
        <v>0.30763888888888891</v>
      </c>
      <c r="V148" s="30"/>
    </row>
    <row r="149" spans="1:22" hidden="1" x14ac:dyDescent="0.25">
      <c r="A149" s="256" t="s">
        <v>4597</v>
      </c>
      <c r="B149" t="s">
        <v>3276</v>
      </c>
      <c r="C149" s="28" t="s">
        <v>13</v>
      </c>
      <c r="D149" s="233">
        <v>45511</v>
      </c>
      <c r="F149" s="28" t="s">
        <v>872</v>
      </c>
      <c r="G149" s="30" t="s">
        <v>4646</v>
      </c>
      <c r="H149" s="779" t="s">
        <v>5068</v>
      </c>
      <c r="I149" s="775">
        <v>40592</v>
      </c>
      <c r="J149" s="776">
        <f t="shared" si="7"/>
        <v>35721</v>
      </c>
      <c r="K149" s="774" t="s">
        <v>17</v>
      </c>
      <c r="L149" s="233">
        <v>45611</v>
      </c>
      <c r="T149" t="s">
        <v>4277</v>
      </c>
      <c r="U149" s="360">
        <v>0.33055555555555555</v>
      </c>
      <c r="V149" s="360">
        <v>0.56597222222222221</v>
      </c>
    </row>
    <row r="150" spans="1:22" hidden="1" x14ac:dyDescent="0.25">
      <c r="A150" s="256" t="s">
        <v>4615</v>
      </c>
      <c r="B150" t="s">
        <v>3276</v>
      </c>
      <c r="C150" s="28" t="s">
        <v>4218</v>
      </c>
      <c r="D150" s="233">
        <v>45512</v>
      </c>
      <c r="F150" s="28" t="s">
        <v>872</v>
      </c>
      <c r="G150" s="30" t="s">
        <v>4846</v>
      </c>
      <c r="H150" s="779" t="s">
        <v>5069</v>
      </c>
      <c r="I150" s="775">
        <v>40592</v>
      </c>
      <c r="J150" s="776">
        <f t="shared" si="7"/>
        <v>35721</v>
      </c>
      <c r="K150" s="774" t="s">
        <v>17</v>
      </c>
      <c r="L150" s="233">
        <v>45611</v>
      </c>
      <c r="T150" t="s">
        <v>4277</v>
      </c>
      <c r="U150" s="360">
        <v>0.6166666666666667</v>
      </c>
      <c r="V150" s="360"/>
    </row>
    <row r="151" spans="1:22" hidden="1" x14ac:dyDescent="0.25">
      <c r="A151" s="256" t="s">
        <v>4616</v>
      </c>
      <c r="B151" t="s">
        <v>3276</v>
      </c>
      <c r="C151" s="28" t="s">
        <v>13</v>
      </c>
      <c r="D151" s="233">
        <v>45513</v>
      </c>
      <c r="F151" s="28" t="s">
        <v>872</v>
      </c>
      <c r="G151" s="30" t="s">
        <v>4663</v>
      </c>
      <c r="H151" s="779" t="s">
        <v>5070</v>
      </c>
      <c r="I151" s="775">
        <v>40592</v>
      </c>
      <c r="J151" s="776">
        <f t="shared" si="7"/>
        <v>35721</v>
      </c>
      <c r="K151" s="774" t="s">
        <v>17</v>
      </c>
      <c r="L151" s="233">
        <v>45611</v>
      </c>
      <c r="T151" t="s">
        <v>2050</v>
      </c>
      <c r="U151" s="360">
        <v>0.37916666666666665</v>
      </c>
      <c r="V151" s="360">
        <v>0.62638888888888888</v>
      </c>
    </row>
    <row r="152" spans="1:22" hidden="1" x14ac:dyDescent="0.25">
      <c r="A152" s="256">
        <v>19082024</v>
      </c>
      <c r="B152" t="s">
        <v>3276</v>
      </c>
      <c r="C152" s="28" t="s">
        <v>13</v>
      </c>
      <c r="D152" s="233">
        <v>45523</v>
      </c>
      <c r="F152" s="28" t="s">
        <v>294</v>
      </c>
      <c r="G152" s="30" t="s">
        <v>4695</v>
      </c>
      <c r="H152" s="779" t="s">
        <v>5071</v>
      </c>
      <c r="I152" s="775">
        <v>40592</v>
      </c>
      <c r="J152" s="776">
        <f t="shared" si="7"/>
        <v>35721</v>
      </c>
      <c r="K152" s="774" t="s">
        <v>17</v>
      </c>
      <c r="L152" s="233">
        <v>45611</v>
      </c>
      <c r="T152" t="s">
        <v>4022</v>
      </c>
      <c r="U152" s="360">
        <v>0.30277777777777776</v>
      </c>
      <c r="V152" s="360">
        <v>0.46111111111111108</v>
      </c>
    </row>
    <row r="153" spans="1:22" hidden="1" x14ac:dyDescent="0.25">
      <c r="A153" s="256">
        <v>28082024</v>
      </c>
      <c r="B153" t="s">
        <v>3276</v>
      </c>
      <c r="C153" s="28" t="s">
        <v>4218</v>
      </c>
      <c r="D153" s="233">
        <v>45532</v>
      </c>
      <c r="F153" s="28" t="s">
        <v>872</v>
      </c>
      <c r="G153" s="30" t="s">
        <v>4787</v>
      </c>
      <c r="H153" s="779" t="s">
        <v>5072</v>
      </c>
      <c r="I153" s="775">
        <v>40592</v>
      </c>
      <c r="J153" s="776">
        <f t="shared" si="7"/>
        <v>35721</v>
      </c>
      <c r="K153" s="774" t="s">
        <v>17</v>
      </c>
      <c r="L153" s="233">
        <v>45611</v>
      </c>
      <c r="T153" t="s">
        <v>4692</v>
      </c>
      <c r="U153" s="360">
        <v>0.49027777777777781</v>
      </c>
      <c r="V153" s="360"/>
    </row>
    <row r="154" spans="1:22" hidden="1" x14ac:dyDescent="0.25">
      <c r="A154" s="256">
        <v>5092024</v>
      </c>
      <c r="B154" t="s">
        <v>3276</v>
      </c>
      <c r="C154" s="28" t="s">
        <v>410</v>
      </c>
      <c r="D154" s="233">
        <v>45540</v>
      </c>
      <c r="F154" s="28" t="s">
        <v>872</v>
      </c>
      <c r="G154" s="30" t="s">
        <v>4786</v>
      </c>
      <c r="H154" s="779" t="s">
        <v>5073</v>
      </c>
      <c r="I154" s="775">
        <v>40592</v>
      </c>
      <c r="J154" s="776">
        <f t="shared" si="7"/>
        <v>35721</v>
      </c>
      <c r="K154" s="30" t="s">
        <v>17</v>
      </c>
      <c r="L154" s="233">
        <v>45611</v>
      </c>
      <c r="T154" t="s">
        <v>4417</v>
      </c>
      <c r="U154" s="360">
        <v>0.47013888888888888</v>
      </c>
      <c r="V154" s="360">
        <v>0.76180555555555562</v>
      </c>
    </row>
    <row r="155" spans="1:22" hidden="1" x14ac:dyDescent="0.25">
      <c r="A155" s="256"/>
      <c r="C155" s="28"/>
      <c r="D155" s="233"/>
      <c r="G155" s="30" t="s">
        <v>4845</v>
      </c>
      <c r="H155" s="774" t="s">
        <v>6291</v>
      </c>
      <c r="I155" s="775">
        <v>32181</v>
      </c>
      <c r="J155" s="776">
        <f t="shared" si="7"/>
        <v>28319</v>
      </c>
      <c r="K155" s="30" t="s">
        <v>17</v>
      </c>
      <c r="L155" s="233">
        <v>45615</v>
      </c>
      <c r="U155" s="360"/>
      <c r="V155" s="360"/>
    </row>
    <row r="156" spans="1:22" hidden="1" x14ac:dyDescent="0.25">
      <c r="A156" s="256">
        <v>18092024</v>
      </c>
      <c r="B156" t="s">
        <v>3276</v>
      </c>
      <c r="C156" s="28" t="s">
        <v>410</v>
      </c>
      <c r="D156" s="233">
        <v>45553</v>
      </c>
      <c r="F156" s="28" t="s">
        <v>872</v>
      </c>
      <c r="G156" s="30" t="s">
        <v>4845</v>
      </c>
      <c r="H156" s="774" t="s">
        <v>6291</v>
      </c>
      <c r="I156" s="775">
        <v>8411</v>
      </c>
      <c r="J156" s="776">
        <f>+I156-ROUND(I156*0.12,0)</f>
        <v>7402</v>
      </c>
      <c r="K156" s="30" t="s">
        <v>17</v>
      </c>
      <c r="L156" s="233">
        <v>45615</v>
      </c>
      <c r="T156" t="s">
        <v>4509</v>
      </c>
      <c r="U156" s="360">
        <v>0.34930555555555554</v>
      </c>
      <c r="V156" s="30"/>
    </row>
    <row r="157" spans="1:22" hidden="1" x14ac:dyDescent="0.25">
      <c r="A157" s="256"/>
      <c r="C157" s="28"/>
      <c r="D157" s="233"/>
      <c r="G157" s="30" t="s">
        <v>4873</v>
      </c>
      <c r="H157" s="774" t="s">
        <v>6290</v>
      </c>
      <c r="I157" s="775">
        <v>36584</v>
      </c>
      <c r="J157" s="776">
        <f t="shared" si="7"/>
        <v>32194</v>
      </c>
      <c r="K157" s="30" t="s">
        <v>17</v>
      </c>
      <c r="L157" s="233">
        <v>45616</v>
      </c>
      <c r="U157" s="360"/>
      <c r="V157" s="30"/>
    </row>
    <row r="158" spans="1:22" ht="15.75" hidden="1" customHeight="1" x14ac:dyDescent="0.25">
      <c r="A158" s="256">
        <v>26092024</v>
      </c>
      <c r="B158" t="s">
        <v>3276</v>
      </c>
      <c r="C158" s="28" t="s">
        <v>13</v>
      </c>
      <c r="D158" s="233">
        <v>45561</v>
      </c>
      <c r="F158" s="28" t="s">
        <v>872</v>
      </c>
      <c r="G158" s="30" t="s">
        <v>4873</v>
      </c>
      <c r="H158" s="774" t="s">
        <v>6290</v>
      </c>
      <c r="I158" s="775">
        <v>4008</v>
      </c>
      <c r="J158" s="776">
        <f t="shared" si="7"/>
        <v>3527</v>
      </c>
      <c r="K158" s="30" t="s">
        <v>17</v>
      </c>
      <c r="L158" s="233">
        <v>45616</v>
      </c>
      <c r="T158" s="14" t="s">
        <v>4848</v>
      </c>
      <c r="U158" s="360">
        <v>0.33611111111111114</v>
      </c>
      <c r="V158" s="360">
        <v>0.5541666666666667</v>
      </c>
    </row>
    <row r="159" spans="1:22" hidden="1" x14ac:dyDescent="0.25">
      <c r="A159" s="256">
        <v>27092024</v>
      </c>
      <c r="B159" t="s">
        <v>3276</v>
      </c>
      <c r="C159" s="28" t="s">
        <v>410</v>
      </c>
      <c r="D159" s="233">
        <v>45562</v>
      </c>
      <c r="F159" s="28" t="s">
        <v>872</v>
      </c>
      <c r="G159" s="30" t="s">
        <v>4874</v>
      </c>
      <c r="H159" s="778" t="s">
        <v>4984</v>
      </c>
      <c r="I159" s="729">
        <v>40592</v>
      </c>
      <c r="J159" s="702">
        <f t="shared" si="7"/>
        <v>35721</v>
      </c>
      <c r="K159" s="778" t="s">
        <v>17</v>
      </c>
      <c r="L159" s="233">
        <v>45595</v>
      </c>
      <c r="T159" t="s">
        <v>2050</v>
      </c>
      <c r="U159" s="360">
        <v>0.67638888888888893</v>
      </c>
      <c r="V159" s="360">
        <v>0.81458333333333333</v>
      </c>
    </row>
    <row r="161" spans="1:22" x14ac:dyDescent="0.25">
      <c r="A161" s="184"/>
      <c r="C161" s="28"/>
      <c r="D161" s="233"/>
      <c r="G161" s="30"/>
      <c r="I161" s="368"/>
      <c r="J161" s="237"/>
      <c r="L161" s="251"/>
      <c r="T161" s="14" t="s">
        <v>4138</v>
      </c>
      <c r="U161" s="360">
        <v>0.40763888888888888</v>
      </c>
      <c r="V161" s="360">
        <v>0.59375</v>
      </c>
    </row>
    <row r="162" spans="1:22" x14ac:dyDescent="0.25">
      <c r="A162" s="184"/>
      <c r="C162" s="28"/>
      <c r="D162" s="233"/>
      <c r="G162" s="30"/>
      <c r="I162" s="375">
        <f>SUBTOTAL(9,I145:I161)</f>
        <v>0</v>
      </c>
      <c r="J162" s="237"/>
      <c r="L162" s="251"/>
      <c r="T162" s="14"/>
      <c r="U162" s="360"/>
      <c r="V162" s="360"/>
    </row>
    <row r="163" spans="1:22" x14ac:dyDescent="0.25">
      <c r="A163" s="184"/>
      <c r="C163" s="28"/>
      <c r="D163" s="233"/>
      <c r="G163" s="30"/>
      <c r="I163" s="30"/>
      <c r="J163" s="237"/>
      <c r="L163" s="251"/>
      <c r="T163" s="14"/>
      <c r="U163" s="360"/>
      <c r="V163" s="360"/>
    </row>
    <row r="164" spans="1:22" ht="15.75" thickBot="1" x14ac:dyDescent="0.3"/>
    <row r="165" spans="1:22" ht="15.75" thickBot="1" x14ac:dyDescent="0.3">
      <c r="I165" s="242">
        <f>+I99+I110+I142+I162</f>
        <v>0</v>
      </c>
    </row>
    <row r="167" spans="1:22" x14ac:dyDescent="0.25">
      <c r="M167" t="s">
        <v>753</v>
      </c>
      <c r="N167">
        <v>13</v>
      </c>
      <c r="O167" s="74">
        <v>527696</v>
      </c>
    </row>
    <row r="168" spans="1:22" ht="15.75" thickBot="1" x14ac:dyDescent="0.3">
      <c r="L168"/>
      <c r="O168" s="6"/>
    </row>
    <row r="169" spans="1:22" ht="15.75" thickBot="1" x14ac:dyDescent="0.3">
      <c r="L169" s="1520" t="s">
        <v>701</v>
      </c>
      <c r="M169" s="1521"/>
      <c r="N169" s="1521"/>
      <c r="O169" s="1522"/>
    </row>
    <row r="170" spans="1:22" ht="15.75" thickBot="1" x14ac:dyDescent="0.3">
      <c r="J170" s="25"/>
      <c r="K170" s="115"/>
      <c r="L170" s="1531" t="s">
        <v>702</v>
      </c>
      <c r="M170" s="1532"/>
      <c r="N170" s="1532"/>
      <c r="O170" s="1533"/>
    </row>
    <row r="171" spans="1:22" ht="15.75" thickBot="1" x14ac:dyDescent="0.3">
      <c r="L171" s="1534" t="s">
        <v>436</v>
      </c>
      <c r="M171" s="1534"/>
      <c r="N171" s="142">
        <v>13</v>
      </c>
      <c r="O171" s="111">
        <f>13*40592</f>
        <v>527696</v>
      </c>
    </row>
    <row r="172" spans="1:22" x14ac:dyDescent="0.25">
      <c r="K172" s="639"/>
      <c r="L172" s="112" t="s">
        <v>696</v>
      </c>
      <c r="M172" s="113" t="s">
        <v>697</v>
      </c>
      <c r="N172" s="144" t="s">
        <v>750</v>
      </c>
      <c r="O172" s="114" t="s">
        <v>437</v>
      </c>
    </row>
    <row r="173" spans="1:22" x14ac:dyDescent="0.25">
      <c r="L173" s="104">
        <f>0/O171</f>
        <v>0</v>
      </c>
      <c r="M173" s="102" t="s">
        <v>366</v>
      </c>
      <c r="N173" s="1589">
        <f>+N167</f>
        <v>13</v>
      </c>
      <c r="O173" s="110" t="s">
        <v>4855</v>
      </c>
    </row>
    <row r="174" spans="1:22" x14ac:dyDescent="0.25">
      <c r="J174" s="3"/>
      <c r="L174" s="104">
        <f>(O167)/O171</f>
        <v>1</v>
      </c>
      <c r="M174" s="102" t="s">
        <v>365</v>
      </c>
      <c r="N174" s="1534"/>
      <c r="O174" s="110" t="str">
        <f>+O173</f>
        <v>al 30/09/24</v>
      </c>
    </row>
    <row r="175" spans="1:22" ht="15.75" thickBot="1" x14ac:dyDescent="0.3">
      <c r="L175" s="104">
        <f>0/O171</f>
        <v>0</v>
      </c>
      <c r="M175" s="102" t="s">
        <v>698</v>
      </c>
      <c r="N175" s="1534"/>
      <c r="O175" s="132" t="str">
        <f>+O173</f>
        <v>al 30/09/24</v>
      </c>
    </row>
    <row r="176" spans="1:22" ht="15.75" thickBot="1" x14ac:dyDescent="0.3">
      <c r="L176" s="1524" t="s">
        <v>756</v>
      </c>
      <c r="M176" s="1525"/>
      <c r="N176" s="640">
        <f>+N171-N173</f>
        <v>0</v>
      </c>
      <c r="O176" s="669">
        <f>+O171-O167</f>
        <v>0</v>
      </c>
    </row>
    <row r="177" spans="10:15" ht="15.75" thickBot="1" x14ac:dyDescent="0.3">
      <c r="L177" s="1526" t="s">
        <v>699</v>
      </c>
      <c r="M177" s="1527"/>
      <c r="N177" s="1527"/>
      <c r="O177" s="1528"/>
    </row>
    <row r="178" spans="10:15" x14ac:dyDescent="0.25">
      <c r="L178" s="108">
        <f>+L173/L174</f>
        <v>0</v>
      </c>
      <c r="M178" s="103" t="s">
        <v>700</v>
      </c>
      <c r="N178" s="103"/>
      <c r="O178" s="109" t="str">
        <f>+O173</f>
        <v>al 30/09/24</v>
      </c>
    </row>
    <row r="179" spans="10:15" x14ac:dyDescent="0.25">
      <c r="L179" s="104">
        <f>+L175/L174</f>
        <v>0</v>
      </c>
      <c r="M179" s="102" t="s">
        <v>703</v>
      </c>
      <c r="N179" s="102"/>
      <c r="O179" s="110" t="str">
        <f>+O173</f>
        <v>al 30/09/24</v>
      </c>
    </row>
    <row r="180" spans="10:15" x14ac:dyDescent="0.25">
      <c r="L180"/>
      <c r="O180" s="6"/>
    </row>
    <row r="183" spans="10:15" x14ac:dyDescent="0.25">
      <c r="J183" s="32"/>
    </row>
    <row r="188" spans="10:15" x14ac:dyDescent="0.25">
      <c r="L188" s="32"/>
    </row>
  </sheetData>
  <autoFilter ref="A2:V187" xr:uid="{00000000-0009-0000-0000-00002C000000}">
    <filterColumn colId="10">
      <filters blank="1"/>
    </filterColumn>
    <filterColumn colId="13" showButton="0"/>
    <filterColumn colId="14" showButton="0"/>
    <filterColumn colId="15" showButton="0"/>
  </autoFilter>
  <mergeCells count="18">
    <mergeCell ref="L177:O177"/>
    <mergeCell ref="N173:N175"/>
    <mergeCell ref="A118:G118"/>
    <mergeCell ref="L169:O169"/>
    <mergeCell ref="L170:O170"/>
    <mergeCell ref="L171:M171"/>
    <mergeCell ref="L176:M176"/>
    <mergeCell ref="A144:G144"/>
    <mergeCell ref="N2:Q2"/>
    <mergeCell ref="D12:D13"/>
    <mergeCell ref="F12:F13"/>
    <mergeCell ref="B113:B114"/>
    <mergeCell ref="F113:F114"/>
    <mergeCell ref="A21:A22"/>
    <mergeCell ref="B21:B22"/>
    <mergeCell ref="D21:D22"/>
    <mergeCell ref="A101:G101"/>
    <mergeCell ref="A111:G111"/>
  </mergeCells>
  <phoneticPr fontId="1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28" r:id="rId4" name="Button 1">
              <controlPr defaultSize="0" print="0" autoFill="0" autoPict="0" macro="[0]!RETORNAR">
                <anchor moveWithCells="1" sizeWithCells="1">
                  <from>
                    <xdr:col>0</xdr:col>
                    <xdr:colOff>38100</xdr:colOff>
                    <xdr:row>0</xdr:row>
                    <xdr:rowOff>47625</xdr:rowOff>
                  </from>
                  <to>
                    <xdr:col>1</xdr:col>
                    <xdr:colOff>857250</xdr:colOff>
                    <xdr:row>0</xdr:row>
                    <xdr:rowOff>314325</xdr:rowOff>
                  </to>
                </anchor>
              </controlPr>
            </control>
          </mc:Choice>
        </mc:AlternateContent>
        <mc:AlternateContent xmlns:mc="http://schemas.openxmlformats.org/markup-compatibility/2006">
          <mc:Choice Requires="x14">
            <control shapeId="13425" r:id="rId5" name="Botón 113">
              <controlPr defaultSize="0" print="0" autoFill="0" autoPict="0" macro="[0]!IR_VENTAS_B200_2026">
                <anchor moveWithCells="1" sizeWithCells="1">
                  <from>
                    <xdr:col>1</xdr:col>
                    <xdr:colOff>885825</xdr:colOff>
                    <xdr:row>167</xdr:row>
                    <xdr:rowOff>180975</xdr:rowOff>
                  </from>
                  <to>
                    <xdr:col>1</xdr:col>
                    <xdr:colOff>2181225</xdr:colOff>
                    <xdr:row>171</xdr:row>
                    <xdr:rowOff>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Hoja37" filterMode="1"/>
  <dimension ref="A1:V8"/>
  <sheetViews>
    <sheetView workbookViewId="0">
      <selection activeCell="A15" sqref="A15"/>
    </sheetView>
  </sheetViews>
  <sheetFormatPr baseColWidth="10" defaultColWidth="10.85546875" defaultRowHeight="15" x14ac:dyDescent="0.25"/>
  <cols>
    <col min="1" max="1" width="15.28515625" customWidth="1"/>
    <col min="2" max="2" width="33.7109375" customWidth="1"/>
    <col min="7" max="7" width="11.42578125" customWidth="1"/>
    <col min="9" max="9" width="11.85546875" style="32" bestFit="1" customWidth="1"/>
  </cols>
  <sheetData>
    <row r="1" spans="1:22" ht="30" customHeight="1" x14ac:dyDescent="0.25"/>
    <row r="2" spans="1:22" x14ac:dyDescent="0.25">
      <c r="A2" t="s">
        <v>706</v>
      </c>
      <c r="B2" s="1" t="s">
        <v>0</v>
      </c>
      <c r="C2" s="1" t="s">
        <v>1</v>
      </c>
      <c r="D2" s="1" t="s">
        <v>2</v>
      </c>
      <c r="E2" s="1"/>
      <c r="F2" s="1" t="s">
        <v>3</v>
      </c>
      <c r="G2" s="1" t="s">
        <v>4</v>
      </c>
      <c r="H2" s="1" t="s">
        <v>5</v>
      </c>
      <c r="I2" s="1" t="s">
        <v>7</v>
      </c>
      <c r="J2" s="1" t="s">
        <v>1780</v>
      </c>
      <c r="K2" s="1" t="s">
        <v>8</v>
      </c>
      <c r="L2" s="1" t="s">
        <v>3997</v>
      </c>
      <c r="M2" s="1" t="s">
        <v>10</v>
      </c>
      <c r="N2" s="1480" t="s">
        <v>11</v>
      </c>
      <c r="O2" s="1480"/>
      <c r="P2" s="1480"/>
      <c r="Q2" s="1480"/>
    </row>
    <row r="3" spans="1:22" hidden="1" x14ac:dyDescent="0.25">
      <c r="A3" s="115">
        <v>28062022</v>
      </c>
      <c r="B3" s="169" t="s">
        <v>990</v>
      </c>
      <c r="C3" s="21" t="s">
        <v>410</v>
      </c>
      <c r="D3" s="122">
        <v>44740</v>
      </c>
      <c r="E3" s="32"/>
      <c r="F3" s="163" t="s">
        <v>991</v>
      </c>
      <c r="G3" s="163" t="s">
        <v>992</v>
      </c>
      <c r="H3" t="s">
        <v>1073</v>
      </c>
      <c r="I3" s="159">
        <v>6490</v>
      </c>
      <c r="J3">
        <f>+I3*0.88</f>
        <v>5711.2</v>
      </c>
      <c r="K3" s="32" t="s">
        <v>17</v>
      </c>
      <c r="L3" s="122">
        <v>44875</v>
      </c>
      <c r="O3" s="163" t="s">
        <v>651</v>
      </c>
      <c r="P3" s="14">
        <v>0.39999999999999997</v>
      </c>
      <c r="Q3" s="14">
        <v>0.64930555555555558</v>
      </c>
    </row>
    <row r="4" spans="1:22" hidden="1" x14ac:dyDescent="0.25">
      <c r="A4" s="256">
        <v>19042023</v>
      </c>
      <c r="B4" t="s">
        <v>990</v>
      </c>
      <c r="C4" t="s">
        <v>410</v>
      </c>
      <c r="D4" s="122">
        <v>45035</v>
      </c>
      <c r="F4" t="s">
        <v>991</v>
      </c>
      <c r="G4" t="s">
        <v>1141</v>
      </c>
      <c r="H4" t="s">
        <v>2245</v>
      </c>
      <c r="I4" s="88">
        <v>5900</v>
      </c>
      <c r="J4">
        <f>+I4*0.88</f>
        <v>5192</v>
      </c>
      <c r="K4" s="88" t="s">
        <v>17</v>
      </c>
      <c r="L4" s="122">
        <v>45120</v>
      </c>
      <c r="T4" t="s">
        <v>1029</v>
      </c>
      <c r="U4" s="14">
        <v>0.45069444444444445</v>
      </c>
      <c r="V4" s="14"/>
    </row>
    <row r="5" spans="1:22" x14ac:dyDescent="0.25">
      <c r="A5" s="115"/>
      <c r="D5" s="2"/>
      <c r="E5" s="88"/>
      <c r="I5" s="88"/>
      <c r="K5" s="88"/>
      <c r="P5" s="14"/>
      <c r="Q5" s="14"/>
    </row>
    <row r="6" spans="1:22" x14ac:dyDescent="0.25">
      <c r="A6" s="115"/>
      <c r="D6" s="2"/>
      <c r="E6" s="88"/>
      <c r="I6" s="88"/>
      <c r="K6" s="88"/>
      <c r="L6" s="2"/>
      <c r="P6" s="14"/>
      <c r="Q6" s="14"/>
    </row>
    <row r="7" spans="1:22" x14ac:dyDescent="0.25">
      <c r="A7" s="116"/>
      <c r="D7" s="122"/>
      <c r="E7" s="32"/>
      <c r="H7" s="19"/>
      <c r="K7" s="32"/>
      <c r="P7" s="14"/>
      <c r="Q7" s="14"/>
    </row>
    <row r="8" spans="1:22" x14ac:dyDescent="0.25">
      <c r="H8" t="s">
        <v>423</v>
      </c>
      <c r="I8" s="89">
        <f>SUBTOTAL(9,I3:I7)</f>
        <v>0</v>
      </c>
      <c r="J8" s="3"/>
    </row>
  </sheetData>
  <autoFilter ref="A2:Q7" xr:uid="{00000000-0009-0000-0000-00002D000000}">
    <filterColumn colId="10">
      <filters blank="1"/>
    </filterColumn>
    <filterColumn colId="13" showButton="0"/>
    <filterColumn colId="14" showButton="0"/>
    <filterColumn colId="15" showButton="0"/>
  </autoFilter>
  <mergeCells count="1">
    <mergeCell ref="N2: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5111" r:id="rId3" name="Button 1">
              <controlPr defaultSize="0" print="0" autoFill="0" autoPict="0" macro="[0]!RETORNAR">
                <anchor moveWithCells="1" sizeWithCells="1">
                  <from>
                    <xdr:col>0</xdr:col>
                    <xdr:colOff>38100</xdr:colOff>
                    <xdr:row>0</xdr:row>
                    <xdr:rowOff>47625</xdr:rowOff>
                  </from>
                  <to>
                    <xdr:col>1</xdr:col>
                    <xdr:colOff>781050</xdr:colOff>
                    <xdr:row>0</xdr:row>
                    <xdr:rowOff>314325</xdr:rowOff>
                  </to>
                </anchor>
              </controlPr>
            </control>
          </mc:Choice>
        </mc:AlternateContent>
        <mc:AlternateContent xmlns:mc="http://schemas.openxmlformats.org/markup-compatibility/2006">
          <mc:Choice Requires="x14">
            <control shapeId="175115" r:id="rId4" name="Botón 11">
              <controlPr defaultSize="0" print="0" autoFill="0" autoPict="0" macro="[0]!IR_VENTAS_B200_2026">
                <anchor moveWithCells="1" sizeWithCells="1">
                  <from>
                    <xdr:col>0</xdr:col>
                    <xdr:colOff>885825</xdr:colOff>
                    <xdr:row>14</xdr:row>
                    <xdr:rowOff>123825</xdr:rowOff>
                  </from>
                  <to>
                    <xdr:col>1</xdr:col>
                    <xdr:colOff>1114425</xdr:colOff>
                    <xdr:row>17</xdr:row>
                    <xdr:rowOff>152400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Hoja35" filterMode="1"/>
  <dimension ref="A1:U10"/>
  <sheetViews>
    <sheetView workbookViewId="0">
      <selection activeCell="H6" sqref="H6"/>
    </sheetView>
  </sheetViews>
  <sheetFormatPr baseColWidth="10" defaultColWidth="10.85546875" defaultRowHeight="15" x14ac:dyDescent="0.25"/>
  <cols>
    <col min="7" max="7" width="44.85546875" customWidth="1"/>
    <col min="8" max="8" width="22.7109375" customWidth="1"/>
    <col min="9" max="9" width="12" bestFit="1" customWidth="1"/>
  </cols>
  <sheetData>
    <row r="1" spans="1:21" ht="33" customHeight="1" x14ac:dyDescent="0.25"/>
    <row r="2" spans="1:21" x14ac:dyDescent="0.25">
      <c r="A2" t="s">
        <v>706</v>
      </c>
      <c r="B2" s="1" t="s">
        <v>0</v>
      </c>
      <c r="C2" s="1" t="s">
        <v>1</v>
      </c>
      <c r="D2" s="1" t="s">
        <v>2</v>
      </c>
      <c r="E2" s="1"/>
      <c r="F2" s="1" t="s">
        <v>3</v>
      </c>
      <c r="G2" s="1" t="s">
        <v>4</v>
      </c>
      <c r="H2" s="1" t="s">
        <v>5</v>
      </c>
      <c r="I2" s="1" t="s">
        <v>6</v>
      </c>
      <c r="J2" s="1" t="s">
        <v>1780</v>
      </c>
      <c r="K2" s="1" t="s">
        <v>8</v>
      </c>
      <c r="L2" s="1" t="s">
        <v>3997</v>
      </c>
      <c r="M2" s="1" t="s">
        <v>10</v>
      </c>
      <c r="N2" s="1480" t="s">
        <v>11</v>
      </c>
      <c r="O2" s="1480"/>
      <c r="P2" s="1480"/>
      <c r="Q2" s="1480"/>
    </row>
    <row r="3" spans="1:21" ht="15" hidden="1" customHeight="1" x14ac:dyDescent="0.25">
      <c r="A3" s="115">
        <v>13072022</v>
      </c>
      <c r="B3" s="169" t="s">
        <v>1032</v>
      </c>
      <c r="C3" s="21" t="s">
        <v>693</v>
      </c>
      <c r="D3" s="122">
        <v>44755</v>
      </c>
      <c r="E3" s="32"/>
      <c r="F3" s="163" t="s">
        <v>661</v>
      </c>
      <c r="G3" s="163" t="s">
        <v>279</v>
      </c>
      <c r="H3" t="s">
        <v>1220</v>
      </c>
      <c r="I3" s="159">
        <v>49100</v>
      </c>
      <c r="J3" s="159"/>
      <c r="K3" s="32" t="s">
        <v>17</v>
      </c>
      <c r="L3" s="122">
        <v>44823</v>
      </c>
      <c r="O3" s="163" t="s">
        <v>916</v>
      </c>
      <c r="P3" s="14">
        <v>0.5854166666666667</v>
      </c>
      <c r="Q3" s="14">
        <v>0.87847222222222221</v>
      </c>
    </row>
    <row r="4" spans="1:21" ht="15" hidden="1" customHeight="1" x14ac:dyDescent="0.25">
      <c r="A4" s="115">
        <v>30122022</v>
      </c>
      <c r="B4" t="s">
        <v>1028</v>
      </c>
      <c r="C4" s="30" t="s">
        <v>27</v>
      </c>
      <c r="D4" s="122">
        <v>44925</v>
      </c>
      <c r="E4" s="88"/>
      <c r="F4" t="s">
        <v>1347</v>
      </c>
      <c r="G4" s="21" t="s">
        <v>1722</v>
      </c>
      <c r="H4" t="s">
        <v>1711</v>
      </c>
      <c r="I4" s="160">
        <v>49100</v>
      </c>
      <c r="J4" s="160"/>
      <c r="K4" s="88" t="s">
        <v>17</v>
      </c>
      <c r="L4" s="122">
        <v>44946</v>
      </c>
      <c r="S4" s="2" t="s">
        <v>1712</v>
      </c>
      <c r="T4" s="157">
        <v>0.31180555555555556</v>
      </c>
      <c r="U4" s="157">
        <v>0.56736111111111109</v>
      </c>
    </row>
    <row r="5" spans="1:21" x14ac:dyDescent="0.25">
      <c r="A5" s="95" t="s">
        <v>8587</v>
      </c>
      <c r="B5" t="s">
        <v>1028</v>
      </c>
      <c r="D5" s="122">
        <v>46270</v>
      </c>
      <c r="E5" s="32"/>
      <c r="F5" t="s">
        <v>317</v>
      </c>
      <c r="G5" t="s">
        <v>8594</v>
      </c>
      <c r="H5" t="s">
        <v>8668</v>
      </c>
      <c r="I5" s="32">
        <v>50415</v>
      </c>
      <c r="L5" s="6"/>
    </row>
    <row r="6" spans="1:21" x14ac:dyDescent="0.25">
      <c r="D6" s="2"/>
      <c r="E6" s="32"/>
      <c r="I6" s="32"/>
      <c r="L6" s="6"/>
    </row>
    <row r="7" spans="1:21" x14ac:dyDescent="0.25">
      <c r="H7" t="s">
        <v>356</v>
      </c>
      <c r="I7" s="9">
        <f>SUBTOTAL(9,I3:I6)</f>
        <v>50415</v>
      </c>
    </row>
    <row r="8" spans="1:21" x14ac:dyDescent="0.25">
      <c r="M8" s="3"/>
    </row>
    <row r="10" spans="1:21" x14ac:dyDescent="0.25">
      <c r="I10" s="3"/>
    </row>
  </sheetData>
  <autoFilter ref="B2:Q6" xr:uid="{00000000-0009-0000-0000-00002E000000}">
    <filterColumn colId="9">
      <filters blank="1"/>
    </filterColumn>
    <filterColumn colId="12" showButton="0"/>
    <filterColumn colId="13" showButton="0"/>
    <filterColumn colId="14" showButton="0"/>
  </autoFilter>
  <mergeCells count="1">
    <mergeCell ref="N2:Q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0646" r:id="rId4" name="Button 1">
              <controlPr defaultSize="0" print="0" autoFill="0" autoPict="0" macro="[0]!RETORNAR">
                <anchor moveWithCells="1" sizeWithCells="1">
                  <from>
                    <xdr:col>0</xdr:col>
                    <xdr:colOff>38100</xdr:colOff>
                    <xdr:row>0</xdr:row>
                    <xdr:rowOff>47625</xdr:rowOff>
                  </from>
                  <to>
                    <xdr:col>2</xdr:col>
                    <xdr:colOff>333375</xdr:colOff>
                    <xdr:row>0</xdr:row>
                    <xdr:rowOff>314325</xdr:rowOff>
                  </to>
                </anchor>
              </controlPr>
            </control>
          </mc:Choice>
        </mc:AlternateContent>
        <mc:AlternateContent xmlns:mc="http://schemas.openxmlformats.org/markup-compatibility/2006">
          <mc:Choice Requires="x14">
            <control shapeId="240650" r:id="rId5" name="Botón 10">
              <controlPr defaultSize="0" print="0" autoFill="0" autoPict="0" macro="[0]!IR_VENTAS_B200_2026">
                <anchor moveWithCells="1" sizeWithCells="1">
                  <from>
                    <xdr:col>1</xdr:col>
                    <xdr:colOff>123825</xdr:colOff>
                    <xdr:row>13</xdr:row>
                    <xdr:rowOff>85725</xdr:rowOff>
                  </from>
                  <to>
                    <xdr:col>2</xdr:col>
                    <xdr:colOff>676275</xdr:colOff>
                    <xdr:row>16</xdr:row>
                    <xdr:rowOff>114300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Hoja19" filterMode="1"/>
  <dimension ref="A1:XFB551"/>
  <sheetViews>
    <sheetView topLeftCell="A486" zoomScale="70" zoomScaleNormal="70" workbookViewId="0">
      <selection activeCell="K499" sqref="K499:K502"/>
    </sheetView>
  </sheetViews>
  <sheetFormatPr baseColWidth="10" defaultColWidth="10.85546875" defaultRowHeight="15" x14ac:dyDescent="0.25"/>
  <cols>
    <col min="1" max="1" width="9.85546875" bestFit="1" customWidth="1"/>
    <col min="2" max="2" width="13.140625" style="28" bestFit="1" customWidth="1"/>
    <col min="3" max="3" width="12.42578125" style="6" customWidth="1"/>
    <col min="4" max="4" width="6.42578125" hidden="1" customWidth="1"/>
    <col min="5" max="5" width="25" customWidth="1"/>
    <col min="6" max="6" width="9.85546875" style="28" customWidth="1"/>
    <col min="7" max="7" width="47.7109375" customWidth="1"/>
    <col min="8" max="8" width="21.42578125" style="28" hidden="1" customWidth="1"/>
    <col min="9" max="9" width="15.140625" bestFit="1" customWidth="1"/>
    <col min="10" max="10" width="19.5703125" bestFit="1" customWidth="1"/>
    <col min="11" max="11" width="28.42578125" style="32" bestFit="1" customWidth="1"/>
    <col min="12" max="12" width="23.140625" style="30" customWidth="1"/>
    <col min="13" max="13" width="28.28515625" style="28" customWidth="1"/>
    <col min="14" max="14" width="49.140625" bestFit="1" customWidth="1"/>
  </cols>
  <sheetData>
    <row r="1" spans="1:18" ht="31.5" customHeight="1" x14ac:dyDescent="0.25"/>
    <row r="2" spans="1:18" s="28" customFormat="1" ht="13.5" customHeight="1" x14ac:dyDescent="0.25">
      <c r="A2" s="1" t="s">
        <v>0</v>
      </c>
      <c r="B2" s="25" t="s">
        <v>1</v>
      </c>
      <c r="C2" s="56" t="s">
        <v>2</v>
      </c>
      <c r="D2" s="25"/>
      <c r="E2" s="25"/>
      <c r="F2" s="25" t="s">
        <v>3</v>
      </c>
      <c r="G2" s="25" t="s">
        <v>4</v>
      </c>
      <c r="H2" s="25" t="s">
        <v>3679</v>
      </c>
      <c r="I2" s="25" t="s">
        <v>5</v>
      </c>
      <c r="J2" s="25" t="s">
        <v>6</v>
      </c>
      <c r="K2" s="87" t="s">
        <v>1780</v>
      </c>
      <c r="L2" s="115" t="s">
        <v>8</v>
      </c>
      <c r="M2" s="25" t="s">
        <v>3997</v>
      </c>
      <c r="N2" s="25" t="s">
        <v>10</v>
      </c>
      <c r="O2" s="25" t="s">
        <v>11</v>
      </c>
      <c r="P2" s="25"/>
      <c r="Q2" s="25"/>
      <c r="R2" s="25"/>
    </row>
    <row r="3" spans="1:18" x14ac:dyDescent="0.25">
      <c r="A3" s="1"/>
      <c r="B3" s="25"/>
      <c r="C3" s="94"/>
      <c r="D3" s="1"/>
      <c r="E3" s="1"/>
      <c r="F3" s="25"/>
      <c r="G3" s="1"/>
      <c r="H3" s="25"/>
      <c r="I3" s="1"/>
      <c r="J3" s="1"/>
      <c r="K3" s="87"/>
      <c r="L3" s="115"/>
      <c r="M3" s="25"/>
      <c r="N3" s="1"/>
      <c r="O3" s="25"/>
      <c r="P3" s="25"/>
      <c r="Q3" s="25"/>
      <c r="R3" s="25"/>
    </row>
    <row r="4" spans="1:18" x14ac:dyDescent="0.25">
      <c r="A4" s="1480">
        <v>2019</v>
      </c>
      <c r="B4" s="1480"/>
      <c r="C4" s="1595"/>
      <c r="D4" s="1480"/>
      <c r="E4" s="1480"/>
      <c r="F4" s="1480"/>
      <c r="G4" s="1480"/>
      <c r="H4" s="1480"/>
      <c r="I4" s="1480"/>
      <c r="J4" s="1480"/>
      <c r="K4" s="87"/>
      <c r="L4" s="115"/>
      <c r="M4" s="25"/>
      <c r="N4" s="1"/>
      <c r="O4" s="1"/>
      <c r="P4" s="25"/>
      <c r="Q4" s="25"/>
      <c r="R4" s="25"/>
    </row>
    <row r="5" spans="1:18" s="13" customFormat="1" ht="15" hidden="1" customHeight="1" x14ac:dyDescent="0.25">
      <c r="A5" s="13" t="s">
        <v>318</v>
      </c>
      <c r="C5" s="92">
        <v>43752</v>
      </c>
      <c r="D5" s="72"/>
      <c r="E5" s="72"/>
      <c r="F5" s="241" t="s">
        <v>377</v>
      </c>
      <c r="G5" s="13" t="s">
        <v>369</v>
      </c>
      <c r="I5" s="13" t="s">
        <v>368</v>
      </c>
      <c r="J5" s="12">
        <v>31300</v>
      </c>
      <c r="L5" s="480" t="s">
        <v>17</v>
      </c>
      <c r="M5" s="1038">
        <v>44621</v>
      </c>
      <c r="P5" s="13" t="s">
        <v>555</v>
      </c>
    </row>
    <row r="6" spans="1:18" s="5" customFormat="1" ht="15" hidden="1" customHeight="1" x14ac:dyDescent="0.25">
      <c r="A6" s="5" t="s">
        <v>318</v>
      </c>
      <c r="C6" s="90">
        <v>43804</v>
      </c>
      <c r="D6" s="118"/>
      <c r="E6" s="118"/>
      <c r="F6" s="127" t="s">
        <v>378</v>
      </c>
      <c r="G6" s="5" t="s">
        <v>371</v>
      </c>
      <c r="H6" s="127">
        <v>20200000517</v>
      </c>
      <c r="I6" s="5" t="s">
        <v>370</v>
      </c>
      <c r="J6" s="9">
        <v>50150</v>
      </c>
      <c r="L6" s="373" t="s">
        <v>17</v>
      </c>
      <c r="M6" s="1039">
        <v>44708</v>
      </c>
      <c r="N6" s="5" t="s">
        <v>870</v>
      </c>
      <c r="P6" s="5" t="s">
        <v>555</v>
      </c>
    </row>
    <row r="7" spans="1:18" ht="15" customHeight="1" x14ac:dyDescent="0.25">
      <c r="D7" s="2"/>
      <c r="E7" s="2"/>
      <c r="I7" s="1" t="s">
        <v>375</v>
      </c>
      <c r="J7" s="27">
        <f>SUBTOTAL(9,J3:J4)</f>
        <v>0</v>
      </c>
    </row>
    <row r="8" spans="1:18" ht="15" customHeight="1" x14ac:dyDescent="0.25">
      <c r="A8" s="1480">
        <v>2020</v>
      </c>
      <c r="B8" s="1480"/>
      <c r="C8" s="1595"/>
      <c r="D8" s="1480"/>
      <c r="E8" s="1480"/>
      <c r="F8" s="1480"/>
      <c r="G8" s="1480"/>
      <c r="H8" s="1480"/>
      <c r="I8" s="1480"/>
      <c r="J8" s="1480"/>
      <c r="K8" s="87"/>
      <c r="L8" s="115"/>
      <c r="M8" s="25"/>
      <c r="N8" s="1"/>
    </row>
    <row r="9" spans="1:18" s="5" customFormat="1" ht="15" hidden="1" customHeight="1" x14ac:dyDescent="0.25">
      <c r="A9" s="5" t="s">
        <v>318</v>
      </c>
      <c r="C9" s="90">
        <v>43844</v>
      </c>
      <c r="D9" s="118"/>
      <c r="E9" s="118"/>
      <c r="F9" s="127" t="s">
        <v>379</v>
      </c>
      <c r="G9" s="5" t="s">
        <v>373</v>
      </c>
      <c r="H9" s="127">
        <v>20200031602</v>
      </c>
      <c r="I9" s="5" t="s">
        <v>386</v>
      </c>
      <c r="J9" s="9">
        <v>36200</v>
      </c>
      <c r="K9" s="119"/>
      <c r="L9" s="373" t="s">
        <v>297</v>
      </c>
      <c r="M9" s="1040">
        <v>43900</v>
      </c>
      <c r="P9" s="5" t="s">
        <v>555</v>
      </c>
    </row>
    <row r="10" spans="1:18" ht="15" hidden="1" customHeight="1" x14ac:dyDescent="0.25">
      <c r="A10" t="s">
        <v>318</v>
      </c>
      <c r="B10"/>
      <c r="C10" s="26">
        <v>44009</v>
      </c>
      <c r="D10" s="2"/>
      <c r="E10" s="2"/>
      <c r="F10" s="28" t="s">
        <v>380</v>
      </c>
      <c r="G10">
        <f>9</f>
        <v>9</v>
      </c>
      <c r="H10"/>
      <c r="I10" t="s">
        <v>383</v>
      </c>
      <c r="J10" s="3">
        <v>50887.5</v>
      </c>
      <c r="K10" s="4"/>
      <c r="L10" s="30" t="s">
        <v>17</v>
      </c>
      <c r="M10" s="53">
        <v>44617</v>
      </c>
      <c r="N10">
        <f>+J10*0.88</f>
        <v>44781</v>
      </c>
      <c r="P10" t="s">
        <v>555</v>
      </c>
    </row>
    <row r="11" spans="1:18" ht="15" hidden="1" customHeight="1" x14ac:dyDescent="0.25">
      <c r="A11" t="s">
        <v>318</v>
      </c>
      <c r="B11"/>
      <c r="C11" s="26">
        <v>44025</v>
      </c>
      <c r="D11" s="2"/>
      <c r="E11" s="2"/>
      <c r="F11" s="28" t="s">
        <v>380</v>
      </c>
      <c r="G11" t="s">
        <v>372</v>
      </c>
      <c r="H11"/>
      <c r="I11" t="s">
        <v>384</v>
      </c>
      <c r="J11" s="3">
        <v>50887.5</v>
      </c>
      <c r="K11" s="4"/>
      <c r="L11" s="30" t="s">
        <v>17</v>
      </c>
      <c r="M11" s="53">
        <v>44617</v>
      </c>
      <c r="N11">
        <f>+J11*0.88</f>
        <v>44781</v>
      </c>
      <c r="P11" t="s">
        <v>555</v>
      </c>
    </row>
    <row r="12" spans="1:18" ht="15" hidden="1" customHeight="1" x14ac:dyDescent="0.25">
      <c r="A12" t="s">
        <v>318</v>
      </c>
      <c r="B12"/>
      <c r="C12" s="26">
        <v>44167</v>
      </c>
      <c r="D12" s="2"/>
      <c r="E12" s="2"/>
      <c r="F12" s="28" t="s">
        <v>381</v>
      </c>
      <c r="G12" t="s">
        <v>374</v>
      </c>
      <c r="H12"/>
      <c r="I12" t="s">
        <v>558</v>
      </c>
      <c r="J12" s="3">
        <v>25500</v>
      </c>
      <c r="K12" s="4"/>
      <c r="L12" s="30" t="s">
        <v>17</v>
      </c>
      <c r="M12" s="53">
        <v>44617</v>
      </c>
      <c r="N12">
        <f>+J12*0.88</f>
        <v>22440</v>
      </c>
    </row>
    <row r="13" spans="1:18" x14ac:dyDescent="0.25">
      <c r="A13" s="1"/>
      <c r="B13" s="25"/>
      <c r="C13" s="94"/>
      <c r="D13" s="1"/>
      <c r="E13" s="1"/>
      <c r="F13" s="25"/>
      <c r="G13" s="1"/>
      <c r="H13" s="25"/>
      <c r="I13" s="1" t="s">
        <v>357</v>
      </c>
      <c r="J13" s="27">
        <f>SUBTOTAL(9,J9:J12)</f>
        <v>0</v>
      </c>
      <c r="K13" s="87"/>
      <c r="L13" s="115"/>
      <c r="M13" s="25"/>
      <c r="N13" s="1"/>
      <c r="P13" s="25"/>
      <c r="Q13" s="25"/>
      <c r="R13" s="25"/>
    </row>
    <row r="14" spans="1:18" x14ac:dyDescent="0.25">
      <c r="A14" s="1480">
        <v>2021</v>
      </c>
      <c r="B14" s="1480"/>
      <c r="C14" s="1595"/>
      <c r="D14" s="1480"/>
      <c r="E14" s="1480"/>
      <c r="F14" s="1480"/>
      <c r="G14" s="1480"/>
      <c r="H14" s="1480"/>
      <c r="I14" s="1480"/>
      <c r="J14" s="1480"/>
      <c r="K14" s="87"/>
      <c r="L14" s="115"/>
      <c r="M14" s="25"/>
      <c r="N14" s="1"/>
      <c r="P14" s="25"/>
      <c r="Q14" s="25"/>
      <c r="R14" s="25"/>
    </row>
    <row r="15" spans="1:18" ht="15" hidden="1" customHeight="1" x14ac:dyDescent="0.25">
      <c r="A15" s="5" t="s">
        <v>318</v>
      </c>
      <c r="B15" t="s">
        <v>31</v>
      </c>
      <c r="C15" s="6">
        <v>44198</v>
      </c>
      <c r="D15" s="2"/>
      <c r="E15" s="2"/>
      <c r="F15" s="28" t="s">
        <v>317</v>
      </c>
      <c r="G15" t="s">
        <v>724</v>
      </c>
      <c r="H15" s="28">
        <v>20210055210</v>
      </c>
      <c r="I15" t="s">
        <v>1364</v>
      </c>
      <c r="J15" s="3">
        <v>51825</v>
      </c>
      <c r="K15"/>
      <c r="L15" s="30" t="s">
        <v>17</v>
      </c>
      <c r="M15" s="53">
        <v>44846</v>
      </c>
    </row>
    <row r="16" spans="1:18" ht="15" hidden="1" customHeight="1" x14ac:dyDescent="0.25">
      <c r="A16" t="s">
        <v>318</v>
      </c>
      <c r="B16" t="s">
        <v>31</v>
      </c>
      <c r="C16" s="26">
        <v>44201</v>
      </c>
      <c r="D16" s="2"/>
      <c r="E16" s="2"/>
      <c r="F16" s="28" t="s">
        <v>382</v>
      </c>
      <c r="G16" t="s">
        <v>319</v>
      </c>
      <c r="H16"/>
      <c r="I16" t="s">
        <v>320</v>
      </c>
      <c r="J16" s="3">
        <v>28900</v>
      </c>
      <c r="K16"/>
      <c r="L16" s="30" t="s">
        <v>17</v>
      </c>
      <c r="M16" s="53">
        <v>44617</v>
      </c>
      <c r="N16">
        <f>+J16*0.88</f>
        <v>25432</v>
      </c>
    </row>
    <row r="17" spans="1:23" ht="15" hidden="1" customHeight="1" x14ac:dyDescent="0.25">
      <c r="A17" t="s">
        <v>318</v>
      </c>
      <c r="B17" t="s">
        <v>31</v>
      </c>
      <c r="C17" s="26">
        <v>44204</v>
      </c>
      <c r="D17" s="2"/>
      <c r="E17" s="2"/>
      <c r="F17" s="28" t="s">
        <v>382</v>
      </c>
      <c r="G17" t="s">
        <v>321</v>
      </c>
      <c r="H17"/>
      <c r="I17" t="s">
        <v>322</v>
      </c>
      <c r="J17" s="3">
        <v>28900</v>
      </c>
      <c r="K17" s="4"/>
      <c r="L17" s="30" t="s">
        <v>17</v>
      </c>
      <c r="M17" s="53">
        <v>44617</v>
      </c>
      <c r="N17">
        <f>+J17*0.88</f>
        <v>25432</v>
      </c>
    </row>
    <row r="18" spans="1:23" x14ac:dyDescent="0.25">
      <c r="I18" s="1" t="s">
        <v>376</v>
      </c>
      <c r="J18" s="27">
        <f>SUBTOTAL(9,J15:J17)</f>
        <v>0</v>
      </c>
    </row>
    <row r="19" spans="1:23" x14ac:dyDescent="0.25">
      <c r="B19" s="1480">
        <v>2022</v>
      </c>
      <c r="C19" s="1480"/>
      <c r="D19" s="1480"/>
      <c r="E19" s="1480"/>
      <c r="F19" s="1480"/>
      <c r="G19" s="1480"/>
      <c r="H19" s="1480"/>
      <c r="I19" s="1480"/>
      <c r="J19" s="1480"/>
      <c r="K19" s="87"/>
    </row>
    <row r="20" spans="1:23" ht="15" hidden="1" customHeight="1" x14ac:dyDescent="0.25">
      <c r="A20" s="116" t="s">
        <v>1348</v>
      </c>
      <c r="B20" s="169" t="s">
        <v>614</v>
      </c>
      <c r="C20" s="122">
        <v>44841</v>
      </c>
      <c r="D20" s="122"/>
      <c r="E20" s="122"/>
      <c r="F20" s="313" t="s">
        <v>294</v>
      </c>
      <c r="G20" t="s">
        <v>1358</v>
      </c>
      <c r="H20" s="21"/>
      <c r="I20" t="s">
        <v>1359</v>
      </c>
      <c r="J20" s="160">
        <v>47200</v>
      </c>
      <c r="K20" s="160">
        <f>+J20*0.88</f>
        <v>41536</v>
      </c>
      <c r="L20" s="236" t="s">
        <v>17</v>
      </c>
      <c r="M20" s="135">
        <v>44915</v>
      </c>
      <c r="P20" s="21" t="s">
        <v>916</v>
      </c>
      <c r="Q20" s="157">
        <v>0.7006944444444444</v>
      </c>
      <c r="R20" s="157">
        <v>0.93055555555555547</v>
      </c>
    </row>
    <row r="21" spans="1:23" ht="15" hidden="1" customHeight="1" x14ac:dyDescent="0.25">
      <c r="A21" s="116">
        <v>12102022</v>
      </c>
      <c r="B21" s="169" t="s">
        <v>614</v>
      </c>
      <c r="C21" s="122">
        <v>44846</v>
      </c>
      <c r="D21" s="122"/>
      <c r="E21" s="122"/>
      <c r="F21" s="28" t="s">
        <v>68</v>
      </c>
      <c r="G21" t="s">
        <v>1371</v>
      </c>
      <c r="H21" s="21"/>
      <c r="I21" t="s">
        <v>1417</v>
      </c>
      <c r="J21" s="160">
        <v>54280</v>
      </c>
      <c r="K21" s="160">
        <f>+J21*0.88</f>
        <v>47766.400000000001</v>
      </c>
      <c r="L21" s="236" t="s">
        <v>17</v>
      </c>
      <c r="M21" s="135">
        <v>44923</v>
      </c>
      <c r="P21" s="21" t="s">
        <v>1042</v>
      </c>
      <c r="Q21" s="157">
        <v>0.56805555555555554</v>
      </c>
      <c r="R21" s="21"/>
    </row>
    <row r="22" spans="1:23" x14ac:dyDescent="0.25">
      <c r="A22" s="116"/>
      <c r="B22" s="177"/>
      <c r="C22" s="122"/>
      <c r="D22" s="122"/>
      <c r="E22" s="122"/>
      <c r="F22" s="313"/>
      <c r="H22" s="21"/>
      <c r="J22" s="161">
        <f>SUBTOTAL(9,J20:J21)</f>
        <v>0</v>
      </c>
      <c r="K22" s="160"/>
      <c r="L22" s="237"/>
      <c r="P22" s="21"/>
      <c r="Q22" s="157"/>
      <c r="R22" s="21"/>
    </row>
    <row r="23" spans="1:23" x14ac:dyDescent="0.25">
      <c r="A23" s="116"/>
      <c r="B23" s="1480">
        <v>2023</v>
      </c>
      <c r="C23" s="1480"/>
      <c r="D23" s="1480"/>
      <c r="E23" s="1480"/>
      <c r="F23" s="1480"/>
      <c r="G23" s="1480"/>
      <c r="H23" s="1480"/>
      <c r="I23" s="1480"/>
      <c r="J23" s="1480"/>
      <c r="K23" s="160"/>
      <c r="L23" s="237"/>
      <c r="P23" s="21"/>
      <c r="Q23" s="157"/>
      <c r="R23" s="21"/>
    </row>
    <row r="24" spans="1:23" hidden="1" x14ac:dyDescent="0.25">
      <c r="A24" s="256">
        <v>16032023</v>
      </c>
      <c r="B24" t="s">
        <v>614</v>
      </c>
      <c r="C24" s="122">
        <v>45001</v>
      </c>
      <c r="D24" s="122"/>
      <c r="E24" s="122"/>
      <c r="F24" s="28" t="s">
        <v>113</v>
      </c>
      <c r="G24" t="s">
        <v>2104</v>
      </c>
      <c r="H24"/>
      <c r="I24" t="s">
        <v>2103</v>
      </c>
      <c r="J24" s="32">
        <v>43535</v>
      </c>
      <c r="K24" s="160">
        <f t="shared" ref="K24:K29" si="0">+J24*0.88</f>
        <v>38310.800000000003</v>
      </c>
      <c r="L24" s="368" t="s">
        <v>17</v>
      </c>
      <c r="M24" s="233">
        <v>45096</v>
      </c>
      <c r="T24" t="s">
        <v>1644</v>
      </c>
      <c r="U24" s="14">
        <v>0.31319444444444444</v>
      </c>
      <c r="V24" s="14"/>
    </row>
    <row r="25" spans="1:23" hidden="1" x14ac:dyDescent="0.25">
      <c r="A25" s="256">
        <v>19032023</v>
      </c>
      <c r="B25" t="s">
        <v>614</v>
      </c>
      <c r="C25" s="122">
        <v>45004</v>
      </c>
      <c r="D25" s="122"/>
      <c r="E25" s="122"/>
      <c r="F25" s="28" t="s">
        <v>2036</v>
      </c>
      <c r="G25" t="s">
        <v>2106</v>
      </c>
      <c r="H25"/>
      <c r="I25" t="s">
        <v>2105</v>
      </c>
      <c r="J25" s="88">
        <v>30800</v>
      </c>
      <c r="K25" s="160">
        <f t="shared" si="0"/>
        <v>27104</v>
      </c>
      <c r="L25" s="236" t="s">
        <v>297</v>
      </c>
      <c r="M25" s="233">
        <v>45121</v>
      </c>
      <c r="T25" t="s">
        <v>1644</v>
      </c>
      <c r="U25" s="14">
        <v>0.37847222222222227</v>
      </c>
      <c r="V25" s="14">
        <v>0.51388888888888895</v>
      </c>
    </row>
    <row r="26" spans="1:23" hidden="1" x14ac:dyDescent="0.25">
      <c r="A26" s="256">
        <v>26032023</v>
      </c>
      <c r="B26" t="s">
        <v>614</v>
      </c>
      <c r="C26" s="122">
        <v>45011</v>
      </c>
      <c r="D26" s="122"/>
      <c r="E26" s="122"/>
      <c r="F26" s="28" t="s">
        <v>2107</v>
      </c>
      <c r="G26" t="s">
        <v>2108</v>
      </c>
      <c r="H26"/>
      <c r="I26" t="s">
        <v>2111</v>
      </c>
      <c r="J26" s="88">
        <v>33750</v>
      </c>
      <c r="K26" s="160">
        <f t="shared" si="0"/>
        <v>29700</v>
      </c>
      <c r="L26" s="236" t="s">
        <v>17</v>
      </c>
      <c r="M26" s="233">
        <v>45057</v>
      </c>
      <c r="U26" t="s">
        <v>2037</v>
      </c>
      <c r="V26" s="14">
        <v>0.4284722222222222</v>
      </c>
      <c r="W26" s="14">
        <v>0.58819444444444446</v>
      </c>
    </row>
    <row r="27" spans="1:23" ht="15" hidden="1" customHeight="1" x14ac:dyDescent="0.25">
      <c r="A27" s="256">
        <v>10042023</v>
      </c>
      <c r="B27" t="s">
        <v>614</v>
      </c>
      <c r="C27" s="122">
        <v>45026</v>
      </c>
      <c r="D27" s="122"/>
      <c r="E27" s="122"/>
      <c r="F27" s="28" t="s">
        <v>2107</v>
      </c>
      <c r="G27" t="s">
        <v>2214</v>
      </c>
      <c r="H27"/>
      <c r="I27" t="s">
        <v>2236</v>
      </c>
      <c r="J27" s="88">
        <v>33750</v>
      </c>
      <c r="K27" s="160">
        <f t="shared" si="0"/>
        <v>29700</v>
      </c>
      <c r="L27" s="368" t="s">
        <v>17</v>
      </c>
      <c r="M27" s="233">
        <v>45096</v>
      </c>
      <c r="U27" t="s">
        <v>916</v>
      </c>
      <c r="V27" s="14">
        <v>0.35000000000000003</v>
      </c>
      <c r="W27" s="14"/>
    </row>
    <row r="28" spans="1:23" s="30" customFormat="1" hidden="1" x14ac:dyDescent="0.25">
      <c r="A28" s="30">
        <v>27082023</v>
      </c>
      <c r="B28" s="30" t="s">
        <v>614</v>
      </c>
      <c r="C28" s="122">
        <v>45165</v>
      </c>
      <c r="D28" s="359"/>
      <c r="E28" s="359"/>
      <c r="F28" s="28" t="s">
        <v>207</v>
      </c>
      <c r="G28" s="30" t="s">
        <v>2813</v>
      </c>
      <c r="I28" s="30" t="s">
        <v>2829</v>
      </c>
      <c r="J28" s="368">
        <v>36350</v>
      </c>
      <c r="K28" s="160">
        <f t="shared" si="0"/>
        <v>31988</v>
      </c>
      <c r="L28" s="30" t="s">
        <v>17</v>
      </c>
      <c r="M28" s="233">
        <v>45201</v>
      </c>
      <c r="U28" s="360" t="s">
        <v>1506</v>
      </c>
      <c r="V28" s="360">
        <v>0.27361111111111108</v>
      </c>
      <c r="W28" s="360">
        <v>0.49652777777777773</v>
      </c>
    </row>
    <row r="29" spans="1:23" s="30" customFormat="1" hidden="1" x14ac:dyDescent="0.25">
      <c r="A29" s="30">
        <v>31082023</v>
      </c>
      <c r="B29" s="30" t="s">
        <v>614</v>
      </c>
      <c r="C29" s="374">
        <v>45169</v>
      </c>
      <c r="D29" s="359"/>
      <c r="E29" s="359"/>
      <c r="F29" s="28" t="s">
        <v>113</v>
      </c>
      <c r="G29" s="30" t="s">
        <v>2915</v>
      </c>
      <c r="I29" s="30" t="s">
        <v>2831</v>
      </c>
      <c r="J29" s="236">
        <v>39070</v>
      </c>
      <c r="K29" s="236">
        <f t="shared" si="0"/>
        <v>34381.599999999999</v>
      </c>
      <c r="L29" s="30" t="s">
        <v>17</v>
      </c>
      <c r="M29" s="233">
        <v>45204</v>
      </c>
      <c r="N29" s="30" t="s">
        <v>18</v>
      </c>
      <c r="U29" s="360" t="s">
        <v>1656</v>
      </c>
      <c r="V29" s="360"/>
      <c r="W29" s="360"/>
    </row>
    <row r="30" spans="1:23" ht="15.75" thickBot="1" x14ac:dyDescent="0.3">
      <c r="A30" s="116"/>
      <c r="B30" s="177"/>
      <c r="C30" s="122"/>
      <c r="D30" s="122"/>
      <c r="E30" s="122"/>
      <c r="F30" s="313"/>
      <c r="H30"/>
      <c r="J30" s="161">
        <f>SUBTOTAL(9,J24:J29)</f>
        <v>0</v>
      </c>
      <c r="K30" s="160"/>
      <c r="L30" s="237"/>
      <c r="P30" s="21"/>
      <c r="Q30" s="157"/>
      <c r="R30" s="21"/>
    </row>
    <row r="31" spans="1:23" ht="39" customHeight="1" thickBot="1" x14ac:dyDescent="0.3">
      <c r="A31" s="116"/>
      <c r="B31" s="1544" t="s">
        <v>5739</v>
      </c>
      <c r="C31" s="1545"/>
      <c r="D31" s="1488"/>
      <c r="E31" s="1488"/>
      <c r="F31" s="1545"/>
      <c r="G31" s="1545"/>
      <c r="H31" s="1488"/>
      <c r="I31" s="1545"/>
      <c r="J31" s="1546"/>
      <c r="K31" s="160"/>
      <c r="L31" s="237"/>
      <c r="P31" s="21"/>
      <c r="Q31" s="157"/>
      <c r="R31" s="21"/>
    </row>
    <row r="32" spans="1:23" s="21" customFormat="1" hidden="1" x14ac:dyDescent="0.25">
      <c r="A32" s="509">
        <v>19062024</v>
      </c>
      <c r="B32" s="21" t="s">
        <v>614</v>
      </c>
      <c r="C32" s="510">
        <v>45462</v>
      </c>
      <c r="D32" s="13"/>
      <c r="F32" s="177" t="s">
        <v>1744</v>
      </c>
      <c r="G32" s="169" t="s">
        <v>4374</v>
      </c>
      <c r="H32" s="13"/>
      <c r="I32" s="21" t="s">
        <v>5470</v>
      </c>
      <c r="J32" s="314">
        <v>56073.599999999999</v>
      </c>
      <c r="K32" s="22">
        <f>+J32-ROUND(J32*0.12,0)</f>
        <v>49344.6</v>
      </c>
      <c r="L32" s="169" t="s">
        <v>17</v>
      </c>
      <c r="M32" s="510">
        <v>46224</v>
      </c>
      <c r="U32" s="157" t="s">
        <v>4365</v>
      </c>
      <c r="V32" s="488">
        <v>0.32500000000000001</v>
      </c>
      <c r="W32" s="488"/>
    </row>
    <row r="33" spans="1:23" s="13" customFormat="1" ht="15.75" thickBot="1" x14ac:dyDescent="0.3">
      <c r="A33" s="586"/>
      <c r="C33" s="587"/>
      <c r="F33" s="241"/>
      <c r="G33" s="199"/>
      <c r="J33" s="322"/>
      <c r="K33" s="3"/>
      <c r="L33" s="199"/>
      <c r="M33" s="322"/>
      <c r="U33" s="204"/>
      <c r="V33" s="482"/>
      <c r="W33" s="482"/>
    </row>
    <row r="34" spans="1:23" s="13" customFormat="1" ht="15.75" thickBot="1" x14ac:dyDescent="0.3">
      <c r="A34" s="586"/>
      <c r="B34" s="1487" t="s">
        <v>5738</v>
      </c>
      <c r="C34" s="1488"/>
      <c r="D34" s="1488"/>
      <c r="E34" s="1488"/>
      <c r="F34" s="1488"/>
      <c r="G34" s="1488"/>
      <c r="H34" s="1488"/>
      <c r="I34" s="1488"/>
      <c r="J34" s="1489"/>
      <c r="K34" s="3"/>
      <c r="L34" s="199"/>
      <c r="M34" s="322"/>
      <c r="U34" s="204"/>
      <c r="V34" s="482"/>
      <c r="W34" s="482"/>
    </row>
    <row r="35" spans="1:23" hidden="1" x14ac:dyDescent="0.25">
      <c r="A35" s="483">
        <v>20122024</v>
      </c>
      <c r="B35" t="s">
        <v>614</v>
      </c>
      <c r="C35" s="233">
        <v>45646</v>
      </c>
      <c r="F35" s="30" t="s">
        <v>143</v>
      </c>
      <c r="G35" t="s">
        <v>5652</v>
      </c>
      <c r="H35"/>
      <c r="I35" s="10" t="s">
        <v>6303</v>
      </c>
      <c r="J35" s="313">
        <v>43612.800000000003</v>
      </c>
      <c r="K35" s="3">
        <f>+J35-ROUND(J35*0.12,0)</f>
        <v>38378.800000000003</v>
      </c>
      <c r="L35" s="236" t="s">
        <v>17</v>
      </c>
      <c r="M35" s="233">
        <v>45723</v>
      </c>
      <c r="U35" t="s">
        <v>4853</v>
      </c>
      <c r="V35" s="360">
        <v>0.87708333333333333</v>
      </c>
      <c r="W35" s="360">
        <v>7.9166666666666663E-2</v>
      </c>
    </row>
    <row r="36" spans="1:23" ht="15.75" thickBot="1" x14ac:dyDescent="0.3">
      <c r="A36" s="483"/>
      <c r="B36"/>
      <c r="C36" s="233"/>
      <c r="F36" s="30"/>
      <c r="H36"/>
      <c r="I36" s="10"/>
      <c r="J36" s="313"/>
      <c r="K36" s="3"/>
      <c r="L36" s="236"/>
      <c r="M36" s="313"/>
      <c r="V36" s="360"/>
      <c r="W36" s="360"/>
    </row>
    <row r="37" spans="1:23" ht="15.75" thickBot="1" x14ac:dyDescent="0.3">
      <c r="A37" s="483"/>
      <c r="B37"/>
      <c r="C37" s="233"/>
      <c r="F37" s="30"/>
      <c r="H37"/>
      <c r="I37" s="10"/>
      <c r="J37" s="824">
        <f>SUBTOTAL(9,J35:J36)</f>
        <v>0</v>
      </c>
      <c r="K37" s="3"/>
      <c r="L37" s="236"/>
      <c r="M37" s="313"/>
      <c r="V37" s="360"/>
      <c r="W37" s="360"/>
    </row>
    <row r="38" spans="1:23" s="13" customFormat="1" ht="15.75" thickBot="1" x14ac:dyDescent="0.3">
      <c r="A38" s="586"/>
      <c r="B38" s="1487" t="s">
        <v>6698</v>
      </c>
      <c r="C38" s="1488"/>
      <c r="D38" s="1488"/>
      <c r="E38" s="1488"/>
      <c r="F38" s="1488"/>
      <c r="G38" s="1488"/>
      <c r="H38" s="1488"/>
      <c r="I38" s="1488"/>
      <c r="J38" s="1489"/>
      <c r="K38" s="3"/>
      <c r="L38" s="199"/>
      <c r="M38" s="322"/>
      <c r="U38" s="204"/>
      <c r="V38" s="482"/>
      <c r="W38" s="482"/>
    </row>
    <row r="39" spans="1:23" hidden="1" x14ac:dyDescent="0.25">
      <c r="A39" s="483">
        <v>3012025</v>
      </c>
      <c r="B39" t="s">
        <v>614</v>
      </c>
      <c r="C39" s="233">
        <v>45660</v>
      </c>
      <c r="F39" s="28" t="s">
        <v>1744</v>
      </c>
      <c r="G39" t="s">
        <v>5571</v>
      </c>
      <c r="H39"/>
      <c r="I39" t="s">
        <v>5570</v>
      </c>
      <c r="J39" s="88">
        <v>56073.599999999999</v>
      </c>
      <c r="K39" s="3">
        <f t="shared" ref="K39:K70" si="1">+J39-ROUND(J39*0.12,0)</f>
        <v>49344.6</v>
      </c>
      <c r="L39" s="30" t="s">
        <v>17</v>
      </c>
      <c r="M39" s="587" t="s">
        <v>8431</v>
      </c>
      <c r="U39" t="s">
        <v>4277</v>
      </c>
      <c r="V39" s="360"/>
      <c r="W39" s="360"/>
    </row>
    <row r="40" spans="1:23" hidden="1" x14ac:dyDescent="0.25">
      <c r="A40" s="483" t="s">
        <v>5611</v>
      </c>
      <c r="B40" t="s">
        <v>614</v>
      </c>
      <c r="C40" s="233">
        <v>45693</v>
      </c>
      <c r="F40" s="28" t="s">
        <v>236</v>
      </c>
      <c r="G40" s="30" t="s">
        <v>5834</v>
      </c>
      <c r="H40"/>
      <c r="I40" t="s">
        <v>5944</v>
      </c>
      <c r="J40" s="313">
        <v>62304</v>
      </c>
      <c r="K40" s="3">
        <f t="shared" si="1"/>
        <v>54828</v>
      </c>
      <c r="L40" s="30" t="s">
        <v>17</v>
      </c>
      <c r="M40" s="233">
        <v>46142</v>
      </c>
      <c r="U40" t="s">
        <v>5020</v>
      </c>
      <c r="V40" s="360">
        <v>0.25069444444444444</v>
      </c>
      <c r="W40" s="360"/>
    </row>
    <row r="41" spans="1:23" hidden="1" x14ac:dyDescent="0.25">
      <c r="A41" s="483" t="s">
        <v>5613</v>
      </c>
      <c r="B41" t="s">
        <v>614</v>
      </c>
      <c r="C41" s="233">
        <v>45694</v>
      </c>
      <c r="F41" s="28" t="s">
        <v>68</v>
      </c>
      <c r="G41" s="30" t="s">
        <v>5836</v>
      </c>
      <c r="H41"/>
      <c r="I41" t="s">
        <v>5945</v>
      </c>
      <c r="J41" s="798">
        <v>49843.199999999997</v>
      </c>
      <c r="K41" s="3">
        <f t="shared" si="1"/>
        <v>43862.2</v>
      </c>
      <c r="L41" s="30" t="s">
        <v>17</v>
      </c>
      <c r="M41" s="233">
        <v>45841</v>
      </c>
      <c r="U41" t="s">
        <v>4853</v>
      </c>
      <c r="V41" s="360">
        <v>0.2951388888888889</v>
      </c>
      <c r="W41" s="30"/>
    </row>
    <row r="42" spans="1:23" hidden="1" x14ac:dyDescent="0.25">
      <c r="A42" s="483" t="s">
        <v>5735</v>
      </c>
      <c r="B42" t="s">
        <v>614</v>
      </c>
      <c r="C42" s="233">
        <v>45717</v>
      </c>
      <c r="F42" s="28" t="s">
        <v>2029</v>
      </c>
      <c r="G42" s="30" t="s">
        <v>5837</v>
      </c>
      <c r="H42"/>
      <c r="I42" t="s">
        <v>5948</v>
      </c>
      <c r="J42" s="798">
        <v>29983</v>
      </c>
      <c r="K42" s="3">
        <f t="shared" si="1"/>
        <v>26385</v>
      </c>
      <c r="L42" s="30" t="s">
        <v>17</v>
      </c>
      <c r="M42" s="233">
        <v>45841</v>
      </c>
      <c r="U42" t="s">
        <v>1506</v>
      </c>
      <c r="V42" s="360">
        <v>0.58194444444444449</v>
      </c>
      <c r="W42" s="360">
        <v>0.56597222222222221</v>
      </c>
    </row>
    <row r="43" spans="1:23" hidden="1" x14ac:dyDescent="0.25">
      <c r="A43" s="483" t="s">
        <v>5736</v>
      </c>
      <c r="B43" t="s">
        <v>614</v>
      </c>
      <c r="C43" s="233">
        <v>45718</v>
      </c>
      <c r="F43" s="28" t="s">
        <v>106</v>
      </c>
      <c r="G43" s="30" t="s">
        <v>5838</v>
      </c>
      <c r="H43"/>
      <c r="I43" t="s">
        <v>5949</v>
      </c>
      <c r="J43" s="798">
        <v>29983</v>
      </c>
      <c r="K43" s="3">
        <f t="shared" si="1"/>
        <v>26385</v>
      </c>
      <c r="L43" s="30" t="s">
        <v>17</v>
      </c>
      <c r="M43" s="233">
        <v>45841</v>
      </c>
      <c r="U43" t="s">
        <v>4983</v>
      </c>
      <c r="V43" s="360">
        <v>0.46388888888888891</v>
      </c>
      <c r="W43" s="360">
        <v>0.61388888888888893</v>
      </c>
    </row>
    <row r="44" spans="1:23" hidden="1" x14ac:dyDescent="0.25">
      <c r="A44" s="483" t="s">
        <v>5737</v>
      </c>
      <c r="B44" t="s">
        <v>614</v>
      </c>
      <c r="C44" s="233">
        <v>45719</v>
      </c>
      <c r="F44" s="28" t="s">
        <v>113</v>
      </c>
      <c r="G44" s="30" t="s">
        <v>5839</v>
      </c>
      <c r="H44"/>
      <c r="I44" t="s">
        <v>5946</v>
      </c>
      <c r="J44" s="798">
        <v>38562</v>
      </c>
      <c r="K44" s="3">
        <f t="shared" si="1"/>
        <v>33935</v>
      </c>
      <c r="L44" s="30" t="s">
        <v>17</v>
      </c>
      <c r="M44" s="233">
        <v>45824</v>
      </c>
      <c r="U44" t="s">
        <v>4140</v>
      </c>
      <c r="V44" s="30"/>
      <c r="W44" s="30"/>
    </row>
    <row r="45" spans="1:23" hidden="1" x14ac:dyDescent="0.25">
      <c r="A45" s="483" t="s">
        <v>5741</v>
      </c>
      <c r="B45" t="s">
        <v>614</v>
      </c>
      <c r="C45" s="233">
        <v>45721</v>
      </c>
      <c r="F45" s="28" t="s">
        <v>106</v>
      </c>
      <c r="G45" s="30" t="s">
        <v>5840</v>
      </c>
      <c r="H45"/>
      <c r="I45" t="s">
        <v>5950</v>
      </c>
      <c r="J45" s="798">
        <v>29983</v>
      </c>
      <c r="K45" s="3">
        <f t="shared" si="1"/>
        <v>26385</v>
      </c>
      <c r="L45" s="30" t="s">
        <v>17</v>
      </c>
      <c r="M45" s="233">
        <v>45820</v>
      </c>
      <c r="U45" t="s">
        <v>2050</v>
      </c>
      <c r="V45" s="30"/>
      <c r="W45" s="30"/>
    </row>
    <row r="46" spans="1:23" hidden="1" x14ac:dyDescent="0.25">
      <c r="A46" s="483" t="s">
        <v>5774</v>
      </c>
      <c r="B46" t="s">
        <v>614</v>
      </c>
      <c r="C46" s="233">
        <v>45723</v>
      </c>
      <c r="F46" s="28" t="s">
        <v>2253</v>
      </c>
      <c r="G46" s="30" t="s">
        <v>5841</v>
      </c>
      <c r="H46"/>
      <c r="I46" t="s">
        <v>5947</v>
      </c>
      <c r="J46" s="798">
        <v>53808</v>
      </c>
      <c r="K46" s="3">
        <f t="shared" si="1"/>
        <v>47351</v>
      </c>
      <c r="L46" s="30" t="s">
        <v>17</v>
      </c>
      <c r="M46" s="233">
        <v>45831</v>
      </c>
      <c r="U46" t="s">
        <v>4139</v>
      </c>
      <c r="V46" s="360">
        <v>0.63611111111111107</v>
      </c>
      <c r="W46" s="360">
        <v>0.96666666666666667</v>
      </c>
    </row>
    <row r="47" spans="1:23" hidden="1" x14ac:dyDescent="0.25">
      <c r="A47" s="483" t="s">
        <v>6371</v>
      </c>
      <c r="B47" t="s">
        <v>614</v>
      </c>
      <c r="C47" s="233">
        <v>45818</v>
      </c>
      <c r="F47" s="28" t="s">
        <v>285</v>
      </c>
      <c r="G47" t="s">
        <v>6400</v>
      </c>
      <c r="H47"/>
      <c r="I47" t="s">
        <v>6433</v>
      </c>
      <c r="J47" s="798">
        <v>46020</v>
      </c>
      <c r="K47" s="3">
        <f t="shared" si="1"/>
        <v>40498</v>
      </c>
      <c r="L47" s="30" t="s">
        <v>17</v>
      </c>
      <c r="M47" s="233">
        <v>45926</v>
      </c>
      <c r="U47" t="s">
        <v>5021</v>
      </c>
      <c r="V47" s="360">
        <v>0.30208333333333331</v>
      </c>
      <c r="W47" s="360">
        <v>0.53680555555555554</v>
      </c>
    </row>
    <row r="48" spans="1:23" hidden="1" x14ac:dyDescent="0.25">
      <c r="A48" s="483" t="s">
        <v>6371</v>
      </c>
      <c r="B48" t="s">
        <v>614</v>
      </c>
      <c r="C48" s="233">
        <v>45818</v>
      </c>
      <c r="F48" s="28" t="s">
        <v>285</v>
      </c>
      <c r="G48" t="s">
        <v>6401</v>
      </c>
      <c r="H48"/>
      <c r="I48" t="s">
        <v>6434</v>
      </c>
      <c r="J48" s="798">
        <v>46020</v>
      </c>
      <c r="K48" s="3">
        <f t="shared" si="1"/>
        <v>40498</v>
      </c>
      <c r="L48" s="30" t="s">
        <v>17</v>
      </c>
      <c r="M48" s="233">
        <v>45926</v>
      </c>
      <c r="U48" t="s">
        <v>6282</v>
      </c>
      <c r="V48" s="360">
        <v>0.34097222222222223</v>
      </c>
      <c r="W48" s="360">
        <v>0.56597222222222221</v>
      </c>
    </row>
    <row r="49" spans="1:23" hidden="1" x14ac:dyDescent="0.25">
      <c r="A49" s="483" t="s">
        <v>6417</v>
      </c>
      <c r="B49" t="s">
        <v>614</v>
      </c>
      <c r="C49" s="233">
        <v>45822</v>
      </c>
      <c r="F49" s="28" t="s">
        <v>68</v>
      </c>
      <c r="G49" t="s">
        <v>6022</v>
      </c>
      <c r="H49"/>
      <c r="I49" t="s">
        <v>6432</v>
      </c>
      <c r="J49" s="798">
        <v>44840</v>
      </c>
      <c r="K49" s="3">
        <f t="shared" si="1"/>
        <v>39459</v>
      </c>
      <c r="L49" s="30" t="s">
        <v>17</v>
      </c>
      <c r="M49" s="233">
        <v>45926</v>
      </c>
      <c r="U49" t="s">
        <v>5891</v>
      </c>
      <c r="V49" s="360">
        <v>0.33263888888888887</v>
      </c>
      <c r="W49" s="360">
        <v>0.57986111111111105</v>
      </c>
    </row>
    <row r="50" spans="1:23" hidden="1" x14ac:dyDescent="0.25">
      <c r="A50" s="483">
        <v>25062025</v>
      </c>
      <c r="B50" t="s">
        <v>614</v>
      </c>
      <c r="C50" s="233">
        <v>45833</v>
      </c>
      <c r="F50" s="28" t="s">
        <v>106</v>
      </c>
      <c r="G50" t="s">
        <v>6534</v>
      </c>
      <c r="H50"/>
      <c r="I50" t="s">
        <v>6667</v>
      </c>
      <c r="J50" s="798">
        <v>31152</v>
      </c>
      <c r="K50" s="3">
        <f t="shared" si="1"/>
        <v>27414</v>
      </c>
      <c r="L50" s="30" t="s">
        <v>17</v>
      </c>
      <c r="M50" s="233">
        <v>45933</v>
      </c>
      <c r="U50" t="s">
        <v>6214</v>
      </c>
      <c r="V50" s="360"/>
      <c r="W50" s="30"/>
    </row>
    <row r="51" spans="1:23" hidden="1" x14ac:dyDescent="0.25">
      <c r="A51" s="483">
        <v>28062025</v>
      </c>
      <c r="B51" t="s">
        <v>614</v>
      </c>
      <c r="C51" s="233">
        <v>45836</v>
      </c>
      <c r="F51" s="28" t="s">
        <v>675</v>
      </c>
      <c r="G51" t="s">
        <v>6535</v>
      </c>
      <c r="H51"/>
      <c r="I51" t="s">
        <v>6668</v>
      </c>
      <c r="J51" s="798">
        <v>44840</v>
      </c>
      <c r="K51" s="3">
        <f t="shared" si="1"/>
        <v>39459</v>
      </c>
      <c r="L51" s="30" t="s">
        <v>17</v>
      </c>
      <c r="M51" s="233">
        <v>45933</v>
      </c>
      <c r="U51" t="s">
        <v>4867</v>
      </c>
      <c r="V51" s="360">
        <v>0.73749999999999993</v>
      </c>
      <c r="W51" s="360">
        <v>0.47430555555555554</v>
      </c>
    </row>
    <row r="52" spans="1:23" hidden="1" x14ac:dyDescent="0.25">
      <c r="A52" s="483">
        <v>29062025</v>
      </c>
      <c r="B52" t="s">
        <v>614</v>
      </c>
      <c r="C52" s="233">
        <v>45837</v>
      </c>
      <c r="F52" s="28" t="s">
        <v>2353</v>
      </c>
      <c r="G52" t="s">
        <v>6536</v>
      </c>
      <c r="H52"/>
      <c r="I52" t="s">
        <v>6669</v>
      </c>
      <c r="J52" s="798">
        <v>46020</v>
      </c>
      <c r="K52" s="3">
        <f t="shared" si="1"/>
        <v>40498</v>
      </c>
      <c r="L52" s="30" t="s">
        <v>17</v>
      </c>
      <c r="M52" s="233">
        <v>45926</v>
      </c>
      <c r="U52" t="s">
        <v>5026</v>
      </c>
      <c r="V52" s="360">
        <v>0.45069444444444445</v>
      </c>
      <c r="W52" s="360">
        <v>0.72430555555555554</v>
      </c>
    </row>
    <row r="53" spans="1:23" hidden="1" x14ac:dyDescent="0.25">
      <c r="A53" s="483" t="s">
        <v>6533</v>
      </c>
      <c r="B53" t="s">
        <v>614</v>
      </c>
      <c r="C53" s="233">
        <v>45844</v>
      </c>
      <c r="F53" s="28" t="s">
        <v>3676</v>
      </c>
      <c r="G53" t="s">
        <v>6537</v>
      </c>
      <c r="H53"/>
      <c r="I53" t="s">
        <v>6670</v>
      </c>
      <c r="J53" s="798">
        <v>26998.400000000001</v>
      </c>
      <c r="K53" s="3">
        <f t="shared" si="1"/>
        <v>23758.400000000001</v>
      </c>
      <c r="L53" s="30" t="s">
        <v>17</v>
      </c>
      <c r="M53" s="233">
        <v>45926</v>
      </c>
      <c r="U53" t="s">
        <v>5989</v>
      </c>
      <c r="V53" s="360">
        <v>0.3972222222222222</v>
      </c>
      <c r="W53" s="360">
        <v>0.55069444444444449</v>
      </c>
    </row>
    <row r="54" spans="1:23" hidden="1" x14ac:dyDescent="0.25">
      <c r="A54" s="483" t="s">
        <v>6624</v>
      </c>
      <c r="B54" t="s">
        <v>318</v>
      </c>
      <c r="C54" s="233">
        <v>45857</v>
      </c>
      <c r="D54" s="233">
        <v>45857</v>
      </c>
      <c r="E54" s="233"/>
      <c r="F54" s="28" t="s">
        <v>68</v>
      </c>
      <c r="G54" t="s">
        <v>6671</v>
      </c>
      <c r="H54"/>
      <c r="I54" s="1003" t="s">
        <v>6700</v>
      </c>
      <c r="J54" s="1103">
        <v>49834</v>
      </c>
      <c r="K54" s="1104">
        <f t="shared" si="1"/>
        <v>43854</v>
      </c>
      <c r="L54" s="30" t="s">
        <v>17</v>
      </c>
      <c r="M54" s="233">
        <v>45908</v>
      </c>
      <c r="U54" t="s">
        <v>4138</v>
      </c>
      <c r="V54" s="360">
        <v>0.32013888888888892</v>
      </c>
      <c r="W54" s="360">
        <v>0.57222222222222219</v>
      </c>
    </row>
    <row r="55" spans="1:23" hidden="1" x14ac:dyDescent="0.25">
      <c r="A55" s="483">
        <v>22072025</v>
      </c>
      <c r="B55" t="s">
        <v>614</v>
      </c>
      <c r="C55" s="233">
        <v>45860</v>
      </c>
      <c r="D55" s="233">
        <v>45860</v>
      </c>
      <c r="E55" s="233"/>
      <c r="F55" s="28" t="s">
        <v>2036</v>
      </c>
      <c r="G55" t="s">
        <v>6672</v>
      </c>
      <c r="H55"/>
      <c r="I55" s="1003" t="s">
        <v>6701</v>
      </c>
      <c r="J55" s="1103">
        <v>31152</v>
      </c>
      <c r="K55" s="1104">
        <f t="shared" si="1"/>
        <v>27414</v>
      </c>
      <c r="L55" s="30" t="s">
        <v>17</v>
      </c>
      <c r="M55" s="233">
        <v>45908</v>
      </c>
      <c r="N55" s="88"/>
      <c r="U55" t="s">
        <v>5989</v>
      </c>
      <c r="V55" s="360">
        <v>0.4458333333333333</v>
      </c>
      <c r="W55" s="360"/>
    </row>
    <row r="56" spans="1:23" hidden="1" x14ac:dyDescent="0.25">
      <c r="A56" s="483">
        <v>22072025</v>
      </c>
      <c r="B56" t="s">
        <v>614</v>
      </c>
      <c r="C56" s="233">
        <v>45860</v>
      </c>
      <c r="D56" s="233">
        <v>45860</v>
      </c>
      <c r="E56" s="233"/>
      <c r="F56" s="28" t="s">
        <v>545</v>
      </c>
      <c r="G56" t="s">
        <v>6673</v>
      </c>
      <c r="H56"/>
      <c r="I56" s="1003" t="s">
        <v>6702</v>
      </c>
      <c r="J56" s="1103">
        <v>37382.400000000001</v>
      </c>
      <c r="K56" s="1104">
        <f t="shared" si="1"/>
        <v>32896.400000000001</v>
      </c>
      <c r="L56" s="30" t="s">
        <v>17</v>
      </c>
      <c r="M56" s="233">
        <v>45908</v>
      </c>
      <c r="N56" s="88"/>
      <c r="V56" s="360"/>
      <c r="W56" s="360"/>
    </row>
    <row r="57" spans="1:23" hidden="1" x14ac:dyDescent="0.25">
      <c r="A57" s="483">
        <v>23072025</v>
      </c>
      <c r="B57" t="s">
        <v>614</v>
      </c>
      <c r="C57" s="233">
        <v>45861</v>
      </c>
      <c r="D57" s="233">
        <v>45861</v>
      </c>
      <c r="E57" s="233"/>
      <c r="F57" s="28" t="s">
        <v>2008</v>
      </c>
      <c r="G57" t="s">
        <v>6696</v>
      </c>
      <c r="H57"/>
      <c r="I57" s="1003" t="s">
        <v>6703</v>
      </c>
      <c r="J57" s="1103">
        <v>55035.199999999997</v>
      </c>
      <c r="K57" s="1104">
        <f t="shared" si="1"/>
        <v>48431.199999999997</v>
      </c>
      <c r="L57" s="30" t="s">
        <v>17</v>
      </c>
      <c r="M57" s="233">
        <v>45908</v>
      </c>
      <c r="N57" s="32"/>
      <c r="U57" t="s">
        <v>4867</v>
      </c>
      <c r="V57" s="360">
        <v>0.32361111111111113</v>
      </c>
      <c r="W57" s="360">
        <v>0.57847222222222217</v>
      </c>
    </row>
    <row r="58" spans="1:23" hidden="1" x14ac:dyDescent="0.25">
      <c r="A58" s="483">
        <v>26072025</v>
      </c>
      <c r="B58" t="s">
        <v>614</v>
      </c>
      <c r="C58" s="233">
        <v>45864</v>
      </c>
      <c r="D58" s="1068">
        <v>45864</v>
      </c>
      <c r="E58" s="1068"/>
      <c r="F58" s="28" t="s">
        <v>317</v>
      </c>
      <c r="G58" s="1067" t="s">
        <v>6697</v>
      </c>
      <c r="H58"/>
      <c r="I58" s="418" t="s">
        <v>6779</v>
      </c>
      <c r="J58" s="798">
        <v>53996.800000000003</v>
      </c>
      <c r="K58" s="3">
        <f t="shared" si="1"/>
        <v>47516.800000000003</v>
      </c>
      <c r="L58" s="30" t="s">
        <v>17</v>
      </c>
      <c r="M58" s="233">
        <v>45940</v>
      </c>
      <c r="N58" s="32"/>
      <c r="U58" t="s">
        <v>4867</v>
      </c>
      <c r="V58" s="360">
        <v>0.35625000000000001</v>
      </c>
      <c r="W58" s="360">
        <v>0.60763888888888884</v>
      </c>
    </row>
    <row r="59" spans="1:23" hidden="1" x14ac:dyDescent="0.25">
      <c r="A59" s="483" t="s">
        <v>6695</v>
      </c>
      <c r="B59" t="s">
        <v>614</v>
      </c>
      <c r="C59" s="233">
        <v>45870</v>
      </c>
      <c r="D59" s="233">
        <v>45870</v>
      </c>
      <c r="E59" s="233"/>
      <c r="F59" s="28" t="s">
        <v>2029</v>
      </c>
      <c r="G59" s="1067" t="s">
        <v>6699</v>
      </c>
      <c r="H59"/>
      <c r="I59" t="s">
        <v>6735</v>
      </c>
      <c r="J59" s="798">
        <v>31152</v>
      </c>
      <c r="K59" s="3">
        <f t="shared" si="1"/>
        <v>27414</v>
      </c>
      <c r="L59" s="30" t="s">
        <v>17</v>
      </c>
      <c r="M59" s="233">
        <v>45933</v>
      </c>
      <c r="N59" s="32"/>
      <c r="U59" t="s">
        <v>6349</v>
      </c>
      <c r="V59" s="360">
        <v>0.33958333333333335</v>
      </c>
      <c r="W59" s="360"/>
    </row>
    <row r="60" spans="1:23" hidden="1" x14ac:dyDescent="0.25">
      <c r="A60" s="483" t="s">
        <v>6710</v>
      </c>
      <c r="B60" t="s">
        <v>614</v>
      </c>
      <c r="C60" s="233">
        <v>45875</v>
      </c>
      <c r="D60" s="233">
        <v>45875</v>
      </c>
      <c r="E60" s="233"/>
      <c r="F60" s="28" t="s">
        <v>4562</v>
      </c>
      <c r="G60" s="1067" t="s">
        <v>6736</v>
      </c>
      <c r="H60"/>
      <c r="I60" s="418" t="s">
        <v>6737</v>
      </c>
      <c r="J60" s="313">
        <v>31152</v>
      </c>
      <c r="K60" s="3">
        <f t="shared" si="1"/>
        <v>27414</v>
      </c>
      <c r="L60" s="30" t="s">
        <v>17</v>
      </c>
      <c r="M60" s="233">
        <v>45940</v>
      </c>
      <c r="N60" s="32"/>
      <c r="U60" t="s">
        <v>6151</v>
      </c>
      <c r="V60" s="360">
        <v>0.46875</v>
      </c>
      <c r="W60" s="360">
        <v>0.6166666666666667</v>
      </c>
    </row>
    <row r="61" spans="1:23" hidden="1" x14ac:dyDescent="0.25">
      <c r="A61" s="483" t="s">
        <v>6711</v>
      </c>
      <c r="B61" t="s">
        <v>614</v>
      </c>
      <c r="C61" s="233">
        <v>45876</v>
      </c>
      <c r="D61" s="233">
        <v>45876</v>
      </c>
      <c r="E61" s="233"/>
      <c r="F61" s="28" t="s">
        <v>1931</v>
      </c>
      <c r="G61" s="1067" t="s">
        <v>6780</v>
      </c>
      <c r="H61"/>
      <c r="I61" t="s">
        <v>6805</v>
      </c>
      <c r="J61" s="313">
        <v>62304</v>
      </c>
      <c r="K61" s="3">
        <f t="shared" si="1"/>
        <v>54828</v>
      </c>
      <c r="L61" s="30" t="s">
        <v>17</v>
      </c>
      <c r="M61" s="233">
        <v>45933</v>
      </c>
      <c r="N61" s="32"/>
      <c r="U61" t="s">
        <v>5026</v>
      </c>
      <c r="V61" s="360"/>
      <c r="W61" s="360"/>
    </row>
    <row r="62" spans="1:23" hidden="1" x14ac:dyDescent="0.25">
      <c r="A62" s="483" t="s">
        <v>6765</v>
      </c>
      <c r="B62" t="s">
        <v>614</v>
      </c>
      <c r="C62" s="233">
        <v>45878</v>
      </c>
      <c r="D62" s="233">
        <v>45878</v>
      </c>
      <c r="E62" s="233"/>
      <c r="F62" s="28" t="s">
        <v>4622</v>
      </c>
      <c r="G62" s="1067" t="s">
        <v>6807</v>
      </c>
      <c r="H62"/>
      <c r="I62" t="s">
        <v>6806</v>
      </c>
      <c r="J62" s="313">
        <v>31152</v>
      </c>
      <c r="K62" s="3">
        <f t="shared" si="1"/>
        <v>27414</v>
      </c>
      <c r="L62" s="30" t="s">
        <v>17</v>
      </c>
      <c r="M62" s="233">
        <v>45933</v>
      </c>
      <c r="N62" s="32"/>
      <c r="U62" t="s">
        <v>6349</v>
      </c>
      <c r="V62" s="360">
        <v>0.3444444444444445</v>
      </c>
      <c r="W62" s="360">
        <v>0.49305555555555558</v>
      </c>
    </row>
    <row r="63" spans="1:23" hidden="1" x14ac:dyDescent="0.25">
      <c r="A63" s="483" t="s">
        <v>6767</v>
      </c>
      <c r="B63" t="s">
        <v>614</v>
      </c>
      <c r="C63" s="233">
        <v>45880</v>
      </c>
      <c r="D63" s="233">
        <v>45880</v>
      </c>
      <c r="E63" s="233"/>
      <c r="F63" s="28" t="s">
        <v>2253</v>
      </c>
      <c r="G63" s="1067" t="s">
        <v>6808</v>
      </c>
      <c r="H63"/>
      <c r="I63" s="418" t="s">
        <v>6809</v>
      </c>
      <c r="J63" s="61">
        <v>62304</v>
      </c>
      <c r="K63" s="3">
        <f t="shared" si="1"/>
        <v>54828</v>
      </c>
      <c r="L63" s="30" t="s">
        <v>17</v>
      </c>
      <c r="M63" s="233">
        <v>45940</v>
      </c>
      <c r="N63" s="32"/>
      <c r="U63" t="s">
        <v>4297</v>
      </c>
      <c r="V63" s="360">
        <v>0.32222222222222224</v>
      </c>
      <c r="W63" s="360"/>
    </row>
    <row r="64" spans="1:23" hidden="1" x14ac:dyDescent="0.25">
      <c r="A64" s="483" t="s">
        <v>6778</v>
      </c>
      <c r="B64" t="s">
        <v>614</v>
      </c>
      <c r="C64" s="233">
        <v>45881</v>
      </c>
      <c r="D64" s="233">
        <v>45881</v>
      </c>
      <c r="E64" s="233"/>
      <c r="F64" s="28" t="s">
        <v>2036</v>
      </c>
      <c r="G64" s="1067" t="s">
        <v>6810</v>
      </c>
      <c r="H64"/>
      <c r="I64" t="s">
        <v>6811</v>
      </c>
      <c r="J64" s="61">
        <v>31152</v>
      </c>
      <c r="K64" s="3">
        <f t="shared" si="1"/>
        <v>27414</v>
      </c>
      <c r="L64" s="30" t="s">
        <v>17</v>
      </c>
      <c r="M64" s="233">
        <v>46283</v>
      </c>
      <c r="N64" s="32"/>
      <c r="U64" t="s">
        <v>5026</v>
      </c>
      <c r="V64" s="360">
        <v>0.36805555555555558</v>
      </c>
      <c r="W64" s="360">
        <v>0.48819444444444443</v>
      </c>
    </row>
    <row r="65" spans="1:23" hidden="1" x14ac:dyDescent="0.25">
      <c r="A65" s="483" t="s">
        <v>6797</v>
      </c>
      <c r="B65" t="s">
        <v>614</v>
      </c>
      <c r="C65" s="233">
        <v>45884</v>
      </c>
      <c r="D65" s="233">
        <v>45884</v>
      </c>
      <c r="E65" s="233"/>
      <c r="F65" s="28" t="s">
        <v>1931</v>
      </c>
      <c r="G65" s="1067" t="s">
        <v>6812</v>
      </c>
      <c r="H65" t="s">
        <v>279</v>
      </c>
      <c r="I65" s="5" t="s">
        <v>6937</v>
      </c>
      <c r="J65" s="61">
        <v>62304</v>
      </c>
      <c r="K65" s="3">
        <f t="shared" si="1"/>
        <v>54828</v>
      </c>
      <c r="L65" s="30" t="s">
        <v>17</v>
      </c>
      <c r="M65" s="233">
        <v>46093</v>
      </c>
      <c r="N65" s="32"/>
      <c r="U65" t="s">
        <v>6294</v>
      </c>
      <c r="V65" s="360">
        <v>0.31944444444444442</v>
      </c>
      <c r="W65" s="360">
        <v>0.63055555555555554</v>
      </c>
    </row>
    <row r="66" spans="1:23" hidden="1" x14ac:dyDescent="0.25">
      <c r="A66" s="483" t="s">
        <v>6799</v>
      </c>
      <c r="B66" t="s">
        <v>614</v>
      </c>
      <c r="C66" s="233">
        <v>45885</v>
      </c>
      <c r="D66" s="233">
        <v>45885</v>
      </c>
      <c r="E66" s="233"/>
      <c r="F66" s="28" t="s">
        <v>6803</v>
      </c>
      <c r="G66" s="1067" t="s">
        <v>6813</v>
      </c>
      <c r="H66"/>
      <c r="I66" s="418" t="s">
        <v>6938</v>
      </c>
      <c r="J66" s="61">
        <v>56425</v>
      </c>
      <c r="K66" s="3">
        <f t="shared" si="1"/>
        <v>49654</v>
      </c>
      <c r="L66" s="30" t="s">
        <v>17</v>
      </c>
      <c r="M66" s="233">
        <v>45940</v>
      </c>
      <c r="N66" s="32"/>
      <c r="U66" t="s">
        <v>6214</v>
      </c>
      <c r="V66" s="360">
        <v>0.4777777777777778</v>
      </c>
      <c r="W66" s="360"/>
    </row>
    <row r="67" spans="1:23" hidden="1" x14ac:dyDescent="0.25">
      <c r="A67" s="483" t="s">
        <v>6799</v>
      </c>
      <c r="B67" t="s">
        <v>614</v>
      </c>
      <c r="C67" s="233">
        <v>45885</v>
      </c>
      <c r="D67" s="233">
        <v>45885</v>
      </c>
      <c r="E67" s="233"/>
      <c r="F67" s="28" t="s">
        <v>2253</v>
      </c>
      <c r="G67" s="1067" t="s">
        <v>6804</v>
      </c>
      <c r="H67"/>
      <c r="I67" s="1148" t="s">
        <v>6940</v>
      </c>
      <c r="J67" s="61">
        <v>62304</v>
      </c>
      <c r="K67" s="3">
        <f t="shared" si="1"/>
        <v>54828</v>
      </c>
      <c r="L67" s="30" t="s">
        <v>17</v>
      </c>
      <c r="M67" s="233">
        <v>45965</v>
      </c>
      <c r="N67" s="32"/>
      <c r="U67" t="s">
        <v>6214</v>
      </c>
      <c r="V67" s="360">
        <v>18.489999999999998</v>
      </c>
      <c r="W67" s="360">
        <v>0.89513888888888893</v>
      </c>
    </row>
    <row r="68" spans="1:23" hidden="1" x14ac:dyDescent="0.25">
      <c r="A68" s="483">
        <v>20082025</v>
      </c>
      <c r="B68" t="s">
        <v>614</v>
      </c>
      <c r="C68" s="233">
        <v>45889</v>
      </c>
      <c r="D68" s="233">
        <v>45889</v>
      </c>
      <c r="E68" s="233"/>
      <c r="F68" s="28" t="s">
        <v>1931</v>
      </c>
      <c r="G68" s="1067" t="s">
        <v>6838</v>
      </c>
      <c r="H68" s="1067" t="s">
        <v>279</v>
      </c>
      <c r="I68" t="s">
        <v>6939</v>
      </c>
      <c r="J68" s="313">
        <v>62304</v>
      </c>
      <c r="K68" s="3">
        <f t="shared" si="1"/>
        <v>54828</v>
      </c>
      <c r="L68" s="30" t="s">
        <v>17</v>
      </c>
      <c r="M68" s="233">
        <v>45950</v>
      </c>
      <c r="N68" s="32"/>
      <c r="U68" t="s">
        <v>4983</v>
      </c>
      <c r="V68" s="360">
        <v>0.32569444444444445</v>
      </c>
      <c r="W68" s="360"/>
    </row>
    <row r="69" spans="1:23" hidden="1" x14ac:dyDescent="0.25">
      <c r="A69" s="483">
        <v>25082025</v>
      </c>
      <c r="B69" t="s">
        <v>614</v>
      </c>
      <c r="C69" s="233">
        <v>45894</v>
      </c>
      <c r="D69" s="233">
        <v>45894</v>
      </c>
      <c r="E69" s="233"/>
      <c r="F69" s="28" t="s">
        <v>106</v>
      </c>
      <c r="G69" s="1067" t="s">
        <v>6847</v>
      </c>
      <c r="H69"/>
      <c r="I69" s="1148" t="s">
        <v>6941</v>
      </c>
      <c r="J69" s="798">
        <v>31152</v>
      </c>
      <c r="K69" s="3">
        <f t="shared" si="1"/>
        <v>27414</v>
      </c>
      <c r="L69" s="30" t="s">
        <v>17</v>
      </c>
      <c r="M69" s="233">
        <v>45965</v>
      </c>
      <c r="N69" s="32"/>
      <c r="U69" t="s">
        <v>6294</v>
      </c>
      <c r="V69" s="30">
        <v>9.18</v>
      </c>
      <c r="W69" s="360"/>
    </row>
    <row r="70" spans="1:23" hidden="1" x14ac:dyDescent="0.25">
      <c r="A70" s="483" t="s">
        <v>6873</v>
      </c>
      <c r="B70" t="s">
        <v>614</v>
      </c>
      <c r="C70" s="233">
        <v>45902</v>
      </c>
      <c r="D70" s="233">
        <v>45902</v>
      </c>
      <c r="E70" s="233"/>
      <c r="F70" s="28" t="s">
        <v>2008</v>
      </c>
      <c r="G70" s="1067" t="s">
        <v>6933</v>
      </c>
      <c r="H70"/>
      <c r="I70" t="s">
        <v>6963</v>
      </c>
      <c r="J70" s="313">
        <v>55035</v>
      </c>
      <c r="K70" s="3">
        <f t="shared" si="1"/>
        <v>48431</v>
      </c>
      <c r="L70" s="30" t="s">
        <v>17</v>
      </c>
      <c r="M70" s="233">
        <v>45959</v>
      </c>
      <c r="N70" s="32"/>
      <c r="U70" t="s">
        <v>6294</v>
      </c>
      <c r="V70" s="360">
        <v>0.48819444444444443</v>
      </c>
      <c r="W70" s="360"/>
    </row>
    <row r="71" spans="1:23" hidden="1" x14ac:dyDescent="0.25">
      <c r="A71" s="483" t="s">
        <v>6875</v>
      </c>
      <c r="B71" t="s">
        <v>614</v>
      </c>
      <c r="C71" s="233">
        <v>45903</v>
      </c>
      <c r="D71" s="233">
        <v>45903</v>
      </c>
      <c r="E71" s="233"/>
      <c r="F71" s="28" t="s">
        <v>545</v>
      </c>
      <c r="G71" s="1067" t="s">
        <v>6934</v>
      </c>
      <c r="H71"/>
      <c r="I71" t="s">
        <v>6964</v>
      </c>
      <c r="J71" s="313">
        <v>37382.400000000001</v>
      </c>
      <c r="K71" s="3">
        <f t="shared" ref="K71:K102" si="2">+J71-ROUND(J71*0.12,0)</f>
        <v>32896.400000000001</v>
      </c>
      <c r="L71" s="30" t="s">
        <v>17</v>
      </c>
      <c r="M71" s="233">
        <v>45959</v>
      </c>
      <c r="N71" s="32"/>
      <c r="U71" t="s">
        <v>6294</v>
      </c>
      <c r="V71" s="360">
        <v>0.29722222222222222</v>
      </c>
      <c r="W71" s="360">
        <v>0.4694444444444445</v>
      </c>
    </row>
    <row r="72" spans="1:23" hidden="1" x14ac:dyDescent="0.25">
      <c r="A72" s="483" t="s">
        <v>6881</v>
      </c>
      <c r="B72" t="s">
        <v>614</v>
      </c>
      <c r="C72" s="233">
        <v>45905</v>
      </c>
      <c r="D72" s="233">
        <v>45905</v>
      </c>
      <c r="E72" s="233"/>
      <c r="F72" s="28" t="s">
        <v>317</v>
      </c>
      <c r="G72" s="1067" t="s">
        <v>6935</v>
      </c>
      <c r="H72"/>
      <c r="I72" t="s">
        <v>6965</v>
      </c>
      <c r="J72" s="313">
        <v>53996.800000000003</v>
      </c>
      <c r="K72" s="3">
        <f t="shared" si="2"/>
        <v>47516.800000000003</v>
      </c>
      <c r="L72" s="30" t="s">
        <v>17</v>
      </c>
      <c r="M72" s="233">
        <v>45959</v>
      </c>
      <c r="N72" s="32"/>
      <c r="U72" t="s">
        <v>6678</v>
      </c>
      <c r="V72" s="360">
        <v>0.29444444444444445</v>
      </c>
      <c r="W72" s="360"/>
    </row>
    <row r="73" spans="1:23" hidden="1" x14ac:dyDescent="0.25">
      <c r="A73" s="483" t="s">
        <v>6891</v>
      </c>
      <c r="B73" t="s">
        <v>614</v>
      </c>
      <c r="C73" s="233">
        <v>45909</v>
      </c>
      <c r="D73" s="233">
        <v>45909</v>
      </c>
      <c r="E73" s="233"/>
      <c r="F73" s="28" t="s">
        <v>143</v>
      </c>
      <c r="G73" s="1067" t="s">
        <v>6936</v>
      </c>
      <c r="H73"/>
      <c r="I73" s="1148" t="s">
        <v>6966</v>
      </c>
      <c r="J73" s="313">
        <v>43612.800000000003</v>
      </c>
      <c r="K73" s="3">
        <f t="shared" si="2"/>
        <v>38378.800000000003</v>
      </c>
      <c r="L73" s="30" t="s">
        <v>17</v>
      </c>
      <c r="M73" s="233">
        <v>45965</v>
      </c>
      <c r="N73" s="32"/>
      <c r="U73" t="s">
        <v>5989</v>
      </c>
      <c r="V73" s="360">
        <v>0.3034722222222222</v>
      </c>
      <c r="W73" s="360"/>
    </row>
    <row r="74" spans="1:23" hidden="1" x14ac:dyDescent="0.25">
      <c r="A74" s="483" t="s">
        <v>6907</v>
      </c>
      <c r="B74" t="s">
        <v>614</v>
      </c>
      <c r="C74" s="233">
        <v>45912</v>
      </c>
      <c r="D74" s="233">
        <v>45912</v>
      </c>
      <c r="E74" s="233"/>
      <c r="F74" s="28" t="s">
        <v>2036</v>
      </c>
      <c r="G74" s="1067" t="s">
        <v>6967</v>
      </c>
      <c r="H74"/>
      <c r="I74" s="926" t="s">
        <v>7232</v>
      </c>
      <c r="J74" s="313">
        <v>31152</v>
      </c>
      <c r="K74" s="3">
        <f t="shared" si="2"/>
        <v>27414</v>
      </c>
      <c r="L74" s="30" t="s">
        <v>17</v>
      </c>
      <c r="M74" s="233">
        <v>45968</v>
      </c>
      <c r="N74" s="32"/>
      <c r="U74" t="s">
        <v>4297</v>
      </c>
      <c r="V74" s="360"/>
      <c r="W74" s="360"/>
    </row>
    <row r="75" spans="1:23" hidden="1" x14ac:dyDescent="0.25">
      <c r="A75" s="483" t="s">
        <v>6949</v>
      </c>
      <c r="B75" t="s">
        <v>614</v>
      </c>
      <c r="C75" s="233">
        <v>45916</v>
      </c>
      <c r="D75" s="233">
        <v>45916</v>
      </c>
      <c r="E75" s="233"/>
      <c r="F75" s="28" t="s">
        <v>236</v>
      </c>
      <c r="G75" s="1067" t="s">
        <v>6998</v>
      </c>
      <c r="H75"/>
      <c r="I75" s="926" t="s">
        <v>7152</v>
      </c>
      <c r="J75" s="313">
        <v>62304</v>
      </c>
      <c r="K75" s="3">
        <f t="shared" si="2"/>
        <v>54828</v>
      </c>
      <c r="L75" s="30" t="s">
        <v>17</v>
      </c>
      <c r="M75" s="233">
        <v>45968</v>
      </c>
      <c r="N75" s="32"/>
      <c r="U75" t="s">
        <v>4297</v>
      </c>
      <c r="V75" s="360"/>
      <c r="W75" s="360"/>
    </row>
    <row r="76" spans="1:23" hidden="1" x14ac:dyDescent="0.25">
      <c r="A76" s="483">
        <v>21092025</v>
      </c>
      <c r="B76" t="s">
        <v>614</v>
      </c>
      <c r="C76" s="233">
        <v>45921</v>
      </c>
      <c r="D76" s="233">
        <v>45921</v>
      </c>
      <c r="E76" s="233"/>
      <c r="F76" s="28" t="s">
        <v>3676</v>
      </c>
      <c r="G76" s="1067" t="s">
        <v>6997</v>
      </c>
      <c r="H76"/>
      <c r="I76" s="1148" t="s">
        <v>7151</v>
      </c>
      <c r="J76" s="798">
        <v>26998.400000000001</v>
      </c>
      <c r="K76" s="3">
        <f t="shared" si="2"/>
        <v>23758.400000000001</v>
      </c>
      <c r="L76" s="30" t="s">
        <v>17</v>
      </c>
      <c r="M76" s="233">
        <v>45965</v>
      </c>
      <c r="N76" s="88"/>
      <c r="U76" t="s">
        <v>6214</v>
      </c>
      <c r="V76" s="360">
        <v>0.53541666666666665</v>
      </c>
      <c r="W76" s="360">
        <v>0.67291666666666661</v>
      </c>
    </row>
    <row r="77" spans="1:23" hidden="1" x14ac:dyDescent="0.25">
      <c r="A77" s="483">
        <v>22092025</v>
      </c>
      <c r="B77" t="s">
        <v>614</v>
      </c>
      <c r="C77" s="233">
        <v>45922</v>
      </c>
      <c r="D77" s="233">
        <v>45922</v>
      </c>
      <c r="E77" s="233"/>
      <c r="F77" s="28" t="s">
        <v>68</v>
      </c>
      <c r="G77" s="1067" t="s">
        <v>6999</v>
      </c>
      <c r="H77"/>
      <c r="I77" t="s">
        <v>7150</v>
      </c>
      <c r="J77" s="313">
        <v>49843</v>
      </c>
      <c r="K77" s="3">
        <f t="shared" si="2"/>
        <v>43862</v>
      </c>
      <c r="L77" s="30" t="s">
        <v>17</v>
      </c>
      <c r="M77" s="233">
        <v>46176</v>
      </c>
      <c r="N77" s="88"/>
      <c r="U77" t="s">
        <v>4853</v>
      </c>
      <c r="V77" s="360">
        <v>0.54999999999999993</v>
      </c>
      <c r="W77" s="360">
        <v>0.80347222222222225</v>
      </c>
    </row>
    <row r="78" spans="1:23" hidden="1" x14ac:dyDescent="0.25">
      <c r="A78" s="483">
        <v>24092025</v>
      </c>
      <c r="B78" t="s">
        <v>614</v>
      </c>
      <c r="C78" s="233">
        <v>45924</v>
      </c>
      <c r="D78" s="233">
        <v>45924</v>
      </c>
      <c r="E78" s="233"/>
      <c r="F78" s="28" t="s">
        <v>2029</v>
      </c>
      <c r="G78" s="1067" t="s">
        <v>7019</v>
      </c>
      <c r="H78"/>
      <c r="I78" s="1148" t="s">
        <v>7149</v>
      </c>
      <c r="J78" s="313">
        <v>33250</v>
      </c>
      <c r="K78" s="3">
        <f t="shared" si="2"/>
        <v>29260</v>
      </c>
      <c r="L78" s="30" t="s">
        <v>17</v>
      </c>
      <c r="M78" s="233">
        <v>45965</v>
      </c>
      <c r="N78" s="88"/>
      <c r="U78" t="s">
        <v>6898</v>
      </c>
      <c r="V78" s="360">
        <v>0.32916666666666666</v>
      </c>
      <c r="W78" s="360">
        <v>0.50069444444444444</v>
      </c>
    </row>
    <row r="79" spans="1:23" hidden="1" x14ac:dyDescent="0.25">
      <c r="A79" s="483">
        <v>24092025</v>
      </c>
      <c r="B79" t="s">
        <v>614</v>
      </c>
      <c r="C79" s="233">
        <v>45924</v>
      </c>
      <c r="D79" s="28">
        <v>45924</v>
      </c>
      <c r="E79" s="28"/>
      <c r="F79" s="1067" t="s">
        <v>68</v>
      </c>
      <c r="G79" t="s">
        <v>7020</v>
      </c>
      <c r="H79" s="313"/>
      <c r="I79" t="s">
        <v>7148</v>
      </c>
      <c r="J79" s="313">
        <v>49843</v>
      </c>
      <c r="K79" s="3">
        <f t="shared" si="2"/>
        <v>43862</v>
      </c>
      <c r="L79" s="236" t="s">
        <v>17</v>
      </c>
      <c r="M79" s="233">
        <v>45992</v>
      </c>
      <c r="T79" s="360"/>
      <c r="U79" s="360" t="s">
        <v>5026</v>
      </c>
      <c r="V79">
        <v>0.37361111111111112</v>
      </c>
      <c r="W79">
        <v>0.62986111111111109</v>
      </c>
    </row>
    <row r="80" spans="1:23" hidden="1" x14ac:dyDescent="0.25">
      <c r="A80" s="483" t="s">
        <v>7032</v>
      </c>
      <c r="B80" t="s">
        <v>614</v>
      </c>
      <c r="C80" s="233">
        <v>45930</v>
      </c>
      <c r="D80" s="28">
        <v>45930</v>
      </c>
      <c r="E80" s="28"/>
      <c r="F80" s="1067" t="s">
        <v>4622</v>
      </c>
      <c r="G80" t="s">
        <v>7153</v>
      </c>
      <c r="H80" s="313"/>
      <c r="I80" s="926" t="s">
        <v>7147</v>
      </c>
      <c r="J80" s="313">
        <v>31152</v>
      </c>
      <c r="K80" s="3">
        <f t="shared" si="2"/>
        <v>27414</v>
      </c>
      <c r="L80" s="30" t="s">
        <v>17</v>
      </c>
      <c r="M80" s="233">
        <v>45968</v>
      </c>
      <c r="T80" s="360"/>
      <c r="U80" s="360" t="s">
        <v>4140</v>
      </c>
      <c r="V80">
        <v>0.29652777777777778</v>
      </c>
      <c r="W80">
        <v>0.45069444444444445</v>
      </c>
    </row>
    <row r="81" spans="1:23" hidden="1" x14ac:dyDescent="0.25">
      <c r="A81" s="483" t="s">
        <v>7072</v>
      </c>
      <c r="B81" t="s">
        <v>614</v>
      </c>
      <c r="C81" s="233">
        <v>45937</v>
      </c>
      <c r="D81" s="28">
        <v>45937</v>
      </c>
      <c r="E81" s="28"/>
      <c r="F81" s="1067" t="s">
        <v>236</v>
      </c>
      <c r="G81" t="s">
        <v>7154</v>
      </c>
      <c r="H81" s="313"/>
      <c r="I81" t="s">
        <v>7146</v>
      </c>
      <c r="J81" s="313">
        <v>62304</v>
      </c>
      <c r="K81" s="3">
        <f t="shared" si="2"/>
        <v>54828</v>
      </c>
      <c r="L81" s="30" t="s">
        <v>17</v>
      </c>
      <c r="M81" s="233">
        <v>46003</v>
      </c>
      <c r="T81" s="360"/>
      <c r="U81" s="360" t="s">
        <v>6214</v>
      </c>
    </row>
    <row r="82" spans="1:23" hidden="1" x14ac:dyDescent="0.25">
      <c r="A82" s="483" t="s">
        <v>7077</v>
      </c>
      <c r="B82" t="s">
        <v>614</v>
      </c>
      <c r="C82" s="233">
        <v>45938</v>
      </c>
      <c r="D82" s="233">
        <v>45938</v>
      </c>
      <c r="E82" s="233"/>
      <c r="F82" s="28" t="s">
        <v>113</v>
      </c>
      <c r="G82" s="1067" t="s">
        <v>7155</v>
      </c>
      <c r="H82"/>
      <c r="I82" t="s">
        <v>7145</v>
      </c>
      <c r="J82" s="313">
        <v>40062</v>
      </c>
      <c r="K82" s="3">
        <f t="shared" si="2"/>
        <v>35255</v>
      </c>
      <c r="L82" s="30" t="s">
        <v>17</v>
      </c>
      <c r="M82" s="233"/>
      <c r="N82" s="88"/>
      <c r="U82" t="s">
        <v>5131</v>
      </c>
      <c r="V82" s="360">
        <v>0.35000000000000003</v>
      </c>
      <c r="W82" s="360">
        <v>0.49583333333333335</v>
      </c>
    </row>
    <row r="83" spans="1:23" hidden="1" x14ac:dyDescent="0.25">
      <c r="A83" s="483" t="s">
        <v>7079</v>
      </c>
      <c r="B83" t="s">
        <v>614</v>
      </c>
      <c r="C83" s="233">
        <v>45939</v>
      </c>
      <c r="D83" s="233">
        <v>45939</v>
      </c>
      <c r="E83" s="233"/>
      <c r="F83" s="28" t="s">
        <v>2353</v>
      </c>
      <c r="G83" s="1067" t="s">
        <v>7156</v>
      </c>
      <c r="H83"/>
      <c r="I83" t="s">
        <v>7144</v>
      </c>
      <c r="J83" s="313">
        <v>46020</v>
      </c>
      <c r="K83" s="3">
        <f t="shared" si="2"/>
        <v>40498</v>
      </c>
      <c r="L83" s="30" t="s">
        <v>17</v>
      </c>
      <c r="M83" s="233">
        <v>45992</v>
      </c>
      <c r="N83" s="88"/>
      <c r="V83" s="360"/>
      <c r="W83" s="360"/>
    </row>
    <row r="84" spans="1:23" hidden="1" x14ac:dyDescent="0.25">
      <c r="A84" s="483">
        <v>12102025</v>
      </c>
      <c r="B84" t="s">
        <v>614</v>
      </c>
      <c r="C84" s="233">
        <v>45942</v>
      </c>
      <c r="D84" s="233">
        <v>45942</v>
      </c>
      <c r="E84" s="233"/>
      <c r="F84" s="28" t="s">
        <v>68</v>
      </c>
      <c r="G84" s="1067" t="s">
        <v>7157</v>
      </c>
      <c r="H84" s="1067" t="s">
        <v>279</v>
      </c>
      <c r="I84" t="s">
        <v>7143</v>
      </c>
      <c r="J84" s="313">
        <v>49843</v>
      </c>
      <c r="K84" s="3">
        <f t="shared" si="2"/>
        <v>43862</v>
      </c>
      <c r="L84" s="30" t="s">
        <v>17</v>
      </c>
      <c r="M84" s="233">
        <v>46003</v>
      </c>
      <c r="N84" s="88"/>
      <c r="U84" t="s">
        <v>4867</v>
      </c>
      <c r="V84" s="360">
        <v>0.38611111111111113</v>
      </c>
      <c r="W84" s="360">
        <v>0.65416666666666667</v>
      </c>
    </row>
    <row r="85" spans="1:23" hidden="1" x14ac:dyDescent="0.25">
      <c r="A85" s="483">
        <v>12102025</v>
      </c>
      <c r="B85" t="s">
        <v>614</v>
      </c>
      <c r="C85" s="233">
        <v>45942</v>
      </c>
      <c r="D85" s="233">
        <v>45942</v>
      </c>
      <c r="E85" s="233"/>
      <c r="F85" s="28" t="s">
        <v>425</v>
      </c>
      <c r="G85" s="1067" t="s">
        <v>7158</v>
      </c>
      <c r="H85" s="1067" t="s">
        <v>279</v>
      </c>
      <c r="I85" t="s">
        <v>7142</v>
      </c>
      <c r="J85" s="313">
        <v>39459.199999999997</v>
      </c>
      <c r="K85" s="3">
        <f t="shared" si="2"/>
        <v>34724.199999999997</v>
      </c>
      <c r="L85" s="30" t="s">
        <v>17</v>
      </c>
      <c r="M85" s="233">
        <v>46003</v>
      </c>
      <c r="N85" s="88"/>
      <c r="U85" t="s">
        <v>4396</v>
      </c>
      <c r="V85" s="360">
        <v>0.41041666666666665</v>
      </c>
      <c r="W85" s="360">
        <v>0.58888888888888891</v>
      </c>
    </row>
    <row r="86" spans="1:23" hidden="1" x14ac:dyDescent="0.25">
      <c r="A86" s="483">
        <v>16102025</v>
      </c>
      <c r="B86" t="s">
        <v>614</v>
      </c>
      <c r="C86" s="233">
        <v>45946</v>
      </c>
      <c r="D86" s="233">
        <v>45946</v>
      </c>
      <c r="E86" s="233"/>
      <c r="F86" s="28" t="s">
        <v>2253</v>
      </c>
      <c r="G86" s="1067" t="s">
        <v>7202</v>
      </c>
      <c r="H86"/>
      <c r="I86" t="s">
        <v>7201</v>
      </c>
      <c r="J86" s="313">
        <v>62304</v>
      </c>
      <c r="K86" s="3">
        <f t="shared" si="2"/>
        <v>54828</v>
      </c>
      <c r="L86" s="30" t="s">
        <v>17</v>
      </c>
      <c r="M86" s="233">
        <v>45992</v>
      </c>
      <c r="N86" s="88"/>
      <c r="V86" s="360"/>
      <c r="W86" s="360"/>
    </row>
    <row r="87" spans="1:23" hidden="1" x14ac:dyDescent="0.25">
      <c r="A87" s="483">
        <v>17102025</v>
      </c>
      <c r="B87" t="s">
        <v>614</v>
      </c>
      <c r="C87" s="233">
        <v>45947</v>
      </c>
      <c r="D87" s="233">
        <v>45947</v>
      </c>
      <c r="E87" s="233"/>
      <c r="F87" s="28" t="s">
        <v>563</v>
      </c>
      <c r="G87" s="1067" t="s">
        <v>7203</v>
      </c>
      <c r="H87"/>
      <c r="I87" t="s">
        <v>7204</v>
      </c>
      <c r="J87" s="313">
        <v>33228.199999999997</v>
      </c>
      <c r="K87" s="3">
        <f t="shared" si="2"/>
        <v>29241.199999999997</v>
      </c>
      <c r="L87" s="30" t="s">
        <v>17</v>
      </c>
      <c r="M87" s="233">
        <v>46021</v>
      </c>
      <c r="N87" s="88"/>
      <c r="U87" t="s">
        <v>6347</v>
      </c>
      <c r="V87" s="360">
        <v>0.33680555555555558</v>
      </c>
      <c r="W87" s="360"/>
    </row>
    <row r="88" spans="1:23" hidden="1" x14ac:dyDescent="0.25">
      <c r="A88" s="483">
        <v>18102025</v>
      </c>
      <c r="B88" t="s">
        <v>614</v>
      </c>
      <c r="C88" s="233">
        <v>45948</v>
      </c>
      <c r="D88" s="587">
        <v>45948</v>
      </c>
      <c r="E88" s="587"/>
      <c r="F88" s="28" t="s">
        <v>68</v>
      </c>
      <c r="G88" s="1067" t="s">
        <v>7205</v>
      </c>
      <c r="H88" s="13"/>
      <c r="I88" t="s">
        <v>7206</v>
      </c>
      <c r="J88" s="313">
        <v>49843</v>
      </c>
      <c r="K88" s="3">
        <f t="shared" si="2"/>
        <v>43862</v>
      </c>
      <c r="L88" s="30" t="s">
        <v>17</v>
      </c>
      <c r="M88" s="233">
        <v>46003</v>
      </c>
      <c r="N88" s="88"/>
      <c r="U88" t="s">
        <v>6898</v>
      </c>
      <c r="V88" s="360">
        <v>0.72638888888888886</v>
      </c>
      <c r="W88" s="360">
        <v>0.9506944444444444</v>
      </c>
    </row>
    <row r="89" spans="1:23" hidden="1" x14ac:dyDescent="0.25">
      <c r="A89" s="690">
        <v>19102025</v>
      </c>
      <c r="B89" t="s">
        <v>614</v>
      </c>
      <c r="C89" s="233">
        <v>45949</v>
      </c>
      <c r="D89" s="233">
        <v>45949</v>
      </c>
      <c r="E89" s="233"/>
      <c r="F89" s="28" t="s">
        <v>285</v>
      </c>
      <c r="G89" s="1067" t="s">
        <v>7207</v>
      </c>
      <c r="H89"/>
      <c r="I89" t="s">
        <v>7208</v>
      </c>
      <c r="J89" s="313">
        <v>51920</v>
      </c>
      <c r="K89" s="3">
        <f t="shared" si="2"/>
        <v>45690</v>
      </c>
      <c r="L89" s="30" t="s">
        <v>17</v>
      </c>
      <c r="M89" s="233">
        <v>45992</v>
      </c>
      <c r="N89" s="88"/>
      <c r="U89" s="5" t="s">
        <v>7123</v>
      </c>
      <c r="V89" s="360">
        <v>0.5756944444444444</v>
      </c>
      <c r="W89" s="360">
        <v>0.81319444444444444</v>
      </c>
    </row>
    <row r="90" spans="1:23" hidden="1" x14ac:dyDescent="0.25">
      <c r="A90" s="483">
        <v>27102025</v>
      </c>
      <c r="B90" t="s">
        <v>614</v>
      </c>
      <c r="C90" s="233">
        <v>45957</v>
      </c>
      <c r="D90" s="233">
        <v>45957</v>
      </c>
      <c r="E90" s="233"/>
      <c r="F90" s="28" t="s">
        <v>1931</v>
      </c>
      <c r="G90" s="1067" t="s">
        <v>7209</v>
      </c>
      <c r="H90"/>
      <c r="I90" t="s">
        <v>7210</v>
      </c>
      <c r="J90" s="313">
        <v>62304</v>
      </c>
      <c r="K90" s="3">
        <f t="shared" si="2"/>
        <v>54828</v>
      </c>
      <c r="L90" s="30" t="s">
        <v>17</v>
      </c>
      <c r="M90" s="233">
        <v>46021</v>
      </c>
      <c r="N90" s="88"/>
      <c r="U90" t="s">
        <v>4297</v>
      </c>
      <c r="V90" s="360">
        <v>0.60625000000000007</v>
      </c>
      <c r="W90" s="360"/>
    </row>
    <row r="91" spans="1:23" hidden="1" x14ac:dyDescent="0.25">
      <c r="A91" s="483">
        <v>29102025</v>
      </c>
      <c r="B91" t="s">
        <v>614</v>
      </c>
      <c r="C91" s="233">
        <v>45959</v>
      </c>
      <c r="D91" s="233">
        <v>45959</v>
      </c>
      <c r="E91" s="233"/>
      <c r="F91" s="28" t="s">
        <v>68</v>
      </c>
      <c r="G91" s="1067" t="s">
        <v>7292</v>
      </c>
      <c r="H91" s="88"/>
      <c r="I91" t="s">
        <v>7381</v>
      </c>
      <c r="J91" s="798">
        <v>49843</v>
      </c>
      <c r="K91" s="3">
        <f t="shared" si="2"/>
        <v>43862</v>
      </c>
      <c r="L91" s="30" t="s">
        <v>17</v>
      </c>
      <c r="M91" s="233">
        <v>45693</v>
      </c>
      <c r="N91" s="88"/>
      <c r="V91" s="360"/>
      <c r="W91" s="360"/>
    </row>
    <row r="92" spans="1:23" hidden="1" x14ac:dyDescent="0.25">
      <c r="A92" s="483">
        <v>30102025</v>
      </c>
      <c r="B92" t="s">
        <v>614</v>
      </c>
      <c r="C92" s="233">
        <v>45960</v>
      </c>
      <c r="D92" s="233">
        <v>45960</v>
      </c>
      <c r="E92" s="233"/>
      <c r="F92" s="30" t="s">
        <v>285</v>
      </c>
      <c r="G92" s="1067" t="s">
        <v>7293</v>
      </c>
      <c r="H92"/>
      <c r="I92" t="s">
        <v>7294</v>
      </c>
      <c r="J92" s="313">
        <v>51920</v>
      </c>
      <c r="K92" s="9">
        <f t="shared" si="2"/>
        <v>45690</v>
      </c>
      <c r="L92" s="30" t="s">
        <v>17</v>
      </c>
      <c r="M92" s="233">
        <v>46129</v>
      </c>
      <c r="N92" s="88"/>
      <c r="V92" s="360"/>
      <c r="W92" s="360"/>
    </row>
    <row r="93" spans="1:23" hidden="1" x14ac:dyDescent="0.25">
      <c r="A93" s="483" t="s">
        <v>7227</v>
      </c>
      <c r="B93" t="s">
        <v>614</v>
      </c>
      <c r="C93" s="233">
        <v>45966</v>
      </c>
      <c r="D93" s="233">
        <v>45966</v>
      </c>
      <c r="E93" s="233"/>
      <c r="F93" s="28" t="s">
        <v>2036</v>
      </c>
      <c r="G93" s="1067" t="s">
        <v>7295</v>
      </c>
      <c r="H93"/>
      <c r="I93" s="5" t="s">
        <v>7296</v>
      </c>
      <c r="J93" s="798">
        <v>31152</v>
      </c>
      <c r="K93" s="3">
        <f t="shared" si="2"/>
        <v>27414</v>
      </c>
      <c r="L93" s="30" t="s">
        <v>17</v>
      </c>
      <c r="M93" s="233">
        <v>46093</v>
      </c>
      <c r="N93" s="88"/>
      <c r="U93" t="s">
        <v>6294</v>
      </c>
      <c r="V93" s="360">
        <v>0.38194444444444442</v>
      </c>
      <c r="W93" s="360"/>
    </row>
    <row r="94" spans="1:23" hidden="1" x14ac:dyDescent="0.25">
      <c r="A94" s="483" t="s">
        <v>7228</v>
      </c>
      <c r="B94" t="s">
        <v>614</v>
      </c>
      <c r="C94" s="233">
        <v>45967</v>
      </c>
      <c r="D94" s="233">
        <v>45967</v>
      </c>
      <c r="E94" s="233"/>
      <c r="F94" s="28" t="s">
        <v>2253</v>
      </c>
      <c r="G94" s="1067" t="s">
        <v>7297</v>
      </c>
      <c r="H94"/>
      <c r="I94" t="s">
        <v>7298</v>
      </c>
      <c r="J94" s="798">
        <v>44651</v>
      </c>
      <c r="K94" s="3">
        <f t="shared" si="2"/>
        <v>39293</v>
      </c>
      <c r="L94" s="30" t="s">
        <v>17</v>
      </c>
      <c r="M94" s="233">
        <v>46220</v>
      </c>
      <c r="N94" s="88"/>
      <c r="U94" t="s">
        <v>6214</v>
      </c>
      <c r="V94" s="360">
        <v>0.33055555555555555</v>
      </c>
      <c r="W94" s="360">
        <v>0.4777777777777778</v>
      </c>
    </row>
    <row r="95" spans="1:23" hidden="1" x14ac:dyDescent="0.25">
      <c r="A95" s="483" t="s">
        <v>7228</v>
      </c>
      <c r="B95" t="s">
        <v>614</v>
      </c>
      <c r="C95" s="233">
        <v>45967</v>
      </c>
      <c r="D95" s="233">
        <v>45967</v>
      </c>
      <c r="E95" s="233"/>
      <c r="F95" s="28" t="s">
        <v>872</v>
      </c>
      <c r="G95" s="1067" t="s">
        <v>7299</v>
      </c>
      <c r="H95"/>
      <c r="I95" t="s">
        <v>7300</v>
      </c>
      <c r="J95" s="798">
        <v>44651</v>
      </c>
      <c r="K95" s="3">
        <f t="shared" si="2"/>
        <v>39293</v>
      </c>
      <c r="L95" s="30" t="s">
        <v>17</v>
      </c>
      <c r="M95" s="233">
        <v>46220</v>
      </c>
      <c r="N95" s="88"/>
      <c r="U95" t="s">
        <v>7078</v>
      </c>
      <c r="V95" s="360">
        <v>0.40625</v>
      </c>
      <c r="W95" s="360"/>
    </row>
    <row r="96" spans="1:23" hidden="1" x14ac:dyDescent="0.25">
      <c r="A96" s="483" t="s">
        <v>7246</v>
      </c>
      <c r="B96" t="s">
        <v>614</v>
      </c>
      <c r="C96" s="233">
        <v>45970</v>
      </c>
      <c r="D96" s="233">
        <v>45970</v>
      </c>
      <c r="E96" s="233"/>
      <c r="F96" s="28" t="s">
        <v>68</v>
      </c>
      <c r="G96" s="1067" t="s">
        <v>7301</v>
      </c>
      <c r="H96"/>
      <c r="I96" t="s">
        <v>7302</v>
      </c>
      <c r="J96" s="798">
        <v>49843</v>
      </c>
      <c r="K96" s="3">
        <f t="shared" si="2"/>
        <v>43862</v>
      </c>
      <c r="L96" s="30" t="s">
        <v>17</v>
      </c>
      <c r="M96" s="233">
        <v>46021</v>
      </c>
      <c r="N96" s="88"/>
      <c r="U96" t="s">
        <v>5131</v>
      </c>
      <c r="V96" s="360">
        <v>0.28263888888888888</v>
      </c>
      <c r="W96" s="360">
        <v>0.52847222222222223</v>
      </c>
    </row>
    <row r="97" spans="1:16378" hidden="1" x14ac:dyDescent="0.25">
      <c r="A97" s="483">
        <v>10112025</v>
      </c>
      <c r="B97" t="s">
        <v>614</v>
      </c>
      <c r="C97" s="233">
        <v>45971</v>
      </c>
      <c r="D97" s="233">
        <v>45971</v>
      </c>
      <c r="E97" s="233"/>
      <c r="F97" s="28" t="s">
        <v>285</v>
      </c>
      <c r="G97" s="1067" t="s">
        <v>7303</v>
      </c>
      <c r="H97"/>
      <c r="I97" t="s">
        <v>7304</v>
      </c>
      <c r="J97" s="798">
        <v>51920</v>
      </c>
      <c r="K97" s="3">
        <f t="shared" si="2"/>
        <v>45690</v>
      </c>
      <c r="L97" s="30" t="s">
        <v>17</v>
      </c>
      <c r="M97" s="233">
        <v>46057</v>
      </c>
      <c r="N97" s="88"/>
      <c r="U97" t="s">
        <v>7105</v>
      </c>
      <c r="V97" s="360">
        <v>0.29305555555555557</v>
      </c>
      <c r="W97" s="360"/>
    </row>
    <row r="98" spans="1:16378" hidden="1" x14ac:dyDescent="0.25">
      <c r="A98" s="483">
        <v>14112025</v>
      </c>
      <c r="B98" t="s">
        <v>614</v>
      </c>
      <c r="C98" s="233">
        <v>45975</v>
      </c>
      <c r="D98" s="28">
        <v>45975</v>
      </c>
      <c r="E98" s="28"/>
      <c r="F98" s="1067" t="s">
        <v>285</v>
      </c>
      <c r="G98" t="s">
        <v>7305</v>
      </c>
      <c r="H98" s="798"/>
      <c r="I98" s="3" t="s">
        <v>7330</v>
      </c>
      <c r="J98" s="32">
        <v>51920</v>
      </c>
      <c r="K98" s="3">
        <f t="shared" si="2"/>
        <v>45690</v>
      </c>
      <c r="L98" s="30" t="s">
        <v>17</v>
      </c>
      <c r="M98" s="233"/>
      <c r="T98" s="360"/>
      <c r="U98" s="360" t="s">
        <v>6678</v>
      </c>
      <c r="V98">
        <v>0.2986111111111111</v>
      </c>
    </row>
    <row r="99" spans="1:16378" hidden="1" x14ac:dyDescent="0.25">
      <c r="A99" s="483">
        <v>28112025</v>
      </c>
      <c r="B99" t="s">
        <v>614</v>
      </c>
      <c r="C99" s="233">
        <v>45989</v>
      </c>
      <c r="D99" s="233">
        <v>45989</v>
      </c>
      <c r="E99" s="233"/>
      <c r="F99" s="28" t="s">
        <v>6982</v>
      </c>
      <c r="G99" s="1067" t="s">
        <v>6998</v>
      </c>
      <c r="H99"/>
      <c r="I99" t="s">
        <v>7380</v>
      </c>
      <c r="J99" s="798">
        <v>52828.6</v>
      </c>
      <c r="K99" s="3">
        <f t="shared" si="2"/>
        <v>46489.599999999999</v>
      </c>
      <c r="L99" s="30" t="s">
        <v>17</v>
      </c>
      <c r="M99" s="233">
        <v>46142</v>
      </c>
      <c r="N99" s="88"/>
      <c r="S99" t="s">
        <v>4138</v>
      </c>
      <c r="T99" s="360">
        <v>0.47083333333333338</v>
      </c>
      <c r="U99" s="360"/>
    </row>
    <row r="100" spans="1:16378" hidden="1" x14ac:dyDescent="0.25">
      <c r="A100" s="483" t="s">
        <v>7360</v>
      </c>
      <c r="B100" t="s">
        <v>614</v>
      </c>
      <c r="C100" s="233">
        <v>45995</v>
      </c>
      <c r="D100" s="233">
        <v>45995</v>
      </c>
      <c r="E100" s="233"/>
      <c r="F100" s="28" t="s">
        <v>1917</v>
      </c>
      <c r="G100" s="1067" t="s">
        <v>7158</v>
      </c>
      <c r="H100"/>
      <c r="I100" s="1073" t="s">
        <v>7403</v>
      </c>
      <c r="J100" s="240">
        <v>33618.199999999997</v>
      </c>
      <c r="K100" s="3">
        <f t="shared" si="2"/>
        <v>29584.199999999997</v>
      </c>
      <c r="L100" s="30" t="s">
        <v>17</v>
      </c>
      <c r="M100" s="233">
        <v>46093</v>
      </c>
      <c r="N100" s="88"/>
      <c r="U100" t="s">
        <v>5989</v>
      </c>
      <c r="V100" s="360">
        <v>0.51736111111111105</v>
      </c>
      <c r="W100" s="360"/>
    </row>
    <row r="101" spans="1:16378" hidden="1" x14ac:dyDescent="0.25">
      <c r="A101" s="483" t="s">
        <v>7377</v>
      </c>
      <c r="B101" t="s">
        <v>614</v>
      </c>
      <c r="C101" s="233">
        <v>46002</v>
      </c>
      <c r="D101" s="233">
        <v>46002</v>
      </c>
      <c r="E101" s="233"/>
      <c r="F101" s="28" t="s">
        <v>6546</v>
      </c>
      <c r="G101" s="1067" t="s">
        <v>7384</v>
      </c>
      <c r="H101"/>
      <c r="I101" s="1067" t="s">
        <v>7402</v>
      </c>
      <c r="J101" s="240">
        <v>35364.6</v>
      </c>
      <c r="K101" s="3">
        <f t="shared" si="2"/>
        <v>31120.6</v>
      </c>
      <c r="L101" s="30" t="s">
        <v>17</v>
      </c>
      <c r="M101" s="233">
        <v>46023</v>
      </c>
      <c r="N101" s="88"/>
      <c r="U101" t="s">
        <v>7141</v>
      </c>
      <c r="V101" s="360"/>
      <c r="W101" s="360"/>
    </row>
    <row r="102" spans="1:16378" hidden="1" x14ac:dyDescent="0.25">
      <c r="A102" s="483" t="s">
        <v>7378</v>
      </c>
      <c r="B102" t="s">
        <v>614</v>
      </c>
      <c r="C102" s="233">
        <v>46003</v>
      </c>
      <c r="D102" s="233">
        <v>46003</v>
      </c>
      <c r="E102" s="233"/>
      <c r="F102" s="28" t="s">
        <v>7379</v>
      </c>
      <c r="G102" s="1067" t="s">
        <v>6696</v>
      </c>
      <c r="H102"/>
      <c r="I102" s="5" t="s">
        <v>7401</v>
      </c>
      <c r="J102" s="240">
        <v>46716.2</v>
      </c>
      <c r="K102" s="3">
        <f t="shared" si="2"/>
        <v>41110.199999999997</v>
      </c>
      <c r="L102" s="30" t="s">
        <v>17</v>
      </c>
      <c r="M102" s="233">
        <v>46093</v>
      </c>
      <c r="N102" s="88"/>
      <c r="V102" s="360"/>
      <c r="W102" s="360"/>
    </row>
    <row r="103" spans="1:16378" hidden="1" x14ac:dyDescent="0.25">
      <c r="A103" s="483" t="s">
        <v>7539</v>
      </c>
      <c r="B103" t="s">
        <v>614</v>
      </c>
      <c r="C103" s="233">
        <v>46036</v>
      </c>
      <c r="D103" s="233">
        <v>46036</v>
      </c>
      <c r="E103" s="233"/>
      <c r="F103" s="28" t="s">
        <v>1744</v>
      </c>
      <c r="G103" s="1067" t="s">
        <v>7540</v>
      </c>
      <c r="H103"/>
      <c r="I103" t="s">
        <v>7623</v>
      </c>
      <c r="J103" s="240">
        <v>47790</v>
      </c>
      <c r="K103" s="3">
        <f t="shared" ref="K103:K109" si="3">+J103-ROUND(J103*0.12,0)</f>
        <v>42055</v>
      </c>
      <c r="L103" s="30" t="s">
        <v>17</v>
      </c>
      <c r="M103" s="233">
        <v>46118</v>
      </c>
      <c r="N103" s="88"/>
      <c r="U103" t="s">
        <v>5989</v>
      </c>
      <c r="V103" s="360">
        <v>0.34375</v>
      </c>
      <c r="W103" s="360"/>
    </row>
    <row r="104" spans="1:16378" hidden="1" x14ac:dyDescent="0.25">
      <c r="A104" s="483" t="s">
        <v>7625</v>
      </c>
      <c r="B104" t="s">
        <v>614</v>
      </c>
      <c r="C104" s="233">
        <v>46057</v>
      </c>
      <c r="D104" s="233">
        <v>46057</v>
      </c>
      <c r="E104" s="28"/>
      <c r="F104" s="28" t="s">
        <v>675</v>
      </c>
      <c r="G104" s="1067" t="s">
        <v>7528</v>
      </c>
      <c r="H104" s="1067" t="s">
        <v>279</v>
      </c>
      <c r="I104" t="s">
        <v>7659</v>
      </c>
      <c r="J104" s="313">
        <v>44096.6</v>
      </c>
      <c r="K104" s="3">
        <f t="shared" si="3"/>
        <v>38804.6</v>
      </c>
      <c r="L104" s="1354" t="s">
        <v>17</v>
      </c>
      <c r="M104" s="233">
        <v>46094</v>
      </c>
      <c r="T104" t="s">
        <v>5393</v>
      </c>
      <c r="U104" s="360">
        <v>0.41736111111111113</v>
      </c>
      <c r="V104" s="360"/>
    </row>
    <row r="105" spans="1:16378" s="21" customFormat="1" hidden="1" x14ac:dyDescent="0.25">
      <c r="A105" s="509" t="s">
        <v>7823</v>
      </c>
      <c r="B105" s="21" t="s">
        <v>614</v>
      </c>
      <c r="C105" s="233">
        <v>46094</v>
      </c>
      <c r="D105" s="510">
        <v>46094</v>
      </c>
      <c r="E105" s="177"/>
      <c r="F105" s="177" t="s">
        <v>126</v>
      </c>
      <c r="G105" s="21" t="s">
        <v>7770</v>
      </c>
      <c r="H105" s="1175" t="s">
        <v>279</v>
      </c>
      <c r="I105" s="21" t="s">
        <v>7841</v>
      </c>
      <c r="J105" s="1293">
        <v>37111</v>
      </c>
      <c r="K105" s="3">
        <f t="shared" si="3"/>
        <v>32658</v>
      </c>
      <c r="L105" s="30" t="s">
        <v>17</v>
      </c>
      <c r="M105" s="233">
        <v>46118</v>
      </c>
      <c r="U105" s="488"/>
      <c r="V105" s="488"/>
    </row>
    <row r="106" spans="1:16378" s="21" customFormat="1" x14ac:dyDescent="0.25">
      <c r="A106" s="483">
        <v>25072026</v>
      </c>
      <c r="B106" t="s">
        <v>614</v>
      </c>
      <c r="C106" s="233">
        <v>46228</v>
      </c>
      <c r="D106" s="233">
        <v>46228</v>
      </c>
      <c r="E106" s="28"/>
      <c r="F106" s="313" t="s">
        <v>6546</v>
      </c>
      <c r="G106" s="1067" t="s">
        <v>8411</v>
      </c>
      <c r="H106" s="88" t="s">
        <v>279</v>
      </c>
      <c r="I106" s="21" t="s">
        <v>8512</v>
      </c>
      <c r="J106" s="313">
        <v>35364.6</v>
      </c>
      <c r="K106" s="3">
        <f t="shared" si="3"/>
        <v>31120.6</v>
      </c>
      <c r="L106"/>
      <c r="M106"/>
      <c r="N106"/>
      <c r="O106"/>
      <c r="P106" t="s">
        <v>8118</v>
      </c>
      <c r="Q106" s="360">
        <v>0.49166666666666664</v>
      </c>
      <c r="R106" s="360">
        <v>0.74513888888888891</v>
      </c>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c r="KT106"/>
      <c r="KU106"/>
      <c r="KV106"/>
      <c r="KW106"/>
      <c r="KX106"/>
      <c r="KY106"/>
      <c r="KZ106"/>
      <c r="LA106"/>
      <c r="LB106"/>
      <c r="LC106"/>
      <c r="LD106"/>
      <c r="LE106"/>
      <c r="LF106"/>
      <c r="LG106"/>
      <c r="LH106"/>
      <c r="LI106"/>
      <c r="LJ106"/>
      <c r="LK106"/>
      <c r="LL106"/>
      <c r="LM106"/>
      <c r="LN106"/>
      <c r="LO106"/>
      <c r="LP106"/>
      <c r="LQ106"/>
      <c r="LR106"/>
      <c r="LS106"/>
      <c r="LT106"/>
      <c r="LU106"/>
      <c r="LV106"/>
      <c r="LW106"/>
      <c r="LX106"/>
      <c r="LY106"/>
      <c r="LZ106"/>
      <c r="MA106"/>
      <c r="MB106"/>
      <c r="MC106"/>
      <c r="MD106"/>
      <c r="ME106"/>
      <c r="MF106"/>
      <c r="MG106"/>
      <c r="MH106"/>
      <c r="MI106"/>
      <c r="MJ106"/>
      <c r="MK106"/>
      <c r="ML106"/>
      <c r="MM106"/>
      <c r="MN106"/>
      <c r="MO106"/>
      <c r="MP106"/>
      <c r="MQ106"/>
      <c r="MR106"/>
      <c r="MS106"/>
      <c r="MT106"/>
      <c r="MU106"/>
      <c r="MV106"/>
      <c r="MW106"/>
      <c r="MX106"/>
      <c r="MY106"/>
      <c r="MZ106"/>
      <c r="NA106"/>
      <c r="NB106"/>
      <c r="NC106"/>
      <c r="ND106"/>
      <c r="NE106"/>
      <c r="NF106"/>
      <c r="NG106"/>
      <c r="NH106"/>
      <c r="NI106"/>
      <c r="NJ106"/>
      <c r="NK106"/>
      <c r="NL106"/>
      <c r="NM106"/>
      <c r="NN106"/>
      <c r="NO106"/>
      <c r="NP106"/>
      <c r="NQ106"/>
      <c r="NR106"/>
      <c r="NS106"/>
      <c r="NT106"/>
      <c r="NU106"/>
      <c r="NV106"/>
      <c r="NW106"/>
      <c r="NX106"/>
      <c r="NY106"/>
      <c r="NZ106"/>
      <c r="OA106"/>
      <c r="OB106"/>
      <c r="OC106"/>
      <c r="OD106"/>
      <c r="OE106"/>
      <c r="OF106"/>
      <c r="OG106"/>
      <c r="OH106"/>
      <c r="OI106"/>
      <c r="OJ106"/>
      <c r="OK106"/>
      <c r="OL106"/>
      <c r="OM106"/>
      <c r="ON106"/>
      <c r="OO106"/>
      <c r="OP106"/>
      <c r="OQ106"/>
      <c r="OR106"/>
      <c r="OS106"/>
      <c r="OT106"/>
      <c r="OU106"/>
      <c r="OV106"/>
      <c r="OW106"/>
      <c r="OX106"/>
      <c r="OY106"/>
      <c r="OZ106"/>
      <c r="PA106"/>
      <c r="PB106"/>
      <c r="PC106"/>
      <c r="PD106"/>
      <c r="PE106"/>
      <c r="PF106"/>
      <c r="PG106"/>
      <c r="PH106"/>
      <c r="PI106"/>
      <c r="PJ106"/>
      <c r="PK106"/>
      <c r="PL106"/>
      <c r="PM106"/>
      <c r="PN106"/>
      <c r="PO106"/>
      <c r="PP106"/>
      <c r="PQ106"/>
      <c r="PR106"/>
      <c r="PS106"/>
      <c r="PT106"/>
      <c r="PU106"/>
      <c r="PV106"/>
      <c r="PW106"/>
      <c r="PX106"/>
      <c r="PY106"/>
      <c r="PZ106"/>
      <c r="QA106"/>
      <c r="QB106"/>
      <c r="QC106"/>
      <c r="QD106"/>
      <c r="QE106"/>
      <c r="QF106"/>
      <c r="QG106"/>
      <c r="QH106"/>
      <c r="QI106"/>
      <c r="QJ106"/>
      <c r="QK106"/>
      <c r="QL106"/>
      <c r="QM106"/>
      <c r="QN106"/>
      <c r="QO106"/>
      <c r="QP106"/>
      <c r="QQ106"/>
      <c r="QR106"/>
      <c r="QS106"/>
      <c r="QT106"/>
      <c r="QU106"/>
      <c r="QV106"/>
      <c r="QW106"/>
      <c r="QX106"/>
      <c r="QY106"/>
      <c r="QZ106"/>
      <c r="RA106"/>
      <c r="RB106"/>
      <c r="RC106"/>
      <c r="RD106"/>
      <c r="RE106"/>
      <c r="RF106"/>
      <c r="RG106"/>
      <c r="RH106"/>
      <c r="RI106"/>
      <c r="RJ106"/>
      <c r="RK106"/>
      <c r="RL106"/>
      <c r="RM106"/>
      <c r="RN106"/>
      <c r="RO106"/>
      <c r="RP106"/>
      <c r="RQ106"/>
      <c r="RR106"/>
      <c r="RS106"/>
      <c r="RT106"/>
      <c r="RU106"/>
      <c r="RV106"/>
      <c r="RW106"/>
      <c r="RX106"/>
      <c r="RY106"/>
      <c r="RZ106"/>
      <c r="SA106"/>
      <c r="SB106"/>
      <c r="SC106"/>
      <c r="SD106"/>
      <c r="SE106"/>
      <c r="SF106"/>
      <c r="SG106"/>
      <c r="SH106"/>
      <c r="SI106"/>
      <c r="SJ106"/>
      <c r="SK106"/>
      <c r="SL106"/>
      <c r="SM106"/>
      <c r="SN106"/>
      <c r="SO106"/>
      <c r="SP106"/>
      <c r="SQ106"/>
      <c r="SR106"/>
      <c r="SS106"/>
      <c r="ST106"/>
      <c r="SU106"/>
      <c r="SV106"/>
      <c r="SW106"/>
      <c r="SX106"/>
      <c r="SY106"/>
      <c r="SZ106"/>
      <c r="TA106"/>
      <c r="TB106"/>
      <c r="TC106"/>
      <c r="TD106"/>
      <c r="TE106"/>
      <c r="TF106"/>
      <c r="TG106"/>
      <c r="TH106"/>
      <c r="TI106"/>
      <c r="TJ106"/>
      <c r="TK106"/>
      <c r="TL106"/>
      <c r="TM106"/>
      <c r="TN106"/>
      <c r="TO106"/>
      <c r="TP106"/>
      <c r="TQ106"/>
      <c r="TR106"/>
      <c r="TS106"/>
      <c r="TT106"/>
      <c r="TU106"/>
      <c r="TV106"/>
      <c r="TW106"/>
      <c r="TX106"/>
      <c r="TY106"/>
      <c r="TZ106"/>
      <c r="UA106"/>
      <c r="UB106"/>
      <c r="UC106"/>
      <c r="UD106"/>
      <c r="UE106"/>
      <c r="UF106"/>
      <c r="UG106"/>
      <c r="UH106"/>
      <c r="UI106"/>
      <c r="UJ106"/>
      <c r="UK106"/>
      <c r="UL106"/>
      <c r="UM106"/>
      <c r="UN106"/>
      <c r="UO106"/>
      <c r="UP106"/>
      <c r="UQ106"/>
      <c r="UR106"/>
      <c r="US106"/>
      <c r="UT106"/>
      <c r="UU106"/>
      <c r="UV106"/>
      <c r="UW106"/>
      <c r="UX106"/>
      <c r="UY106"/>
      <c r="UZ106"/>
      <c r="VA106"/>
      <c r="VB106"/>
      <c r="VC106"/>
      <c r="VD106"/>
      <c r="VE106"/>
      <c r="VF106"/>
      <c r="VG106"/>
      <c r="VH106"/>
      <c r="VI106"/>
      <c r="VJ106"/>
      <c r="VK106"/>
      <c r="VL106"/>
      <c r="VM106"/>
      <c r="VN106"/>
      <c r="VO106"/>
      <c r="VP106"/>
      <c r="VQ106"/>
      <c r="VR106"/>
      <c r="VS106"/>
      <c r="VT106"/>
      <c r="VU106"/>
      <c r="VV106"/>
      <c r="VW106"/>
      <c r="VX106"/>
      <c r="VY106"/>
      <c r="VZ106"/>
      <c r="WA106"/>
      <c r="WB106"/>
      <c r="WC106"/>
      <c r="WD106"/>
      <c r="WE106"/>
      <c r="WF106"/>
      <c r="WG106"/>
      <c r="WH106"/>
      <c r="WI106"/>
      <c r="WJ106"/>
      <c r="WK106"/>
      <c r="WL106"/>
      <c r="WM106"/>
      <c r="WN106"/>
      <c r="WO106"/>
      <c r="WP106"/>
      <c r="WQ106"/>
      <c r="WR106"/>
      <c r="WS106"/>
      <c r="WT106"/>
      <c r="WU106"/>
      <c r="WV106"/>
      <c r="WW106"/>
      <c r="WX106"/>
      <c r="WY106"/>
      <c r="WZ106"/>
      <c r="XA106"/>
      <c r="XB106"/>
      <c r="XC106"/>
      <c r="XD106"/>
      <c r="XE106"/>
      <c r="XF106"/>
      <c r="XG106"/>
      <c r="XH106"/>
      <c r="XI106"/>
      <c r="XJ106"/>
      <c r="XK106"/>
      <c r="XL106"/>
      <c r="XM106"/>
      <c r="XN106"/>
      <c r="XO106"/>
      <c r="XP106"/>
      <c r="XQ106"/>
      <c r="XR106"/>
      <c r="XS106"/>
      <c r="XT106"/>
      <c r="XU106"/>
      <c r="XV106"/>
      <c r="XW106"/>
      <c r="XX106"/>
      <c r="XY106"/>
      <c r="XZ106"/>
      <c r="YA106"/>
      <c r="YB106"/>
      <c r="YC106"/>
      <c r="YD106"/>
      <c r="YE106"/>
      <c r="YF106"/>
      <c r="YG106"/>
      <c r="YH106"/>
      <c r="YI106"/>
      <c r="YJ106"/>
      <c r="YK106"/>
      <c r="YL106"/>
      <c r="YM106"/>
      <c r="YN106"/>
      <c r="YO106"/>
      <c r="YP106"/>
      <c r="YQ106"/>
      <c r="YR106"/>
      <c r="YS106"/>
      <c r="YT106"/>
      <c r="YU106"/>
      <c r="YV106"/>
      <c r="YW106"/>
      <c r="YX106"/>
      <c r="YY106"/>
      <c r="YZ106"/>
      <c r="ZA106"/>
      <c r="ZB106"/>
      <c r="ZC106"/>
      <c r="ZD106"/>
      <c r="ZE106"/>
      <c r="ZF106"/>
      <c r="ZG106"/>
      <c r="ZH106"/>
      <c r="ZI106"/>
      <c r="ZJ106"/>
      <c r="ZK106"/>
      <c r="ZL106"/>
      <c r="ZM106"/>
      <c r="ZN106"/>
      <c r="ZO106"/>
      <c r="ZP106"/>
      <c r="ZQ106"/>
      <c r="ZR106"/>
      <c r="ZS106"/>
      <c r="ZT106"/>
      <c r="ZU106"/>
      <c r="ZV106"/>
      <c r="ZW106"/>
      <c r="ZX106"/>
      <c r="ZY106"/>
      <c r="ZZ106"/>
      <c r="AAA106"/>
      <c r="AAB106"/>
      <c r="AAC106"/>
      <c r="AAD106"/>
      <c r="AAE106"/>
      <c r="AAF106"/>
      <c r="AAG106"/>
      <c r="AAH106"/>
      <c r="AAI106"/>
      <c r="AAJ106"/>
      <c r="AAK106"/>
      <c r="AAL106"/>
      <c r="AAM106"/>
      <c r="AAN106"/>
      <c r="AAO106"/>
      <c r="AAP106"/>
      <c r="AAQ106"/>
      <c r="AAR106"/>
      <c r="AAS106"/>
      <c r="AAT106"/>
      <c r="AAU106"/>
      <c r="AAV106"/>
      <c r="AAW106"/>
      <c r="AAX106"/>
      <c r="AAY106"/>
      <c r="AAZ106"/>
      <c r="ABA106"/>
      <c r="ABB106"/>
      <c r="ABC106"/>
      <c r="ABD106"/>
      <c r="ABE106"/>
      <c r="ABF106"/>
      <c r="ABG106"/>
      <c r="ABH106"/>
      <c r="ABI106"/>
      <c r="ABJ106"/>
      <c r="ABK106"/>
      <c r="ABL106"/>
      <c r="ABM106"/>
      <c r="ABN106"/>
      <c r="ABO106"/>
      <c r="ABP106"/>
      <c r="ABQ106"/>
      <c r="ABR106"/>
      <c r="ABS106"/>
      <c r="ABT106"/>
      <c r="ABU106"/>
      <c r="ABV106"/>
      <c r="ABW106"/>
      <c r="ABX106"/>
      <c r="ABY106"/>
      <c r="ABZ106"/>
      <c r="ACA106"/>
      <c r="ACB106"/>
      <c r="ACC106"/>
      <c r="ACD106"/>
      <c r="ACE106"/>
      <c r="ACF106"/>
      <c r="ACG106"/>
      <c r="ACH106"/>
      <c r="ACI106"/>
      <c r="ACJ106"/>
      <c r="ACK106"/>
      <c r="ACL106"/>
      <c r="ACM106"/>
      <c r="ACN106"/>
      <c r="ACO106"/>
      <c r="ACP106"/>
      <c r="ACQ106"/>
      <c r="ACR106"/>
      <c r="ACS106"/>
      <c r="ACT106"/>
      <c r="ACU106"/>
      <c r="ACV106"/>
      <c r="ACW106"/>
      <c r="ACX106"/>
      <c r="ACY106"/>
      <c r="ACZ106"/>
      <c r="ADA106"/>
      <c r="ADB106"/>
      <c r="ADC106"/>
      <c r="ADD106"/>
      <c r="ADE106"/>
      <c r="ADF106"/>
      <c r="ADG106"/>
      <c r="ADH106"/>
      <c r="ADI106"/>
      <c r="ADJ106"/>
      <c r="ADK106"/>
      <c r="ADL106"/>
      <c r="ADM106"/>
      <c r="ADN106"/>
      <c r="ADO106"/>
      <c r="ADP106"/>
      <c r="ADQ106"/>
      <c r="ADR106"/>
      <c r="ADS106"/>
      <c r="ADT106"/>
      <c r="ADU106"/>
      <c r="ADV106"/>
      <c r="ADW106"/>
      <c r="ADX106"/>
      <c r="ADY106"/>
      <c r="ADZ106"/>
      <c r="AEA106"/>
      <c r="AEB106"/>
      <c r="AEC106"/>
      <c r="AED106"/>
      <c r="AEE106"/>
      <c r="AEF106"/>
      <c r="AEG106"/>
      <c r="AEH106"/>
      <c r="AEI106"/>
      <c r="AEJ106"/>
      <c r="AEK106"/>
      <c r="AEL106"/>
      <c r="AEM106"/>
      <c r="AEN106"/>
      <c r="AEO106"/>
      <c r="AEP106"/>
      <c r="AEQ106"/>
      <c r="AER106"/>
      <c r="AES106"/>
      <c r="AET106"/>
      <c r="AEU106"/>
      <c r="AEV106"/>
      <c r="AEW106"/>
      <c r="AEX106"/>
      <c r="AEY106"/>
      <c r="AEZ106"/>
      <c r="AFA106"/>
      <c r="AFB106"/>
      <c r="AFC106"/>
      <c r="AFD106"/>
      <c r="AFE106"/>
      <c r="AFF106"/>
      <c r="AFG106"/>
      <c r="AFH106"/>
      <c r="AFI106"/>
      <c r="AFJ106"/>
      <c r="AFK106"/>
      <c r="AFL106"/>
      <c r="AFM106"/>
      <c r="AFN106"/>
      <c r="AFO106"/>
      <c r="AFP106"/>
      <c r="AFQ106"/>
      <c r="AFR106"/>
      <c r="AFS106"/>
      <c r="AFT106"/>
      <c r="AFU106"/>
      <c r="AFV106"/>
      <c r="AFW106"/>
      <c r="AFX106"/>
      <c r="AFY106"/>
      <c r="AFZ106"/>
      <c r="AGA106"/>
      <c r="AGB106"/>
      <c r="AGC106"/>
      <c r="AGD106"/>
      <c r="AGE106"/>
      <c r="AGF106"/>
      <c r="AGG106"/>
      <c r="AGH106"/>
      <c r="AGI106"/>
      <c r="AGJ106"/>
      <c r="AGK106"/>
      <c r="AGL106"/>
      <c r="AGM106"/>
      <c r="AGN106"/>
      <c r="AGO106"/>
      <c r="AGP106"/>
      <c r="AGQ106"/>
      <c r="AGR106"/>
      <c r="AGS106"/>
      <c r="AGT106"/>
      <c r="AGU106"/>
      <c r="AGV106"/>
      <c r="AGW106"/>
      <c r="AGX106"/>
      <c r="AGY106"/>
      <c r="AGZ106"/>
      <c r="AHA106"/>
      <c r="AHB106"/>
      <c r="AHC106"/>
      <c r="AHD106"/>
      <c r="AHE106"/>
      <c r="AHF106"/>
      <c r="AHG106"/>
      <c r="AHH106"/>
      <c r="AHI106"/>
      <c r="AHJ106"/>
      <c r="AHK106"/>
      <c r="AHL106"/>
      <c r="AHM106"/>
      <c r="AHN106"/>
      <c r="AHO106"/>
      <c r="AHP106"/>
      <c r="AHQ106"/>
      <c r="AHR106"/>
      <c r="AHS106"/>
      <c r="AHT106"/>
      <c r="AHU106"/>
      <c r="AHV106"/>
      <c r="AHW106"/>
      <c r="AHX106"/>
      <c r="AHY106"/>
      <c r="AHZ106"/>
      <c r="AIA106"/>
      <c r="AIB106"/>
      <c r="AIC106"/>
      <c r="AID106"/>
      <c r="AIE106"/>
      <c r="AIF106"/>
      <c r="AIG106"/>
      <c r="AIH106"/>
      <c r="AII106"/>
      <c r="AIJ106"/>
      <c r="AIK106"/>
      <c r="AIL106"/>
      <c r="AIM106"/>
      <c r="AIN106"/>
      <c r="AIO106"/>
      <c r="AIP106"/>
      <c r="AIQ106"/>
      <c r="AIR106"/>
      <c r="AIS106"/>
      <c r="AIT106"/>
      <c r="AIU106"/>
      <c r="AIV106"/>
      <c r="AIW106"/>
      <c r="AIX106"/>
      <c r="AIY106"/>
      <c r="AIZ106"/>
      <c r="AJA106"/>
      <c r="AJB106"/>
      <c r="AJC106"/>
      <c r="AJD106"/>
      <c r="AJE106"/>
      <c r="AJF106"/>
      <c r="AJG106"/>
      <c r="AJH106"/>
      <c r="AJI106"/>
      <c r="AJJ106"/>
      <c r="AJK106"/>
      <c r="AJL106"/>
      <c r="AJM106"/>
      <c r="AJN106"/>
      <c r="AJO106"/>
      <c r="AJP106"/>
      <c r="AJQ106"/>
      <c r="AJR106"/>
      <c r="AJS106"/>
      <c r="AJT106"/>
      <c r="AJU106"/>
      <c r="AJV106"/>
      <c r="AJW106"/>
      <c r="AJX106"/>
      <c r="AJY106"/>
      <c r="AJZ106"/>
      <c r="AKA106"/>
      <c r="AKB106"/>
      <c r="AKC106"/>
      <c r="AKD106"/>
      <c r="AKE106"/>
      <c r="AKF106"/>
      <c r="AKG106"/>
      <c r="AKH106"/>
      <c r="AKI106"/>
      <c r="AKJ106"/>
      <c r="AKK106"/>
      <c r="AKL106"/>
      <c r="AKM106"/>
      <c r="AKN106"/>
      <c r="AKO106"/>
      <c r="AKP106"/>
      <c r="AKQ106"/>
      <c r="AKR106"/>
      <c r="AKS106"/>
      <c r="AKT106"/>
      <c r="AKU106"/>
      <c r="AKV106"/>
      <c r="AKW106"/>
      <c r="AKX106"/>
      <c r="AKY106"/>
      <c r="AKZ106"/>
      <c r="ALA106"/>
      <c r="ALB106"/>
      <c r="ALC106"/>
      <c r="ALD106"/>
      <c r="ALE106"/>
      <c r="ALF106"/>
      <c r="ALG106"/>
      <c r="ALH106"/>
      <c r="ALI106"/>
      <c r="ALJ106"/>
      <c r="ALK106"/>
      <c r="ALL106"/>
      <c r="ALM106"/>
      <c r="ALN106"/>
      <c r="ALO106"/>
      <c r="ALP106"/>
      <c r="ALQ106"/>
      <c r="ALR106"/>
      <c r="ALS106"/>
      <c r="ALT106"/>
      <c r="ALU106"/>
      <c r="ALV106"/>
      <c r="ALW106"/>
      <c r="ALX106"/>
      <c r="ALY106"/>
      <c r="ALZ106"/>
      <c r="AMA106"/>
      <c r="AMB106"/>
      <c r="AMC106"/>
      <c r="AMD106"/>
      <c r="AME106"/>
      <c r="AMF106"/>
      <c r="AMG106"/>
      <c r="AMH106"/>
      <c r="AMI106"/>
      <c r="AMJ106"/>
      <c r="AMK106"/>
      <c r="AML106"/>
      <c r="AMM106"/>
      <c r="AMN106"/>
      <c r="AMO106"/>
      <c r="AMP106"/>
      <c r="AMQ106"/>
      <c r="AMR106"/>
      <c r="AMS106"/>
      <c r="AMT106"/>
      <c r="AMU106"/>
      <c r="AMV106"/>
      <c r="AMW106"/>
      <c r="AMX106"/>
      <c r="AMY106"/>
      <c r="AMZ106"/>
      <c r="ANA106"/>
      <c r="ANB106"/>
      <c r="ANC106"/>
      <c r="AND106"/>
      <c r="ANE106"/>
      <c r="ANF106"/>
      <c r="ANG106"/>
      <c r="ANH106"/>
      <c r="ANI106"/>
      <c r="ANJ106"/>
      <c r="ANK106"/>
      <c r="ANL106"/>
      <c r="ANM106"/>
      <c r="ANN106"/>
      <c r="ANO106"/>
      <c r="ANP106"/>
      <c r="ANQ106"/>
      <c r="ANR106"/>
      <c r="ANS106"/>
      <c r="ANT106"/>
      <c r="ANU106"/>
      <c r="ANV106"/>
      <c r="ANW106"/>
      <c r="ANX106"/>
      <c r="ANY106"/>
      <c r="ANZ106"/>
      <c r="AOA106"/>
      <c r="AOB106"/>
      <c r="AOC106"/>
      <c r="AOD106"/>
      <c r="AOE106"/>
      <c r="AOF106"/>
      <c r="AOG106"/>
      <c r="AOH106"/>
      <c r="AOI106"/>
      <c r="AOJ106"/>
      <c r="AOK106"/>
      <c r="AOL106"/>
      <c r="AOM106"/>
      <c r="AON106"/>
      <c r="AOO106"/>
      <c r="AOP106"/>
      <c r="AOQ106"/>
      <c r="AOR106"/>
      <c r="AOS106"/>
      <c r="AOT106"/>
      <c r="AOU106"/>
      <c r="AOV106"/>
      <c r="AOW106"/>
      <c r="AOX106"/>
      <c r="AOY106"/>
      <c r="AOZ106"/>
      <c r="APA106"/>
      <c r="APB106"/>
      <c r="APC106"/>
      <c r="APD106"/>
      <c r="APE106"/>
      <c r="APF106"/>
      <c r="APG106"/>
      <c r="APH106"/>
      <c r="API106"/>
      <c r="APJ106"/>
      <c r="APK106"/>
      <c r="APL106"/>
      <c r="APM106"/>
      <c r="APN106"/>
      <c r="APO106"/>
      <c r="APP106"/>
      <c r="APQ106"/>
      <c r="APR106"/>
      <c r="APS106"/>
      <c r="APT106"/>
      <c r="APU106"/>
      <c r="APV106"/>
      <c r="APW106"/>
      <c r="APX106"/>
      <c r="APY106"/>
      <c r="APZ106"/>
      <c r="AQA106"/>
      <c r="AQB106"/>
      <c r="AQC106"/>
      <c r="AQD106"/>
      <c r="AQE106"/>
      <c r="AQF106"/>
      <c r="AQG106"/>
      <c r="AQH106"/>
      <c r="AQI106"/>
      <c r="AQJ106"/>
      <c r="AQK106"/>
      <c r="AQL106"/>
      <c r="AQM106"/>
      <c r="AQN106"/>
      <c r="AQO106"/>
      <c r="AQP106"/>
      <c r="AQQ106"/>
      <c r="AQR106"/>
      <c r="AQS106"/>
      <c r="AQT106"/>
      <c r="AQU106"/>
      <c r="AQV106"/>
      <c r="AQW106"/>
      <c r="AQX106"/>
      <c r="AQY106"/>
      <c r="AQZ106"/>
      <c r="ARA106"/>
      <c r="ARB106"/>
      <c r="ARC106"/>
      <c r="ARD106"/>
      <c r="ARE106"/>
      <c r="ARF106"/>
      <c r="ARG106"/>
      <c r="ARH106"/>
      <c r="ARI106"/>
      <c r="ARJ106"/>
      <c r="ARK106"/>
      <c r="ARL106"/>
      <c r="ARM106"/>
      <c r="ARN106"/>
      <c r="ARO106"/>
      <c r="ARP106"/>
      <c r="ARQ106"/>
      <c r="ARR106"/>
      <c r="ARS106"/>
      <c r="ART106"/>
      <c r="ARU106"/>
      <c r="ARV106"/>
      <c r="ARW106"/>
      <c r="ARX106"/>
      <c r="ARY106"/>
      <c r="ARZ106"/>
      <c r="ASA106"/>
      <c r="ASB106"/>
      <c r="ASC106"/>
      <c r="ASD106"/>
      <c r="ASE106"/>
      <c r="ASF106"/>
      <c r="ASG106"/>
      <c r="ASH106"/>
      <c r="ASI106"/>
      <c r="ASJ106"/>
      <c r="ASK106"/>
      <c r="ASL106"/>
      <c r="ASM106"/>
      <c r="ASN106"/>
      <c r="ASO106"/>
      <c r="ASP106"/>
      <c r="ASQ106"/>
      <c r="ASR106"/>
      <c r="ASS106"/>
      <c r="AST106"/>
      <c r="ASU106"/>
      <c r="ASV106"/>
      <c r="ASW106"/>
      <c r="ASX106"/>
      <c r="ASY106"/>
      <c r="ASZ106"/>
      <c r="ATA106"/>
      <c r="ATB106"/>
      <c r="ATC106"/>
      <c r="ATD106"/>
      <c r="ATE106"/>
      <c r="ATF106"/>
      <c r="ATG106"/>
      <c r="ATH106"/>
      <c r="ATI106"/>
      <c r="ATJ106"/>
      <c r="ATK106"/>
      <c r="ATL106"/>
      <c r="ATM106"/>
      <c r="ATN106"/>
      <c r="ATO106"/>
      <c r="ATP106"/>
      <c r="ATQ106"/>
      <c r="ATR106"/>
      <c r="ATS106"/>
      <c r="ATT106"/>
      <c r="ATU106"/>
      <c r="ATV106"/>
      <c r="ATW106"/>
      <c r="ATX106"/>
      <c r="ATY106"/>
      <c r="ATZ106"/>
      <c r="AUA106"/>
      <c r="AUB106"/>
      <c r="AUC106"/>
      <c r="AUD106"/>
      <c r="AUE106"/>
      <c r="AUF106"/>
      <c r="AUG106"/>
      <c r="AUH106"/>
      <c r="AUI106"/>
      <c r="AUJ106"/>
      <c r="AUK106"/>
      <c r="AUL106"/>
      <c r="AUM106"/>
      <c r="AUN106"/>
      <c r="AUO106"/>
      <c r="AUP106"/>
      <c r="AUQ106"/>
      <c r="AUR106"/>
      <c r="AUS106"/>
      <c r="AUT106"/>
      <c r="AUU106"/>
      <c r="AUV106"/>
      <c r="AUW106"/>
      <c r="AUX106"/>
      <c r="AUY106"/>
      <c r="AUZ106"/>
      <c r="AVA106"/>
      <c r="AVB106"/>
      <c r="AVC106"/>
      <c r="AVD106"/>
      <c r="AVE106"/>
      <c r="AVF106"/>
      <c r="AVG106"/>
      <c r="AVH106"/>
      <c r="AVI106"/>
      <c r="AVJ106"/>
      <c r="AVK106"/>
      <c r="AVL106"/>
      <c r="AVM106"/>
      <c r="AVN106"/>
      <c r="AVO106"/>
      <c r="AVP106"/>
      <c r="AVQ106"/>
      <c r="AVR106"/>
      <c r="AVS106"/>
      <c r="AVT106"/>
      <c r="AVU106"/>
      <c r="AVV106"/>
      <c r="AVW106"/>
      <c r="AVX106"/>
      <c r="AVY106"/>
      <c r="AVZ106"/>
      <c r="AWA106"/>
      <c r="AWB106"/>
      <c r="AWC106"/>
      <c r="AWD106"/>
      <c r="AWE106"/>
      <c r="AWF106"/>
      <c r="AWG106"/>
      <c r="AWH106"/>
      <c r="AWI106"/>
      <c r="AWJ106"/>
      <c r="AWK106"/>
      <c r="AWL106"/>
      <c r="AWM106"/>
      <c r="AWN106"/>
      <c r="AWO106"/>
      <c r="AWP106"/>
      <c r="AWQ106"/>
      <c r="AWR106"/>
      <c r="AWS106"/>
      <c r="AWT106"/>
      <c r="AWU106"/>
      <c r="AWV106"/>
      <c r="AWW106"/>
      <c r="AWX106"/>
      <c r="AWY106"/>
      <c r="AWZ106"/>
      <c r="AXA106"/>
      <c r="AXB106"/>
      <c r="AXC106"/>
      <c r="AXD106"/>
      <c r="AXE106"/>
      <c r="AXF106"/>
      <c r="AXG106"/>
      <c r="AXH106"/>
      <c r="AXI106"/>
      <c r="AXJ106"/>
      <c r="AXK106"/>
      <c r="AXL106"/>
      <c r="AXM106"/>
      <c r="AXN106"/>
      <c r="AXO106"/>
      <c r="AXP106"/>
      <c r="AXQ106"/>
      <c r="AXR106"/>
      <c r="AXS106"/>
      <c r="AXT106"/>
      <c r="AXU106"/>
      <c r="AXV106"/>
      <c r="AXW106"/>
      <c r="AXX106"/>
      <c r="AXY106"/>
      <c r="AXZ106"/>
      <c r="AYA106"/>
      <c r="AYB106"/>
      <c r="AYC106"/>
      <c r="AYD106"/>
      <c r="AYE106"/>
      <c r="AYF106"/>
      <c r="AYG106"/>
      <c r="AYH106"/>
      <c r="AYI106"/>
      <c r="AYJ106"/>
      <c r="AYK106"/>
      <c r="AYL106"/>
      <c r="AYM106"/>
      <c r="AYN106"/>
      <c r="AYO106"/>
      <c r="AYP106"/>
      <c r="AYQ106"/>
      <c r="AYR106"/>
      <c r="AYS106"/>
      <c r="AYT106"/>
      <c r="AYU106"/>
      <c r="AYV106"/>
      <c r="AYW106"/>
      <c r="AYX106"/>
      <c r="AYY106"/>
      <c r="AYZ106"/>
      <c r="AZA106"/>
      <c r="AZB106"/>
      <c r="AZC106"/>
      <c r="AZD106"/>
      <c r="AZE106"/>
      <c r="AZF106"/>
      <c r="AZG106"/>
      <c r="AZH106"/>
      <c r="AZI106"/>
      <c r="AZJ106"/>
      <c r="AZK106"/>
      <c r="AZL106"/>
      <c r="AZM106"/>
      <c r="AZN106"/>
      <c r="AZO106"/>
      <c r="AZP106"/>
      <c r="AZQ106"/>
      <c r="AZR106"/>
      <c r="AZS106"/>
      <c r="AZT106"/>
      <c r="AZU106"/>
      <c r="AZV106"/>
      <c r="AZW106"/>
      <c r="AZX106"/>
      <c r="AZY106"/>
      <c r="AZZ106"/>
      <c r="BAA106"/>
      <c r="BAB106"/>
      <c r="BAC106"/>
      <c r="BAD106"/>
      <c r="BAE106"/>
      <c r="BAF106"/>
      <c r="BAG106"/>
      <c r="BAH106"/>
      <c r="BAI106"/>
      <c r="BAJ106"/>
      <c r="BAK106"/>
      <c r="BAL106"/>
      <c r="BAM106"/>
      <c r="BAN106"/>
      <c r="BAO106"/>
      <c r="BAP106"/>
      <c r="BAQ106"/>
      <c r="BAR106"/>
      <c r="BAS106"/>
      <c r="BAT106"/>
      <c r="BAU106"/>
      <c r="BAV106"/>
      <c r="BAW106"/>
      <c r="BAX106"/>
      <c r="BAY106"/>
      <c r="BAZ106"/>
      <c r="BBA106"/>
      <c r="BBB106"/>
      <c r="BBC106"/>
      <c r="BBD106"/>
      <c r="BBE106"/>
      <c r="BBF106"/>
      <c r="BBG106"/>
      <c r="BBH106"/>
      <c r="BBI106"/>
      <c r="BBJ106"/>
      <c r="BBK106"/>
      <c r="BBL106"/>
      <c r="BBM106"/>
      <c r="BBN106"/>
      <c r="BBO106"/>
      <c r="BBP106"/>
      <c r="BBQ106"/>
      <c r="BBR106"/>
      <c r="BBS106"/>
      <c r="BBT106"/>
      <c r="BBU106"/>
      <c r="BBV106"/>
      <c r="BBW106"/>
      <c r="BBX106"/>
      <c r="BBY106"/>
      <c r="BBZ106"/>
      <c r="BCA106"/>
      <c r="BCB106"/>
      <c r="BCC106"/>
      <c r="BCD106"/>
      <c r="BCE106"/>
      <c r="BCF106"/>
      <c r="BCG106"/>
      <c r="BCH106"/>
      <c r="BCI106"/>
      <c r="BCJ106"/>
      <c r="BCK106"/>
      <c r="BCL106"/>
      <c r="BCM106"/>
      <c r="BCN106"/>
      <c r="BCO106"/>
      <c r="BCP106"/>
      <c r="BCQ106"/>
      <c r="BCR106"/>
      <c r="BCS106"/>
      <c r="BCT106"/>
      <c r="BCU106"/>
      <c r="BCV106"/>
      <c r="BCW106"/>
      <c r="BCX106"/>
      <c r="BCY106"/>
      <c r="BCZ106"/>
      <c r="BDA106"/>
      <c r="BDB106"/>
      <c r="BDC106"/>
      <c r="BDD106"/>
      <c r="BDE106"/>
      <c r="BDF106"/>
      <c r="BDG106"/>
      <c r="BDH106"/>
      <c r="BDI106"/>
      <c r="BDJ106"/>
      <c r="BDK106"/>
      <c r="BDL106"/>
      <c r="BDM106"/>
      <c r="BDN106"/>
      <c r="BDO106"/>
      <c r="BDP106"/>
      <c r="BDQ106"/>
      <c r="BDR106"/>
      <c r="BDS106"/>
      <c r="BDT106"/>
      <c r="BDU106"/>
      <c r="BDV106"/>
      <c r="BDW106"/>
      <c r="BDX106"/>
      <c r="BDY106"/>
      <c r="BDZ106"/>
      <c r="BEA106"/>
      <c r="BEB106"/>
      <c r="BEC106"/>
      <c r="BED106"/>
      <c r="BEE106"/>
      <c r="BEF106"/>
      <c r="BEG106"/>
      <c r="BEH106"/>
      <c r="BEI106"/>
      <c r="BEJ106"/>
      <c r="BEK106"/>
      <c r="BEL106"/>
      <c r="BEM106"/>
      <c r="BEN106"/>
      <c r="BEO106"/>
      <c r="BEP106"/>
      <c r="BEQ106"/>
      <c r="BER106"/>
      <c r="BES106"/>
      <c r="BET106"/>
      <c r="BEU106"/>
      <c r="BEV106"/>
      <c r="BEW106"/>
      <c r="BEX106"/>
      <c r="BEY106"/>
      <c r="BEZ106"/>
      <c r="BFA106"/>
      <c r="BFB106"/>
      <c r="BFC106"/>
      <c r="BFD106"/>
      <c r="BFE106"/>
      <c r="BFF106"/>
      <c r="BFG106"/>
      <c r="BFH106"/>
      <c r="BFI106"/>
      <c r="BFJ106"/>
      <c r="BFK106"/>
      <c r="BFL106"/>
      <c r="BFM106"/>
      <c r="BFN106"/>
      <c r="BFO106"/>
      <c r="BFP106"/>
      <c r="BFQ106"/>
      <c r="BFR106"/>
      <c r="BFS106"/>
      <c r="BFT106"/>
      <c r="BFU106"/>
      <c r="BFV106"/>
      <c r="BFW106"/>
      <c r="BFX106"/>
      <c r="BFY106"/>
      <c r="BFZ106"/>
      <c r="BGA106"/>
      <c r="BGB106"/>
      <c r="BGC106"/>
      <c r="BGD106"/>
      <c r="BGE106"/>
      <c r="BGF106"/>
      <c r="BGG106"/>
      <c r="BGH106"/>
      <c r="BGI106"/>
      <c r="BGJ106"/>
      <c r="BGK106"/>
      <c r="BGL106"/>
      <c r="BGM106"/>
      <c r="BGN106"/>
      <c r="BGO106"/>
      <c r="BGP106"/>
      <c r="BGQ106"/>
      <c r="BGR106"/>
      <c r="BGS106"/>
      <c r="BGT106"/>
      <c r="BGU106"/>
      <c r="BGV106"/>
      <c r="BGW106"/>
      <c r="BGX106"/>
      <c r="BGY106"/>
      <c r="BGZ106"/>
      <c r="BHA106"/>
      <c r="BHB106"/>
      <c r="BHC106"/>
      <c r="BHD106"/>
      <c r="BHE106"/>
      <c r="BHF106"/>
      <c r="BHG106"/>
      <c r="BHH106"/>
      <c r="BHI106"/>
      <c r="BHJ106"/>
      <c r="BHK106"/>
      <c r="BHL106"/>
      <c r="BHM106"/>
      <c r="BHN106"/>
      <c r="BHO106"/>
      <c r="BHP106"/>
      <c r="BHQ106"/>
      <c r="BHR106"/>
      <c r="BHS106"/>
      <c r="BHT106"/>
      <c r="BHU106"/>
      <c r="BHV106"/>
      <c r="BHW106"/>
      <c r="BHX106"/>
      <c r="BHY106"/>
      <c r="BHZ106"/>
      <c r="BIA106"/>
      <c r="BIB106"/>
      <c r="BIC106"/>
      <c r="BID106"/>
      <c r="BIE106"/>
      <c r="BIF106"/>
      <c r="BIG106"/>
      <c r="BIH106"/>
      <c r="BII106"/>
      <c r="BIJ106"/>
      <c r="BIK106"/>
      <c r="BIL106"/>
      <c r="BIM106"/>
      <c r="BIN106"/>
      <c r="BIO106"/>
      <c r="BIP106"/>
      <c r="BIQ106"/>
      <c r="BIR106"/>
      <c r="BIS106"/>
      <c r="BIT106"/>
      <c r="BIU106"/>
      <c r="BIV106"/>
      <c r="BIW106"/>
      <c r="BIX106"/>
      <c r="BIY106"/>
      <c r="BIZ106"/>
      <c r="BJA106"/>
      <c r="BJB106"/>
      <c r="BJC106"/>
      <c r="BJD106"/>
      <c r="BJE106"/>
      <c r="BJF106"/>
      <c r="BJG106"/>
      <c r="BJH106"/>
      <c r="BJI106"/>
      <c r="BJJ106"/>
      <c r="BJK106"/>
      <c r="BJL106"/>
      <c r="BJM106"/>
      <c r="BJN106"/>
      <c r="BJO106"/>
      <c r="BJP106"/>
      <c r="BJQ106"/>
      <c r="BJR106"/>
      <c r="BJS106"/>
      <c r="BJT106"/>
      <c r="BJU106"/>
      <c r="BJV106"/>
      <c r="BJW106"/>
      <c r="BJX106"/>
      <c r="BJY106"/>
      <c r="BJZ106"/>
      <c r="BKA106"/>
      <c r="BKB106"/>
      <c r="BKC106"/>
      <c r="BKD106"/>
      <c r="BKE106"/>
      <c r="BKF106"/>
      <c r="BKG106"/>
      <c r="BKH106"/>
      <c r="BKI106"/>
      <c r="BKJ106"/>
      <c r="BKK106"/>
      <c r="BKL106"/>
      <c r="BKM106"/>
      <c r="BKN106"/>
      <c r="BKO106"/>
      <c r="BKP106"/>
      <c r="BKQ106"/>
      <c r="BKR106"/>
      <c r="BKS106"/>
      <c r="BKT106"/>
      <c r="BKU106"/>
      <c r="BKV106"/>
      <c r="BKW106"/>
      <c r="BKX106"/>
      <c r="BKY106"/>
      <c r="BKZ106"/>
      <c r="BLA106"/>
      <c r="BLB106"/>
      <c r="BLC106"/>
      <c r="BLD106"/>
      <c r="BLE106"/>
      <c r="BLF106"/>
      <c r="BLG106"/>
      <c r="BLH106"/>
      <c r="BLI106"/>
      <c r="BLJ106"/>
      <c r="BLK106"/>
      <c r="BLL106"/>
      <c r="BLM106"/>
      <c r="BLN106"/>
      <c r="BLO106"/>
      <c r="BLP106"/>
      <c r="BLQ106"/>
      <c r="BLR106"/>
      <c r="BLS106"/>
      <c r="BLT106"/>
      <c r="BLU106"/>
      <c r="BLV106"/>
      <c r="BLW106"/>
      <c r="BLX106"/>
      <c r="BLY106"/>
      <c r="BLZ106"/>
      <c r="BMA106"/>
      <c r="BMB106"/>
      <c r="BMC106"/>
      <c r="BMD106"/>
      <c r="BME106"/>
      <c r="BMF106"/>
      <c r="BMG106"/>
      <c r="BMH106"/>
      <c r="BMI106"/>
      <c r="BMJ106"/>
      <c r="BMK106"/>
      <c r="BML106"/>
      <c r="BMM106"/>
      <c r="BMN106"/>
      <c r="BMO106"/>
      <c r="BMP106"/>
      <c r="BMQ106"/>
      <c r="BMR106"/>
      <c r="BMS106"/>
      <c r="BMT106"/>
      <c r="BMU106"/>
      <c r="BMV106"/>
      <c r="BMW106"/>
      <c r="BMX106"/>
      <c r="BMY106"/>
      <c r="BMZ106"/>
      <c r="BNA106"/>
      <c r="BNB106"/>
      <c r="BNC106"/>
      <c r="BND106"/>
      <c r="BNE106"/>
      <c r="BNF106"/>
      <c r="BNG106"/>
      <c r="BNH106"/>
      <c r="BNI106"/>
      <c r="BNJ106"/>
      <c r="BNK106"/>
      <c r="BNL106"/>
      <c r="BNM106"/>
      <c r="BNN106"/>
      <c r="BNO106"/>
      <c r="BNP106"/>
      <c r="BNQ106"/>
      <c r="BNR106"/>
      <c r="BNS106"/>
      <c r="BNT106"/>
      <c r="BNU106"/>
      <c r="BNV106"/>
      <c r="BNW106"/>
      <c r="BNX106"/>
      <c r="BNY106"/>
      <c r="BNZ106"/>
      <c r="BOA106"/>
      <c r="BOB106"/>
      <c r="BOC106"/>
      <c r="BOD106"/>
      <c r="BOE106"/>
      <c r="BOF106"/>
      <c r="BOG106"/>
      <c r="BOH106"/>
      <c r="BOI106"/>
      <c r="BOJ106"/>
      <c r="BOK106"/>
      <c r="BOL106"/>
      <c r="BOM106"/>
      <c r="BON106"/>
      <c r="BOO106"/>
      <c r="BOP106"/>
      <c r="BOQ106"/>
      <c r="BOR106"/>
      <c r="BOS106"/>
      <c r="BOT106"/>
      <c r="BOU106"/>
      <c r="BOV106"/>
      <c r="BOW106"/>
      <c r="BOX106"/>
      <c r="BOY106"/>
      <c r="BOZ106"/>
      <c r="BPA106"/>
      <c r="BPB106"/>
      <c r="BPC106"/>
      <c r="BPD106"/>
      <c r="BPE106"/>
      <c r="BPF106"/>
      <c r="BPG106"/>
      <c r="BPH106"/>
      <c r="BPI106"/>
      <c r="BPJ106"/>
      <c r="BPK106"/>
      <c r="BPL106"/>
      <c r="BPM106"/>
      <c r="BPN106"/>
      <c r="BPO106"/>
      <c r="BPP106"/>
      <c r="BPQ106"/>
      <c r="BPR106"/>
      <c r="BPS106"/>
      <c r="BPT106"/>
      <c r="BPU106"/>
      <c r="BPV106"/>
      <c r="BPW106"/>
      <c r="BPX106"/>
      <c r="BPY106"/>
      <c r="BPZ106"/>
      <c r="BQA106"/>
      <c r="BQB106"/>
      <c r="BQC106"/>
      <c r="BQD106"/>
      <c r="BQE106"/>
      <c r="BQF106"/>
      <c r="BQG106"/>
      <c r="BQH106"/>
      <c r="BQI106"/>
      <c r="BQJ106"/>
      <c r="BQK106"/>
      <c r="BQL106"/>
      <c r="BQM106"/>
      <c r="BQN106"/>
      <c r="BQO106"/>
      <c r="BQP106"/>
      <c r="BQQ106"/>
      <c r="BQR106"/>
      <c r="BQS106"/>
      <c r="BQT106"/>
      <c r="BQU106"/>
      <c r="BQV106"/>
      <c r="BQW106"/>
      <c r="BQX106"/>
      <c r="BQY106"/>
      <c r="BQZ106"/>
      <c r="BRA106"/>
      <c r="BRB106"/>
      <c r="BRC106"/>
      <c r="BRD106"/>
      <c r="BRE106"/>
      <c r="BRF106"/>
      <c r="BRG106"/>
      <c r="BRH106"/>
      <c r="BRI106"/>
      <c r="BRJ106"/>
      <c r="BRK106"/>
      <c r="BRL106"/>
      <c r="BRM106"/>
      <c r="BRN106"/>
      <c r="BRO106"/>
      <c r="BRP106"/>
      <c r="BRQ106"/>
      <c r="BRR106"/>
      <c r="BRS106"/>
      <c r="BRT106"/>
      <c r="BRU106"/>
      <c r="BRV106"/>
      <c r="BRW106"/>
      <c r="BRX106"/>
      <c r="BRY106"/>
      <c r="BRZ106"/>
      <c r="BSA106"/>
      <c r="BSB106"/>
      <c r="BSC106"/>
      <c r="BSD106"/>
      <c r="BSE106"/>
      <c r="BSF106"/>
      <c r="BSG106"/>
      <c r="BSH106"/>
      <c r="BSI106"/>
      <c r="BSJ106"/>
      <c r="BSK106"/>
      <c r="BSL106"/>
      <c r="BSM106"/>
      <c r="BSN106"/>
      <c r="BSO106"/>
      <c r="BSP106"/>
      <c r="BSQ106"/>
      <c r="BSR106"/>
      <c r="BSS106"/>
      <c r="BST106"/>
      <c r="BSU106"/>
      <c r="BSV106"/>
      <c r="BSW106"/>
      <c r="BSX106"/>
      <c r="BSY106"/>
      <c r="BSZ106"/>
      <c r="BTA106"/>
      <c r="BTB106"/>
      <c r="BTC106"/>
      <c r="BTD106"/>
      <c r="BTE106"/>
      <c r="BTF106"/>
      <c r="BTG106"/>
      <c r="BTH106"/>
      <c r="BTI106"/>
      <c r="BTJ106"/>
      <c r="BTK106"/>
      <c r="BTL106"/>
      <c r="BTM106"/>
      <c r="BTN106"/>
      <c r="BTO106"/>
      <c r="BTP106"/>
      <c r="BTQ106"/>
      <c r="BTR106"/>
      <c r="BTS106"/>
      <c r="BTT106"/>
      <c r="BTU106"/>
      <c r="BTV106"/>
      <c r="BTW106"/>
      <c r="BTX106"/>
      <c r="BTY106"/>
      <c r="BTZ106"/>
      <c r="BUA106"/>
      <c r="BUB106"/>
      <c r="BUC106"/>
      <c r="BUD106"/>
      <c r="BUE106"/>
      <c r="BUF106"/>
      <c r="BUG106"/>
      <c r="BUH106"/>
      <c r="BUI106"/>
      <c r="BUJ106"/>
      <c r="BUK106"/>
      <c r="BUL106"/>
      <c r="BUM106"/>
      <c r="BUN106"/>
      <c r="BUO106"/>
      <c r="BUP106"/>
      <c r="BUQ106"/>
      <c r="BUR106"/>
      <c r="BUS106"/>
      <c r="BUT106"/>
      <c r="BUU106"/>
      <c r="BUV106"/>
      <c r="BUW106"/>
      <c r="BUX106"/>
      <c r="BUY106"/>
      <c r="BUZ106"/>
      <c r="BVA106"/>
      <c r="BVB106"/>
      <c r="BVC106"/>
      <c r="BVD106"/>
      <c r="BVE106"/>
      <c r="BVF106"/>
      <c r="BVG106"/>
      <c r="BVH106"/>
      <c r="BVI106"/>
      <c r="BVJ106"/>
      <c r="BVK106"/>
      <c r="BVL106"/>
      <c r="BVM106"/>
      <c r="BVN106"/>
      <c r="BVO106"/>
      <c r="BVP106"/>
      <c r="BVQ106"/>
      <c r="BVR106"/>
      <c r="BVS106"/>
      <c r="BVT106"/>
      <c r="BVU106"/>
      <c r="BVV106"/>
      <c r="BVW106"/>
      <c r="BVX106"/>
      <c r="BVY106"/>
      <c r="BVZ106"/>
      <c r="BWA106"/>
      <c r="BWB106"/>
      <c r="BWC106"/>
      <c r="BWD106"/>
      <c r="BWE106"/>
      <c r="BWF106"/>
      <c r="BWG106"/>
      <c r="BWH106"/>
      <c r="BWI106"/>
      <c r="BWJ106"/>
      <c r="BWK106"/>
      <c r="BWL106"/>
      <c r="BWM106"/>
      <c r="BWN106"/>
      <c r="BWO106"/>
      <c r="BWP106"/>
      <c r="BWQ106"/>
      <c r="BWR106"/>
      <c r="BWS106"/>
      <c r="BWT106"/>
      <c r="BWU106"/>
      <c r="BWV106"/>
      <c r="BWW106"/>
      <c r="BWX106"/>
      <c r="BWY106"/>
      <c r="BWZ106"/>
      <c r="BXA106"/>
      <c r="BXB106"/>
      <c r="BXC106"/>
      <c r="BXD106"/>
      <c r="BXE106"/>
      <c r="BXF106"/>
      <c r="BXG106"/>
      <c r="BXH106"/>
      <c r="BXI106"/>
      <c r="BXJ106"/>
      <c r="BXK106"/>
      <c r="BXL106"/>
      <c r="BXM106"/>
      <c r="BXN106"/>
      <c r="BXO106"/>
      <c r="BXP106"/>
      <c r="BXQ106"/>
      <c r="BXR106"/>
      <c r="BXS106"/>
      <c r="BXT106"/>
      <c r="BXU106"/>
      <c r="BXV106"/>
      <c r="BXW106"/>
      <c r="BXX106"/>
      <c r="BXY106"/>
      <c r="BXZ106"/>
      <c r="BYA106"/>
      <c r="BYB106"/>
      <c r="BYC106"/>
      <c r="BYD106"/>
      <c r="BYE106"/>
      <c r="BYF106"/>
      <c r="BYG106"/>
      <c r="BYH106"/>
      <c r="BYI106"/>
      <c r="BYJ106"/>
      <c r="BYK106"/>
      <c r="BYL106"/>
      <c r="BYM106"/>
      <c r="BYN106"/>
      <c r="BYO106"/>
      <c r="BYP106"/>
      <c r="BYQ106"/>
      <c r="BYR106"/>
      <c r="BYS106"/>
      <c r="BYT106"/>
      <c r="BYU106"/>
      <c r="BYV106"/>
      <c r="BYW106"/>
      <c r="BYX106"/>
      <c r="BYY106"/>
      <c r="BYZ106"/>
      <c r="BZA106"/>
      <c r="BZB106"/>
      <c r="BZC106"/>
      <c r="BZD106"/>
      <c r="BZE106"/>
      <c r="BZF106"/>
      <c r="BZG106"/>
      <c r="BZH106"/>
      <c r="BZI106"/>
      <c r="BZJ106"/>
      <c r="BZK106"/>
      <c r="BZL106"/>
      <c r="BZM106"/>
      <c r="BZN106"/>
      <c r="BZO106"/>
      <c r="BZP106"/>
      <c r="BZQ106"/>
      <c r="BZR106"/>
      <c r="BZS106"/>
      <c r="BZT106"/>
      <c r="BZU106"/>
      <c r="BZV106"/>
      <c r="BZW106"/>
      <c r="BZX106"/>
      <c r="BZY106"/>
      <c r="BZZ106"/>
      <c r="CAA106"/>
      <c r="CAB106"/>
      <c r="CAC106"/>
      <c r="CAD106"/>
      <c r="CAE106"/>
      <c r="CAF106"/>
      <c r="CAG106"/>
      <c r="CAH106"/>
      <c r="CAI106"/>
      <c r="CAJ106"/>
      <c r="CAK106"/>
      <c r="CAL106"/>
      <c r="CAM106"/>
      <c r="CAN106"/>
      <c r="CAO106"/>
      <c r="CAP106"/>
      <c r="CAQ106"/>
      <c r="CAR106"/>
      <c r="CAS106"/>
      <c r="CAT106"/>
      <c r="CAU106"/>
      <c r="CAV106"/>
      <c r="CAW106"/>
      <c r="CAX106"/>
      <c r="CAY106"/>
      <c r="CAZ106"/>
      <c r="CBA106"/>
      <c r="CBB106"/>
      <c r="CBC106"/>
      <c r="CBD106"/>
      <c r="CBE106"/>
      <c r="CBF106"/>
      <c r="CBG106"/>
      <c r="CBH106"/>
      <c r="CBI106"/>
      <c r="CBJ106"/>
      <c r="CBK106"/>
      <c r="CBL106"/>
      <c r="CBM106"/>
      <c r="CBN106"/>
      <c r="CBO106"/>
      <c r="CBP106"/>
      <c r="CBQ106"/>
      <c r="CBR106"/>
      <c r="CBS106"/>
      <c r="CBT106"/>
      <c r="CBU106"/>
      <c r="CBV106"/>
      <c r="CBW106"/>
      <c r="CBX106"/>
      <c r="CBY106"/>
      <c r="CBZ106"/>
      <c r="CCA106"/>
      <c r="CCB106"/>
      <c r="CCC106"/>
      <c r="CCD106"/>
      <c r="CCE106"/>
      <c r="CCF106"/>
      <c r="CCG106"/>
      <c r="CCH106"/>
      <c r="CCI106"/>
      <c r="CCJ106"/>
      <c r="CCK106"/>
      <c r="CCL106"/>
      <c r="CCM106"/>
      <c r="CCN106"/>
      <c r="CCO106"/>
      <c r="CCP106"/>
      <c r="CCQ106"/>
      <c r="CCR106"/>
      <c r="CCS106"/>
      <c r="CCT106"/>
      <c r="CCU106"/>
      <c r="CCV106"/>
      <c r="CCW106"/>
      <c r="CCX106"/>
      <c r="CCY106"/>
      <c r="CCZ106"/>
      <c r="CDA106"/>
      <c r="CDB106"/>
      <c r="CDC106"/>
      <c r="CDD106"/>
      <c r="CDE106"/>
      <c r="CDF106"/>
      <c r="CDG106"/>
      <c r="CDH106"/>
      <c r="CDI106"/>
      <c r="CDJ106"/>
      <c r="CDK106"/>
      <c r="CDL106"/>
      <c r="CDM106"/>
      <c r="CDN106"/>
      <c r="CDO106"/>
      <c r="CDP106"/>
      <c r="CDQ106"/>
      <c r="CDR106"/>
      <c r="CDS106"/>
      <c r="CDT106"/>
      <c r="CDU106"/>
      <c r="CDV106"/>
      <c r="CDW106"/>
      <c r="CDX106"/>
      <c r="CDY106"/>
      <c r="CDZ106"/>
      <c r="CEA106"/>
      <c r="CEB106"/>
      <c r="CEC106"/>
      <c r="CED106"/>
      <c r="CEE106"/>
      <c r="CEF106"/>
      <c r="CEG106"/>
      <c r="CEH106"/>
      <c r="CEI106"/>
      <c r="CEJ106"/>
      <c r="CEK106"/>
      <c r="CEL106"/>
      <c r="CEM106"/>
      <c r="CEN106"/>
      <c r="CEO106"/>
      <c r="CEP106"/>
      <c r="CEQ106"/>
      <c r="CER106"/>
      <c r="CES106"/>
      <c r="CET106"/>
      <c r="CEU106"/>
      <c r="CEV106"/>
      <c r="CEW106"/>
      <c r="CEX106"/>
      <c r="CEY106"/>
      <c r="CEZ106"/>
      <c r="CFA106"/>
      <c r="CFB106"/>
      <c r="CFC106"/>
      <c r="CFD106"/>
      <c r="CFE106"/>
      <c r="CFF106"/>
      <c r="CFG106"/>
      <c r="CFH106"/>
      <c r="CFI106"/>
      <c r="CFJ106"/>
      <c r="CFK106"/>
      <c r="CFL106"/>
      <c r="CFM106"/>
      <c r="CFN106"/>
      <c r="CFO106"/>
      <c r="CFP106"/>
      <c r="CFQ106"/>
      <c r="CFR106"/>
      <c r="CFS106"/>
      <c r="CFT106"/>
      <c r="CFU106"/>
      <c r="CFV106"/>
      <c r="CFW106"/>
      <c r="CFX106"/>
      <c r="CFY106"/>
      <c r="CFZ106"/>
      <c r="CGA106"/>
      <c r="CGB106"/>
      <c r="CGC106"/>
      <c r="CGD106"/>
      <c r="CGE106"/>
      <c r="CGF106"/>
      <c r="CGG106"/>
      <c r="CGH106"/>
      <c r="CGI106"/>
      <c r="CGJ106"/>
      <c r="CGK106"/>
      <c r="CGL106"/>
      <c r="CGM106"/>
      <c r="CGN106"/>
      <c r="CGO106"/>
      <c r="CGP106"/>
      <c r="CGQ106"/>
      <c r="CGR106"/>
      <c r="CGS106"/>
      <c r="CGT106"/>
      <c r="CGU106"/>
      <c r="CGV106"/>
      <c r="CGW106"/>
      <c r="CGX106"/>
      <c r="CGY106"/>
      <c r="CGZ106"/>
      <c r="CHA106"/>
      <c r="CHB106"/>
      <c r="CHC106"/>
      <c r="CHD106"/>
      <c r="CHE106"/>
      <c r="CHF106"/>
      <c r="CHG106"/>
      <c r="CHH106"/>
      <c r="CHI106"/>
      <c r="CHJ106"/>
      <c r="CHK106"/>
      <c r="CHL106"/>
      <c r="CHM106"/>
      <c r="CHN106"/>
      <c r="CHO106"/>
      <c r="CHP106"/>
      <c r="CHQ106"/>
      <c r="CHR106"/>
      <c r="CHS106"/>
      <c r="CHT106"/>
      <c r="CHU106"/>
      <c r="CHV106"/>
      <c r="CHW106"/>
      <c r="CHX106"/>
      <c r="CHY106"/>
      <c r="CHZ106"/>
      <c r="CIA106"/>
      <c r="CIB106"/>
      <c r="CIC106"/>
      <c r="CID106"/>
      <c r="CIE106"/>
      <c r="CIF106"/>
      <c r="CIG106"/>
      <c r="CIH106"/>
      <c r="CII106"/>
      <c r="CIJ106"/>
      <c r="CIK106"/>
      <c r="CIL106"/>
      <c r="CIM106"/>
      <c r="CIN106"/>
      <c r="CIO106"/>
      <c r="CIP106"/>
      <c r="CIQ106"/>
      <c r="CIR106"/>
      <c r="CIS106"/>
      <c r="CIT106"/>
      <c r="CIU106"/>
      <c r="CIV106"/>
      <c r="CIW106"/>
      <c r="CIX106"/>
      <c r="CIY106"/>
      <c r="CIZ106"/>
      <c r="CJA106"/>
      <c r="CJB106"/>
      <c r="CJC106"/>
      <c r="CJD106"/>
      <c r="CJE106"/>
      <c r="CJF106"/>
      <c r="CJG106"/>
      <c r="CJH106"/>
      <c r="CJI106"/>
      <c r="CJJ106"/>
      <c r="CJK106"/>
      <c r="CJL106"/>
      <c r="CJM106"/>
      <c r="CJN106"/>
      <c r="CJO106"/>
      <c r="CJP106"/>
      <c r="CJQ106"/>
      <c r="CJR106"/>
      <c r="CJS106"/>
      <c r="CJT106"/>
      <c r="CJU106"/>
      <c r="CJV106"/>
      <c r="CJW106"/>
      <c r="CJX106"/>
      <c r="CJY106"/>
      <c r="CJZ106"/>
      <c r="CKA106"/>
      <c r="CKB106"/>
      <c r="CKC106"/>
      <c r="CKD106"/>
      <c r="CKE106"/>
      <c r="CKF106"/>
      <c r="CKG106"/>
      <c r="CKH106"/>
      <c r="CKI106"/>
      <c r="CKJ106"/>
      <c r="CKK106"/>
      <c r="CKL106"/>
      <c r="CKM106"/>
      <c r="CKN106"/>
      <c r="CKO106"/>
      <c r="CKP106"/>
      <c r="CKQ106"/>
      <c r="CKR106"/>
      <c r="CKS106"/>
      <c r="CKT106"/>
      <c r="CKU106"/>
      <c r="CKV106"/>
      <c r="CKW106"/>
      <c r="CKX106"/>
      <c r="CKY106"/>
      <c r="CKZ106"/>
      <c r="CLA106"/>
      <c r="CLB106"/>
      <c r="CLC106"/>
      <c r="CLD106"/>
      <c r="CLE106"/>
      <c r="CLF106"/>
      <c r="CLG106"/>
      <c r="CLH106"/>
      <c r="CLI106"/>
      <c r="CLJ106"/>
      <c r="CLK106"/>
      <c r="CLL106"/>
      <c r="CLM106"/>
      <c r="CLN106"/>
      <c r="CLO106"/>
      <c r="CLP106"/>
      <c r="CLQ106"/>
      <c r="CLR106"/>
      <c r="CLS106"/>
      <c r="CLT106"/>
      <c r="CLU106"/>
      <c r="CLV106"/>
      <c r="CLW106"/>
      <c r="CLX106"/>
      <c r="CLY106"/>
      <c r="CLZ106"/>
      <c r="CMA106"/>
      <c r="CMB106"/>
      <c r="CMC106"/>
      <c r="CMD106"/>
      <c r="CME106"/>
      <c r="CMF106"/>
      <c r="CMG106"/>
      <c r="CMH106"/>
      <c r="CMI106"/>
      <c r="CMJ106"/>
      <c r="CMK106"/>
      <c r="CML106"/>
      <c r="CMM106"/>
      <c r="CMN106"/>
      <c r="CMO106"/>
      <c r="CMP106"/>
      <c r="CMQ106"/>
      <c r="CMR106"/>
      <c r="CMS106"/>
      <c r="CMT106"/>
      <c r="CMU106"/>
      <c r="CMV106"/>
      <c r="CMW106"/>
      <c r="CMX106"/>
      <c r="CMY106"/>
      <c r="CMZ106"/>
      <c r="CNA106"/>
      <c r="CNB106"/>
      <c r="CNC106"/>
      <c r="CND106"/>
      <c r="CNE106"/>
      <c r="CNF106"/>
      <c r="CNG106"/>
      <c r="CNH106"/>
      <c r="CNI106"/>
      <c r="CNJ106"/>
      <c r="CNK106"/>
      <c r="CNL106"/>
      <c r="CNM106"/>
      <c r="CNN106"/>
      <c r="CNO106"/>
      <c r="CNP106"/>
      <c r="CNQ106"/>
      <c r="CNR106"/>
      <c r="CNS106"/>
      <c r="CNT106"/>
      <c r="CNU106"/>
      <c r="CNV106"/>
      <c r="CNW106"/>
      <c r="CNX106"/>
      <c r="CNY106"/>
      <c r="CNZ106"/>
      <c r="COA106"/>
      <c r="COB106"/>
      <c r="COC106"/>
      <c r="COD106"/>
      <c r="COE106"/>
      <c r="COF106"/>
      <c r="COG106"/>
      <c r="COH106"/>
      <c r="COI106"/>
      <c r="COJ106"/>
      <c r="COK106"/>
      <c r="COL106"/>
      <c r="COM106"/>
      <c r="CON106"/>
      <c r="COO106"/>
      <c r="COP106"/>
      <c r="COQ106"/>
      <c r="COR106"/>
      <c r="COS106"/>
      <c r="COT106"/>
      <c r="COU106"/>
      <c r="COV106"/>
      <c r="COW106"/>
      <c r="COX106"/>
      <c r="COY106"/>
      <c r="COZ106"/>
      <c r="CPA106"/>
      <c r="CPB106"/>
      <c r="CPC106"/>
      <c r="CPD106"/>
      <c r="CPE106"/>
      <c r="CPF106"/>
      <c r="CPG106"/>
      <c r="CPH106"/>
      <c r="CPI106"/>
      <c r="CPJ106"/>
      <c r="CPK106"/>
      <c r="CPL106"/>
      <c r="CPM106"/>
      <c r="CPN106"/>
      <c r="CPO106"/>
      <c r="CPP106"/>
      <c r="CPQ106"/>
      <c r="CPR106"/>
      <c r="CPS106"/>
      <c r="CPT106"/>
      <c r="CPU106"/>
      <c r="CPV106"/>
      <c r="CPW106"/>
      <c r="CPX106"/>
      <c r="CPY106"/>
      <c r="CPZ106"/>
      <c r="CQA106"/>
      <c r="CQB106"/>
      <c r="CQC106"/>
      <c r="CQD106"/>
      <c r="CQE106"/>
      <c r="CQF106"/>
      <c r="CQG106"/>
      <c r="CQH106"/>
      <c r="CQI106"/>
      <c r="CQJ106"/>
      <c r="CQK106"/>
      <c r="CQL106"/>
      <c r="CQM106"/>
      <c r="CQN106"/>
      <c r="CQO106"/>
      <c r="CQP106"/>
      <c r="CQQ106"/>
      <c r="CQR106"/>
      <c r="CQS106"/>
      <c r="CQT106"/>
      <c r="CQU106"/>
      <c r="CQV106"/>
      <c r="CQW106"/>
      <c r="CQX106"/>
      <c r="CQY106"/>
      <c r="CQZ106"/>
      <c r="CRA106"/>
      <c r="CRB106"/>
      <c r="CRC106"/>
      <c r="CRD106"/>
      <c r="CRE106"/>
      <c r="CRF106"/>
      <c r="CRG106"/>
      <c r="CRH106"/>
      <c r="CRI106"/>
      <c r="CRJ106"/>
      <c r="CRK106"/>
      <c r="CRL106"/>
      <c r="CRM106"/>
      <c r="CRN106"/>
      <c r="CRO106"/>
      <c r="CRP106"/>
      <c r="CRQ106"/>
      <c r="CRR106"/>
      <c r="CRS106"/>
      <c r="CRT106"/>
      <c r="CRU106"/>
      <c r="CRV106"/>
      <c r="CRW106"/>
      <c r="CRX106"/>
      <c r="CRY106"/>
      <c r="CRZ106"/>
      <c r="CSA106"/>
      <c r="CSB106"/>
      <c r="CSC106"/>
      <c r="CSD106"/>
      <c r="CSE106"/>
      <c r="CSF106"/>
      <c r="CSG106"/>
      <c r="CSH106"/>
      <c r="CSI106"/>
      <c r="CSJ106"/>
      <c r="CSK106"/>
      <c r="CSL106"/>
      <c r="CSM106"/>
      <c r="CSN106"/>
      <c r="CSO106"/>
      <c r="CSP106"/>
      <c r="CSQ106"/>
      <c r="CSR106"/>
      <c r="CSS106"/>
      <c r="CST106"/>
      <c r="CSU106"/>
      <c r="CSV106"/>
      <c r="CSW106"/>
      <c r="CSX106"/>
      <c r="CSY106"/>
      <c r="CSZ106"/>
      <c r="CTA106"/>
      <c r="CTB106"/>
      <c r="CTC106"/>
      <c r="CTD106"/>
      <c r="CTE106"/>
      <c r="CTF106"/>
      <c r="CTG106"/>
      <c r="CTH106"/>
      <c r="CTI106"/>
      <c r="CTJ106"/>
      <c r="CTK106"/>
      <c r="CTL106"/>
      <c r="CTM106"/>
      <c r="CTN106"/>
      <c r="CTO106"/>
      <c r="CTP106"/>
      <c r="CTQ106"/>
      <c r="CTR106"/>
      <c r="CTS106"/>
      <c r="CTT106"/>
      <c r="CTU106"/>
      <c r="CTV106"/>
      <c r="CTW106"/>
      <c r="CTX106"/>
      <c r="CTY106"/>
      <c r="CTZ106"/>
      <c r="CUA106"/>
      <c r="CUB106"/>
      <c r="CUC106"/>
      <c r="CUD106"/>
      <c r="CUE106"/>
      <c r="CUF106"/>
      <c r="CUG106"/>
      <c r="CUH106"/>
      <c r="CUI106"/>
      <c r="CUJ106"/>
      <c r="CUK106"/>
      <c r="CUL106"/>
      <c r="CUM106"/>
      <c r="CUN106"/>
      <c r="CUO106"/>
      <c r="CUP106"/>
      <c r="CUQ106"/>
      <c r="CUR106"/>
      <c r="CUS106"/>
      <c r="CUT106"/>
      <c r="CUU106"/>
      <c r="CUV106"/>
      <c r="CUW106"/>
      <c r="CUX106"/>
      <c r="CUY106"/>
      <c r="CUZ106"/>
      <c r="CVA106"/>
      <c r="CVB106"/>
      <c r="CVC106"/>
      <c r="CVD106"/>
      <c r="CVE106"/>
      <c r="CVF106"/>
      <c r="CVG106"/>
      <c r="CVH106"/>
      <c r="CVI106"/>
      <c r="CVJ106"/>
      <c r="CVK106"/>
      <c r="CVL106"/>
      <c r="CVM106"/>
      <c r="CVN106"/>
      <c r="CVO106"/>
      <c r="CVP106"/>
      <c r="CVQ106"/>
      <c r="CVR106"/>
      <c r="CVS106"/>
      <c r="CVT106"/>
      <c r="CVU106"/>
      <c r="CVV106"/>
      <c r="CVW106"/>
      <c r="CVX106"/>
      <c r="CVY106"/>
      <c r="CVZ106"/>
      <c r="CWA106"/>
      <c r="CWB106"/>
      <c r="CWC106"/>
      <c r="CWD106"/>
      <c r="CWE106"/>
      <c r="CWF106"/>
      <c r="CWG106"/>
      <c r="CWH106"/>
      <c r="CWI106"/>
      <c r="CWJ106"/>
      <c r="CWK106"/>
      <c r="CWL106"/>
      <c r="CWM106"/>
      <c r="CWN106"/>
      <c r="CWO106"/>
      <c r="CWP106"/>
      <c r="CWQ106"/>
      <c r="CWR106"/>
      <c r="CWS106"/>
      <c r="CWT106"/>
      <c r="CWU106"/>
      <c r="CWV106"/>
      <c r="CWW106"/>
      <c r="CWX106"/>
      <c r="CWY106"/>
      <c r="CWZ106"/>
      <c r="CXA106"/>
      <c r="CXB106"/>
      <c r="CXC106"/>
      <c r="CXD106"/>
      <c r="CXE106"/>
      <c r="CXF106"/>
      <c r="CXG106"/>
      <c r="CXH106"/>
      <c r="CXI106"/>
      <c r="CXJ106"/>
      <c r="CXK106"/>
      <c r="CXL106"/>
      <c r="CXM106"/>
      <c r="CXN106"/>
      <c r="CXO106"/>
      <c r="CXP106"/>
      <c r="CXQ106"/>
      <c r="CXR106"/>
      <c r="CXS106"/>
      <c r="CXT106"/>
      <c r="CXU106"/>
      <c r="CXV106"/>
      <c r="CXW106"/>
      <c r="CXX106"/>
      <c r="CXY106"/>
      <c r="CXZ106"/>
      <c r="CYA106"/>
      <c r="CYB106"/>
      <c r="CYC106"/>
      <c r="CYD106"/>
      <c r="CYE106"/>
      <c r="CYF106"/>
      <c r="CYG106"/>
      <c r="CYH106"/>
      <c r="CYI106"/>
      <c r="CYJ106"/>
      <c r="CYK106"/>
      <c r="CYL106"/>
      <c r="CYM106"/>
      <c r="CYN106"/>
      <c r="CYO106"/>
      <c r="CYP106"/>
      <c r="CYQ106"/>
      <c r="CYR106"/>
      <c r="CYS106"/>
      <c r="CYT106"/>
      <c r="CYU106"/>
      <c r="CYV106"/>
      <c r="CYW106"/>
      <c r="CYX106"/>
      <c r="CYY106"/>
      <c r="CYZ106"/>
      <c r="CZA106"/>
      <c r="CZB106"/>
      <c r="CZC106"/>
      <c r="CZD106"/>
      <c r="CZE106"/>
      <c r="CZF106"/>
      <c r="CZG106"/>
      <c r="CZH106"/>
      <c r="CZI106"/>
      <c r="CZJ106"/>
      <c r="CZK106"/>
      <c r="CZL106"/>
      <c r="CZM106"/>
      <c r="CZN106"/>
      <c r="CZO106"/>
      <c r="CZP106"/>
      <c r="CZQ106"/>
      <c r="CZR106"/>
      <c r="CZS106"/>
      <c r="CZT106"/>
      <c r="CZU106"/>
      <c r="CZV106"/>
      <c r="CZW106"/>
      <c r="CZX106"/>
      <c r="CZY106"/>
      <c r="CZZ106"/>
      <c r="DAA106"/>
      <c r="DAB106"/>
      <c r="DAC106"/>
      <c r="DAD106"/>
      <c r="DAE106"/>
      <c r="DAF106"/>
      <c r="DAG106"/>
      <c r="DAH106"/>
      <c r="DAI106"/>
      <c r="DAJ106"/>
      <c r="DAK106"/>
      <c r="DAL106"/>
      <c r="DAM106"/>
      <c r="DAN106"/>
      <c r="DAO106"/>
      <c r="DAP106"/>
      <c r="DAQ106"/>
      <c r="DAR106"/>
      <c r="DAS106"/>
      <c r="DAT106"/>
      <c r="DAU106"/>
      <c r="DAV106"/>
      <c r="DAW106"/>
      <c r="DAX106"/>
      <c r="DAY106"/>
      <c r="DAZ106"/>
      <c r="DBA106"/>
      <c r="DBB106"/>
      <c r="DBC106"/>
      <c r="DBD106"/>
      <c r="DBE106"/>
      <c r="DBF106"/>
      <c r="DBG106"/>
      <c r="DBH106"/>
      <c r="DBI106"/>
      <c r="DBJ106"/>
      <c r="DBK106"/>
      <c r="DBL106"/>
      <c r="DBM106"/>
      <c r="DBN106"/>
      <c r="DBO106"/>
      <c r="DBP106"/>
      <c r="DBQ106"/>
      <c r="DBR106"/>
      <c r="DBS106"/>
      <c r="DBT106"/>
      <c r="DBU106"/>
      <c r="DBV106"/>
      <c r="DBW106"/>
      <c r="DBX106"/>
      <c r="DBY106"/>
      <c r="DBZ106"/>
      <c r="DCA106"/>
      <c r="DCB106"/>
      <c r="DCC106"/>
      <c r="DCD106"/>
      <c r="DCE106"/>
      <c r="DCF106"/>
      <c r="DCG106"/>
      <c r="DCH106"/>
      <c r="DCI106"/>
      <c r="DCJ106"/>
      <c r="DCK106"/>
      <c r="DCL106"/>
      <c r="DCM106"/>
      <c r="DCN106"/>
      <c r="DCO106"/>
      <c r="DCP106"/>
      <c r="DCQ106"/>
      <c r="DCR106"/>
      <c r="DCS106"/>
      <c r="DCT106"/>
      <c r="DCU106"/>
      <c r="DCV106"/>
      <c r="DCW106"/>
      <c r="DCX106"/>
      <c r="DCY106"/>
      <c r="DCZ106"/>
      <c r="DDA106"/>
      <c r="DDB106"/>
      <c r="DDC106"/>
      <c r="DDD106"/>
      <c r="DDE106"/>
      <c r="DDF106"/>
      <c r="DDG106"/>
      <c r="DDH106"/>
      <c r="DDI106"/>
      <c r="DDJ106"/>
      <c r="DDK106"/>
      <c r="DDL106"/>
      <c r="DDM106"/>
      <c r="DDN106"/>
      <c r="DDO106"/>
      <c r="DDP106"/>
      <c r="DDQ106"/>
      <c r="DDR106"/>
      <c r="DDS106"/>
      <c r="DDT106"/>
      <c r="DDU106"/>
      <c r="DDV106"/>
      <c r="DDW106"/>
      <c r="DDX106"/>
      <c r="DDY106"/>
      <c r="DDZ106"/>
      <c r="DEA106"/>
      <c r="DEB106"/>
      <c r="DEC106"/>
      <c r="DED106"/>
      <c r="DEE106"/>
      <c r="DEF106"/>
      <c r="DEG106"/>
      <c r="DEH106"/>
      <c r="DEI106"/>
      <c r="DEJ106"/>
      <c r="DEK106"/>
      <c r="DEL106"/>
      <c r="DEM106"/>
      <c r="DEN106"/>
      <c r="DEO106"/>
      <c r="DEP106"/>
      <c r="DEQ106"/>
      <c r="DER106"/>
      <c r="DES106"/>
      <c r="DET106"/>
      <c r="DEU106"/>
      <c r="DEV106"/>
      <c r="DEW106"/>
      <c r="DEX106"/>
      <c r="DEY106"/>
      <c r="DEZ106"/>
      <c r="DFA106"/>
      <c r="DFB106"/>
      <c r="DFC106"/>
      <c r="DFD106"/>
      <c r="DFE106"/>
      <c r="DFF106"/>
      <c r="DFG106"/>
      <c r="DFH106"/>
      <c r="DFI106"/>
      <c r="DFJ106"/>
      <c r="DFK106"/>
      <c r="DFL106"/>
      <c r="DFM106"/>
      <c r="DFN106"/>
      <c r="DFO106"/>
      <c r="DFP106"/>
      <c r="DFQ106"/>
      <c r="DFR106"/>
      <c r="DFS106"/>
      <c r="DFT106"/>
      <c r="DFU106"/>
      <c r="DFV106"/>
      <c r="DFW106"/>
      <c r="DFX106"/>
      <c r="DFY106"/>
      <c r="DFZ106"/>
      <c r="DGA106"/>
      <c r="DGB106"/>
      <c r="DGC106"/>
      <c r="DGD106"/>
      <c r="DGE106"/>
      <c r="DGF106"/>
      <c r="DGG106"/>
      <c r="DGH106"/>
      <c r="DGI106"/>
      <c r="DGJ106"/>
      <c r="DGK106"/>
      <c r="DGL106"/>
      <c r="DGM106"/>
      <c r="DGN106"/>
      <c r="DGO106"/>
      <c r="DGP106"/>
      <c r="DGQ106"/>
      <c r="DGR106"/>
      <c r="DGS106"/>
      <c r="DGT106"/>
      <c r="DGU106"/>
      <c r="DGV106"/>
      <c r="DGW106"/>
      <c r="DGX106"/>
      <c r="DGY106"/>
      <c r="DGZ106"/>
      <c r="DHA106"/>
      <c r="DHB106"/>
      <c r="DHC106"/>
      <c r="DHD106"/>
      <c r="DHE106"/>
      <c r="DHF106"/>
      <c r="DHG106"/>
      <c r="DHH106"/>
      <c r="DHI106"/>
      <c r="DHJ106"/>
      <c r="DHK106"/>
      <c r="DHL106"/>
      <c r="DHM106"/>
      <c r="DHN106"/>
      <c r="DHO106"/>
      <c r="DHP106"/>
      <c r="DHQ106"/>
      <c r="DHR106"/>
      <c r="DHS106"/>
      <c r="DHT106"/>
      <c r="DHU106"/>
      <c r="DHV106"/>
      <c r="DHW106"/>
      <c r="DHX106"/>
      <c r="DHY106"/>
      <c r="DHZ106"/>
      <c r="DIA106"/>
      <c r="DIB106"/>
      <c r="DIC106"/>
      <c r="DID106"/>
      <c r="DIE106"/>
      <c r="DIF106"/>
      <c r="DIG106"/>
      <c r="DIH106"/>
      <c r="DII106"/>
      <c r="DIJ106"/>
      <c r="DIK106"/>
      <c r="DIL106"/>
      <c r="DIM106"/>
      <c r="DIN106"/>
      <c r="DIO106"/>
      <c r="DIP106"/>
      <c r="DIQ106"/>
      <c r="DIR106"/>
      <c r="DIS106"/>
      <c r="DIT106"/>
      <c r="DIU106"/>
      <c r="DIV106"/>
      <c r="DIW106"/>
      <c r="DIX106"/>
      <c r="DIY106"/>
      <c r="DIZ106"/>
      <c r="DJA106"/>
      <c r="DJB106"/>
      <c r="DJC106"/>
      <c r="DJD106"/>
      <c r="DJE106"/>
      <c r="DJF106"/>
      <c r="DJG106"/>
      <c r="DJH106"/>
      <c r="DJI106"/>
      <c r="DJJ106"/>
      <c r="DJK106"/>
      <c r="DJL106"/>
      <c r="DJM106"/>
      <c r="DJN106"/>
      <c r="DJO106"/>
      <c r="DJP106"/>
      <c r="DJQ106"/>
      <c r="DJR106"/>
      <c r="DJS106"/>
      <c r="DJT106"/>
      <c r="DJU106"/>
      <c r="DJV106"/>
      <c r="DJW106"/>
      <c r="DJX106"/>
      <c r="DJY106"/>
      <c r="DJZ106"/>
      <c r="DKA106"/>
      <c r="DKB106"/>
      <c r="DKC106"/>
      <c r="DKD106"/>
      <c r="DKE106"/>
      <c r="DKF106"/>
      <c r="DKG106"/>
      <c r="DKH106"/>
      <c r="DKI106"/>
      <c r="DKJ106"/>
      <c r="DKK106"/>
      <c r="DKL106"/>
      <c r="DKM106"/>
      <c r="DKN106"/>
      <c r="DKO106"/>
      <c r="DKP106"/>
      <c r="DKQ106"/>
      <c r="DKR106"/>
      <c r="DKS106"/>
      <c r="DKT106"/>
      <c r="DKU106"/>
      <c r="DKV106"/>
      <c r="DKW106"/>
      <c r="DKX106"/>
      <c r="DKY106"/>
      <c r="DKZ106"/>
      <c r="DLA106"/>
      <c r="DLB106"/>
      <c r="DLC106"/>
      <c r="DLD106"/>
      <c r="DLE106"/>
      <c r="DLF106"/>
      <c r="DLG106"/>
      <c r="DLH106"/>
      <c r="DLI106"/>
      <c r="DLJ106"/>
      <c r="DLK106"/>
      <c r="DLL106"/>
      <c r="DLM106"/>
      <c r="DLN106"/>
      <c r="DLO106"/>
      <c r="DLP106"/>
      <c r="DLQ106"/>
      <c r="DLR106"/>
      <c r="DLS106"/>
      <c r="DLT106"/>
      <c r="DLU106"/>
      <c r="DLV106"/>
      <c r="DLW106"/>
      <c r="DLX106"/>
      <c r="DLY106"/>
      <c r="DLZ106"/>
      <c r="DMA106"/>
      <c r="DMB106"/>
      <c r="DMC106"/>
      <c r="DMD106"/>
      <c r="DME106"/>
      <c r="DMF106"/>
      <c r="DMG106"/>
      <c r="DMH106"/>
      <c r="DMI106"/>
      <c r="DMJ106"/>
      <c r="DMK106"/>
      <c r="DML106"/>
      <c r="DMM106"/>
      <c r="DMN106"/>
      <c r="DMO106"/>
      <c r="DMP106"/>
      <c r="DMQ106"/>
      <c r="DMR106"/>
      <c r="DMS106"/>
      <c r="DMT106"/>
      <c r="DMU106"/>
      <c r="DMV106"/>
      <c r="DMW106"/>
      <c r="DMX106"/>
      <c r="DMY106"/>
      <c r="DMZ106"/>
      <c r="DNA106"/>
      <c r="DNB106"/>
      <c r="DNC106"/>
      <c r="DND106"/>
      <c r="DNE106"/>
      <c r="DNF106"/>
      <c r="DNG106"/>
      <c r="DNH106"/>
      <c r="DNI106"/>
      <c r="DNJ106"/>
      <c r="DNK106"/>
      <c r="DNL106"/>
      <c r="DNM106"/>
      <c r="DNN106"/>
      <c r="DNO106"/>
      <c r="DNP106"/>
      <c r="DNQ106"/>
      <c r="DNR106"/>
      <c r="DNS106"/>
      <c r="DNT106"/>
      <c r="DNU106"/>
      <c r="DNV106"/>
      <c r="DNW106"/>
      <c r="DNX106"/>
      <c r="DNY106"/>
      <c r="DNZ106"/>
      <c r="DOA106"/>
      <c r="DOB106"/>
      <c r="DOC106"/>
      <c r="DOD106"/>
      <c r="DOE106"/>
      <c r="DOF106"/>
      <c r="DOG106"/>
      <c r="DOH106"/>
      <c r="DOI106"/>
      <c r="DOJ106"/>
      <c r="DOK106"/>
      <c r="DOL106"/>
      <c r="DOM106"/>
      <c r="DON106"/>
      <c r="DOO106"/>
      <c r="DOP106"/>
      <c r="DOQ106"/>
      <c r="DOR106"/>
      <c r="DOS106"/>
      <c r="DOT106"/>
      <c r="DOU106"/>
      <c r="DOV106"/>
      <c r="DOW106"/>
      <c r="DOX106"/>
      <c r="DOY106"/>
      <c r="DOZ106"/>
      <c r="DPA106"/>
      <c r="DPB106"/>
      <c r="DPC106"/>
      <c r="DPD106"/>
      <c r="DPE106"/>
      <c r="DPF106"/>
      <c r="DPG106"/>
      <c r="DPH106"/>
      <c r="DPI106"/>
      <c r="DPJ106"/>
      <c r="DPK106"/>
      <c r="DPL106"/>
      <c r="DPM106"/>
      <c r="DPN106"/>
      <c r="DPO106"/>
      <c r="DPP106"/>
      <c r="DPQ106"/>
      <c r="DPR106"/>
      <c r="DPS106"/>
      <c r="DPT106"/>
      <c r="DPU106"/>
      <c r="DPV106"/>
      <c r="DPW106"/>
      <c r="DPX106"/>
      <c r="DPY106"/>
      <c r="DPZ106"/>
      <c r="DQA106"/>
      <c r="DQB106"/>
      <c r="DQC106"/>
      <c r="DQD106"/>
      <c r="DQE106"/>
      <c r="DQF106"/>
      <c r="DQG106"/>
      <c r="DQH106"/>
      <c r="DQI106"/>
      <c r="DQJ106"/>
      <c r="DQK106"/>
      <c r="DQL106"/>
      <c r="DQM106"/>
      <c r="DQN106"/>
      <c r="DQO106"/>
      <c r="DQP106"/>
      <c r="DQQ106"/>
      <c r="DQR106"/>
      <c r="DQS106"/>
      <c r="DQT106"/>
      <c r="DQU106"/>
      <c r="DQV106"/>
      <c r="DQW106"/>
      <c r="DQX106"/>
      <c r="DQY106"/>
      <c r="DQZ106"/>
      <c r="DRA106"/>
      <c r="DRB106"/>
      <c r="DRC106"/>
      <c r="DRD106"/>
      <c r="DRE106"/>
      <c r="DRF106"/>
      <c r="DRG106"/>
      <c r="DRH106"/>
      <c r="DRI106"/>
      <c r="DRJ106"/>
      <c r="DRK106"/>
      <c r="DRL106"/>
      <c r="DRM106"/>
      <c r="DRN106"/>
      <c r="DRO106"/>
      <c r="DRP106"/>
      <c r="DRQ106"/>
      <c r="DRR106"/>
      <c r="DRS106"/>
      <c r="DRT106"/>
      <c r="DRU106"/>
      <c r="DRV106"/>
      <c r="DRW106"/>
      <c r="DRX106"/>
      <c r="DRY106"/>
      <c r="DRZ106"/>
      <c r="DSA106"/>
      <c r="DSB106"/>
      <c r="DSC106"/>
      <c r="DSD106"/>
      <c r="DSE106"/>
      <c r="DSF106"/>
      <c r="DSG106"/>
      <c r="DSH106"/>
      <c r="DSI106"/>
      <c r="DSJ106"/>
      <c r="DSK106"/>
      <c r="DSL106"/>
      <c r="DSM106"/>
      <c r="DSN106"/>
      <c r="DSO106"/>
      <c r="DSP106"/>
      <c r="DSQ106"/>
      <c r="DSR106"/>
      <c r="DSS106"/>
      <c r="DST106"/>
      <c r="DSU106"/>
      <c r="DSV106"/>
      <c r="DSW106"/>
      <c r="DSX106"/>
      <c r="DSY106"/>
      <c r="DSZ106"/>
      <c r="DTA106"/>
      <c r="DTB106"/>
      <c r="DTC106"/>
      <c r="DTD106"/>
      <c r="DTE106"/>
      <c r="DTF106"/>
      <c r="DTG106"/>
      <c r="DTH106"/>
      <c r="DTI106"/>
      <c r="DTJ106"/>
      <c r="DTK106"/>
      <c r="DTL106"/>
      <c r="DTM106"/>
      <c r="DTN106"/>
      <c r="DTO106"/>
      <c r="DTP106"/>
      <c r="DTQ106"/>
      <c r="DTR106"/>
      <c r="DTS106"/>
      <c r="DTT106"/>
      <c r="DTU106"/>
      <c r="DTV106"/>
      <c r="DTW106"/>
      <c r="DTX106"/>
      <c r="DTY106"/>
      <c r="DTZ106"/>
      <c r="DUA106"/>
      <c r="DUB106"/>
      <c r="DUC106"/>
      <c r="DUD106"/>
      <c r="DUE106"/>
      <c r="DUF106"/>
      <c r="DUG106"/>
      <c r="DUH106"/>
      <c r="DUI106"/>
      <c r="DUJ106"/>
      <c r="DUK106"/>
      <c r="DUL106"/>
      <c r="DUM106"/>
      <c r="DUN106"/>
      <c r="DUO106"/>
      <c r="DUP106"/>
      <c r="DUQ106"/>
      <c r="DUR106"/>
      <c r="DUS106"/>
      <c r="DUT106"/>
      <c r="DUU106"/>
      <c r="DUV106"/>
      <c r="DUW106"/>
      <c r="DUX106"/>
      <c r="DUY106"/>
      <c r="DUZ106"/>
      <c r="DVA106"/>
      <c r="DVB106"/>
      <c r="DVC106"/>
      <c r="DVD106"/>
      <c r="DVE106"/>
      <c r="DVF106"/>
      <c r="DVG106"/>
      <c r="DVH106"/>
      <c r="DVI106"/>
      <c r="DVJ106"/>
      <c r="DVK106"/>
      <c r="DVL106"/>
      <c r="DVM106"/>
      <c r="DVN106"/>
      <c r="DVO106"/>
      <c r="DVP106"/>
      <c r="DVQ106"/>
      <c r="DVR106"/>
      <c r="DVS106"/>
      <c r="DVT106"/>
      <c r="DVU106"/>
      <c r="DVV106"/>
      <c r="DVW106"/>
      <c r="DVX106"/>
      <c r="DVY106"/>
      <c r="DVZ106"/>
      <c r="DWA106"/>
      <c r="DWB106"/>
      <c r="DWC106"/>
      <c r="DWD106"/>
      <c r="DWE106"/>
      <c r="DWF106"/>
      <c r="DWG106"/>
      <c r="DWH106"/>
      <c r="DWI106"/>
      <c r="DWJ106"/>
      <c r="DWK106"/>
      <c r="DWL106"/>
      <c r="DWM106"/>
      <c r="DWN106"/>
      <c r="DWO106"/>
      <c r="DWP106"/>
      <c r="DWQ106"/>
      <c r="DWR106"/>
      <c r="DWS106"/>
      <c r="DWT106"/>
      <c r="DWU106"/>
      <c r="DWV106"/>
      <c r="DWW106"/>
      <c r="DWX106"/>
      <c r="DWY106"/>
      <c r="DWZ106"/>
      <c r="DXA106"/>
      <c r="DXB106"/>
      <c r="DXC106"/>
      <c r="DXD106"/>
      <c r="DXE106"/>
      <c r="DXF106"/>
      <c r="DXG106"/>
      <c r="DXH106"/>
      <c r="DXI106"/>
      <c r="DXJ106"/>
      <c r="DXK106"/>
      <c r="DXL106"/>
      <c r="DXM106"/>
      <c r="DXN106"/>
      <c r="DXO106"/>
      <c r="DXP106"/>
      <c r="DXQ106"/>
      <c r="DXR106"/>
      <c r="DXS106"/>
      <c r="DXT106"/>
      <c r="DXU106"/>
      <c r="DXV106"/>
      <c r="DXW106"/>
      <c r="DXX106"/>
      <c r="DXY106"/>
      <c r="DXZ106"/>
      <c r="DYA106"/>
      <c r="DYB106"/>
      <c r="DYC106"/>
      <c r="DYD106"/>
      <c r="DYE106"/>
      <c r="DYF106"/>
      <c r="DYG106"/>
      <c r="DYH106"/>
      <c r="DYI106"/>
      <c r="DYJ106"/>
      <c r="DYK106"/>
      <c r="DYL106"/>
      <c r="DYM106"/>
      <c r="DYN106"/>
      <c r="DYO106"/>
      <c r="DYP106"/>
      <c r="DYQ106"/>
      <c r="DYR106"/>
      <c r="DYS106"/>
      <c r="DYT106"/>
      <c r="DYU106"/>
      <c r="DYV106"/>
      <c r="DYW106"/>
      <c r="DYX106"/>
      <c r="DYY106"/>
      <c r="DYZ106"/>
      <c r="DZA106"/>
      <c r="DZB106"/>
      <c r="DZC106"/>
      <c r="DZD106"/>
      <c r="DZE106"/>
      <c r="DZF106"/>
      <c r="DZG106"/>
      <c r="DZH106"/>
      <c r="DZI106"/>
      <c r="DZJ106"/>
      <c r="DZK106"/>
      <c r="DZL106"/>
      <c r="DZM106"/>
      <c r="DZN106"/>
      <c r="DZO106"/>
      <c r="DZP106"/>
      <c r="DZQ106"/>
      <c r="DZR106"/>
      <c r="DZS106"/>
      <c r="DZT106"/>
      <c r="DZU106"/>
      <c r="DZV106"/>
      <c r="DZW106"/>
      <c r="DZX106"/>
      <c r="DZY106"/>
      <c r="DZZ106"/>
      <c r="EAA106"/>
      <c r="EAB106"/>
      <c r="EAC106"/>
      <c r="EAD106"/>
      <c r="EAE106"/>
      <c r="EAF106"/>
      <c r="EAG106"/>
      <c r="EAH106"/>
      <c r="EAI106"/>
      <c r="EAJ106"/>
      <c r="EAK106"/>
      <c r="EAL106"/>
      <c r="EAM106"/>
      <c r="EAN106"/>
      <c r="EAO106"/>
      <c r="EAP106"/>
      <c r="EAQ106"/>
      <c r="EAR106"/>
      <c r="EAS106"/>
      <c r="EAT106"/>
      <c r="EAU106"/>
      <c r="EAV106"/>
      <c r="EAW106"/>
      <c r="EAX106"/>
      <c r="EAY106"/>
      <c r="EAZ106"/>
      <c r="EBA106"/>
      <c r="EBB106"/>
      <c r="EBC106"/>
      <c r="EBD106"/>
      <c r="EBE106"/>
      <c r="EBF106"/>
      <c r="EBG106"/>
      <c r="EBH106"/>
      <c r="EBI106"/>
      <c r="EBJ106"/>
      <c r="EBK106"/>
      <c r="EBL106"/>
      <c r="EBM106"/>
      <c r="EBN106"/>
      <c r="EBO106"/>
      <c r="EBP106"/>
      <c r="EBQ106"/>
      <c r="EBR106"/>
      <c r="EBS106"/>
      <c r="EBT106"/>
      <c r="EBU106"/>
      <c r="EBV106"/>
      <c r="EBW106"/>
      <c r="EBX106"/>
      <c r="EBY106"/>
      <c r="EBZ106"/>
      <c r="ECA106"/>
      <c r="ECB106"/>
      <c r="ECC106"/>
      <c r="ECD106"/>
      <c r="ECE106"/>
      <c r="ECF106"/>
      <c r="ECG106"/>
      <c r="ECH106"/>
      <c r="ECI106"/>
      <c r="ECJ106"/>
      <c r="ECK106"/>
      <c r="ECL106"/>
      <c r="ECM106"/>
      <c r="ECN106"/>
      <c r="ECO106"/>
      <c r="ECP106"/>
      <c r="ECQ106"/>
      <c r="ECR106"/>
      <c r="ECS106"/>
      <c r="ECT106"/>
      <c r="ECU106"/>
      <c r="ECV106"/>
      <c r="ECW106"/>
      <c r="ECX106"/>
      <c r="ECY106"/>
      <c r="ECZ106"/>
      <c r="EDA106"/>
      <c r="EDB106"/>
      <c r="EDC106"/>
      <c r="EDD106"/>
      <c r="EDE106"/>
      <c r="EDF106"/>
      <c r="EDG106"/>
      <c r="EDH106"/>
      <c r="EDI106"/>
      <c r="EDJ106"/>
      <c r="EDK106"/>
      <c r="EDL106"/>
      <c r="EDM106"/>
      <c r="EDN106"/>
      <c r="EDO106"/>
      <c r="EDP106"/>
      <c r="EDQ106"/>
      <c r="EDR106"/>
      <c r="EDS106"/>
      <c r="EDT106"/>
      <c r="EDU106"/>
      <c r="EDV106"/>
      <c r="EDW106"/>
      <c r="EDX106"/>
      <c r="EDY106"/>
      <c r="EDZ106"/>
      <c r="EEA106"/>
      <c r="EEB106"/>
      <c r="EEC106"/>
      <c r="EED106"/>
      <c r="EEE106"/>
      <c r="EEF106"/>
      <c r="EEG106"/>
      <c r="EEH106"/>
      <c r="EEI106"/>
      <c r="EEJ106"/>
      <c r="EEK106"/>
      <c r="EEL106"/>
      <c r="EEM106"/>
      <c r="EEN106"/>
      <c r="EEO106"/>
      <c r="EEP106"/>
      <c r="EEQ106"/>
      <c r="EER106"/>
      <c r="EES106"/>
      <c r="EET106"/>
      <c r="EEU106"/>
      <c r="EEV106"/>
      <c r="EEW106"/>
      <c r="EEX106"/>
      <c r="EEY106"/>
      <c r="EEZ106"/>
      <c r="EFA106"/>
      <c r="EFB106"/>
      <c r="EFC106"/>
      <c r="EFD106"/>
      <c r="EFE106"/>
      <c r="EFF106"/>
      <c r="EFG106"/>
      <c r="EFH106"/>
      <c r="EFI106"/>
      <c r="EFJ106"/>
      <c r="EFK106"/>
      <c r="EFL106"/>
      <c r="EFM106"/>
      <c r="EFN106"/>
      <c r="EFO106"/>
      <c r="EFP106"/>
      <c r="EFQ106"/>
      <c r="EFR106"/>
      <c r="EFS106"/>
      <c r="EFT106"/>
      <c r="EFU106"/>
      <c r="EFV106"/>
      <c r="EFW106"/>
      <c r="EFX106"/>
      <c r="EFY106"/>
      <c r="EFZ106"/>
      <c r="EGA106"/>
      <c r="EGB106"/>
      <c r="EGC106"/>
      <c r="EGD106"/>
      <c r="EGE106"/>
      <c r="EGF106"/>
      <c r="EGG106"/>
      <c r="EGH106"/>
      <c r="EGI106"/>
      <c r="EGJ106"/>
      <c r="EGK106"/>
      <c r="EGL106"/>
      <c r="EGM106"/>
      <c r="EGN106"/>
      <c r="EGO106"/>
      <c r="EGP106"/>
      <c r="EGQ106"/>
      <c r="EGR106"/>
      <c r="EGS106"/>
      <c r="EGT106"/>
      <c r="EGU106"/>
      <c r="EGV106"/>
      <c r="EGW106"/>
      <c r="EGX106"/>
      <c r="EGY106"/>
      <c r="EGZ106"/>
      <c r="EHA106"/>
      <c r="EHB106"/>
      <c r="EHC106"/>
      <c r="EHD106"/>
      <c r="EHE106"/>
      <c r="EHF106"/>
      <c r="EHG106"/>
      <c r="EHH106"/>
      <c r="EHI106"/>
      <c r="EHJ106"/>
      <c r="EHK106"/>
      <c r="EHL106"/>
      <c r="EHM106"/>
      <c r="EHN106"/>
      <c r="EHO106"/>
      <c r="EHP106"/>
      <c r="EHQ106"/>
      <c r="EHR106"/>
      <c r="EHS106"/>
      <c r="EHT106"/>
      <c r="EHU106"/>
      <c r="EHV106"/>
      <c r="EHW106"/>
      <c r="EHX106"/>
      <c r="EHY106"/>
      <c r="EHZ106"/>
      <c r="EIA106"/>
      <c r="EIB106"/>
      <c r="EIC106"/>
      <c r="EID106"/>
      <c r="EIE106"/>
      <c r="EIF106"/>
      <c r="EIG106"/>
      <c r="EIH106"/>
      <c r="EII106"/>
      <c r="EIJ106"/>
      <c r="EIK106"/>
      <c r="EIL106"/>
      <c r="EIM106"/>
      <c r="EIN106"/>
      <c r="EIO106"/>
      <c r="EIP106"/>
      <c r="EIQ106"/>
      <c r="EIR106"/>
      <c r="EIS106"/>
      <c r="EIT106"/>
      <c r="EIU106"/>
      <c r="EIV106"/>
      <c r="EIW106"/>
      <c r="EIX106"/>
      <c r="EIY106"/>
      <c r="EIZ106"/>
      <c r="EJA106"/>
      <c r="EJB106"/>
      <c r="EJC106"/>
      <c r="EJD106"/>
      <c r="EJE106"/>
      <c r="EJF106"/>
      <c r="EJG106"/>
      <c r="EJH106"/>
      <c r="EJI106"/>
      <c r="EJJ106"/>
      <c r="EJK106"/>
      <c r="EJL106"/>
      <c r="EJM106"/>
      <c r="EJN106"/>
      <c r="EJO106"/>
      <c r="EJP106"/>
      <c r="EJQ106"/>
      <c r="EJR106"/>
      <c r="EJS106"/>
      <c r="EJT106"/>
      <c r="EJU106"/>
      <c r="EJV106"/>
      <c r="EJW106"/>
      <c r="EJX106"/>
      <c r="EJY106"/>
      <c r="EJZ106"/>
      <c r="EKA106"/>
      <c r="EKB106"/>
      <c r="EKC106"/>
      <c r="EKD106"/>
      <c r="EKE106"/>
      <c r="EKF106"/>
      <c r="EKG106"/>
      <c r="EKH106"/>
      <c r="EKI106"/>
      <c r="EKJ106"/>
      <c r="EKK106"/>
      <c r="EKL106"/>
      <c r="EKM106"/>
      <c r="EKN106"/>
      <c r="EKO106"/>
      <c r="EKP106"/>
      <c r="EKQ106"/>
      <c r="EKR106"/>
      <c r="EKS106"/>
      <c r="EKT106"/>
      <c r="EKU106"/>
      <c r="EKV106"/>
      <c r="EKW106"/>
      <c r="EKX106"/>
      <c r="EKY106"/>
      <c r="EKZ106"/>
      <c r="ELA106"/>
      <c r="ELB106"/>
      <c r="ELC106"/>
      <c r="ELD106"/>
      <c r="ELE106"/>
      <c r="ELF106"/>
      <c r="ELG106"/>
      <c r="ELH106"/>
      <c r="ELI106"/>
      <c r="ELJ106"/>
      <c r="ELK106"/>
      <c r="ELL106"/>
      <c r="ELM106"/>
      <c r="ELN106"/>
      <c r="ELO106"/>
      <c r="ELP106"/>
      <c r="ELQ106"/>
      <c r="ELR106"/>
      <c r="ELS106"/>
      <c r="ELT106"/>
      <c r="ELU106"/>
      <c r="ELV106"/>
      <c r="ELW106"/>
      <c r="ELX106"/>
      <c r="ELY106"/>
      <c r="ELZ106"/>
      <c r="EMA106"/>
      <c r="EMB106"/>
      <c r="EMC106"/>
      <c r="EMD106"/>
      <c r="EME106"/>
      <c r="EMF106"/>
      <c r="EMG106"/>
      <c r="EMH106"/>
      <c r="EMI106"/>
      <c r="EMJ106"/>
      <c r="EMK106"/>
      <c r="EML106"/>
      <c r="EMM106"/>
      <c r="EMN106"/>
      <c r="EMO106"/>
      <c r="EMP106"/>
      <c r="EMQ106"/>
      <c r="EMR106"/>
      <c r="EMS106"/>
      <c r="EMT106"/>
      <c r="EMU106"/>
      <c r="EMV106"/>
      <c r="EMW106"/>
      <c r="EMX106"/>
      <c r="EMY106"/>
      <c r="EMZ106"/>
      <c r="ENA106"/>
      <c r="ENB106"/>
      <c r="ENC106"/>
      <c r="END106"/>
      <c r="ENE106"/>
      <c r="ENF106"/>
      <c r="ENG106"/>
      <c r="ENH106"/>
      <c r="ENI106"/>
      <c r="ENJ106"/>
      <c r="ENK106"/>
      <c r="ENL106"/>
      <c r="ENM106"/>
      <c r="ENN106"/>
      <c r="ENO106"/>
      <c r="ENP106"/>
      <c r="ENQ106"/>
      <c r="ENR106"/>
      <c r="ENS106"/>
      <c r="ENT106"/>
      <c r="ENU106"/>
      <c r="ENV106"/>
      <c r="ENW106"/>
      <c r="ENX106"/>
      <c r="ENY106"/>
      <c r="ENZ106"/>
      <c r="EOA106"/>
      <c r="EOB106"/>
      <c r="EOC106"/>
      <c r="EOD106"/>
      <c r="EOE106"/>
      <c r="EOF106"/>
      <c r="EOG106"/>
      <c r="EOH106"/>
      <c r="EOI106"/>
      <c r="EOJ106"/>
      <c r="EOK106"/>
      <c r="EOL106"/>
      <c r="EOM106"/>
      <c r="EON106"/>
      <c r="EOO106"/>
      <c r="EOP106"/>
      <c r="EOQ106"/>
      <c r="EOR106"/>
      <c r="EOS106"/>
      <c r="EOT106"/>
      <c r="EOU106"/>
      <c r="EOV106"/>
      <c r="EOW106"/>
      <c r="EOX106"/>
      <c r="EOY106"/>
      <c r="EOZ106"/>
      <c r="EPA106"/>
      <c r="EPB106"/>
      <c r="EPC106"/>
      <c r="EPD106"/>
      <c r="EPE106"/>
      <c r="EPF106"/>
      <c r="EPG106"/>
      <c r="EPH106"/>
      <c r="EPI106"/>
      <c r="EPJ106"/>
      <c r="EPK106"/>
      <c r="EPL106"/>
      <c r="EPM106"/>
      <c r="EPN106"/>
      <c r="EPO106"/>
      <c r="EPP106"/>
      <c r="EPQ106"/>
      <c r="EPR106"/>
      <c r="EPS106"/>
      <c r="EPT106"/>
      <c r="EPU106"/>
      <c r="EPV106"/>
      <c r="EPW106"/>
      <c r="EPX106"/>
      <c r="EPY106"/>
      <c r="EPZ106"/>
      <c r="EQA106"/>
      <c r="EQB106"/>
      <c r="EQC106"/>
      <c r="EQD106"/>
      <c r="EQE106"/>
      <c r="EQF106"/>
      <c r="EQG106"/>
      <c r="EQH106"/>
      <c r="EQI106"/>
      <c r="EQJ106"/>
      <c r="EQK106"/>
      <c r="EQL106"/>
      <c r="EQM106"/>
      <c r="EQN106"/>
      <c r="EQO106"/>
      <c r="EQP106"/>
      <c r="EQQ106"/>
      <c r="EQR106"/>
      <c r="EQS106"/>
      <c r="EQT106"/>
      <c r="EQU106"/>
      <c r="EQV106"/>
      <c r="EQW106"/>
      <c r="EQX106"/>
      <c r="EQY106"/>
      <c r="EQZ106"/>
      <c r="ERA106"/>
      <c r="ERB106"/>
      <c r="ERC106"/>
      <c r="ERD106"/>
      <c r="ERE106"/>
      <c r="ERF106"/>
      <c r="ERG106"/>
      <c r="ERH106"/>
      <c r="ERI106"/>
      <c r="ERJ106"/>
      <c r="ERK106"/>
      <c r="ERL106"/>
      <c r="ERM106"/>
      <c r="ERN106"/>
      <c r="ERO106"/>
      <c r="ERP106"/>
      <c r="ERQ106"/>
      <c r="ERR106"/>
      <c r="ERS106"/>
      <c r="ERT106"/>
      <c r="ERU106"/>
      <c r="ERV106"/>
      <c r="ERW106"/>
      <c r="ERX106"/>
      <c r="ERY106"/>
      <c r="ERZ106"/>
      <c r="ESA106"/>
      <c r="ESB106"/>
      <c r="ESC106"/>
      <c r="ESD106"/>
      <c r="ESE106"/>
      <c r="ESF106"/>
      <c r="ESG106"/>
      <c r="ESH106"/>
      <c r="ESI106"/>
      <c r="ESJ106"/>
      <c r="ESK106"/>
      <c r="ESL106"/>
      <c r="ESM106"/>
      <c r="ESN106"/>
      <c r="ESO106"/>
      <c r="ESP106"/>
      <c r="ESQ106"/>
      <c r="ESR106"/>
      <c r="ESS106"/>
      <c r="EST106"/>
      <c r="ESU106"/>
      <c r="ESV106"/>
      <c r="ESW106"/>
      <c r="ESX106"/>
      <c r="ESY106"/>
      <c r="ESZ106"/>
      <c r="ETA106"/>
      <c r="ETB106"/>
      <c r="ETC106"/>
      <c r="ETD106"/>
      <c r="ETE106"/>
      <c r="ETF106"/>
      <c r="ETG106"/>
      <c r="ETH106"/>
      <c r="ETI106"/>
      <c r="ETJ106"/>
      <c r="ETK106"/>
      <c r="ETL106"/>
      <c r="ETM106"/>
      <c r="ETN106"/>
      <c r="ETO106"/>
      <c r="ETP106"/>
      <c r="ETQ106"/>
      <c r="ETR106"/>
      <c r="ETS106"/>
      <c r="ETT106"/>
      <c r="ETU106"/>
      <c r="ETV106"/>
      <c r="ETW106"/>
      <c r="ETX106"/>
      <c r="ETY106"/>
      <c r="ETZ106"/>
      <c r="EUA106"/>
      <c r="EUB106"/>
      <c r="EUC106"/>
      <c r="EUD106"/>
      <c r="EUE106"/>
      <c r="EUF106"/>
      <c r="EUG106"/>
      <c r="EUH106"/>
      <c r="EUI106"/>
      <c r="EUJ106"/>
      <c r="EUK106"/>
      <c r="EUL106"/>
      <c r="EUM106"/>
      <c r="EUN106"/>
      <c r="EUO106"/>
      <c r="EUP106"/>
      <c r="EUQ106"/>
      <c r="EUR106"/>
      <c r="EUS106"/>
      <c r="EUT106"/>
      <c r="EUU106"/>
      <c r="EUV106"/>
      <c r="EUW106"/>
      <c r="EUX106"/>
      <c r="EUY106"/>
      <c r="EUZ106"/>
      <c r="EVA106"/>
      <c r="EVB106"/>
      <c r="EVC106"/>
      <c r="EVD106"/>
      <c r="EVE106"/>
      <c r="EVF106"/>
      <c r="EVG106"/>
      <c r="EVH106"/>
      <c r="EVI106"/>
      <c r="EVJ106"/>
      <c r="EVK106"/>
      <c r="EVL106"/>
      <c r="EVM106"/>
      <c r="EVN106"/>
      <c r="EVO106"/>
      <c r="EVP106"/>
      <c r="EVQ106"/>
      <c r="EVR106"/>
      <c r="EVS106"/>
      <c r="EVT106"/>
      <c r="EVU106"/>
      <c r="EVV106"/>
      <c r="EVW106"/>
      <c r="EVX106"/>
      <c r="EVY106"/>
      <c r="EVZ106"/>
      <c r="EWA106"/>
      <c r="EWB106"/>
      <c r="EWC106"/>
      <c r="EWD106"/>
      <c r="EWE106"/>
      <c r="EWF106"/>
      <c r="EWG106"/>
      <c r="EWH106"/>
      <c r="EWI106"/>
      <c r="EWJ106"/>
      <c r="EWK106"/>
      <c r="EWL106"/>
      <c r="EWM106"/>
      <c r="EWN106"/>
      <c r="EWO106"/>
      <c r="EWP106"/>
      <c r="EWQ106"/>
      <c r="EWR106"/>
      <c r="EWS106"/>
      <c r="EWT106"/>
      <c r="EWU106"/>
      <c r="EWV106"/>
      <c r="EWW106"/>
      <c r="EWX106"/>
      <c r="EWY106"/>
      <c r="EWZ106"/>
      <c r="EXA106"/>
      <c r="EXB106"/>
      <c r="EXC106"/>
      <c r="EXD106"/>
      <c r="EXE106"/>
      <c r="EXF106"/>
      <c r="EXG106"/>
      <c r="EXH106"/>
      <c r="EXI106"/>
      <c r="EXJ106"/>
      <c r="EXK106"/>
      <c r="EXL106"/>
      <c r="EXM106"/>
      <c r="EXN106"/>
      <c r="EXO106"/>
      <c r="EXP106"/>
      <c r="EXQ106"/>
      <c r="EXR106"/>
      <c r="EXS106"/>
      <c r="EXT106"/>
      <c r="EXU106"/>
      <c r="EXV106"/>
      <c r="EXW106"/>
      <c r="EXX106"/>
      <c r="EXY106"/>
      <c r="EXZ106"/>
      <c r="EYA106"/>
      <c r="EYB106"/>
      <c r="EYC106"/>
      <c r="EYD106"/>
      <c r="EYE106"/>
      <c r="EYF106"/>
      <c r="EYG106"/>
      <c r="EYH106"/>
      <c r="EYI106"/>
      <c r="EYJ106"/>
      <c r="EYK106"/>
      <c r="EYL106"/>
      <c r="EYM106"/>
      <c r="EYN106"/>
      <c r="EYO106"/>
      <c r="EYP106"/>
      <c r="EYQ106"/>
      <c r="EYR106"/>
      <c r="EYS106"/>
      <c r="EYT106"/>
      <c r="EYU106"/>
      <c r="EYV106"/>
      <c r="EYW106"/>
      <c r="EYX106"/>
      <c r="EYY106"/>
      <c r="EYZ106"/>
      <c r="EZA106"/>
      <c r="EZB106"/>
      <c r="EZC106"/>
      <c r="EZD106"/>
      <c r="EZE106"/>
      <c r="EZF106"/>
      <c r="EZG106"/>
      <c r="EZH106"/>
      <c r="EZI106"/>
      <c r="EZJ106"/>
      <c r="EZK106"/>
      <c r="EZL106"/>
      <c r="EZM106"/>
      <c r="EZN106"/>
      <c r="EZO106"/>
      <c r="EZP106"/>
      <c r="EZQ106"/>
      <c r="EZR106"/>
      <c r="EZS106"/>
      <c r="EZT106"/>
      <c r="EZU106"/>
      <c r="EZV106"/>
      <c r="EZW106"/>
      <c r="EZX106"/>
      <c r="EZY106"/>
      <c r="EZZ106"/>
      <c r="FAA106"/>
      <c r="FAB106"/>
      <c r="FAC106"/>
      <c r="FAD106"/>
      <c r="FAE106"/>
      <c r="FAF106"/>
      <c r="FAG106"/>
      <c r="FAH106"/>
      <c r="FAI106"/>
      <c r="FAJ106"/>
      <c r="FAK106"/>
      <c r="FAL106"/>
      <c r="FAM106"/>
      <c r="FAN106"/>
      <c r="FAO106"/>
      <c r="FAP106"/>
      <c r="FAQ106"/>
      <c r="FAR106"/>
      <c r="FAS106"/>
      <c r="FAT106"/>
      <c r="FAU106"/>
      <c r="FAV106"/>
      <c r="FAW106"/>
      <c r="FAX106"/>
      <c r="FAY106"/>
      <c r="FAZ106"/>
      <c r="FBA106"/>
      <c r="FBB106"/>
      <c r="FBC106"/>
      <c r="FBD106"/>
      <c r="FBE106"/>
      <c r="FBF106"/>
      <c r="FBG106"/>
      <c r="FBH106"/>
      <c r="FBI106"/>
      <c r="FBJ106"/>
      <c r="FBK106"/>
      <c r="FBL106"/>
      <c r="FBM106"/>
      <c r="FBN106"/>
      <c r="FBO106"/>
      <c r="FBP106"/>
      <c r="FBQ106"/>
      <c r="FBR106"/>
      <c r="FBS106"/>
      <c r="FBT106"/>
      <c r="FBU106"/>
      <c r="FBV106"/>
      <c r="FBW106"/>
      <c r="FBX106"/>
      <c r="FBY106"/>
      <c r="FBZ106"/>
      <c r="FCA106"/>
      <c r="FCB106"/>
      <c r="FCC106"/>
      <c r="FCD106"/>
      <c r="FCE106"/>
      <c r="FCF106"/>
      <c r="FCG106"/>
      <c r="FCH106"/>
      <c r="FCI106"/>
      <c r="FCJ106"/>
      <c r="FCK106"/>
      <c r="FCL106"/>
      <c r="FCM106"/>
      <c r="FCN106"/>
      <c r="FCO106"/>
      <c r="FCP106"/>
      <c r="FCQ106"/>
      <c r="FCR106"/>
      <c r="FCS106"/>
      <c r="FCT106"/>
      <c r="FCU106"/>
      <c r="FCV106"/>
      <c r="FCW106"/>
      <c r="FCX106"/>
      <c r="FCY106"/>
      <c r="FCZ106"/>
      <c r="FDA106"/>
      <c r="FDB106"/>
      <c r="FDC106"/>
      <c r="FDD106"/>
      <c r="FDE106"/>
      <c r="FDF106"/>
      <c r="FDG106"/>
      <c r="FDH106"/>
      <c r="FDI106"/>
      <c r="FDJ106"/>
      <c r="FDK106"/>
      <c r="FDL106"/>
      <c r="FDM106"/>
      <c r="FDN106"/>
      <c r="FDO106"/>
      <c r="FDP106"/>
      <c r="FDQ106"/>
      <c r="FDR106"/>
      <c r="FDS106"/>
      <c r="FDT106"/>
      <c r="FDU106"/>
      <c r="FDV106"/>
      <c r="FDW106"/>
      <c r="FDX106"/>
      <c r="FDY106"/>
      <c r="FDZ106"/>
      <c r="FEA106"/>
      <c r="FEB106"/>
      <c r="FEC106"/>
      <c r="FED106"/>
      <c r="FEE106"/>
      <c r="FEF106"/>
      <c r="FEG106"/>
      <c r="FEH106"/>
      <c r="FEI106"/>
      <c r="FEJ106"/>
      <c r="FEK106"/>
      <c r="FEL106"/>
      <c r="FEM106"/>
      <c r="FEN106"/>
      <c r="FEO106"/>
      <c r="FEP106"/>
      <c r="FEQ106"/>
      <c r="FER106"/>
      <c r="FES106"/>
      <c r="FET106"/>
      <c r="FEU106"/>
      <c r="FEV106"/>
      <c r="FEW106"/>
      <c r="FEX106"/>
      <c r="FEY106"/>
      <c r="FEZ106"/>
      <c r="FFA106"/>
      <c r="FFB106"/>
      <c r="FFC106"/>
      <c r="FFD106"/>
      <c r="FFE106"/>
      <c r="FFF106"/>
      <c r="FFG106"/>
      <c r="FFH106"/>
      <c r="FFI106"/>
      <c r="FFJ106"/>
      <c r="FFK106"/>
      <c r="FFL106"/>
      <c r="FFM106"/>
      <c r="FFN106"/>
      <c r="FFO106"/>
      <c r="FFP106"/>
      <c r="FFQ106"/>
      <c r="FFR106"/>
      <c r="FFS106"/>
      <c r="FFT106"/>
      <c r="FFU106"/>
      <c r="FFV106"/>
      <c r="FFW106"/>
      <c r="FFX106"/>
      <c r="FFY106"/>
      <c r="FFZ106"/>
      <c r="FGA106"/>
      <c r="FGB106"/>
      <c r="FGC106"/>
      <c r="FGD106"/>
      <c r="FGE106"/>
      <c r="FGF106"/>
      <c r="FGG106"/>
      <c r="FGH106"/>
      <c r="FGI106"/>
      <c r="FGJ106"/>
      <c r="FGK106"/>
      <c r="FGL106"/>
      <c r="FGM106"/>
      <c r="FGN106"/>
      <c r="FGO106"/>
      <c r="FGP106"/>
      <c r="FGQ106"/>
      <c r="FGR106"/>
      <c r="FGS106"/>
      <c r="FGT106"/>
      <c r="FGU106"/>
      <c r="FGV106"/>
      <c r="FGW106"/>
      <c r="FGX106"/>
      <c r="FGY106"/>
      <c r="FGZ106"/>
      <c r="FHA106"/>
      <c r="FHB106"/>
      <c r="FHC106"/>
      <c r="FHD106"/>
      <c r="FHE106"/>
      <c r="FHF106"/>
      <c r="FHG106"/>
      <c r="FHH106"/>
      <c r="FHI106"/>
      <c r="FHJ106"/>
      <c r="FHK106"/>
      <c r="FHL106"/>
      <c r="FHM106"/>
      <c r="FHN106"/>
      <c r="FHO106"/>
      <c r="FHP106"/>
      <c r="FHQ106"/>
      <c r="FHR106"/>
      <c r="FHS106"/>
      <c r="FHT106"/>
      <c r="FHU106"/>
      <c r="FHV106"/>
      <c r="FHW106"/>
      <c r="FHX106"/>
      <c r="FHY106"/>
      <c r="FHZ106"/>
      <c r="FIA106"/>
      <c r="FIB106"/>
      <c r="FIC106"/>
      <c r="FID106"/>
      <c r="FIE106"/>
      <c r="FIF106"/>
      <c r="FIG106"/>
      <c r="FIH106"/>
      <c r="FII106"/>
      <c r="FIJ106"/>
      <c r="FIK106"/>
      <c r="FIL106"/>
      <c r="FIM106"/>
      <c r="FIN106"/>
      <c r="FIO106"/>
      <c r="FIP106"/>
      <c r="FIQ106"/>
      <c r="FIR106"/>
      <c r="FIS106"/>
      <c r="FIT106"/>
      <c r="FIU106"/>
      <c r="FIV106"/>
      <c r="FIW106"/>
      <c r="FIX106"/>
      <c r="FIY106"/>
      <c r="FIZ106"/>
      <c r="FJA106"/>
      <c r="FJB106"/>
      <c r="FJC106"/>
      <c r="FJD106"/>
      <c r="FJE106"/>
      <c r="FJF106"/>
      <c r="FJG106"/>
      <c r="FJH106"/>
      <c r="FJI106"/>
      <c r="FJJ106"/>
      <c r="FJK106"/>
      <c r="FJL106"/>
      <c r="FJM106"/>
      <c r="FJN106"/>
      <c r="FJO106"/>
      <c r="FJP106"/>
      <c r="FJQ106"/>
      <c r="FJR106"/>
      <c r="FJS106"/>
      <c r="FJT106"/>
      <c r="FJU106"/>
      <c r="FJV106"/>
      <c r="FJW106"/>
      <c r="FJX106"/>
      <c r="FJY106"/>
      <c r="FJZ106"/>
      <c r="FKA106"/>
      <c r="FKB106"/>
      <c r="FKC106"/>
      <c r="FKD106"/>
      <c r="FKE106"/>
      <c r="FKF106"/>
      <c r="FKG106"/>
      <c r="FKH106"/>
      <c r="FKI106"/>
      <c r="FKJ106"/>
      <c r="FKK106"/>
      <c r="FKL106"/>
      <c r="FKM106"/>
      <c r="FKN106"/>
      <c r="FKO106"/>
      <c r="FKP106"/>
      <c r="FKQ106"/>
      <c r="FKR106"/>
      <c r="FKS106"/>
      <c r="FKT106"/>
      <c r="FKU106"/>
      <c r="FKV106"/>
      <c r="FKW106"/>
      <c r="FKX106"/>
      <c r="FKY106"/>
      <c r="FKZ106"/>
      <c r="FLA106"/>
      <c r="FLB106"/>
      <c r="FLC106"/>
      <c r="FLD106"/>
      <c r="FLE106"/>
      <c r="FLF106"/>
      <c r="FLG106"/>
      <c r="FLH106"/>
      <c r="FLI106"/>
      <c r="FLJ106"/>
      <c r="FLK106"/>
      <c r="FLL106"/>
      <c r="FLM106"/>
      <c r="FLN106"/>
      <c r="FLO106"/>
      <c r="FLP106"/>
      <c r="FLQ106"/>
      <c r="FLR106"/>
      <c r="FLS106"/>
      <c r="FLT106"/>
      <c r="FLU106"/>
      <c r="FLV106"/>
      <c r="FLW106"/>
      <c r="FLX106"/>
      <c r="FLY106"/>
      <c r="FLZ106"/>
      <c r="FMA106"/>
      <c r="FMB106"/>
      <c r="FMC106"/>
      <c r="FMD106"/>
      <c r="FME106"/>
      <c r="FMF106"/>
      <c r="FMG106"/>
      <c r="FMH106"/>
      <c r="FMI106"/>
      <c r="FMJ106"/>
      <c r="FMK106"/>
      <c r="FML106"/>
      <c r="FMM106"/>
      <c r="FMN106"/>
      <c r="FMO106"/>
      <c r="FMP106"/>
      <c r="FMQ106"/>
      <c r="FMR106"/>
      <c r="FMS106"/>
      <c r="FMT106"/>
      <c r="FMU106"/>
      <c r="FMV106"/>
      <c r="FMW106"/>
      <c r="FMX106"/>
      <c r="FMY106"/>
      <c r="FMZ106"/>
      <c r="FNA106"/>
      <c r="FNB106"/>
      <c r="FNC106"/>
      <c r="FND106"/>
      <c r="FNE106"/>
      <c r="FNF106"/>
      <c r="FNG106"/>
      <c r="FNH106"/>
      <c r="FNI106"/>
      <c r="FNJ106"/>
      <c r="FNK106"/>
      <c r="FNL106"/>
      <c r="FNM106"/>
      <c r="FNN106"/>
      <c r="FNO106"/>
      <c r="FNP106"/>
      <c r="FNQ106"/>
      <c r="FNR106"/>
      <c r="FNS106"/>
      <c r="FNT106"/>
      <c r="FNU106"/>
      <c r="FNV106"/>
      <c r="FNW106"/>
      <c r="FNX106"/>
      <c r="FNY106"/>
      <c r="FNZ106"/>
      <c r="FOA106"/>
      <c r="FOB106"/>
      <c r="FOC106"/>
      <c r="FOD106"/>
      <c r="FOE106"/>
      <c r="FOF106"/>
      <c r="FOG106"/>
      <c r="FOH106"/>
      <c r="FOI106"/>
      <c r="FOJ106"/>
      <c r="FOK106"/>
      <c r="FOL106"/>
      <c r="FOM106"/>
      <c r="FON106"/>
      <c r="FOO106"/>
      <c r="FOP106"/>
      <c r="FOQ106"/>
      <c r="FOR106"/>
      <c r="FOS106"/>
      <c r="FOT106"/>
      <c r="FOU106"/>
      <c r="FOV106"/>
      <c r="FOW106"/>
      <c r="FOX106"/>
      <c r="FOY106"/>
      <c r="FOZ106"/>
      <c r="FPA106"/>
      <c r="FPB106"/>
      <c r="FPC106"/>
      <c r="FPD106"/>
      <c r="FPE106"/>
      <c r="FPF106"/>
      <c r="FPG106"/>
      <c r="FPH106"/>
      <c r="FPI106"/>
      <c r="FPJ106"/>
      <c r="FPK106"/>
      <c r="FPL106"/>
      <c r="FPM106"/>
      <c r="FPN106"/>
      <c r="FPO106"/>
      <c r="FPP106"/>
      <c r="FPQ106"/>
      <c r="FPR106"/>
      <c r="FPS106"/>
      <c r="FPT106"/>
      <c r="FPU106"/>
      <c r="FPV106"/>
      <c r="FPW106"/>
      <c r="FPX106"/>
      <c r="FPY106"/>
      <c r="FPZ106"/>
      <c r="FQA106"/>
      <c r="FQB106"/>
      <c r="FQC106"/>
      <c r="FQD106"/>
      <c r="FQE106"/>
      <c r="FQF106"/>
      <c r="FQG106"/>
      <c r="FQH106"/>
      <c r="FQI106"/>
      <c r="FQJ106"/>
      <c r="FQK106"/>
      <c r="FQL106"/>
      <c r="FQM106"/>
      <c r="FQN106"/>
      <c r="FQO106"/>
      <c r="FQP106"/>
      <c r="FQQ106"/>
      <c r="FQR106"/>
      <c r="FQS106"/>
      <c r="FQT106"/>
      <c r="FQU106"/>
      <c r="FQV106"/>
      <c r="FQW106"/>
      <c r="FQX106"/>
      <c r="FQY106"/>
      <c r="FQZ106"/>
      <c r="FRA106"/>
      <c r="FRB106"/>
      <c r="FRC106"/>
      <c r="FRD106"/>
      <c r="FRE106"/>
      <c r="FRF106"/>
      <c r="FRG106"/>
      <c r="FRH106"/>
      <c r="FRI106"/>
      <c r="FRJ106"/>
      <c r="FRK106"/>
      <c r="FRL106"/>
      <c r="FRM106"/>
      <c r="FRN106"/>
      <c r="FRO106"/>
      <c r="FRP106"/>
      <c r="FRQ106"/>
      <c r="FRR106"/>
      <c r="FRS106"/>
      <c r="FRT106"/>
      <c r="FRU106"/>
      <c r="FRV106"/>
      <c r="FRW106"/>
      <c r="FRX106"/>
      <c r="FRY106"/>
      <c r="FRZ106"/>
      <c r="FSA106"/>
      <c r="FSB106"/>
      <c r="FSC106"/>
      <c r="FSD106"/>
      <c r="FSE106"/>
      <c r="FSF106"/>
      <c r="FSG106"/>
      <c r="FSH106"/>
      <c r="FSI106"/>
      <c r="FSJ106"/>
      <c r="FSK106"/>
      <c r="FSL106"/>
      <c r="FSM106"/>
      <c r="FSN106"/>
      <c r="FSO106"/>
      <c r="FSP106"/>
      <c r="FSQ106"/>
      <c r="FSR106"/>
      <c r="FSS106"/>
      <c r="FST106"/>
      <c r="FSU106"/>
      <c r="FSV106"/>
      <c r="FSW106"/>
      <c r="FSX106"/>
      <c r="FSY106"/>
      <c r="FSZ106"/>
      <c r="FTA106"/>
      <c r="FTB106"/>
      <c r="FTC106"/>
      <c r="FTD106"/>
      <c r="FTE106"/>
      <c r="FTF106"/>
      <c r="FTG106"/>
      <c r="FTH106"/>
      <c r="FTI106"/>
      <c r="FTJ106"/>
      <c r="FTK106"/>
      <c r="FTL106"/>
      <c r="FTM106"/>
      <c r="FTN106"/>
      <c r="FTO106"/>
      <c r="FTP106"/>
      <c r="FTQ106"/>
      <c r="FTR106"/>
      <c r="FTS106"/>
      <c r="FTT106"/>
      <c r="FTU106"/>
      <c r="FTV106"/>
      <c r="FTW106"/>
      <c r="FTX106"/>
      <c r="FTY106"/>
      <c r="FTZ106"/>
      <c r="FUA106"/>
      <c r="FUB106"/>
      <c r="FUC106"/>
      <c r="FUD106"/>
      <c r="FUE106"/>
      <c r="FUF106"/>
      <c r="FUG106"/>
      <c r="FUH106"/>
      <c r="FUI106"/>
      <c r="FUJ106"/>
      <c r="FUK106"/>
      <c r="FUL106"/>
      <c r="FUM106"/>
      <c r="FUN106"/>
      <c r="FUO106"/>
      <c r="FUP106"/>
      <c r="FUQ106"/>
      <c r="FUR106"/>
      <c r="FUS106"/>
      <c r="FUT106"/>
      <c r="FUU106"/>
      <c r="FUV106"/>
      <c r="FUW106"/>
      <c r="FUX106"/>
      <c r="FUY106"/>
      <c r="FUZ106"/>
      <c r="FVA106"/>
      <c r="FVB106"/>
      <c r="FVC106"/>
      <c r="FVD106"/>
      <c r="FVE106"/>
      <c r="FVF106"/>
      <c r="FVG106"/>
      <c r="FVH106"/>
      <c r="FVI106"/>
      <c r="FVJ106"/>
      <c r="FVK106"/>
      <c r="FVL106"/>
      <c r="FVM106"/>
      <c r="FVN106"/>
      <c r="FVO106"/>
      <c r="FVP106"/>
      <c r="FVQ106"/>
      <c r="FVR106"/>
      <c r="FVS106"/>
      <c r="FVT106"/>
      <c r="FVU106"/>
      <c r="FVV106"/>
      <c r="FVW106"/>
      <c r="FVX106"/>
      <c r="FVY106"/>
      <c r="FVZ106"/>
      <c r="FWA106"/>
      <c r="FWB106"/>
      <c r="FWC106"/>
      <c r="FWD106"/>
      <c r="FWE106"/>
      <c r="FWF106"/>
      <c r="FWG106"/>
      <c r="FWH106"/>
      <c r="FWI106"/>
      <c r="FWJ106"/>
      <c r="FWK106"/>
      <c r="FWL106"/>
      <c r="FWM106"/>
      <c r="FWN106"/>
      <c r="FWO106"/>
      <c r="FWP106"/>
      <c r="FWQ106"/>
      <c r="FWR106"/>
      <c r="FWS106"/>
      <c r="FWT106"/>
      <c r="FWU106"/>
      <c r="FWV106"/>
      <c r="FWW106"/>
      <c r="FWX106"/>
      <c r="FWY106"/>
      <c r="FWZ106"/>
      <c r="FXA106"/>
      <c r="FXB106"/>
      <c r="FXC106"/>
      <c r="FXD106"/>
      <c r="FXE106"/>
      <c r="FXF106"/>
      <c r="FXG106"/>
      <c r="FXH106"/>
      <c r="FXI106"/>
      <c r="FXJ106"/>
      <c r="FXK106"/>
      <c r="FXL106"/>
      <c r="FXM106"/>
      <c r="FXN106"/>
      <c r="FXO106"/>
      <c r="FXP106"/>
      <c r="FXQ106"/>
      <c r="FXR106"/>
      <c r="FXS106"/>
      <c r="FXT106"/>
      <c r="FXU106"/>
      <c r="FXV106"/>
      <c r="FXW106"/>
      <c r="FXX106"/>
      <c r="FXY106"/>
      <c r="FXZ106"/>
      <c r="FYA106"/>
      <c r="FYB106"/>
      <c r="FYC106"/>
      <c r="FYD106"/>
      <c r="FYE106"/>
      <c r="FYF106"/>
      <c r="FYG106"/>
      <c r="FYH106"/>
      <c r="FYI106"/>
      <c r="FYJ106"/>
      <c r="FYK106"/>
      <c r="FYL106"/>
      <c r="FYM106"/>
      <c r="FYN106"/>
      <c r="FYO106"/>
      <c r="FYP106"/>
      <c r="FYQ106"/>
      <c r="FYR106"/>
      <c r="FYS106"/>
      <c r="FYT106"/>
      <c r="FYU106"/>
      <c r="FYV106"/>
      <c r="FYW106"/>
      <c r="FYX106"/>
      <c r="FYY106"/>
      <c r="FYZ106"/>
      <c r="FZA106"/>
      <c r="FZB106"/>
      <c r="FZC106"/>
      <c r="FZD106"/>
      <c r="FZE106"/>
      <c r="FZF106"/>
      <c r="FZG106"/>
      <c r="FZH106"/>
      <c r="FZI106"/>
      <c r="FZJ106"/>
      <c r="FZK106"/>
      <c r="FZL106"/>
      <c r="FZM106"/>
      <c r="FZN106"/>
      <c r="FZO106"/>
      <c r="FZP106"/>
      <c r="FZQ106"/>
      <c r="FZR106"/>
      <c r="FZS106"/>
      <c r="FZT106"/>
      <c r="FZU106"/>
      <c r="FZV106"/>
      <c r="FZW106"/>
      <c r="FZX106"/>
      <c r="FZY106"/>
      <c r="FZZ106"/>
      <c r="GAA106"/>
      <c r="GAB106"/>
      <c r="GAC106"/>
      <c r="GAD106"/>
      <c r="GAE106"/>
      <c r="GAF106"/>
      <c r="GAG106"/>
      <c r="GAH106"/>
      <c r="GAI106"/>
      <c r="GAJ106"/>
      <c r="GAK106"/>
      <c r="GAL106"/>
      <c r="GAM106"/>
      <c r="GAN106"/>
      <c r="GAO106"/>
      <c r="GAP106"/>
      <c r="GAQ106"/>
      <c r="GAR106"/>
      <c r="GAS106"/>
      <c r="GAT106"/>
      <c r="GAU106"/>
      <c r="GAV106"/>
      <c r="GAW106"/>
      <c r="GAX106"/>
      <c r="GAY106"/>
      <c r="GAZ106"/>
      <c r="GBA106"/>
      <c r="GBB106"/>
      <c r="GBC106"/>
      <c r="GBD106"/>
      <c r="GBE106"/>
      <c r="GBF106"/>
      <c r="GBG106"/>
      <c r="GBH106"/>
      <c r="GBI106"/>
      <c r="GBJ106"/>
      <c r="GBK106"/>
      <c r="GBL106"/>
      <c r="GBM106"/>
      <c r="GBN106"/>
      <c r="GBO106"/>
      <c r="GBP106"/>
      <c r="GBQ106"/>
      <c r="GBR106"/>
      <c r="GBS106"/>
      <c r="GBT106"/>
      <c r="GBU106"/>
      <c r="GBV106"/>
      <c r="GBW106"/>
      <c r="GBX106"/>
      <c r="GBY106"/>
      <c r="GBZ106"/>
      <c r="GCA106"/>
      <c r="GCB106"/>
      <c r="GCC106"/>
      <c r="GCD106"/>
      <c r="GCE106"/>
      <c r="GCF106"/>
      <c r="GCG106"/>
      <c r="GCH106"/>
      <c r="GCI106"/>
      <c r="GCJ106"/>
      <c r="GCK106"/>
      <c r="GCL106"/>
      <c r="GCM106"/>
      <c r="GCN106"/>
      <c r="GCO106"/>
      <c r="GCP106"/>
      <c r="GCQ106"/>
      <c r="GCR106"/>
      <c r="GCS106"/>
      <c r="GCT106"/>
      <c r="GCU106"/>
      <c r="GCV106"/>
      <c r="GCW106"/>
      <c r="GCX106"/>
      <c r="GCY106"/>
      <c r="GCZ106"/>
      <c r="GDA106"/>
      <c r="GDB106"/>
      <c r="GDC106"/>
      <c r="GDD106"/>
      <c r="GDE106"/>
      <c r="GDF106"/>
      <c r="GDG106"/>
      <c r="GDH106"/>
      <c r="GDI106"/>
      <c r="GDJ106"/>
      <c r="GDK106"/>
      <c r="GDL106"/>
      <c r="GDM106"/>
      <c r="GDN106"/>
      <c r="GDO106"/>
      <c r="GDP106"/>
      <c r="GDQ106"/>
      <c r="GDR106"/>
      <c r="GDS106"/>
      <c r="GDT106"/>
      <c r="GDU106"/>
      <c r="GDV106"/>
      <c r="GDW106"/>
      <c r="GDX106"/>
      <c r="GDY106"/>
      <c r="GDZ106"/>
      <c r="GEA106"/>
      <c r="GEB106"/>
      <c r="GEC106"/>
      <c r="GED106"/>
      <c r="GEE106"/>
      <c r="GEF106"/>
      <c r="GEG106"/>
      <c r="GEH106"/>
      <c r="GEI106"/>
      <c r="GEJ106"/>
      <c r="GEK106"/>
      <c r="GEL106"/>
      <c r="GEM106"/>
      <c r="GEN106"/>
      <c r="GEO106"/>
      <c r="GEP106"/>
      <c r="GEQ106"/>
      <c r="GER106"/>
      <c r="GES106"/>
      <c r="GET106"/>
      <c r="GEU106"/>
      <c r="GEV106"/>
      <c r="GEW106"/>
      <c r="GEX106"/>
      <c r="GEY106"/>
      <c r="GEZ106"/>
      <c r="GFA106"/>
      <c r="GFB106"/>
      <c r="GFC106"/>
      <c r="GFD106"/>
      <c r="GFE106"/>
      <c r="GFF106"/>
      <c r="GFG106"/>
      <c r="GFH106"/>
      <c r="GFI106"/>
      <c r="GFJ106"/>
      <c r="GFK106"/>
      <c r="GFL106"/>
      <c r="GFM106"/>
      <c r="GFN106"/>
      <c r="GFO106"/>
      <c r="GFP106"/>
      <c r="GFQ106"/>
      <c r="GFR106"/>
      <c r="GFS106"/>
      <c r="GFT106"/>
      <c r="GFU106"/>
      <c r="GFV106"/>
      <c r="GFW106"/>
      <c r="GFX106"/>
      <c r="GFY106"/>
      <c r="GFZ106"/>
      <c r="GGA106"/>
      <c r="GGB106"/>
      <c r="GGC106"/>
      <c r="GGD106"/>
      <c r="GGE106"/>
      <c r="GGF106"/>
      <c r="GGG106"/>
      <c r="GGH106"/>
      <c r="GGI106"/>
      <c r="GGJ106"/>
      <c r="GGK106"/>
      <c r="GGL106"/>
      <c r="GGM106"/>
      <c r="GGN106"/>
      <c r="GGO106"/>
      <c r="GGP106"/>
      <c r="GGQ106"/>
      <c r="GGR106"/>
      <c r="GGS106"/>
      <c r="GGT106"/>
      <c r="GGU106"/>
      <c r="GGV106"/>
      <c r="GGW106"/>
      <c r="GGX106"/>
      <c r="GGY106"/>
      <c r="GGZ106"/>
      <c r="GHA106"/>
      <c r="GHB106"/>
      <c r="GHC106"/>
      <c r="GHD106"/>
      <c r="GHE106"/>
      <c r="GHF106"/>
      <c r="GHG106"/>
      <c r="GHH106"/>
      <c r="GHI106"/>
      <c r="GHJ106"/>
      <c r="GHK106"/>
      <c r="GHL106"/>
      <c r="GHM106"/>
      <c r="GHN106"/>
      <c r="GHO106"/>
      <c r="GHP106"/>
      <c r="GHQ106"/>
      <c r="GHR106"/>
      <c r="GHS106"/>
      <c r="GHT106"/>
      <c r="GHU106"/>
      <c r="GHV106"/>
      <c r="GHW106"/>
      <c r="GHX106"/>
      <c r="GHY106"/>
      <c r="GHZ106"/>
      <c r="GIA106"/>
      <c r="GIB106"/>
      <c r="GIC106"/>
      <c r="GID106"/>
      <c r="GIE106"/>
      <c r="GIF106"/>
      <c r="GIG106"/>
      <c r="GIH106"/>
      <c r="GII106"/>
      <c r="GIJ106"/>
      <c r="GIK106"/>
      <c r="GIL106"/>
      <c r="GIM106"/>
      <c r="GIN106"/>
      <c r="GIO106"/>
      <c r="GIP106"/>
      <c r="GIQ106"/>
      <c r="GIR106"/>
      <c r="GIS106"/>
      <c r="GIT106"/>
      <c r="GIU106"/>
      <c r="GIV106"/>
      <c r="GIW106"/>
      <c r="GIX106"/>
      <c r="GIY106"/>
      <c r="GIZ106"/>
      <c r="GJA106"/>
      <c r="GJB106"/>
      <c r="GJC106"/>
      <c r="GJD106"/>
      <c r="GJE106"/>
      <c r="GJF106"/>
      <c r="GJG106"/>
      <c r="GJH106"/>
      <c r="GJI106"/>
      <c r="GJJ106"/>
      <c r="GJK106"/>
      <c r="GJL106"/>
      <c r="GJM106"/>
      <c r="GJN106"/>
      <c r="GJO106"/>
      <c r="GJP106"/>
      <c r="GJQ106"/>
      <c r="GJR106"/>
      <c r="GJS106"/>
      <c r="GJT106"/>
      <c r="GJU106"/>
      <c r="GJV106"/>
      <c r="GJW106"/>
      <c r="GJX106"/>
      <c r="GJY106"/>
      <c r="GJZ106"/>
      <c r="GKA106"/>
      <c r="GKB106"/>
      <c r="GKC106"/>
      <c r="GKD106"/>
      <c r="GKE106"/>
      <c r="GKF106"/>
      <c r="GKG106"/>
      <c r="GKH106"/>
      <c r="GKI106"/>
      <c r="GKJ106"/>
      <c r="GKK106"/>
      <c r="GKL106"/>
      <c r="GKM106"/>
      <c r="GKN106"/>
      <c r="GKO106"/>
      <c r="GKP106"/>
      <c r="GKQ106"/>
      <c r="GKR106"/>
      <c r="GKS106"/>
      <c r="GKT106"/>
      <c r="GKU106"/>
      <c r="GKV106"/>
      <c r="GKW106"/>
      <c r="GKX106"/>
      <c r="GKY106"/>
      <c r="GKZ106"/>
      <c r="GLA106"/>
      <c r="GLB106"/>
      <c r="GLC106"/>
      <c r="GLD106"/>
      <c r="GLE106"/>
      <c r="GLF106"/>
      <c r="GLG106"/>
      <c r="GLH106"/>
      <c r="GLI106"/>
      <c r="GLJ106"/>
      <c r="GLK106"/>
      <c r="GLL106"/>
      <c r="GLM106"/>
      <c r="GLN106"/>
      <c r="GLO106"/>
      <c r="GLP106"/>
      <c r="GLQ106"/>
      <c r="GLR106"/>
      <c r="GLS106"/>
      <c r="GLT106"/>
      <c r="GLU106"/>
      <c r="GLV106"/>
      <c r="GLW106"/>
      <c r="GLX106"/>
      <c r="GLY106"/>
      <c r="GLZ106"/>
      <c r="GMA106"/>
      <c r="GMB106"/>
      <c r="GMC106"/>
      <c r="GMD106"/>
      <c r="GME106"/>
      <c r="GMF106"/>
      <c r="GMG106"/>
      <c r="GMH106"/>
      <c r="GMI106"/>
      <c r="GMJ106"/>
      <c r="GMK106"/>
      <c r="GML106"/>
      <c r="GMM106"/>
      <c r="GMN106"/>
      <c r="GMO106"/>
      <c r="GMP106"/>
      <c r="GMQ106"/>
      <c r="GMR106"/>
      <c r="GMS106"/>
      <c r="GMT106"/>
      <c r="GMU106"/>
      <c r="GMV106"/>
      <c r="GMW106"/>
      <c r="GMX106"/>
      <c r="GMY106"/>
      <c r="GMZ106"/>
      <c r="GNA106"/>
      <c r="GNB106"/>
      <c r="GNC106"/>
      <c r="GND106"/>
      <c r="GNE106"/>
      <c r="GNF106"/>
      <c r="GNG106"/>
      <c r="GNH106"/>
      <c r="GNI106"/>
      <c r="GNJ106"/>
      <c r="GNK106"/>
      <c r="GNL106"/>
      <c r="GNM106"/>
      <c r="GNN106"/>
      <c r="GNO106"/>
      <c r="GNP106"/>
      <c r="GNQ106"/>
      <c r="GNR106"/>
      <c r="GNS106"/>
      <c r="GNT106"/>
      <c r="GNU106"/>
      <c r="GNV106"/>
      <c r="GNW106"/>
      <c r="GNX106"/>
      <c r="GNY106"/>
      <c r="GNZ106"/>
      <c r="GOA106"/>
      <c r="GOB106"/>
      <c r="GOC106"/>
      <c r="GOD106"/>
      <c r="GOE106"/>
      <c r="GOF106"/>
      <c r="GOG106"/>
      <c r="GOH106"/>
      <c r="GOI106"/>
      <c r="GOJ106"/>
      <c r="GOK106"/>
      <c r="GOL106"/>
      <c r="GOM106"/>
      <c r="GON106"/>
      <c r="GOO106"/>
      <c r="GOP106"/>
      <c r="GOQ106"/>
      <c r="GOR106"/>
      <c r="GOS106"/>
      <c r="GOT106"/>
      <c r="GOU106"/>
      <c r="GOV106"/>
      <c r="GOW106"/>
      <c r="GOX106"/>
      <c r="GOY106"/>
      <c r="GOZ106"/>
      <c r="GPA106"/>
      <c r="GPB106"/>
      <c r="GPC106"/>
      <c r="GPD106"/>
      <c r="GPE106"/>
      <c r="GPF106"/>
      <c r="GPG106"/>
      <c r="GPH106"/>
      <c r="GPI106"/>
      <c r="GPJ106"/>
      <c r="GPK106"/>
      <c r="GPL106"/>
      <c r="GPM106"/>
      <c r="GPN106"/>
      <c r="GPO106"/>
      <c r="GPP106"/>
      <c r="GPQ106"/>
      <c r="GPR106"/>
      <c r="GPS106"/>
      <c r="GPT106"/>
      <c r="GPU106"/>
      <c r="GPV106"/>
      <c r="GPW106"/>
      <c r="GPX106"/>
      <c r="GPY106"/>
      <c r="GPZ106"/>
      <c r="GQA106"/>
      <c r="GQB106"/>
      <c r="GQC106"/>
      <c r="GQD106"/>
      <c r="GQE106"/>
      <c r="GQF106"/>
      <c r="GQG106"/>
      <c r="GQH106"/>
      <c r="GQI106"/>
      <c r="GQJ106"/>
      <c r="GQK106"/>
      <c r="GQL106"/>
      <c r="GQM106"/>
      <c r="GQN106"/>
      <c r="GQO106"/>
      <c r="GQP106"/>
      <c r="GQQ106"/>
      <c r="GQR106"/>
      <c r="GQS106"/>
      <c r="GQT106"/>
      <c r="GQU106"/>
      <c r="GQV106"/>
      <c r="GQW106"/>
      <c r="GQX106"/>
      <c r="GQY106"/>
      <c r="GQZ106"/>
      <c r="GRA106"/>
      <c r="GRB106"/>
      <c r="GRC106"/>
      <c r="GRD106"/>
      <c r="GRE106"/>
      <c r="GRF106"/>
      <c r="GRG106"/>
      <c r="GRH106"/>
      <c r="GRI106"/>
      <c r="GRJ106"/>
      <c r="GRK106"/>
      <c r="GRL106"/>
      <c r="GRM106"/>
      <c r="GRN106"/>
      <c r="GRO106"/>
      <c r="GRP106"/>
      <c r="GRQ106"/>
      <c r="GRR106"/>
      <c r="GRS106"/>
      <c r="GRT106"/>
      <c r="GRU106"/>
      <c r="GRV106"/>
      <c r="GRW106"/>
      <c r="GRX106"/>
      <c r="GRY106"/>
      <c r="GRZ106"/>
      <c r="GSA106"/>
      <c r="GSB106"/>
      <c r="GSC106"/>
      <c r="GSD106"/>
      <c r="GSE106"/>
      <c r="GSF106"/>
      <c r="GSG106"/>
      <c r="GSH106"/>
      <c r="GSI106"/>
      <c r="GSJ106"/>
      <c r="GSK106"/>
      <c r="GSL106"/>
      <c r="GSM106"/>
      <c r="GSN106"/>
      <c r="GSO106"/>
      <c r="GSP106"/>
      <c r="GSQ106"/>
      <c r="GSR106"/>
      <c r="GSS106"/>
      <c r="GST106"/>
      <c r="GSU106"/>
      <c r="GSV106"/>
      <c r="GSW106"/>
      <c r="GSX106"/>
      <c r="GSY106"/>
      <c r="GSZ106"/>
      <c r="GTA106"/>
      <c r="GTB106"/>
      <c r="GTC106"/>
      <c r="GTD106"/>
      <c r="GTE106"/>
      <c r="GTF106"/>
      <c r="GTG106"/>
      <c r="GTH106"/>
      <c r="GTI106"/>
      <c r="GTJ106"/>
      <c r="GTK106"/>
      <c r="GTL106"/>
      <c r="GTM106"/>
      <c r="GTN106"/>
      <c r="GTO106"/>
      <c r="GTP106"/>
      <c r="GTQ106"/>
      <c r="GTR106"/>
      <c r="GTS106"/>
      <c r="GTT106"/>
      <c r="GTU106"/>
      <c r="GTV106"/>
      <c r="GTW106"/>
      <c r="GTX106"/>
      <c r="GTY106"/>
      <c r="GTZ106"/>
      <c r="GUA106"/>
      <c r="GUB106"/>
      <c r="GUC106"/>
      <c r="GUD106"/>
      <c r="GUE106"/>
      <c r="GUF106"/>
      <c r="GUG106"/>
      <c r="GUH106"/>
      <c r="GUI106"/>
      <c r="GUJ106"/>
      <c r="GUK106"/>
      <c r="GUL106"/>
      <c r="GUM106"/>
      <c r="GUN106"/>
      <c r="GUO106"/>
      <c r="GUP106"/>
      <c r="GUQ106"/>
      <c r="GUR106"/>
      <c r="GUS106"/>
      <c r="GUT106"/>
      <c r="GUU106"/>
      <c r="GUV106"/>
      <c r="GUW106"/>
      <c r="GUX106"/>
      <c r="GUY106"/>
      <c r="GUZ106"/>
      <c r="GVA106"/>
      <c r="GVB106"/>
      <c r="GVC106"/>
      <c r="GVD106"/>
      <c r="GVE106"/>
      <c r="GVF106"/>
      <c r="GVG106"/>
      <c r="GVH106"/>
      <c r="GVI106"/>
      <c r="GVJ106"/>
      <c r="GVK106"/>
      <c r="GVL106"/>
      <c r="GVM106"/>
      <c r="GVN106"/>
      <c r="GVO106"/>
      <c r="GVP106"/>
      <c r="GVQ106"/>
      <c r="GVR106"/>
      <c r="GVS106"/>
      <c r="GVT106"/>
      <c r="GVU106"/>
      <c r="GVV106"/>
      <c r="GVW106"/>
      <c r="GVX106"/>
      <c r="GVY106"/>
      <c r="GVZ106"/>
      <c r="GWA106"/>
      <c r="GWB106"/>
      <c r="GWC106"/>
      <c r="GWD106"/>
      <c r="GWE106"/>
      <c r="GWF106"/>
      <c r="GWG106"/>
      <c r="GWH106"/>
      <c r="GWI106"/>
      <c r="GWJ106"/>
      <c r="GWK106"/>
      <c r="GWL106"/>
      <c r="GWM106"/>
      <c r="GWN106"/>
      <c r="GWO106"/>
      <c r="GWP106"/>
      <c r="GWQ106"/>
      <c r="GWR106"/>
      <c r="GWS106"/>
      <c r="GWT106"/>
      <c r="GWU106"/>
      <c r="GWV106"/>
      <c r="GWW106"/>
      <c r="GWX106"/>
      <c r="GWY106"/>
      <c r="GWZ106"/>
      <c r="GXA106"/>
      <c r="GXB106"/>
      <c r="GXC106"/>
      <c r="GXD106"/>
      <c r="GXE106"/>
      <c r="GXF106"/>
      <c r="GXG106"/>
      <c r="GXH106"/>
      <c r="GXI106"/>
      <c r="GXJ106"/>
      <c r="GXK106"/>
      <c r="GXL106"/>
      <c r="GXM106"/>
      <c r="GXN106"/>
      <c r="GXO106"/>
      <c r="GXP106"/>
      <c r="GXQ106"/>
      <c r="GXR106"/>
      <c r="GXS106"/>
      <c r="GXT106"/>
      <c r="GXU106"/>
      <c r="GXV106"/>
      <c r="GXW106"/>
      <c r="GXX106"/>
      <c r="GXY106"/>
      <c r="GXZ106"/>
      <c r="GYA106"/>
      <c r="GYB106"/>
      <c r="GYC106"/>
      <c r="GYD106"/>
      <c r="GYE106"/>
      <c r="GYF106"/>
      <c r="GYG106"/>
      <c r="GYH106"/>
      <c r="GYI106"/>
      <c r="GYJ106"/>
      <c r="GYK106"/>
      <c r="GYL106"/>
      <c r="GYM106"/>
      <c r="GYN106"/>
      <c r="GYO106"/>
      <c r="GYP106"/>
      <c r="GYQ106"/>
      <c r="GYR106"/>
      <c r="GYS106"/>
      <c r="GYT106"/>
      <c r="GYU106"/>
      <c r="GYV106"/>
      <c r="GYW106"/>
      <c r="GYX106"/>
      <c r="GYY106"/>
      <c r="GYZ106"/>
      <c r="GZA106"/>
      <c r="GZB106"/>
      <c r="GZC106"/>
      <c r="GZD106"/>
      <c r="GZE106"/>
      <c r="GZF106"/>
      <c r="GZG106"/>
      <c r="GZH106"/>
      <c r="GZI106"/>
      <c r="GZJ106"/>
      <c r="GZK106"/>
      <c r="GZL106"/>
      <c r="GZM106"/>
      <c r="GZN106"/>
      <c r="GZO106"/>
      <c r="GZP106"/>
      <c r="GZQ106"/>
      <c r="GZR106"/>
      <c r="GZS106"/>
      <c r="GZT106"/>
      <c r="GZU106"/>
      <c r="GZV106"/>
      <c r="GZW106"/>
      <c r="GZX106"/>
      <c r="GZY106"/>
      <c r="GZZ106"/>
      <c r="HAA106"/>
      <c r="HAB106"/>
      <c r="HAC106"/>
      <c r="HAD106"/>
      <c r="HAE106"/>
      <c r="HAF106"/>
      <c r="HAG106"/>
      <c r="HAH106"/>
      <c r="HAI106"/>
      <c r="HAJ106"/>
      <c r="HAK106"/>
      <c r="HAL106"/>
      <c r="HAM106"/>
      <c r="HAN106"/>
      <c r="HAO106"/>
      <c r="HAP106"/>
      <c r="HAQ106"/>
      <c r="HAR106"/>
      <c r="HAS106"/>
      <c r="HAT106"/>
      <c r="HAU106"/>
      <c r="HAV106"/>
      <c r="HAW106"/>
      <c r="HAX106"/>
      <c r="HAY106"/>
      <c r="HAZ106"/>
      <c r="HBA106"/>
      <c r="HBB106"/>
      <c r="HBC106"/>
      <c r="HBD106"/>
      <c r="HBE106"/>
      <c r="HBF106"/>
      <c r="HBG106"/>
      <c r="HBH106"/>
      <c r="HBI106"/>
      <c r="HBJ106"/>
      <c r="HBK106"/>
      <c r="HBL106"/>
      <c r="HBM106"/>
      <c r="HBN106"/>
      <c r="HBO106"/>
      <c r="HBP106"/>
      <c r="HBQ106"/>
      <c r="HBR106"/>
      <c r="HBS106"/>
      <c r="HBT106"/>
      <c r="HBU106"/>
      <c r="HBV106"/>
      <c r="HBW106"/>
      <c r="HBX106"/>
      <c r="HBY106"/>
      <c r="HBZ106"/>
      <c r="HCA106"/>
      <c r="HCB106"/>
      <c r="HCC106"/>
      <c r="HCD106"/>
      <c r="HCE106"/>
      <c r="HCF106"/>
      <c r="HCG106"/>
      <c r="HCH106"/>
      <c r="HCI106"/>
      <c r="HCJ106"/>
      <c r="HCK106"/>
      <c r="HCL106"/>
      <c r="HCM106"/>
      <c r="HCN106"/>
      <c r="HCO106"/>
      <c r="HCP106"/>
      <c r="HCQ106"/>
      <c r="HCR106"/>
      <c r="HCS106"/>
      <c r="HCT106"/>
      <c r="HCU106"/>
      <c r="HCV106"/>
      <c r="HCW106"/>
      <c r="HCX106"/>
      <c r="HCY106"/>
      <c r="HCZ106"/>
      <c r="HDA106"/>
      <c r="HDB106"/>
      <c r="HDC106"/>
      <c r="HDD106"/>
      <c r="HDE106"/>
      <c r="HDF106"/>
      <c r="HDG106"/>
      <c r="HDH106"/>
      <c r="HDI106"/>
      <c r="HDJ106"/>
      <c r="HDK106"/>
      <c r="HDL106"/>
      <c r="HDM106"/>
      <c r="HDN106"/>
      <c r="HDO106"/>
      <c r="HDP106"/>
      <c r="HDQ106"/>
      <c r="HDR106"/>
      <c r="HDS106"/>
      <c r="HDT106"/>
      <c r="HDU106"/>
      <c r="HDV106"/>
      <c r="HDW106"/>
      <c r="HDX106"/>
      <c r="HDY106"/>
      <c r="HDZ106"/>
      <c r="HEA106"/>
      <c r="HEB106"/>
      <c r="HEC106"/>
      <c r="HED106"/>
      <c r="HEE106"/>
      <c r="HEF106"/>
      <c r="HEG106"/>
      <c r="HEH106"/>
      <c r="HEI106"/>
      <c r="HEJ106"/>
      <c r="HEK106"/>
      <c r="HEL106"/>
      <c r="HEM106"/>
      <c r="HEN106"/>
      <c r="HEO106"/>
      <c r="HEP106"/>
      <c r="HEQ106"/>
      <c r="HER106"/>
      <c r="HES106"/>
      <c r="HET106"/>
      <c r="HEU106"/>
      <c r="HEV106"/>
      <c r="HEW106"/>
      <c r="HEX106"/>
      <c r="HEY106"/>
      <c r="HEZ106"/>
      <c r="HFA106"/>
      <c r="HFB106"/>
      <c r="HFC106"/>
      <c r="HFD106"/>
      <c r="HFE106"/>
      <c r="HFF106"/>
      <c r="HFG106"/>
      <c r="HFH106"/>
      <c r="HFI106"/>
      <c r="HFJ106"/>
      <c r="HFK106"/>
      <c r="HFL106"/>
      <c r="HFM106"/>
      <c r="HFN106"/>
      <c r="HFO106"/>
      <c r="HFP106"/>
      <c r="HFQ106"/>
      <c r="HFR106"/>
      <c r="HFS106"/>
      <c r="HFT106"/>
      <c r="HFU106"/>
      <c r="HFV106"/>
      <c r="HFW106"/>
      <c r="HFX106"/>
      <c r="HFY106"/>
      <c r="HFZ106"/>
      <c r="HGA106"/>
      <c r="HGB106"/>
      <c r="HGC106"/>
      <c r="HGD106"/>
      <c r="HGE106"/>
      <c r="HGF106"/>
      <c r="HGG106"/>
      <c r="HGH106"/>
      <c r="HGI106"/>
      <c r="HGJ106"/>
      <c r="HGK106"/>
      <c r="HGL106"/>
      <c r="HGM106"/>
      <c r="HGN106"/>
      <c r="HGO106"/>
      <c r="HGP106"/>
      <c r="HGQ106"/>
      <c r="HGR106"/>
      <c r="HGS106"/>
      <c r="HGT106"/>
      <c r="HGU106"/>
      <c r="HGV106"/>
      <c r="HGW106"/>
      <c r="HGX106"/>
      <c r="HGY106"/>
      <c r="HGZ106"/>
      <c r="HHA106"/>
      <c r="HHB106"/>
      <c r="HHC106"/>
      <c r="HHD106"/>
      <c r="HHE106"/>
      <c r="HHF106"/>
      <c r="HHG106"/>
      <c r="HHH106"/>
      <c r="HHI106"/>
      <c r="HHJ106"/>
      <c r="HHK106"/>
      <c r="HHL106"/>
      <c r="HHM106"/>
      <c r="HHN106"/>
      <c r="HHO106"/>
      <c r="HHP106"/>
      <c r="HHQ106"/>
      <c r="HHR106"/>
      <c r="HHS106"/>
      <c r="HHT106"/>
      <c r="HHU106"/>
      <c r="HHV106"/>
      <c r="HHW106"/>
      <c r="HHX106"/>
      <c r="HHY106"/>
      <c r="HHZ106"/>
      <c r="HIA106"/>
      <c r="HIB106"/>
      <c r="HIC106"/>
      <c r="HID106"/>
      <c r="HIE106"/>
      <c r="HIF106"/>
      <c r="HIG106"/>
      <c r="HIH106"/>
      <c r="HII106"/>
      <c r="HIJ106"/>
      <c r="HIK106"/>
      <c r="HIL106"/>
      <c r="HIM106"/>
      <c r="HIN106"/>
      <c r="HIO106"/>
      <c r="HIP106"/>
      <c r="HIQ106"/>
      <c r="HIR106"/>
      <c r="HIS106"/>
      <c r="HIT106"/>
      <c r="HIU106"/>
      <c r="HIV106"/>
      <c r="HIW106"/>
      <c r="HIX106"/>
      <c r="HIY106"/>
      <c r="HIZ106"/>
      <c r="HJA106"/>
      <c r="HJB106"/>
      <c r="HJC106"/>
      <c r="HJD106"/>
      <c r="HJE106"/>
      <c r="HJF106"/>
      <c r="HJG106"/>
      <c r="HJH106"/>
      <c r="HJI106"/>
      <c r="HJJ106"/>
      <c r="HJK106"/>
      <c r="HJL106"/>
      <c r="HJM106"/>
      <c r="HJN106"/>
      <c r="HJO106"/>
      <c r="HJP106"/>
      <c r="HJQ106"/>
      <c r="HJR106"/>
      <c r="HJS106"/>
      <c r="HJT106"/>
      <c r="HJU106"/>
      <c r="HJV106"/>
      <c r="HJW106"/>
      <c r="HJX106"/>
      <c r="HJY106"/>
      <c r="HJZ106"/>
      <c r="HKA106"/>
      <c r="HKB106"/>
      <c r="HKC106"/>
      <c r="HKD106"/>
      <c r="HKE106"/>
      <c r="HKF106"/>
      <c r="HKG106"/>
      <c r="HKH106"/>
      <c r="HKI106"/>
      <c r="HKJ106"/>
      <c r="HKK106"/>
      <c r="HKL106"/>
      <c r="HKM106"/>
      <c r="HKN106"/>
      <c r="HKO106"/>
      <c r="HKP106"/>
      <c r="HKQ106"/>
      <c r="HKR106"/>
      <c r="HKS106"/>
      <c r="HKT106"/>
      <c r="HKU106"/>
      <c r="HKV106"/>
      <c r="HKW106"/>
      <c r="HKX106"/>
      <c r="HKY106"/>
      <c r="HKZ106"/>
      <c r="HLA106"/>
      <c r="HLB106"/>
      <c r="HLC106"/>
      <c r="HLD106"/>
      <c r="HLE106"/>
      <c r="HLF106"/>
      <c r="HLG106"/>
      <c r="HLH106"/>
      <c r="HLI106"/>
      <c r="HLJ106"/>
      <c r="HLK106"/>
      <c r="HLL106"/>
      <c r="HLM106"/>
      <c r="HLN106"/>
      <c r="HLO106"/>
      <c r="HLP106"/>
      <c r="HLQ106"/>
      <c r="HLR106"/>
      <c r="HLS106"/>
      <c r="HLT106"/>
      <c r="HLU106"/>
      <c r="HLV106"/>
      <c r="HLW106"/>
      <c r="HLX106"/>
      <c r="HLY106"/>
      <c r="HLZ106"/>
      <c r="HMA106"/>
      <c r="HMB106"/>
      <c r="HMC106"/>
      <c r="HMD106"/>
      <c r="HME106"/>
      <c r="HMF106"/>
      <c r="HMG106"/>
      <c r="HMH106"/>
      <c r="HMI106"/>
      <c r="HMJ106"/>
      <c r="HMK106"/>
      <c r="HML106"/>
      <c r="HMM106"/>
      <c r="HMN106"/>
      <c r="HMO106"/>
      <c r="HMP106"/>
      <c r="HMQ106"/>
      <c r="HMR106"/>
      <c r="HMS106"/>
      <c r="HMT106"/>
      <c r="HMU106"/>
      <c r="HMV106"/>
      <c r="HMW106"/>
      <c r="HMX106"/>
      <c r="HMY106"/>
      <c r="HMZ106"/>
      <c r="HNA106"/>
      <c r="HNB106"/>
      <c r="HNC106"/>
      <c r="HND106"/>
      <c r="HNE106"/>
      <c r="HNF106"/>
      <c r="HNG106"/>
      <c r="HNH106"/>
      <c r="HNI106"/>
      <c r="HNJ106"/>
      <c r="HNK106"/>
      <c r="HNL106"/>
      <c r="HNM106"/>
      <c r="HNN106"/>
      <c r="HNO106"/>
      <c r="HNP106"/>
      <c r="HNQ106"/>
      <c r="HNR106"/>
      <c r="HNS106"/>
      <c r="HNT106"/>
      <c r="HNU106"/>
      <c r="HNV106"/>
      <c r="HNW106"/>
      <c r="HNX106"/>
      <c r="HNY106"/>
      <c r="HNZ106"/>
      <c r="HOA106"/>
      <c r="HOB106"/>
      <c r="HOC106"/>
      <c r="HOD106"/>
      <c r="HOE106"/>
      <c r="HOF106"/>
      <c r="HOG106"/>
      <c r="HOH106"/>
      <c r="HOI106"/>
      <c r="HOJ106"/>
      <c r="HOK106"/>
      <c r="HOL106"/>
      <c r="HOM106"/>
      <c r="HON106"/>
      <c r="HOO106"/>
      <c r="HOP106"/>
      <c r="HOQ106"/>
      <c r="HOR106"/>
      <c r="HOS106"/>
      <c r="HOT106"/>
      <c r="HOU106"/>
      <c r="HOV106"/>
      <c r="HOW106"/>
      <c r="HOX106"/>
      <c r="HOY106"/>
      <c r="HOZ106"/>
      <c r="HPA106"/>
      <c r="HPB106"/>
      <c r="HPC106"/>
      <c r="HPD106"/>
      <c r="HPE106"/>
      <c r="HPF106"/>
      <c r="HPG106"/>
      <c r="HPH106"/>
      <c r="HPI106"/>
      <c r="HPJ106"/>
      <c r="HPK106"/>
      <c r="HPL106"/>
      <c r="HPM106"/>
      <c r="HPN106"/>
      <c r="HPO106"/>
      <c r="HPP106"/>
      <c r="HPQ106"/>
      <c r="HPR106"/>
      <c r="HPS106"/>
      <c r="HPT106"/>
      <c r="HPU106"/>
      <c r="HPV106"/>
      <c r="HPW106"/>
      <c r="HPX106"/>
      <c r="HPY106"/>
      <c r="HPZ106"/>
      <c r="HQA106"/>
      <c r="HQB106"/>
      <c r="HQC106"/>
      <c r="HQD106"/>
      <c r="HQE106"/>
      <c r="HQF106"/>
      <c r="HQG106"/>
      <c r="HQH106"/>
      <c r="HQI106"/>
      <c r="HQJ106"/>
      <c r="HQK106"/>
      <c r="HQL106"/>
      <c r="HQM106"/>
      <c r="HQN106"/>
      <c r="HQO106"/>
      <c r="HQP106"/>
      <c r="HQQ106"/>
      <c r="HQR106"/>
      <c r="HQS106"/>
      <c r="HQT106"/>
      <c r="HQU106"/>
      <c r="HQV106"/>
      <c r="HQW106"/>
      <c r="HQX106"/>
      <c r="HQY106"/>
      <c r="HQZ106"/>
      <c r="HRA106"/>
      <c r="HRB106"/>
      <c r="HRC106"/>
      <c r="HRD106"/>
      <c r="HRE106"/>
      <c r="HRF106"/>
      <c r="HRG106"/>
      <c r="HRH106"/>
      <c r="HRI106"/>
      <c r="HRJ106"/>
      <c r="HRK106"/>
      <c r="HRL106"/>
      <c r="HRM106"/>
      <c r="HRN106"/>
      <c r="HRO106"/>
      <c r="HRP106"/>
      <c r="HRQ106"/>
      <c r="HRR106"/>
      <c r="HRS106"/>
      <c r="HRT106"/>
      <c r="HRU106"/>
      <c r="HRV106"/>
      <c r="HRW106"/>
      <c r="HRX106"/>
      <c r="HRY106"/>
      <c r="HRZ106"/>
      <c r="HSA106"/>
      <c r="HSB106"/>
      <c r="HSC106"/>
      <c r="HSD106"/>
      <c r="HSE106"/>
      <c r="HSF106"/>
      <c r="HSG106"/>
      <c r="HSH106"/>
      <c r="HSI106"/>
      <c r="HSJ106"/>
      <c r="HSK106"/>
      <c r="HSL106"/>
      <c r="HSM106"/>
      <c r="HSN106"/>
      <c r="HSO106"/>
      <c r="HSP106"/>
      <c r="HSQ106"/>
      <c r="HSR106"/>
      <c r="HSS106"/>
      <c r="HST106"/>
      <c r="HSU106"/>
      <c r="HSV106"/>
      <c r="HSW106"/>
      <c r="HSX106"/>
      <c r="HSY106"/>
      <c r="HSZ106"/>
      <c r="HTA106"/>
      <c r="HTB106"/>
      <c r="HTC106"/>
      <c r="HTD106"/>
      <c r="HTE106"/>
      <c r="HTF106"/>
      <c r="HTG106"/>
      <c r="HTH106"/>
      <c r="HTI106"/>
      <c r="HTJ106"/>
      <c r="HTK106"/>
      <c r="HTL106"/>
      <c r="HTM106"/>
      <c r="HTN106"/>
      <c r="HTO106"/>
      <c r="HTP106"/>
      <c r="HTQ106"/>
      <c r="HTR106"/>
      <c r="HTS106"/>
      <c r="HTT106"/>
      <c r="HTU106"/>
      <c r="HTV106"/>
      <c r="HTW106"/>
      <c r="HTX106"/>
      <c r="HTY106"/>
      <c r="HTZ106"/>
      <c r="HUA106"/>
      <c r="HUB106"/>
      <c r="HUC106"/>
      <c r="HUD106"/>
      <c r="HUE106"/>
      <c r="HUF106"/>
      <c r="HUG106"/>
      <c r="HUH106"/>
      <c r="HUI106"/>
      <c r="HUJ106"/>
      <c r="HUK106"/>
      <c r="HUL106"/>
      <c r="HUM106"/>
      <c r="HUN106"/>
      <c r="HUO106"/>
      <c r="HUP106"/>
      <c r="HUQ106"/>
      <c r="HUR106"/>
      <c r="HUS106"/>
      <c r="HUT106"/>
      <c r="HUU106"/>
      <c r="HUV106"/>
      <c r="HUW106"/>
      <c r="HUX106"/>
      <c r="HUY106"/>
      <c r="HUZ106"/>
      <c r="HVA106"/>
      <c r="HVB106"/>
      <c r="HVC106"/>
      <c r="HVD106"/>
      <c r="HVE106"/>
      <c r="HVF106"/>
      <c r="HVG106"/>
      <c r="HVH106"/>
      <c r="HVI106"/>
      <c r="HVJ106"/>
      <c r="HVK106"/>
      <c r="HVL106"/>
      <c r="HVM106"/>
      <c r="HVN106"/>
      <c r="HVO106"/>
      <c r="HVP106"/>
      <c r="HVQ106"/>
      <c r="HVR106"/>
      <c r="HVS106"/>
      <c r="HVT106"/>
      <c r="HVU106"/>
      <c r="HVV106"/>
      <c r="HVW106"/>
      <c r="HVX106"/>
      <c r="HVY106"/>
      <c r="HVZ106"/>
      <c r="HWA106"/>
      <c r="HWB106"/>
      <c r="HWC106"/>
      <c r="HWD106"/>
      <c r="HWE106"/>
      <c r="HWF106"/>
      <c r="HWG106"/>
      <c r="HWH106"/>
      <c r="HWI106"/>
      <c r="HWJ106"/>
      <c r="HWK106"/>
      <c r="HWL106"/>
      <c r="HWM106"/>
      <c r="HWN106"/>
      <c r="HWO106"/>
      <c r="HWP106"/>
      <c r="HWQ106"/>
      <c r="HWR106"/>
      <c r="HWS106"/>
      <c r="HWT106"/>
      <c r="HWU106"/>
      <c r="HWV106"/>
      <c r="HWW106"/>
      <c r="HWX106"/>
      <c r="HWY106"/>
      <c r="HWZ106"/>
      <c r="HXA106"/>
      <c r="HXB106"/>
      <c r="HXC106"/>
      <c r="HXD106"/>
      <c r="HXE106"/>
      <c r="HXF106"/>
      <c r="HXG106"/>
      <c r="HXH106"/>
      <c r="HXI106"/>
      <c r="HXJ106"/>
      <c r="HXK106"/>
      <c r="HXL106"/>
      <c r="HXM106"/>
      <c r="HXN106"/>
      <c r="HXO106"/>
      <c r="HXP106"/>
      <c r="HXQ106"/>
      <c r="HXR106"/>
      <c r="HXS106"/>
      <c r="HXT106"/>
      <c r="HXU106"/>
      <c r="HXV106"/>
      <c r="HXW106"/>
      <c r="HXX106"/>
      <c r="HXY106"/>
      <c r="HXZ106"/>
      <c r="HYA106"/>
      <c r="HYB106"/>
      <c r="HYC106"/>
      <c r="HYD106"/>
      <c r="HYE106"/>
      <c r="HYF106"/>
      <c r="HYG106"/>
      <c r="HYH106"/>
      <c r="HYI106"/>
      <c r="HYJ106"/>
      <c r="HYK106"/>
      <c r="HYL106"/>
      <c r="HYM106"/>
      <c r="HYN106"/>
      <c r="HYO106"/>
      <c r="HYP106"/>
      <c r="HYQ106"/>
      <c r="HYR106"/>
      <c r="HYS106"/>
      <c r="HYT106"/>
      <c r="HYU106"/>
      <c r="HYV106"/>
      <c r="HYW106"/>
      <c r="HYX106"/>
      <c r="HYY106"/>
      <c r="HYZ106"/>
      <c r="HZA106"/>
      <c r="HZB106"/>
      <c r="HZC106"/>
      <c r="HZD106"/>
      <c r="HZE106"/>
      <c r="HZF106"/>
      <c r="HZG106"/>
      <c r="HZH106"/>
      <c r="HZI106"/>
      <c r="HZJ106"/>
      <c r="HZK106"/>
      <c r="HZL106"/>
      <c r="HZM106"/>
      <c r="HZN106"/>
      <c r="HZO106"/>
      <c r="HZP106"/>
      <c r="HZQ106"/>
      <c r="HZR106"/>
      <c r="HZS106"/>
      <c r="HZT106"/>
      <c r="HZU106"/>
      <c r="HZV106"/>
      <c r="HZW106"/>
      <c r="HZX106"/>
      <c r="HZY106"/>
      <c r="HZZ106"/>
      <c r="IAA106"/>
      <c r="IAB106"/>
      <c r="IAC106"/>
      <c r="IAD106"/>
      <c r="IAE106"/>
      <c r="IAF106"/>
      <c r="IAG106"/>
      <c r="IAH106"/>
      <c r="IAI106"/>
      <c r="IAJ106"/>
      <c r="IAK106"/>
      <c r="IAL106"/>
      <c r="IAM106"/>
      <c r="IAN106"/>
      <c r="IAO106"/>
      <c r="IAP106"/>
      <c r="IAQ106"/>
      <c r="IAR106"/>
      <c r="IAS106"/>
      <c r="IAT106"/>
      <c r="IAU106"/>
      <c r="IAV106"/>
      <c r="IAW106"/>
      <c r="IAX106"/>
      <c r="IAY106"/>
      <c r="IAZ106"/>
      <c r="IBA106"/>
      <c r="IBB106"/>
      <c r="IBC106"/>
      <c r="IBD106"/>
      <c r="IBE106"/>
      <c r="IBF106"/>
      <c r="IBG106"/>
      <c r="IBH106"/>
      <c r="IBI106"/>
      <c r="IBJ106"/>
      <c r="IBK106"/>
      <c r="IBL106"/>
      <c r="IBM106"/>
      <c r="IBN106"/>
      <c r="IBO106"/>
      <c r="IBP106"/>
      <c r="IBQ106"/>
      <c r="IBR106"/>
      <c r="IBS106"/>
      <c r="IBT106"/>
      <c r="IBU106"/>
      <c r="IBV106"/>
      <c r="IBW106"/>
      <c r="IBX106"/>
      <c r="IBY106"/>
      <c r="IBZ106"/>
      <c r="ICA106"/>
      <c r="ICB106"/>
      <c r="ICC106"/>
      <c r="ICD106"/>
      <c r="ICE106"/>
      <c r="ICF106"/>
      <c r="ICG106"/>
      <c r="ICH106"/>
      <c r="ICI106"/>
      <c r="ICJ106"/>
      <c r="ICK106"/>
      <c r="ICL106"/>
      <c r="ICM106"/>
      <c r="ICN106"/>
      <c r="ICO106"/>
      <c r="ICP106"/>
      <c r="ICQ106"/>
      <c r="ICR106"/>
      <c r="ICS106"/>
      <c r="ICT106"/>
      <c r="ICU106"/>
      <c r="ICV106"/>
      <c r="ICW106"/>
      <c r="ICX106"/>
      <c r="ICY106"/>
      <c r="ICZ106"/>
      <c r="IDA106"/>
      <c r="IDB106"/>
      <c r="IDC106"/>
      <c r="IDD106"/>
      <c r="IDE106"/>
      <c r="IDF106"/>
      <c r="IDG106"/>
      <c r="IDH106"/>
      <c r="IDI106"/>
      <c r="IDJ106"/>
      <c r="IDK106"/>
      <c r="IDL106"/>
      <c r="IDM106"/>
      <c r="IDN106"/>
      <c r="IDO106"/>
      <c r="IDP106"/>
      <c r="IDQ106"/>
      <c r="IDR106"/>
      <c r="IDS106"/>
      <c r="IDT106"/>
      <c r="IDU106"/>
      <c r="IDV106"/>
      <c r="IDW106"/>
      <c r="IDX106"/>
      <c r="IDY106"/>
      <c r="IDZ106"/>
      <c r="IEA106"/>
      <c r="IEB106"/>
      <c r="IEC106"/>
      <c r="IED106"/>
      <c r="IEE106"/>
      <c r="IEF106"/>
      <c r="IEG106"/>
      <c r="IEH106"/>
      <c r="IEI106"/>
      <c r="IEJ106"/>
      <c r="IEK106"/>
      <c r="IEL106"/>
      <c r="IEM106"/>
      <c r="IEN106"/>
      <c r="IEO106"/>
      <c r="IEP106"/>
      <c r="IEQ106"/>
      <c r="IER106"/>
      <c r="IES106"/>
      <c r="IET106"/>
      <c r="IEU106"/>
      <c r="IEV106"/>
      <c r="IEW106"/>
      <c r="IEX106"/>
      <c r="IEY106"/>
      <c r="IEZ106"/>
      <c r="IFA106"/>
      <c r="IFB106"/>
      <c r="IFC106"/>
      <c r="IFD106"/>
      <c r="IFE106"/>
      <c r="IFF106"/>
      <c r="IFG106"/>
      <c r="IFH106"/>
      <c r="IFI106"/>
      <c r="IFJ106"/>
      <c r="IFK106"/>
      <c r="IFL106"/>
      <c r="IFM106"/>
      <c r="IFN106"/>
      <c r="IFO106"/>
      <c r="IFP106"/>
      <c r="IFQ106"/>
      <c r="IFR106"/>
      <c r="IFS106"/>
      <c r="IFT106"/>
      <c r="IFU106"/>
      <c r="IFV106"/>
      <c r="IFW106"/>
      <c r="IFX106"/>
      <c r="IFY106"/>
      <c r="IFZ106"/>
      <c r="IGA106"/>
      <c r="IGB106"/>
      <c r="IGC106"/>
      <c r="IGD106"/>
      <c r="IGE106"/>
      <c r="IGF106"/>
      <c r="IGG106"/>
      <c r="IGH106"/>
      <c r="IGI106"/>
      <c r="IGJ106"/>
      <c r="IGK106"/>
      <c r="IGL106"/>
      <c r="IGM106"/>
      <c r="IGN106"/>
      <c r="IGO106"/>
      <c r="IGP106"/>
      <c r="IGQ106"/>
      <c r="IGR106"/>
      <c r="IGS106"/>
      <c r="IGT106"/>
      <c r="IGU106"/>
      <c r="IGV106"/>
      <c r="IGW106"/>
      <c r="IGX106"/>
      <c r="IGY106"/>
      <c r="IGZ106"/>
      <c r="IHA106"/>
      <c r="IHB106"/>
      <c r="IHC106"/>
      <c r="IHD106"/>
      <c r="IHE106"/>
      <c r="IHF106"/>
      <c r="IHG106"/>
      <c r="IHH106"/>
      <c r="IHI106"/>
      <c r="IHJ106"/>
      <c r="IHK106"/>
      <c r="IHL106"/>
      <c r="IHM106"/>
      <c r="IHN106"/>
      <c r="IHO106"/>
      <c r="IHP106"/>
      <c r="IHQ106"/>
      <c r="IHR106"/>
      <c r="IHS106"/>
      <c r="IHT106"/>
      <c r="IHU106"/>
      <c r="IHV106"/>
      <c r="IHW106"/>
      <c r="IHX106"/>
      <c r="IHY106"/>
      <c r="IHZ106"/>
      <c r="IIA106"/>
      <c r="IIB106"/>
      <c r="IIC106"/>
      <c r="IID106"/>
      <c r="IIE106"/>
      <c r="IIF106"/>
      <c r="IIG106"/>
      <c r="IIH106"/>
      <c r="III106"/>
      <c r="IIJ106"/>
      <c r="IIK106"/>
      <c r="IIL106"/>
      <c r="IIM106"/>
      <c r="IIN106"/>
      <c r="IIO106"/>
      <c r="IIP106"/>
      <c r="IIQ106"/>
      <c r="IIR106"/>
      <c r="IIS106"/>
      <c r="IIT106"/>
      <c r="IIU106"/>
      <c r="IIV106"/>
      <c r="IIW106"/>
      <c r="IIX106"/>
      <c r="IIY106"/>
      <c r="IIZ106"/>
      <c r="IJA106"/>
      <c r="IJB106"/>
      <c r="IJC106"/>
      <c r="IJD106"/>
      <c r="IJE106"/>
      <c r="IJF106"/>
      <c r="IJG106"/>
      <c r="IJH106"/>
      <c r="IJI106"/>
      <c r="IJJ106"/>
      <c r="IJK106"/>
      <c r="IJL106"/>
      <c r="IJM106"/>
      <c r="IJN106"/>
      <c r="IJO106"/>
      <c r="IJP106"/>
      <c r="IJQ106"/>
      <c r="IJR106"/>
      <c r="IJS106"/>
      <c r="IJT106"/>
      <c r="IJU106"/>
      <c r="IJV106"/>
      <c r="IJW106"/>
      <c r="IJX106"/>
      <c r="IJY106"/>
      <c r="IJZ106"/>
      <c r="IKA106"/>
      <c r="IKB106"/>
      <c r="IKC106"/>
      <c r="IKD106"/>
      <c r="IKE106"/>
      <c r="IKF106"/>
      <c r="IKG106"/>
      <c r="IKH106"/>
      <c r="IKI106"/>
      <c r="IKJ106"/>
      <c r="IKK106"/>
      <c r="IKL106"/>
      <c r="IKM106"/>
      <c r="IKN106"/>
      <c r="IKO106"/>
      <c r="IKP106"/>
      <c r="IKQ106"/>
      <c r="IKR106"/>
      <c r="IKS106"/>
      <c r="IKT106"/>
      <c r="IKU106"/>
      <c r="IKV106"/>
      <c r="IKW106"/>
      <c r="IKX106"/>
      <c r="IKY106"/>
      <c r="IKZ106"/>
      <c r="ILA106"/>
      <c r="ILB106"/>
      <c r="ILC106"/>
      <c r="ILD106"/>
      <c r="ILE106"/>
      <c r="ILF106"/>
      <c r="ILG106"/>
      <c r="ILH106"/>
      <c r="ILI106"/>
      <c r="ILJ106"/>
      <c r="ILK106"/>
      <c r="ILL106"/>
      <c r="ILM106"/>
      <c r="ILN106"/>
      <c r="ILO106"/>
      <c r="ILP106"/>
      <c r="ILQ106"/>
      <c r="ILR106"/>
      <c r="ILS106"/>
      <c r="ILT106"/>
      <c r="ILU106"/>
      <c r="ILV106"/>
      <c r="ILW106"/>
      <c r="ILX106"/>
      <c r="ILY106"/>
      <c r="ILZ106"/>
      <c r="IMA106"/>
      <c r="IMB106"/>
      <c r="IMC106"/>
      <c r="IMD106"/>
      <c r="IME106"/>
      <c r="IMF106"/>
      <c r="IMG106"/>
      <c r="IMH106"/>
      <c r="IMI106"/>
      <c r="IMJ106"/>
      <c r="IMK106"/>
      <c r="IML106"/>
      <c r="IMM106"/>
      <c r="IMN106"/>
      <c r="IMO106"/>
      <c r="IMP106"/>
      <c r="IMQ106"/>
      <c r="IMR106"/>
      <c r="IMS106"/>
      <c r="IMT106"/>
      <c r="IMU106"/>
      <c r="IMV106"/>
      <c r="IMW106"/>
      <c r="IMX106"/>
      <c r="IMY106"/>
      <c r="IMZ106"/>
      <c r="INA106"/>
      <c r="INB106"/>
      <c r="INC106"/>
      <c r="IND106"/>
      <c r="INE106"/>
      <c r="INF106"/>
      <c r="ING106"/>
      <c r="INH106"/>
      <c r="INI106"/>
      <c r="INJ106"/>
      <c r="INK106"/>
      <c r="INL106"/>
      <c r="INM106"/>
      <c r="INN106"/>
      <c r="INO106"/>
      <c r="INP106"/>
      <c r="INQ106"/>
      <c r="INR106"/>
      <c r="INS106"/>
      <c r="INT106"/>
      <c r="INU106"/>
      <c r="INV106"/>
      <c r="INW106"/>
      <c r="INX106"/>
      <c r="INY106"/>
      <c r="INZ106"/>
      <c r="IOA106"/>
      <c r="IOB106"/>
      <c r="IOC106"/>
      <c r="IOD106"/>
      <c r="IOE106"/>
      <c r="IOF106"/>
      <c r="IOG106"/>
      <c r="IOH106"/>
      <c r="IOI106"/>
      <c r="IOJ106"/>
      <c r="IOK106"/>
      <c r="IOL106"/>
      <c r="IOM106"/>
      <c r="ION106"/>
      <c r="IOO106"/>
      <c r="IOP106"/>
      <c r="IOQ106"/>
      <c r="IOR106"/>
      <c r="IOS106"/>
      <c r="IOT106"/>
      <c r="IOU106"/>
      <c r="IOV106"/>
      <c r="IOW106"/>
      <c r="IOX106"/>
      <c r="IOY106"/>
      <c r="IOZ106"/>
      <c r="IPA106"/>
      <c r="IPB106"/>
      <c r="IPC106"/>
      <c r="IPD106"/>
      <c r="IPE106"/>
      <c r="IPF106"/>
      <c r="IPG106"/>
      <c r="IPH106"/>
      <c r="IPI106"/>
      <c r="IPJ106"/>
      <c r="IPK106"/>
      <c r="IPL106"/>
      <c r="IPM106"/>
      <c r="IPN106"/>
      <c r="IPO106"/>
      <c r="IPP106"/>
      <c r="IPQ106"/>
      <c r="IPR106"/>
      <c r="IPS106"/>
      <c r="IPT106"/>
      <c r="IPU106"/>
      <c r="IPV106"/>
      <c r="IPW106"/>
      <c r="IPX106"/>
      <c r="IPY106"/>
      <c r="IPZ106"/>
      <c r="IQA106"/>
      <c r="IQB106"/>
      <c r="IQC106"/>
      <c r="IQD106"/>
      <c r="IQE106"/>
      <c r="IQF106"/>
      <c r="IQG106"/>
      <c r="IQH106"/>
      <c r="IQI106"/>
      <c r="IQJ106"/>
      <c r="IQK106"/>
      <c r="IQL106"/>
      <c r="IQM106"/>
      <c r="IQN106"/>
      <c r="IQO106"/>
      <c r="IQP106"/>
      <c r="IQQ106"/>
      <c r="IQR106"/>
      <c r="IQS106"/>
      <c r="IQT106"/>
      <c r="IQU106"/>
      <c r="IQV106"/>
      <c r="IQW106"/>
      <c r="IQX106"/>
      <c r="IQY106"/>
      <c r="IQZ106"/>
      <c r="IRA106"/>
      <c r="IRB106"/>
      <c r="IRC106"/>
      <c r="IRD106"/>
      <c r="IRE106"/>
      <c r="IRF106"/>
      <c r="IRG106"/>
      <c r="IRH106"/>
      <c r="IRI106"/>
      <c r="IRJ106"/>
      <c r="IRK106"/>
      <c r="IRL106"/>
      <c r="IRM106"/>
      <c r="IRN106"/>
      <c r="IRO106"/>
      <c r="IRP106"/>
      <c r="IRQ106"/>
      <c r="IRR106"/>
      <c r="IRS106"/>
      <c r="IRT106"/>
      <c r="IRU106"/>
      <c r="IRV106"/>
      <c r="IRW106"/>
      <c r="IRX106"/>
      <c r="IRY106"/>
      <c r="IRZ106"/>
      <c r="ISA106"/>
      <c r="ISB106"/>
      <c r="ISC106"/>
      <c r="ISD106"/>
      <c r="ISE106"/>
      <c r="ISF106"/>
      <c r="ISG106"/>
      <c r="ISH106"/>
      <c r="ISI106"/>
      <c r="ISJ106"/>
      <c r="ISK106"/>
      <c r="ISL106"/>
      <c r="ISM106"/>
      <c r="ISN106"/>
      <c r="ISO106"/>
      <c r="ISP106"/>
      <c r="ISQ106"/>
      <c r="ISR106"/>
      <c r="ISS106"/>
      <c r="IST106"/>
      <c r="ISU106"/>
      <c r="ISV106"/>
      <c r="ISW106"/>
      <c r="ISX106"/>
      <c r="ISY106"/>
      <c r="ISZ106"/>
      <c r="ITA106"/>
      <c r="ITB106"/>
      <c r="ITC106"/>
      <c r="ITD106"/>
      <c r="ITE106"/>
      <c r="ITF106"/>
      <c r="ITG106"/>
      <c r="ITH106"/>
      <c r="ITI106"/>
      <c r="ITJ106"/>
      <c r="ITK106"/>
      <c r="ITL106"/>
      <c r="ITM106"/>
      <c r="ITN106"/>
      <c r="ITO106"/>
      <c r="ITP106"/>
      <c r="ITQ106"/>
      <c r="ITR106"/>
      <c r="ITS106"/>
      <c r="ITT106"/>
      <c r="ITU106"/>
      <c r="ITV106"/>
      <c r="ITW106"/>
      <c r="ITX106"/>
      <c r="ITY106"/>
      <c r="ITZ106"/>
      <c r="IUA106"/>
      <c r="IUB106"/>
      <c r="IUC106"/>
      <c r="IUD106"/>
      <c r="IUE106"/>
      <c r="IUF106"/>
      <c r="IUG106"/>
      <c r="IUH106"/>
      <c r="IUI106"/>
      <c r="IUJ106"/>
      <c r="IUK106"/>
      <c r="IUL106"/>
      <c r="IUM106"/>
      <c r="IUN106"/>
      <c r="IUO106"/>
      <c r="IUP106"/>
      <c r="IUQ106"/>
      <c r="IUR106"/>
      <c r="IUS106"/>
      <c r="IUT106"/>
      <c r="IUU106"/>
      <c r="IUV106"/>
      <c r="IUW106"/>
      <c r="IUX106"/>
      <c r="IUY106"/>
      <c r="IUZ106"/>
      <c r="IVA106"/>
      <c r="IVB106"/>
      <c r="IVC106"/>
      <c r="IVD106"/>
      <c r="IVE106"/>
      <c r="IVF106"/>
      <c r="IVG106"/>
      <c r="IVH106"/>
      <c r="IVI106"/>
      <c r="IVJ106"/>
      <c r="IVK106"/>
      <c r="IVL106"/>
      <c r="IVM106"/>
      <c r="IVN106"/>
      <c r="IVO106"/>
      <c r="IVP106"/>
      <c r="IVQ106"/>
      <c r="IVR106"/>
      <c r="IVS106"/>
      <c r="IVT106"/>
      <c r="IVU106"/>
      <c r="IVV106"/>
      <c r="IVW106"/>
      <c r="IVX106"/>
      <c r="IVY106"/>
      <c r="IVZ106"/>
      <c r="IWA106"/>
      <c r="IWB106"/>
      <c r="IWC106"/>
      <c r="IWD106"/>
      <c r="IWE106"/>
      <c r="IWF106"/>
      <c r="IWG106"/>
      <c r="IWH106"/>
      <c r="IWI106"/>
      <c r="IWJ106"/>
      <c r="IWK106"/>
      <c r="IWL106"/>
      <c r="IWM106"/>
      <c r="IWN106"/>
      <c r="IWO106"/>
      <c r="IWP106"/>
      <c r="IWQ106"/>
      <c r="IWR106"/>
      <c r="IWS106"/>
      <c r="IWT106"/>
      <c r="IWU106"/>
      <c r="IWV106"/>
      <c r="IWW106"/>
      <c r="IWX106"/>
      <c r="IWY106"/>
      <c r="IWZ106"/>
      <c r="IXA106"/>
      <c r="IXB106"/>
      <c r="IXC106"/>
      <c r="IXD106"/>
      <c r="IXE106"/>
      <c r="IXF106"/>
      <c r="IXG106"/>
      <c r="IXH106"/>
      <c r="IXI106"/>
      <c r="IXJ106"/>
      <c r="IXK106"/>
      <c r="IXL106"/>
      <c r="IXM106"/>
      <c r="IXN106"/>
      <c r="IXO106"/>
      <c r="IXP106"/>
      <c r="IXQ106"/>
      <c r="IXR106"/>
      <c r="IXS106"/>
      <c r="IXT106"/>
      <c r="IXU106"/>
      <c r="IXV106"/>
      <c r="IXW106"/>
      <c r="IXX106"/>
      <c r="IXY106"/>
      <c r="IXZ106"/>
      <c r="IYA106"/>
      <c r="IYB106"/>
      <c r="IYC106"/>
      <c r="IYD106"/>
      <c r="IYE106"/>
      <c r="IYF106"/>
      <c r="IYG106"/>
      <c r="IYH106"/>
      <c r="IYI106"/>
      <c r="IYJ106"/>
      <c r="IYK106"/>
      <c r="IYL106"/>
      <c r="IYM106"/>
      <c r="IYN106"/>
      <c r="IYO106"/>
      <c r="IYP106"/>
      <c r="IYQ106"/>
      <c r="IYR106"/>
      <c r="IYS106"/>
      <c r="IYT106"/>
      <c r="IYU106"/>
      <c r="IYV106"/>
      <c r="IYW106"/>
      <c r="IYX106"/>
      <c r="IYY106"/>
      <c r="IYZ106"/>
      <c r="IZA106"/>
      <c r="IZB106"/>
      <c r="IZC106"/>
      <c r="IZD106"/>
      <c r="IZE106"/>
      <c r="IZF106"/>
      <c r="IZG106"/>
      <c r="IZH106"/>
      <c r="IZI106"/>
      <c r="IZJ106"/>
      <c r="IZK106"/>
      <c r="IZL106"/>
      <c r="IZM106"/>
      <c r="IZN106"/>
      <c r="IZO106"/>
      <c r="IZP106"/>
      <c r="IZQ106"/>
      <c r="IZR106"/>
      <c r="IZS106"/>
      <c r="IZT106"/>
      <c r="IZU106"/>
      <c r="IZV106"/>
      <c r="IZW106"/>
      <c r="IZX106"/>
      <c r="IZY106"/>
      <c r="IZZ106"/>
      <c r="JAA106"/>
      <c r="JAB106"/>
      <c r="JAC106"/>
      <c r="JAD106"/>
      <c r="JAE106"/>
      <c r="JAF106"/>
      <c r="JAG106"/>
      <c r="JAH106"/>
      <c r="JAI106"/>
      <c r="JAJ106"/>
      <c r="JAK106"/>
      <c r="JAL106"/>
      <c r="JAM106"/>
      <c r="JAN106"/>
      <c r="JAO106"/>
      <c r="JAP106"/>
      <c r="JAQ106"/>
      <c r="JAR106"/>
      <c r="JAS106"/>
      <c r="JAT106"/>
      <c r="JAU106"/>
      <c r="JAV106"/>
      <c r="JAW106"/>
      <c r="JAX106"/>
      <c r="JAY106"/>
      <c r="JAZ106"/>
      <c r="JBA106"/>
      <c r="JBB106"/>
      <c r="JBC106"/>
      <c r="JBD106"/>
      <c r="JBE106"/>
      <c r="JBF106"/>
      <c r="JBG106"/>
      <c r="JBH106"/>
      <c r="JBI106"/>
      <c r="JBJ106"/>
      <c r="JBK106"/>
      <c r="JBL106"/>
      <c r="JBM106"/>
      <c r="JBN106"/>
      <c r="JBO106"/>
      <c r="JBP106"/>
      <c r="JBQ106"/>
      <c r="JBR106"/>
      <c r="JBS106"/>
      <c r="JBT106"/>
      <c r="JBU106"/>
      <c r="JBV106"/>
      <c r="JBW106"/>
      <c r="JBX106"/>
      <c r="JBY106"/>
      <c r="JBZ106"/>
      <c r="JCA106"/>
      <c r="JCB106"/>
      <c r="JCC106"/>
      <c r="JCD106"/>
      <c r="JCE106"/>
      <c r="JCF106"/>
      <c r="JCG106"/>
      <c r="JCH106"/>
      <c r="JCI106"/>
      <c r="JCJ106"/>
      <c r="JCK106"/>
      <c r="JCL106"/>
      <c r="JCM106"/>
      <c r="JCN106"/>
      <c r="JCO106"/>
      <c r="JCP106"/>
      <c r="JCQ106"/>
      <c r="JCR106"/>
      <c r="JCS106"/>
      <c r="JCT106"/>
      <c r="JCU106"/>
      <c r="JCV106"/>
      <c r="JCW106"/>
      <c r="JCX106"/>
      <c r="JCY106"/>
      <c r="JCZ106"/>
      <c r="JDA106"/>
      <c r="JDB106"/>
      <c r="JDC106"/>
      <c r="JDD106"/>
      <c r="JDE106"/>
      <c r="JDF106"/>
      <c r="JDG106"/>
      <c r="JDH106"/>
      <c r="JDI106"/>
      <c r="JDJ106"/>
      <c r="JDK106"/>
      <c r="JDL106"/>
      <c r="JDM106"/>
      <c r="JDN106"/>
      <c r="JDO106"/>
      <c r="JDP106"/>
      <c r="JDQ106"/>
      <c r="JDR106"/>
      <c r="JDS106"/>
      <c r="JDT106"/>
      <c r="JDU106"/>
      <c r="JDV106"/>
      <c r="JDW106"/>
      <c r="JDX106"/>
      <c r="JDY106"/>
      <c r="JDZ106"/>
      <c r="JEA106"/>
      <c r="JEB106"/>
      <c r="JEC106"/>
      <c r="JED106"/>
      <c r="JEE106"/>
      <c r="JEF106"/>
      <c r="JEG106"/>
      <c r="JEH106"/>
      <c r="JEI106"/>
      <c r="JEJ106"/>
      <c r="JEK106"/>
      <c r="JEL106"/>
      <c r="JEM106"/>
      <c r="JEN106"/>
      <c r="JEO106"/>
      <c r="JEP106"/>
      <c r="JEQ106"/>
      <c r="JER106"/>
      <c r="JES106"/>
      <c r="JET106"/>
      <c r="JEU106"/>
      <c r="JEV106"/>
      <c r="JEW106"/>
      <c r="JEX106"/>
      <c r="JEY106"/>
      <c r="JEZ106"/>
      <c r="JFA106"/>
      <c r="JFB106"/>
      <c r="JFC106"/>
      <c r="JFD106"/>
      <c r="JFE106"/>
      <c r="JFF106"/>
      <c r="JFG106"/>
      <c r="JFH106"/>
      <c r="JFI106"/>
      <c r="JFJ106"/>
      <c r="JFK106"/>
      <c r="JFL106"/>
      <c r="JFM106"/>
      <c r="JFN106"/>
      <c r="JFO106"/>
      <c r="JFP106"/>
      <c r="JFQ106"/>
      <c r="JFR106"/>
      <c r="JFS106"/>
      <c r="JFT106"/>
      <c r="JFU106"/>
      <c r="JFV106"/>
      <c r="JFW106"/>
      <c r="JFX106"/>
      <c r="JFY106"/>
      <c r="JFZ106"/>
      <c r="JGA106"/>
      <c r="JGB106"/>
      <c r="JGC106"/>
      <c r="JGD106"/>
      <c r="JGE106"/>
      <c r="JGF106"/>
      <c r="JGG106"/>
      <c r="JGH106"/>
      <c r="JGI106"/>
      <c r="JGJ106"/>
      <c r="JGK106"/>
      <c r="JGL106"/>
      <c r="JGM106"/>
      <c r="JGN106"/>
      <c r="JGO106"/>
      <c r="JGP106"/>
      <c r="JGQ106"/>
      <c r="JGR106"/>
      <c r="JGS106"/>
      <c r="JGT106"/>
      <c r="JGU106"/>
      <c r="JGV106"/>
      <c r="JGW106"/>
      <c r="JGX106"/>
      <c r="JGY106"/>
      <c r="JGZ106"/>
      <c r="JHA106"/>
      <c r="JHB106"/>
      <c r="JHC106"/>
      <c r="JHD106"/>
      <c r="JHE106"/>
      <c r="JHF106"/>
      <c r="JHG106"/>
      <c r="JHH106"/>
      <c r="JHI106"/>
      <c r="JHJ106"/>
      <c r="JHK106"/>
      <c r="JHL106"/>
      <c r="JHM106"/>
      <c r="JHN106"/>
      <c r="JHO106"/>
      <c r="JHP106"/>
      <c r="JHQ106"/>
      <c r="JHR106"/>
      <c r="JHS106"/>
      <c r="JHT106"/>
      <c r="JHU106"/>
      <c r="JHV106"/>
      <c r="JHW106"/>
      <c r="JHX106"/>
      <c r="JHY106"/>
      <c r="JHZ106"/>
      <c r="JIA106"/>
      <c r="JIB106"/>
      <c r="JIC106"/>
      <c r="JID106"/>
      <c r="JIE106"/>
      <c r="JIF106"/>
      <c r="JIG106"/>
      <c r="JIH106"/>
      <c r="JII106"/>
      <c r="JIJ106"/>
      <c r="JIK106"/>
      <c r="JIL106"/>
      <c r="JIM106"/>
      <c r="JIN106"/>
      <c r="JIO106"/>
      <c r="JIP106"/>
      <c r="JIQ106"/>
      <c r="JIR106"/>
      <c r="JIS106"/>
      <c r="JIT106"/>
      <c r="JIU106"/>
      <c r="JIV106"/>
      <c r="JIW106"/>
      <c r="JIX106"/>
      <c r="JIY106"/>
      <c r="JIZ106"/>
      <c r="JJA106"/>
      <c r="JJB106"/>
      <c r="JJC106"/>
      <c r="JJD106"/>
      <c r="JJE106"/>
      <c r="JJF106"/>
      <c r="JJG106"/>
      <c r="JJH106"/>
      <c r="JJI106"/>
      <c r="JJJ106"/>
      <c r="JJK106"/>
      <c r="JJL106"/>
      <c r="JJM106"/>
      <c r="JJN106"/>
      <c r="JJO106"/>
      <c r="JJP106"/>
      <c r="JJQ106"/>
      <c r="JJR106"/>
      <c r="JJS106"/>
      <c r="JJT106"/>
      <c r="JJU106"/>
      <c r="JJV106"/>
      <c r="JJW106"/>
      <c r="JJX106"/>
      <c r="JJY106"/>
      <c r="JJZ106"/>
      <c r="JKA106"/>
      <c r="JKB106"/>
      <c r="JKC106"/>
      <c r="JKD106"/>
      <c r="JKE106"/>
      <c r="JKF106"/>
      <c r="JKG106"/>
      <c r="JKH106"/>
      <c r="JKI106"/>
      <c r="JKJ106"/>
      <c r="JKK106"/>
      <c r="JKL106"/>
      <c r="JKM106"/>
      <c r="JKN106"/>
      <c r="JKO106"/>
      <c r="JKP106"/>
      <c r="JKQ106"/>
      <c r="JKR106"/>
      <c r="JKS106"/>
      <c r="JKT106"/>
      <c r="JKU106"/>
      <c r="JKV106"/>
      <c r="JKW106"/>
      <c r="JKX106"/>
      <c r="JKY106"/>
      <c r="JKZ106"/>
      <c r="JLA106"/>
      <c r="JLB106"/>
      <c r="JLC106"/>
      <c r="JLD106"/>
      <c r="JLE106"/>
      <c r="JLF106"/>
      <c r="JLG106"/>
      <c r="JLH106"/>
      <c r="JLI106"/>
      <c r="JLJ106"/>
      <c r="JLK106"/>
      <c r="JLL106"/>
      <c r="JLM106"/>
      <c r="JLN106"/>
      <c r="JLO106"/>
      <c r="JLP106"/>
      <c r="JLQ106"/>
      <c r="JLR106"/>
      <c r="JLS106"/>
      <c r="JLT106"/>
      <c r="JLU106"/>
      <c r="JLV106"/>
      <c r="JLW106"/>
      <c r="JLX106"/>
      <c r="JLY106"/>
      <c r="JLZ106"/>
      <c r="JMA106"/>
      <c r="JMB106"/>
      <c r="JMC106"/>
      <c r="JMD106"/>
      <c r="JME106"/>
      <c r="JMF106"/>
      <c r="JMG106"/>
      <c r="JMH106"/>
      <c r="JMI106"/>
      <c r="JMJ106"/>
      <c r="JMK106"/>
      <c r="JML106"/>
      <c r="JMM106"/>
      <c r="JMN106"/>
      <c r="JMO106"/>
      <c r="JMP106"/>
      <c r="JMQ106"/>
      <c r="JMR106"/>
      <c r="JMS106"/>
      <c r="JMT106"/>
      <c r="JMU106"/>
      <c r="JMV106"/>
      <c r="JMW106"/>
      <c r="JMX106"/>
      <c r="JMY106"/>
      <c r="JMZ106"/>
      <c r="JNA106"/>
      <c r="JNB106"/>
      <c r="JNC106"/>
      <c r="JND106"/>
      <c r="JNE106"/>
      <c r="JNF106"/>
      <c r="JNG106"/>
      <c r="JNH106"/>
      <c r="JNI106"/>
      <c r="JNJ106"/>
      <c r="JNK106"/>
      <c r="JNL106"/>
      <c r="JNM106"/>
      <c r="JNN106"/>
      <c r="JNO106"/>
      <c r="JNP106"/>
      <c r="JNQ106"/>
      <c r="JNR106"/>
      <c r="JNS106"/>
      <c r="JNT106"/>
      <c r="JNU106"/>
      <c r="JNV106"/>
      <c r="JNW106"/>
      <c r="JNX106"/>
      <c r="JNY106"/>
      <c r="JNZ106"/>
      <c r="JOA106"/>
      <c r="JOB106"/>
      <c r="JOC106"/>
      <c r="JOD106"/>
      <c r="JOE106"/>
      <c r="JOF106"/>
      <c r="JOG106"/>
      <c r="JOH106"/>
      <c r="JOI106"/>
      <c r="JOJ106"/>
      <c r="JOK106"/>
      <c r="JOL106"/>
      <c r="JOM106"/>
      <c r="JON106"/>
      <c r="JOO106"/>
      <c r="JOP106"/>
      <c r="JOQ106"/>
      <c r="JOR106"/>
      <c r="JOS106"/>
      <c r="JOT106"/>
      <c r="JOU106"/>
      <c r="JOV106"/>
      <c r="JOW106"/>
      <c r="JOX106"/>
      <c r="JOY106"/>
      <c r="JOZ106"/>
      <c r="JPA106"/>
      <c r="JPB106"/>
      <c r="JPC106"/>
      <c r="JPD106"/>
      <c r="JPE106"/>
      <c r="JPF106"/>
      <c r="JPG106"/>
      <c r="JPH106"/>
      <c r="JPI106"/>
      <c r="JPJ106"/>
      <c r="JPK106"/>
      <c r="JPL106"/>
      <c r="JPM106"/>
      <c r="JPN106"/>
      <c r="JPO106"/>
      <c r="JPP106"/>
      <c r="JPQ106"/>
      <c r="JPR106"/>
      <c r="JPS106"/>
      <c r="JPT106"/>
      <c r="JPU106"/>
      <c r="JPV106"/>
      <c r="JPW106"/>
      <c r="JPX106"/>
      <c r="JPY106"/>
      <c r="JPZ106"/>
      <c r="JQA106"/>
      <c r="JQB106"/>
      <c r="JQC106"/>
      <c r="JQD106"/>
      <c r="JQE106"/>
      <c r="JQF106"/>
      <c r="JQG106"/>
      <c r="JQH106"/>
      <c r="JQI106"/>
      <c r="JQJ106"/>
      <c r="JQK106"/>
      <c r="JQL106"/>
      <c r="JQM106"/>
      <c r="JQN106"/>
      <c r="JQO106"/>
      <c r="JQP106"/>
      <c r="JQQ106"/>
      <c r="JQR106"/>
      <c r="JQS106"/>
      <c r="JQT106"/>
      <c r="JQU106"/>
      <c r="JQV106"/>
      <c r="JQW106"/>
      <c r="JQX106"/>
      <c r="JQY106"/>
      <c r="JQZ106"/>
      <c r="JRA106"/>
      <c r="JRB106"/>
      <c r="JRC106"/>
      <c r="JRD106"/>
      <c r="JRE106"/>
      <c r="JRF106"/>
      <c r="JRG106"/>
      <c r="JRH106"/>
      <c r="JRI106"/>
      <c r="JRJ106"/>
      <c r="JRK106"/>
      <c r="JRL106"/>
      <c r="JRM106"/>
      <c r="JRN106"/>
      <c r="JRO106"/>
      <c r="JRP106"/>
      <c r="JRQ106"/>
      <c r="JRR106"/>
      <c r="JRS106"/>
      <c r="JRT106"/>
      <c r="JRU106"/>
      <c r="JRV106"/>
      <c r="JRW106"/>
      <c r="JRX106"/>
      <c r="JRY106"/>
      <c r="JRZ106"/>
      <c r="JSA106"/>
      <c r="JSB106"/>
      <c r="JSC106"/>
      <c r="JSD106"/>
      <c r="JSE106"/>
      <c r="JSF106"/>
      <c r="JSG106"/>
      <c r="JSH106"/>
      <c r="JSI106"/>
      <c r="JSJ106"/>
      <c r="JSK106"/>
      <c r="JSL106"/>
      <c r="JSM106"/>
      <c r="JSN106"/>
      <c r="JSO106"/>
      <c r="JSP106"/>
      <c r="JSQ106"/>
      <c r="JSR106"/>
      <c r="JSS106"/>
      <c r="JST106"/>
      <c r="JSU106"/>
      <c r="JSV106"/>
      <c r="JSW106"/>
      <c r="JSX106"/>
      <c r="JSY106"/>
      <c r="JSZ106"/>
      <c r="JTA106"/>
      <c r="JTB106"/>
      <c r="JTC106"/>
      <c r="JTD106"/>
      <c r="JTE106"/>
      <c r="JTF106"/>
      <c r="JTG106"/>
      <c r="JTH106"/>
      <c r="JTI106"/>
      <c r="JTJ106"/>
      <c r="JTK106"/>
      <c r="JTL106"/>
      <c r="JTM106"/>
      <c r="JTN106"/>
      <c r="JTO106"/>
      <c r="JTP106"/>
      <c r="JTQ106"/>
      <c r="JTR106"/>
      <c r="JTS106"/>
      <c r="JTT106"/>
      <c r="JTU106"/>
      <c r="JTV106"/>
      <c r="JTW106"/>
      <c r="JTX106"/>
      <c r="JTY106"/>
      <c r="JTZ106"/>
      <c r="JUA106"/>
      <c r="JUB106"/>
      <c r="JUC106"/>
      <c r="JUD106"/>
      <c r="JUE106"/>
      <c r="JUF106"/>
      <c r="JUG106"/>
      <c r="JUH106"/>
      <c r="JUI106"/>
      <c r="JUJ106"/>
      <c r="JUK106"/>
      <c r="JUL106"/>
      <c r="JUM106"/>
      <c r="JUN106"/>
      <c r="JUO106"/>
      <c r="JUP106"/>
      <c r="JUQ106"/>
      <c r="JUR106"/>
      <c r="JUS106"/>
      <c r="JUT106"/>
      <c r="JUU106"/>
      <c r="JUV106"/>
      <c r="JUW106"/>
      <c r="JUX106"/>
      <c r="JUY106"/>
      <c r="JUZ106"/>
      <c r="JVA106"/>
      <c r="JVB106"/>
      <c r="JVC106"/>
      <c r="JVD106"/>
      <c r="JVE106"/>
      <c r="JVF106"/>
      <c r="JVG106"/>
      <c r="JVH106"/>
      <c r="JVI106"/>
      <c r="JVJ106"/>
      <c r="JVK106"/>
      <c r="JVL106"/>
      <c r="JVM106"/>
      <c r="JVN106"/>
      <c r="JVO106"/>
      <c r="JVP106"/>
      <c r="JVQ106"/>
      <c r="JVR106"/>
      <c r="JVS106"/>
      <c r="JVT106"/>
      <c r="JVU106"/>
      <c r="JVV106"/>
      <c r="JVW106"/>
      <c r="JVX106"/>
      <c r="JVY106"/>
      <c r="JVZ106"/>
      <c r="JWA106"/>
      <c r="JWB106"/>
      <c r="JWC106"/>
      <c r="JWD106"/>
      <c r="JWE106"/>
      <c r="JWF106"/>
      <c r="JWG106"/>
      <c r="JWH106"/>
      <c r="JWI106"/>
      <c r="JWJ106"/>
      <c r="JWK106"/>
      <c r="JWL106"/>
      <c r="JWM106"/>
      <c r="JWN106"/>
      <c r="JWO106"/>
      <c r="JWP106"/>
      <c r="JWQ106"/>
      <c r="JWR106"/>
      <c r="JWS106"/>
      <c r="JWT106"/>
      <c r="JWU106"/>
      <c r="JWV106"/>
      <c r="JWW106"/>
      <c r="JWX106"/>
      <c r="JWY106"/>
      <c r="JWZ106"/>
      <c r="JXA106"/>
      <c r="JXB106"/>
      <c r="JXC106"/>
      <c r="JXD106"/>
      <c r="JXE106"/>
      <c r="JXF106"/>
      <c r="JXG106"/>
      <c r="JXH106"/>
      <c r="JXI106"/>
      <c r="JXJ106"/>
      <c r="JXK106"/>
      <c r="JXL106"/>
      <c r="JXM106"/>
      <c r="JXN106"/>
      <c r="JXO106"/>
      <c r="JXP106"/>
      <c r="JXQ106"/>
      <c r="JXR106"/>
      <c r="JXS106"/>
      <c r="JXT106"/>
      <c r="JXU106"/>
      <c r="JXV106"/>
      <c r="JXW106"/>
      <c r="JXX106"/>
      <c r="JXY106"/>
      <c r="JXZ106"/>
      <c r="JYA106"/>
      <c r="JYB106"/>
      <c r="JYC106"/>
      <c r="JYD106"/>
      <c r="JYE106"/>
      <c r="JYF106"/>
      <c r="JYG106"/>
      <c r="JYH106"/>
      <c r="JYI106"/>
      <c r="JYJ106"/>
      <c r="JYK106"/>
      <c r="JYL106"/>
      <c r="JYM106"/>
      <c r="JYN106"/>
      <c r="JYO106"/>
      <c r="JYP106"/>
      <c r="JYQ106"/>
      <c r="JYR106"/>
      <c r="JYS106"/>
      <c r="JYT106"/>
      <c r="JYU106"/>
      <c r="JYV106"/>
      <c r="JYW106"/>
      <c r="JYX106"/>
      <c r="JYY106"/>
      <c r="JYZ106"/>
      <c r="JZA106"/>
      <c r="JZB106"/>
      <c r="JZC106"/>
      <c r="JZD106"/>
      <c r="JZE106"/>
      <c r="JZF106"/>
      <c r="JZG106"/>
      <c r="JZH106"/>
      <c r="JZI106"/>
      <c r="JZJ106"/>
      <c r="JZK106"/>
      <c r="JZL106"/>
      <c r="JZM106"/>
      <c r="JZN106"/>
      <c r="JZO106"/>
      <c r="JZP106"/>
      <c r="JZQ106"/>
      <c r="JZR106"/>
      <c r="JZS106"/>
      <c r="JZT106"/>
      <c r="JZU106"/>
      <c r="JZV106"/>
      <c r="JZW106"/>
      <c r="JZX106"/>
      <c r="JZY106"/>
      <c r="JZZ106"/>
      <c r="KAA106"/>
      <c r="KAB106"/>
      <c r="KAC106"/>
      <c r="KAD106"/>
      <c r="KAE106"/>
      <c r="KAF106"/>
      <c r="KAG106"/>
      <c r="KAH106"/>
      <c r="KAI106"/>
      <c r="KAJ106"/>
      <c r="KAK106"/>
      <c r="KAL106"/>
      <c r="KAM106"/>
      <c r="KAN106"/>
      <c r="KAO106"/>
      <c r="KAP106"/>
      <c r="KAQ106"/>
      <c r="KAR106"/>
      <c r="KAS106"/>
      <c r="KAT106"/>
      <c r="KAU106"/>
      <c r="KAV106"/>
      <c r="KAW106"/>
      <c r="KAX106"/>
      <c r="KAY106"/>
      <c r="KAZ106"/>
      <c r="KBA106"/>
      <c r="KBB106"/>
      <c r="KBC106"/>
      <c r="KBD106"/>
      <c r="KBE106"/>
      <c r="KBF106"/>
      <c r="KBG106"/>
      <c r="KBH106"/>
      <c r="KBI106"/>
      <c r="KBJ106"/>
      <c r="KBK106"/>
      <c r="KBL106"/>
      <c r="KBM106"/>
      <c r="KBN106"/>
      <c r="KBO106"/>
      <c r="KBP106"/>
      <c r="KBQ106"/>
      <c r="KBR106"/>
      <c r="KBS106"/>
      <c r="KBT106"/>
      <c r="KBU106"/>
      <c r="KBV106"/>
      <c r="KBW106"/>
      <c r="KBX106"/>
      <c r="KBY106"/>
      <c r="KBZ106"/>
      <c r="KCA106"/>
      <c r="KCB106"/>
      <c r="KCC106"/>
      <c r="KCD106"/>
      <c r="KCE106"/>
      <c r="KCF106"/>
      <c r="KCG106"/>
      <c r="KCH106"/>
      <c r="KCI106"/>
      <c r="KCJ106"/>
      <c r="KCK106"/>
      <c r="KCL106"/>
      <c r="KCM106"/>
      <c r="KCN106"/>
      <c r="KCO106"/>
      <c r="KCP106"/>
      <c r="KCQ106"/>
      <c r="KCR106"/>
      <c r="KCS106"/>
      <c r="KCT106"/>
      <c r="KCU106"/>
      <c r="KCV106"/>
      <c r="KCW106"/>
      <c r="KCX106"/>
      <c r="KCY106"/>
      <c r="KCZ106"/>
      <c r="KDA106"/>
      <c r="KDB106"/>
      <c r="KDC106"/>
      <c r="KDD106"/>
      <c r="KDE106"/>
      <c r="KDF106"/>
      <c r="KDG106"/>
      <c r="KDH106"/>
      <c r="KDI106"/>
      <c r="KDJ106"/>
      <c r="KDK106"/>
      <c r="KDL106"/>
      <c r="KDM106"/>
      <c r="KDN106"/>
      <c r="KDO106"/>
      <c r="KDP106"/>
      <c r="KDQ106"/>
      <c r="KDR106"/>
      <c r="KDS106"/>
      <c r="KDT106"/>
      <c r="KDU106"/>
      <c r="KDV106"/>
      <c r="KDW106"/>
      <c r="KDX106"/>
      <c r="KDY106"/>
      <c r="KDZ106"/>
      <c r="KEA106"/>
      <c r="KEB106"/>
      <c r="KEC106"/>
      <c r="KED106"/>
      <c r="KEE106"/>
      <c r="KEF106"/>
      <c r="KEG106"/>
      <c r="KEH106"/>
      <c r="KEI106"/>
      <c r="KEJ106"/>
      <c r="KEK106"/>
      <c r="KEL106"/>
      <c r="KEM106"/>
      <c r="KEN106"/>
      <c r="KEO106"/>
      <c r="KEP106"/>
      <c r="KEQ106"/>
      <c r="KER106"/>
      <c r="KES106"/>
      <c r="KET106"/>
      <c r="KEU106"/>
      <c r="KEV106"/>
      <c r="KEW106"/>
      <c r="KEX106"/>
      <c r="KEY106"/>
      <c r="KEZ106"/>
      <c r="KFA106"/>
      <c r="KFB106"/>
      <c r="KFC106"/>
      <c r="KFD106"/>
      <c r="KFE106"/>
      <c r="KFF106"/>
      <c r="KFG106"/>
      <c r="KFH106"/>
      <c r="KFI106"/>
      <c r="KFJ106"/>
      <c r="KFK106"/>
      <c r="KFL106"/>
      <c r="KFM106"/>
      <c r="KFN106"/>
      <c r="KFO106"/>
      <c r="KFP106"/>
      <c r="KFQ106"/>
      <c r="KFR106"/>
      <c r="KFS106"/>
      <c r="KFT106"/>
      <c r="KFU106"/>
      <c r="KFV106"/>
      <c r="KFW106"/>
      <c r="KFX106"/>
      <c r="KFY106"/>
      <c r="KFZ106"/>
      <c r="KGA106"/>
      <c r="KGB106"/>
      <c r="KGC106"/>
      <c r="KGD106"/>
      <c r="KGE106"/>
      <c r="KGF106"/>
      <c r="KGG106"/>
      <c r="KGH106"/>
      <c r="KGI106"/>
      <c r="KGJ106"/>
      <c r="KGK106"/>
      <c r="KGL106"/>
      <c r="KGM106"/>
      <c r="KGN106"/>
      <c r="KGO106"/>
      <c r="KGP106"/>
      <c r="KGQ106"/>
      <c r="KGR106"/>
      <c r="KGS106"/>
      <c r="KGT106"/>
      <c r="KGU106"/>
      <c r="KGV106"/>
      <c r="KGW106"/>
      <c r="KGX106"/>
      <c r="KGY106"/>
      <c r="KGZ106"/>
      <c r="KHA106"/>
      <c r="KHB106"/>
      <c r="KHC106"/>
      <c r="KHD106"/>
      <c r="KHE106"/>
      <c r="KHF106"/>
      <c r="KHG106"/>
      <c r="KHH106"/>
      <c r="KHI106"/>
      <c r="KHJ106"/>
      <c r="KHK106"/>
      <c r="KHL106"/>
      <c r="KHM106"/>
      <c r="KHN106"/>
      <c r="KHO106"/>
      <c r="KHP106"/>
      <c r="KHQ106"/>
      <c r="KHR106"/>
      <c r="KHS106"/>
      <c r="KHT106"/>
      <c r="KHU106"/>
      <c r="KHV106"/>
      <c r="KHW106"/>
      <c r="KHX106"/>
      <c r="KHY106"/>
      <c r="KHZ106"/>
      <c r="KIA106"/>
      <c r="KIB106"/>
      <c r="KIC106"/>
      <c r="KID106"/>
      <c r="KIE106"/>
      <c r="KIF106"/>
      <c r="KIG106"/>
      <c r="KIH106"/>
      <c r="KII106"/>
      <c r="KIJ106"/>
      <c r="KIK106"/>
      <c r="KIL106"/>
      <c r="KIM106"/>
      <c r="KIN106"/>
      <c r="KIO106"/>
      <c r="KIP106"/>
      <c r="KIQ106"/>
      <c r="KIR106"/>
      <c r="KIS106"/>
      <c r="KIT106"/>
      <c r="KIU106"/>
      <c r="KIV106"/>
      <c r="KIW106"/>
      <c r="KIX106"/>
      <c r="KIY106"/>
      <c r="KIZ106"/>
      <c r="KJA106"/>
      <c r="KJB106"/>
      <c r="KJC106"/>
      <c r="KJD106"/>
      <c r="KJE106"/>
      <c r="KJF106"/>
      <c r="KJG106"/>
      <c r="KJH106"/>
      <c r="KJI106"/>
      <c r="KJJ106"/>
      <c r="KJK106"/>
      <c r="KJL106"/>
      <c r="KJM106"/>
      <c r="KJN106"/>
      <c r="KJO106"/>
      <c r="KJP106"/>
      <c r="KJQ106"/>
      <c r="KJR106"/>
      <c r="KJS106"/>
      <c r="KJT106"/>
      <c r="KJU106"/>
      <c r="KJV106"/>
      <c r="KJW106"/>
      <c r="KJX106"/>
      <c r="KJY106"/>
      <c r="KJZ106"/>
      <c r="KKA106"/>
      <c r="KKB106"/>
      <c r="KKC106"/>
      <c r="KKD106"/>
      <c r="KKE106"/>
      <c r="KKF106"/>
      <c r="KKG106"/>
      <c r="KKH106"/>
      <c r="KKI106"/>
      <c r="KKJ106"/>
      <c r="KKK106"/>
      <c r="KKL106"/>
      <c r="KKM106"/>
      <c r="KKN106"/>
      <c r="KKO106"/>
      <c r="KKP106"/>
      <c r="KKQ106"/>
      <c r="KKR106"/>
      <c r="KKS106"/>
      <c r="KKT106"/>
      <c r="KKU106"/>
      <c r="KKV106"/>
      <c r="KKW106"/>
      <c r="KKX106"/>
      <c r="KKY106"/>
      <c r="KKZ106"/>
      <c r="KLA106"/>
      <c r="KLB106"/>
      <c r="KLC106"/>
      <c r="KLD106"/>
      <c r="KLE106"/>
      <c r="KLF106"/>
      <c r="KLG106"/>
      <c r="KLH106"/>
      <c r="KLI106"/>
      <c r="KLJ106"/>
      <c r="KLK106"/>
      <c r="KLL106"/>
      <c r="KLM106"/>
      <c r="KLN106"/>
      <c r="KLO106"/>
      <c r="KLP106"/>
      <c r="KLQ106"/>
      <c r="KLR106"/>
      <c r="KLS106"/>
      <c r="KLT106"/>
      <c r="KLU106"/>
      <c r="KLV106"/>
      <c r="KLW106"/>
      <c r="KLX106"/>
      <c r="KLY106"/>
      <c r="KLZ106"/>
      <c r="KMA106"/>
      <c r="KMB106"/>
      <c r="KMC106"/>
      <c r="KMD106"/>
      <c r="KME106"/>
      <c r="KMF106"/>
      <c r="KMG106"/>
      <c r="KMH106"/>
      <c r="KMI106"/>
      <c r="KMJ106"/>
      <c r="KMK106"/>
      <c r="KML106"/>
      <c r="KMM106"/>
      <c r="KMN106"/>
      <c r="KMO106"/>
      <c r="KMP106"/>
      <c r="KMQ106"/>
      <c r="KMR106"/>
      <c r="KMS106"/>
      <c r="KMT106"/>
      <c r="KMU106"/>
      <c r="KMV106"/>
      <c r="KMW106"/>
      <c r="KMX106"/>
      <c r="KMY106"/>
      <c r="KMZ106"/>
      <c r="KNA106"/>
      <c r="KNB106"/>
      <c r="KNC106"/>
      <c r="KND106"/>
      <c r="KNE106"/>
      <c r="KNF106"/>
      <c r="KNG106"/>
      <c r="KNH106"/>
      <c r="KNI106"/>
      <c r="KNJ106"/>
      <c r="KNK106"/>
      <c r="KNL106"/>
      <c r="KNM106"/>
      <c r="KNN106"/>
      <c r="KNO106"/>
      <c r="KNP106"/>
      <c r="KNQ106"/>
      <c r="KNR106"/>
      <c r="KNS106"/>
      <c r="KNT106"/>
      <c r="KNU106"/>
      <c r="KNV106"/>
      <c r="KNW106"/>
      <c r="KNX106"/>
      <c r="KNY106"/>
      <c r="KNZ106"/>
      <c r="KOA106"/>
      <c r="KOB106"/>
      <c r="KOC106"/>
      <c r="KOD106"/>
      <c r="KOE106"/>
      <c r="KOF106"/>
      <c r="KOG106"/>
      <c r="KOH106"/>
      <c r="KOI106"/>
      <c r="KOJ106"/>
      <c r="KOK106"/>
      <c r="KOL106"/>
      <c r="KOM106"/>
      <c r="KON106"/>
      <c r="KOO106"/>
      <c r="KOP106"/>
      <c r="KOQ106"/>
      <c r="KOR106"/>
      <c r="KOS106"/>
      <c r="KOT106"/>
      <c r="KOU106"/>
      <c r="KOV106"/>
      <c r="KOW106"/>
      <c r="KOX106"/>
      <c r="KOY106"/>
      <c r="KOZ106"/>
      <c r="KPA106"/>
      <c r="KPB106"/>
      <c r="KPC106"/>
      <c r="KPD106"/>
      <c r="KPE106"/>
      <c r="KPF106"/>
      <c r="KPG106"/>
      <c r="KPH106"/>
      <c r="KPI106"/>
      <c r="KPJ106"/>
      <c r="KPK106"/>
      <c r="KPL106"/>
      <c r="KPM106"/>
      <c r="KPN106"/>
      <c r="KPO106"/>
      <c r="KPP106"/>
      <c r="KPQ106"/>
      <c r="KPR106"/>
      <c r="KPS106"/>
      <c r="KPT106"/>
      <c r="KPU106"/>
      <c r="KPV106"/>
      <c r="KPW106"/>
      <c r="KPX106"/>
      <c r="KPY106"/>
      <c r="KPZ106"/>
      <c r="KQA106"/>
      <c r="KQB106"/>
      <c r="KQC106"/>
      <c r="KQD106"/>
      <c r="KQE106"/>
      <c r="KQF106"/>
      <c r="KQG106"/>
      <c r="KQH106"/>
      <c r="KQI106"/>
      <c r="KQJ106"/>
      <c r="KQK106"/>
      <c r="KQL106"/>
      <c r="KQM106"/>
      <c r="KQN106"/>
      <c r="KQO106"/>
      <c r="KQP106"/>
      <c r="KQQ106"/>
      <c r="KQR106"/>
      <c r="KQS106"/>
      <c r="KQT106"/>
      <c r="KQU106"/>
      <c r="KQV106"/>
      <c r="KQW106"/>
      <c r="KQX106"/>
      <c r="KQY106"/>
      <c r="KQZ106"/>
      <c r="KRA106"/>
      <c r="KRB106"/>
      <c r="KRC106"/>
      <c r="KRD106"/>
      <c r="KRE106"/>
      <c r="KRF106"/>
      <c r="KRG106"/>
      <c r="KRH106"/>
      <c r="KRI106"/>
      <c r="KRJ106"/>
      <c r="KRK106"/>
      <c r="KRL106"/>
      <c r="KRM106"/>
      <c r="KRN106"/>
      <c r="KRO106"/>
      <c r="KRP106"/>
      <c r="KRQ106"/>
      <c r="KRR106"/>
      <c r="KRS106"/>
      <c r="KRT106"/>
      <c r="KRU106"/>
      <c r="KRV106"/>
      <c r="KRW106"/>
      <c r="KRX106"/>
      <c r="KRY106"/>
      <c r="KRZ106"/>
      <c r="KSA106"/>
      <c r="KSB106"/>
      <c r="KSC106"/>
      <c r="KSD106"/>
      <c r="KSE106"/>
      <c r="KSF106"/>
      <c r="KSG106"/>
      <c r="KSH106"/>
      <c r="KSI106"/>
      <c r="KSJ106"/>
      <c r="KSK106"/>
      <c r="KSL106"/>
      <c r="KSM106"/>
      <c r="KSN106"/>
      <c r="KSO106"/>
      <c r="KSP106"/>
      <c r="KSQ106"/>
      <c r="KSR106"/>
      <c r="KSS106"/>
      <c r="KST106"/>
      <c r="KSU106"/>
      <c r="KSV106"/>
      <c r="KSW106"/>
      <c r="KSX106"/>
      <c r="KSY106"/>
      <c r="KSZ106"/>
      <c r="KTA106"/>
      <c r="KTB106"/>
      <c r="KTC106"/>
      <c r="KTD106"/>
      <c r="KTE106"/>
      <c r="KTF106"/>
      <c r="KTG106"/>
      <c r="KTH106"/>
      <c r="KTI106"/>
      <c r="KTJ106"/>
      <c r="KTK106"/>
      <c r="KTL106"/>
      <c r="KTM106"/>
      <c r="KTN106"/>
      <c r="KTO106"/>
      <c r="KTP106"/>
      <c r="KTQ106"/>
      <c r="KTR106"/>
      <c r="KTS106"/>
      <c r="KTT106"/>
      <c r="KTU106"/>
      <c r="KTV106"/>
      <c r="KTW106"/>
      <c r="KTX106"/>
      <c r="KTY106"/>
      <c r="KTZ106"/>
      <c r="KUA106"/>
      <c r="KUB106"/>
      <c r="KUC106"/>
      <c r="KUD106"/>
      <c r="KUE106"/>
      <c r="KUF106"/>
      <c r="KUG106"/>
      <c r="KUH106"/>
      <c r="KUI106"/>
      <c r="KUJ106"/>
      <c r="KUK106"/>
      <c r="KUL106"/>
      <c r="KUM106"/>
      <c r="KUN106"/>
      <c r="KUO106"/>
      <c r="KUP106"/>
      <c r="KUQ106"/>
      <c r="KUR106"/>
      <c r="KUS106"/>
      <c r="KUT106"/>
      <c r="KUU106"/>
      <c r="KUV106"/>
      <c r="KUW106"/>
      <c r="KUX106"/>
      <c r="KUY106"/>
      <c r="KUZ106"/>
      <c r="KVA106"/>
      <c r="KVB106"/>
      <c r="KVC106"/>
      <c r="KVD106"/>
      <c r="KVE106"/>
      <c r="KVF106"/>
      <c r="KVG106"/>
      <c r="KVH106"/>
      <c r="KVI106"/>
      <c r="KVJ106"/>
      <c r="KVK106"/>
      <c r="KVL106"/>
      <c r="KVM106"/>
      <c r="KVN106"/>
      <c r="KVO106"/>
      <c r="KVP106"/>
      <c r="KVQ106"/>
      <c r="KVR106"/>
      <c r="KVS106"/>
      <c r="KVT106"/>
      <c r="KVU106"/>
      <c r="KVV106"/>
      <c r="KVW106"/>
      <c r="KVX106"/>
      <c r="KVY106"/>
      <c r="KVZ106"/>
      <c r="KWA106"/>
      <c r="KWB106"/>
      <c r="KWC106"/>
      <c r="KWD106"/>
      <c r="KWE106"/>
      <c r="KWF106"/>
      <c r="KWG106"/>
      <c r="KWH106"/>
      <c r="KWI106"/>
      <c r="KWJ106"/>
      <c r="KWK106"/>
      <c r="KWL106"/>
      <c r="KWM106"/>
      <c r="KWN106"/>
      <c r="KWO106"/>
      <c r="KWP106"/>
      <c r="KWQ106"/>
      <c r="KWR106"/>
      <c r="KWS106"/>
      <c r="KWT106"/>
      <c r="KWU106"/>
      <c r="KWV106"/>
      <c r="KWW106"/>
      <c r="KWX106"/>
      <c r="KWY106"/>
      <c r="KWZ106"/>
      <c r="KXA106"/>
      <c r="KXB106"/>
      <c r="KXC106"/>
      <c r="KXD106"/>
      <c r="KXE106"/>
      <c r="KXF106"/>
      <c r="KXG106"/>
      <c r="KXH106"/>
      <c r="KXI106"/>
      <c r="KXJ106"/>
      <c r="KXK106"/>
      <c r="KXL106"/>
      <c r="KXM106"/>
      <c r="KXN106"/>
      <c r="KXO106"/>
      <c r="KXP106"/>
      <c r="KXQ106"/>
      <c r="KXR106"/>
      <c r="KXS106"/>
      <c r="KXT106"/>
      <c r="KXU106"/>
      <c r="KXV106"/>
      <c r="KXW106"/>
      <c r="KXX106"/>
      <c r="KXY106"/>
      <c r="KXZ106"/>
      <c r="KYA106"/>
      <c r="KYB106"/>
      <c r="KYC106"/>
      <c r="KYD106"/>
      <c r="KYE106"/>
      <c r="KYF106"/>
      <c r="KYG106"/>
      <c r="KYH106"/>
      <c r="KYI106"/>
      <c r="KYJ106"/>
      <c r="KYK106"/>
      <c r="KYL106"/>
      <c r="KYM106"/>
      <c r="KYN106"/>
      <c r="KYO106"/>
      <c r="KYP106"/>
      <c r="KYQ106"/>
      <c r="KYR106"/>
      <c r="KYS106"/>
      <c r="KYT106"/>
      <c r="KYU106"/>
      <c r="KYV106"/>
      <c r="KYW106"/>
      <c r="KYX106"/>
      <c r="KYY106"/>
      <c r="KYZ106"/>
      <c r="KZA106"/>
      <c r="KZB106"/>
      <c r="KZC106"/>
      <c r="KZD106"/>
      <c r="KZE106"/>
      <c r="KZF106"/>
      <c r="KZG106"/>
      <c r="KZH106"/>
      <c r="KZI106"/>
      <c r="KZJ106"/>
      <c r="KZK106"/>
      <c r="KZL106"/>
      <c r="KZM106"/>
      <c r="KZN106"/>
      <c r="KZO106"/>
      <c r="KZP106"/>
      <c r="KZQ106"/>
      <c r="KZR106"/>
      <c r="KZS106"/>
      <c r="KZT106"/>
      <c r="KZU106"/>
      <c r="KZV106"/>
      <c r="KZW106"/>
      <c r="KZX106"/>
      <c r="KZY106"/>
      <c r="KZZ106"/>
      <c r="LAA106"/>
      <c r="LAB106"/>
      <c r="LAC106"/>
      <c r="LAD106"/>
      <c r="LAE106"/>
      <c r="LAF106"/>
      <c r="LAG106"/>
      <c r="LAH106"/>
      <c r="LAI106"/>
      <c r="LAJ106"/>
      <c r="LAK106"/>
      <c r="LAL106"/>
      <c r="LAM106"/>
      <c r="LAN106"/>
      <c r="LAO106"/>
      <c r="LAP106"/>
      <c r="LAQ106"/>
      <c r="LAR106"/>
      <c r="LAS106"/>
      <c r="LAT106"/>
      <c r="LAU106"/>
      <c r="LAV106"/>
      <c r="LAW106"/>
      <c r="LAX106"/>
      <c r="LAY106"/>
      <c r="LAZ106"/>
      <c r="LBA106"/>
      <c r="LBB106"/>
      <c r="LBC106"/>
      <c r="LBD106"/>
      <c r="LBE106"/>
      <c r="LBF106"/>
      <c r="LBG106"/>
      <c r="LBH106"/>
      <c r="LBI106"/>
      <c r="LBJ106"/>
      <c r="LBK106"/>
      <c r="LBL106"/>
      <c r="LBM106"/>
      <c r="LBN106"/>
      <c r="LBO106"/>
      <c r="LBP106"/>
      <c r="LBQ106"/>
      <c r="LBR106"/>
      <c r="LBS106"/>
      <c r="LBT106"/>
      <c r="LBU106"/>
      <c r="LBV106"/>
      <c r="LBW106"/>
      <c r="LBX106"/>
      <c r="LBY106"/>
      <c r="LBZ106"/>
      <c r="LCA106"/>
      <c r="LCB106"/>
      <c r="LCC106"/>
      <c r="LCD106"/>
      <c r="LCE106"/>
      <c r="LCF106"/>
      <c r="LCG106"/>
      <c r="LCH106"/>
      <c r="LCI106"/>
      <c r="LCJ106"/>
      <c r="LCK106"/>
      <c r="LCL106"/>
      <c r="LCM106"/>
      <c r="LCN106"/>
      <c r="LCO106"/>
      <c r="LCP106"/>
      <c r="LCQ106"/>
      <c r="LCR106"/>
      <c r="LCS106"/>
      <c r="LCT106"/>
      <c r="LCU106"/>
      <c r="LCV106"/>
      <c r="LCW106"/>
      <c r="LCX106"/>
      <c r="LCY106"/>
      <c r="LCZ106"/>
      <c r="LDA106"/>
      <c r="LDB106"/>
      <c r="LDC106"/>
      <c r="LDD106"/>
      <c r="LDE106"/>
      <c r="LDF106"/>
      <c r="LDG106"/>
      <c r="LDH106"/>
      <c r="LDI106"/>
      <c r="LDJ106"/>
      <c r="LDK106"/>
      <c r="LDL106"/>
      <c r="LDM106"/>
      <c r="LDN106"/>
      <c r="LDO106"/>
      <c r="LDP106"/>
      <c r="LDQ106"/>
      <c r="LDR106"/>
      <c r="LDS106"/>
      <c r="LDT106"/>
      <c r="LDU106"/>
      <c r="LDV106"/>
      <c r="LDW106"/>
      <c r="LDX106"/>
      <c r="LDY106"/>
      <c r="LDZ106"/>
      <c r="LEA106"/>
      <c r="LEB106"/>
      <c r="LEC106"/>
      <c r="LED106"/>
      <c r="LEE106"/>
      <c r="LEF106"/>
      <c r="LEG106"/>
      <c r="LEH106"/>
      <c r="LEI106"/>
      <c r="LEJ106"/>
      <c r="LEK106"/>
      <c r="LEL106"/>
      <c r="LEM106"/>
      <c r="LEN106"/>
      <c r="LEO106"/>
      <c r="LEP106"/>
      <c r="LEQ106"/>
      <c r="LER106"/>
      <c r="LES106"/>
      <c r="LET106"/>
      <c r="LEU106"/>
      <c r="LEV106"/>
      <c r="LEW106"/>
      <c r="LEX106"/>
      <c r="LEY106"/>
      <c r="LEZ106"/>
      <c r="LFA106"/>
      <c r="LFB106"/>
      <c r="LFC106"/>
      <c r="LFD106"/>
      <c r="LFE106"/>
      <c r="LFF106"/>
      <c r="LFG106"/>
      <c r="LFH106"/>
      <c r="LFI106"/>
      <c r="LFJ106"/>
      <c r="LFK106"/>
      <c r="LFL106"/>
      <c r="LFM106"/>
      <c r="LFN106"/>
      <c r="LFO106"/>
      <c r="LFP106"/>
      <c r="LFQ106"/>
      <c r="LFR106"/>
      <c r="LFS106"/>
      <c r="LFT106"/>
      <c r="LFU106"/>
      <c r="LFV106"/>
      <c r="LFW106"/>
      <c r="LFX106"/>
      <c r="LFY106"/>
      <c r="LFZ106"/>
      <c r="LGA106"/>
      <c r="LGB106"/>
      <c r="LGC106"/>
      <c r="LGD106"/>
      <c r="LGE106"/>
      <c r="LGF106"/>
      <c r="LGG106"/>
      <c r="LGH106"/>
      <c r="LGI106"/>
      <c r="LGJ106"/>
      <c r="LGK106"/>
      <c r="LGL106"/>
      <c r="LGM106"/>
      <c r="LGN106"/>
      <c r="LGO106"/>
      <c r="LGP106"/>
      <c r="LGQ106"/>
      <c r="LGR106"/>
      <c r="LGS106"/>
      <c r="LGT106"/>
      <c r="LGU106"/>
      <c r="LGV106"/>
      <c r="LGW106"/>
      <c r="LGX106"/>
      <c r="LGY106"/>
      <c r="LGZ106"/>
      <c r="LHA106"/>
      <c r="LHB106"/>
      <c r="LHC106"/>
      <c r="LHD106"/>
      <c r="LHE106"/>
      <c r="LHF106"/>
      <c r="LHG106"/>
      <c r="LHH106"/>
      <c r="LHI106"/>
      <c r="LHJ106"/>
      <c r="LHK106"/>
      <c r="LHL106"/>
      <c r="LHM106"/>
      <c r="LHN106"/>
      <c r="LHO106"/>
      <c r="LHP106"/>
      <c r="LHQ106"/>
      <c r="LHR106"/>
      <c r="LHS106"/>
      <c r="LHT106"/>
      <c r="LHU106"/>
      <c r="LHV106"/>
      <c r="LHW106"/>
      <c r="LHX106"/>
      <c r="LHY106"/>
      <c r="LHZ106"/>
      <c r="LIA106"/>
      <c r="LIB106"/>
      <c r="LIC106"/>
      <c r="LID106"/>
      <c r="LIE106"/>
      <c r="LIF106"/>
      <c r="LIG106"/>
      <c r="LIH106"/>
      <c r="LII106"/>
      <c r="LIJ106"/>
      <c r="LIK106"/>
      <c r="LIL106"/>
      <c r="LIM106"/>
      <c r="LIN106"/>
      <c r="LIO106"/>
      <c r="LIP106"/>
      <c r="LIQ106"/>
      <c r="LIR106"/>
      <c r="LIS106"/>
      <c r="LIT106"/>
      <c r="LIU106"/>
      <c r="LIV106"/>
      <c r="LIW106"/>
      <c r="LIX106"/>
      <c r="LIY106"/>
      <c r="LIZ106"/>
      <c r="LJA106"/>
      <c r="LJB106"/>
      <c r="LJC106"/>
      <c r="LJD106"/>
      <c r="LJE106"/>
      <c r="LJF106"/>
      <c r="LJG106"/>
      <c r="LJH106"/>
      <c r="LJI106"/>
      <c r="LJJ106"/>
      <c r="LJK106"/>
      <c r="LJL106"/>
      <c r="LJM106"/>
      <c r="LJN106"/>
      <c r="LJO106"/>
      <c r="LJP106"/>
      <c r="LJQ106"/>
      <c r="LJR106"/>
      <c r="LJS106"/>
      <c r="LJT106"/>
      <c r="LJU106"/>
      <c r="LJV106"/>
      <c r="LJW106"/>
      <c r="LJX106"/>
      <c r="LJY106"/>
      <c r="LJZ106"/>
      <c r="LKA106"/>
      <c r="LKB106"/>
      <c r="LKC106"/>
      <c r="LKD106"/>
      <c r="LKE106"/>
      <c r="LKF106"/>
      <c r="LKG106"/>
      <c r="LKH106"/>
      <c r="LKI106"/>
      <c r="LKJ106"/>
      <c r="LKK106"/>
      <c r="LKL106"/>
      <c r="LKM106"/>
      <c r="LKN106"/>
      <c r="LKO106"/>
      <c r="LKP106"/>
      <c r="LKQ106"/>
      <c r="LKR106"/>
      <c r="LKS106"/>
      <c r="LKT106"/>
      <c r="LKU106"/>
      <c r="LKV106"/>
      <c r="LKW106"/>
      <c r="LKX106"/>
      <c r="LKY106"/>
      <c r="LKZ106"/>
      <c r="LLA106"/>
      <c r="LLB106"/>
      <c r="LLC106"/>
      <c r="LLD106"/>
      <c r="LLE106"/>
      <c r="LLF106"/>
      <c r="LLG106"/>
      <c r="LLH106"/>
      <c r="LLI106"/>
      <c r="LLJ106"/>
      <c r="LLK106"/>
      <c r="LLL106"/>
      <c r="LLM106"/>
      <c r="LLN106"/>
      <c r="LLO106"/>
      <c r="LLP106"/>
      <c r="LLQ106"/>
      <c r="LLR106"/>
      <c r="LLS106"/>
      <c r="LLT106"/>
      <c r="LLU106"/>
      <c r="LLV106"/>
      <c r="LLW106"/>
      <c r="LLX106"/>
      <c r="LLY106"/>
      <c r="LLZ106"/>
      <c r="LMA106"/>
      <c r="LMB106"/>
      <c r="LMC106"/>
      <c r="LMD106"/>
      <c r="LME106"/>
      <c r="LMF106"/>
      <c r="LMG106"/>
      <c r="LMH106"/>
      <c r="LMI106"/>
      <c r="LMJ106"/>
      <c r="LMK106"/>
      <c r="LML106"/>
      <c r="LMM106"/>
      <c r="LMN106"/>
      <c r="LMO106"/>
      <c r="LMP106"/>
      <c r="LMQ106"/>
      <c r="LMR106"/>
      <c r="LMS106"/>
      <c r="LMT106"/>
      <c r="LMU106"/>
      <c r="LMV106"/>
      <c r="LMW106"/>
      <c r="LMX106"/>
      <c r="LMY106"/>
      <c r="LMZ106"/>
      <c r="LNA106"/>
      <c r="LNB106"/>
      <c r="LNC106"/>
      <c r="LND106"/>
      <c r="LNE106"/>
      <c r="LNF106"/>
      <c r="LNG106"/>
      <c r="LNH106"/>
      <c r="LNI106"/>
      <c r="LNJ106"/>
      <c r="LNK106"/>
      <c r="LNL106"/>
      <c r="LNM106"/>
      <c r="LNN106"/>
      <c r="LNO106"/>
      <c r="LNP106"/>
      <c r="LNQ106"/>
      <c r="LNR106"/>
      <c r="LNS106"/>
      <c r="LNT106"/>
      <c r="LNU106"/>
      <c r="LNV106"/>
      <c r="LNW106"/>
      <c r="LNX106"/>
      <c r="LNY106"/>
      <c r="LNZ106"/>
      <c r="LOA106"/>
      <c r="LOB106"/>
      <c r="LOC106"/>
      <c r="LOD106"/>
      <c r="LOE106"/>
      <c r="LOF106"/>
      <c r="LOG106"/>
      <c r="LOH106"/>
      <c r="LOI106"/>
      <c r="LOJ106"/>
      <c r="LOK106"/>
      <c r="LOL106"/>
      <c r="LOM106"/>
      <c r="LON106"/>
      <c r="LOO106"/>
      <c r="LOP106"/>
      <c r="LOQ106"/>
      <c r="LOR106"/>
      <c r="LOS106"/>
      <c r="LOT106"/>
      <c r="LOU106"/>
      <c r="LOV106"/>
      <c r="LOW106"/>
      <c r="LOX106"/>
      <c r="LOY106"/>
      <c r="LOZ106"/>
      <c r="LPA106"/>
      <c r="LPB106"/>
      <c r="LPC106"/>
      <c r="LPD106"/>
      <c r="LPE106"/>
      <c r="LPF106"/>
      <c r="LPG106"/>
      <c r="LPH106"/>
      <c r="LPI106"/>
      <c r="LPJ106"/>
      <c r="LPK106"/>
      <c r="LPL106"/>
      <c r="LPM106"/>
      <c r="LPN106"/>
      <c r="LPO106"/>
      <c r="LPP106"/>
      <c r="LPQ106"/>
      <c r="LPR106"/>
      <c r="LPS106"/>
      <c r="LPT106"/>
      <c r="LPU106"/>
      <c r="LPV106"/>
      <c r="LPW106"/>
      <c r="LPX106"/>
      <c r="LPY106"/>
      <c r="LPZ106"/>
      <c r="LQA106"/>
      <c r="LQB106"/>
      <c r="LQC106"/>
      <c r="LQD106"/>
      <c r="LQE106"/>
      <c r="LQF106"/>
      <c r="LQG106"/>
      <c r="LQH106"/>
      <c r="LQI106"/>
      <c r="LQJ106"/>
      <c r="LQK106"/>
      <c r="LQL106"/>
      <c r="LQM106"/>
      <c r="LQN106"/>
      <c r="LQO106"/>
      <c r="LQP106"/>
      <c r="LQQ106"/>
      <c r="LQR106"/>
      <c r="LQS106"/>
      <c r="LQT106"/>
      <c r="LQU106"/>
      <c r="LQV106"/>
      <c r="LQW106"/>
      <c r="LQX106"/>
      <c r="LQY106"/>
      <c r="LQZ106"/>
      <c r="LRA106"/>
      <c r="LRB106"/>
      <c r="LRC106"/>
      <c r="LRD106"/>
      <c r="LRE106"/>
      <c r="LRF106"/>
      <c r="LRG106"/>
      <c r="LRH106"/>
      <c r="LRI106"/>
      <c r="LRJ106"/>
      <c r="LRK106"/>
      <c r="LRL106"/>
      <c r="LRM106"/>
      <c r="LRN106"/>
      <c r="LRO106"/>
      <c r="LRP106"/>
      <c r="LRQ106"/>
      <c r="LRR106"/>
      <c r="LRS106"/>
      <c r="LRT106"/>
      <c r="LRU106"/>
      <c r="LRV106"/>
      <c r="LRW106"/>
      <c r="LRX106"/>
      <c r="LRY106"/>
      <c r="LRZ106"/>
      <c r="LSA106"/>
      <c r="LSB106"/>
      <c r="LSC106"/>
      <c r="LSD106"/>
      <c r="LSE106"/>
      <c r="LSF106"/>
      <c r="LSG106"/>
      <c r="LSH106"/>
      <c r="LSI106"/>
      <c r="LSJ106"/>
      <c r="LSK106"/>
      <c r="LSL106"/>
      <c r="LSM106"/>
      <c r="LSN106"/>
      <c r="LSO106"/>
      <c r="LSP106"/>
      <c r="LSQ106"/>
      <c r="LSR106"/>
      <c r="LSS106"/>
      <c r="LST106"/>
      <c r="LSU106"/>
      <c r="LSV106"/>
      <c r="LSW106"/>
      <c r="LSX106"/>
      <c r="LSY106"/>
      <c r="LSZ106"/>
      <c r="LTA106"/>
      <c r="LTB106"/>
      <c r="LTC106"/>
      <c r="LTD106"/>
      <c r="LTE106"/>
      <c r="LTF106"/>
      <c r="LTG106"/>
      <c r="LTH106"/>
      <c r="LTI106"/>
      <c r="LTJ106"/>
      <c r="LTK106"/>
      <c r="LTL106"/>
      <c r="LTM106"/>
      <c r="LTN106"/>
      <c r="LTO106"/>
      <c r="LTP106"/>
      <c r="LTQ106"/>
      <c r="LTR106"/>
      <c r="LTS106"/>
      <c r="LTT106"/>
      <c r="LTU106"/>
      <c r="LTV106"/>
      <c r="LTW106"/>
      <c r="LTX106"/>
      <c r="LTY106"/>
      <c r="LTZ106"/>
      <c r="LUA106"/>
      <c r="LUB106"/>
      <c r="LUC106"/>
      <c r="LUD106"/>
      <c r="LUE106"/>
      <c r="LUF106"/>
      <c r="LUG106"/>
      <c r="LUH106"/>
      <c r="LUI106"/>
      <c r="LUJ106"/>
      <c r="LUK106"/>
      <c r="LUL106"/>
      <c r="LUM106"/>
      <c r="LUN106"/>
      <c r="LUO106"/>
      <c r="LUP106"/>
      <c r="LUQ106"/>
      <c r="LUR106"/>
      <c r="LUS106"/>
      <c r="LUT106"/>
      <c r="LUU106"/>
      <c r="LUV106"/>
      <c r="LUW106"/>
      <c r="LUX106"/>
      <c r="LUY106"/>
      <c r="LUZ106"/>
      <c r="LVA106"/>
      <c r="LVB106"/>
      <c r="LVC106"/>
      <c r="LVD106"/>
      <c r="LVE106"/>
      <c r="LVF106"/>
      <c r="LVG106"/>
      <c r="LVH106"/>
      <c r="LVI106"/>
      <c r="LVJ106"/>
      <c r="LVK106"/>
      <c r="LVL106"/>
      <c r="LVM106"/>
      <c r="LVN106"/>
      <c r="LVO106"/>
      <c r="LVP106"/>
      <c r="LVQ106"/>
      <c r="LVR106"/>
      <c r="LVS106"/>
      <c r="LVT106"/>
      <c r="LVU106"/>
      <c r="LVV106"/>
      <c r="LVW106"/>
      <c r="LVX106"/>
      <c r="LVY106"/>
      <c r="LVZ106"/>
      <c r="LWA106"/>
      <c r="LWB106"/>
      <c r="LWC106"/>
      <c r="LWD106"/>
      <c r="LWE106"/>
      <c r="LWF106"/>
      <c r="LWG106"/>
      <c r="LWH106"/>
      <c r="LWI106"/>
      <c r="LWJ106"/>
      <c r="LWK106"/>
      <c r="LWL106"/>
      <c r="LWM106"/>
      <c r="LWN106"/>
      <c r="LWO106"/>
      <c r="LWP106"/>
      <c r="LWQ106"/>
      <c r="LWR106"/>
      <c r="LWS106"/>
      <c r="LWT106"/>
      <c r="LWU106"/>
      <c r="LWV106"/>
      <c r="LWW106"/>
      <c r="LWX106"/>
      <c r="LWY106"/>
      <c r="LWZ106"/>
      <c r="LXA106"/>
      <c r="LXB106"/>
      <c r="LXC106"/>
      <c r="LXD106"/>
      <c r="LXE106"/>
      <c r="LXF106"/>
      <c r="LXG106"/>
      <c r="LXH106"/>
      <c r="LXI106"/>
      <c r="LXJ106"/>
      <c r="LXK106"/>
      <c r="LXL106"/>
      <c r="LXM106"/>
      <c r="LXN106"/>
      <c r="LXO106"/>
      <c r="LXP106"/>
      <c r="LXQ106"/>
      <c r="LXR106"/>
      <c r="LXS106"/>
      <c r="LXT106"/>
      <c r="LXU106"/>
      <c r="LXV106"/>
      <c r="LXW106"/>
      <c r="LXX106"/>
      <c r="LXY106"/>
      <c r="LXZ106"/>
      <c r="LYA106"/>
      <c r="LYB106"/>
      <c r="LYC106"/>
      <c r="LYD106"/>
      <c r="LYE106"/>
      <c r="LYF106"/>
      <c r="LYG106"/>
      <c r="LYH106"/>
      <c r="LYI106"/>
      <c r="LYJ106"/>
      <c r="LYK106"/>
      <c r="LYL106"/>
      <c r="LYM106"/>
      <c r="LYN106"/>
      <c r="LYO106"/>
      <c r="LYP106"/>
      <c r="LYQ106"/>
      <c r="LYR106"/>
      <c r="LYS106"/>
      <c r="LYT106"/>
      <c r="LYU106"/>
      <c r="LYV106"/>
      <c r="LYW106"/>
      <c r="LYX106"/>
      <c r="LYY106"/>
      <c r="LYZ106"/>
      <c r="LZA106"/>
      <c r="LZB106"/>
      <c r="LZC106"/>
      <c r="LZD106"/>
      <c r="LZE106"/>
      <c r="LZF106"/>
      <c r="LZG106"/>
      <c r="LZH106"/>
      <c r="LZI106"/>
      <c r="LZJ106"/>
      <c r="LZK106"/>
      <c r="LZL106"/>
      <c r="LZM106"/>
      <c r="LZN106"/>
      <c r="LZO106"/>
      <c r="LZP106"/>
      <c r="LZQ106"/>
      <c r="LZR106"/>
      <c r="LZS106"/>
      <c r="LZT106"/>
      <c r="LZU106"/>
      <c r="LZV106"/>
      <c r="LZW106"/>
      <c r="LZX106"/>
      <c r="LZY106"/>
      <c r="LZZ106"/>
      <c r="MAA106"/>
      <c r="MAB106"/>
      <c r="MAC106"/>
      <c r="MAD106"/>
      <c r="MAE106"/>
      <c r="MAF106"/>
      <c r="MAG106"/>
      <c r="MAH106"/>
      <c r="MAI106"/>
      <c r="MAJ106"/>
      <c r="MAK106"/>
      <c r="MAL106"/>
      <c r="MAM106"/>
      <c r="MAN106"/>
      <c r="MAO106"/>
      <c r="MAP106"/>
      <c r="MAQ106"/>
      <c r="MAR106"/>
      <c r="MAS106"/>
      <c r="MAT106"/>
      <c r="MAU106"/>
      <c r="MAV106"/>
      <c r="MAW106"/>
      <c r="MAX106"/>
      <c r="MAY106"/>
      <c r="MAZ106"/>
      <c r="MBA106"/>
      <c r="MBB106"/>
      <c r="MBC106"/>
      <c r="MBD106"/>
      <c r="MBE106"/>
      <c r="MBF106"/>
      <c r="MBG106"/>
      <c r="MBH106"/>
      <c r="MBI106"/>
      <c r="MBJ106"/>
      <c r="MBK106"/>
      <c r="MBL106"/>
      <c r="MBM106"/>
      <c r="MBN106"/>
      <c r="MBO106"/>
      <c r="MBP106"/>
      <c r="MBQ106"/>
      <c r="MBR106"/>
      <c r="MBS106"/>
      <c r="MBT106"/>
      <c r="MBU106"/>
      <c r="MBV106"/>
      <c r="MBW106"/>
      <c r="MBX106"/>
      <c r="MBY106"/>
      <c r="MBZ106"/>
      <c r="MCA106"/>
      <c r="MCB106"/>
      <c r="MCC106"/>
      <c r="MCD106"/>
      <c r="MCE106"/>
      <c r="MCF106"/>
      <c r="MCG106"/>
      <c r="MCH106"/>
      <c r="MCI106"/>
      <c r="MCJ106"/>
      <c r="MCK106"/>
      <c r="MCL106"/>
      <c r="MCM106"/>
      <c r="MCN106"/>
      <c r="MCO106"/>
      <c r="MCP106"/>
      <c r="MCQ106"/>
      <c r="MCR106"/>
      <c r="MCS106"/>
      <c r="MCT106"/>
      <c r="MCU106"/>
      <c r="MCV106"/>
      <c r="MCW106"/>
      <c r="MCX106"/>
      <c r="MCY106"/>
      <c r="MCZ106"/>
      <c r="MDA106"/>
      <c r="MDB106"/>
      <c r="MDC106"/>
      <c r="MDD106"/>
      <c r="MDE106"/>
      <c r="MDF106"/>
      <c r="MDG106"/>
      <c r="MDH106"/>
      <c r="MDI106"/>
      <c r="MDJ106"/>
      <c r="MDK106"/>
      <c r="MDL106"/>
      <c r="MDM106"/>
      <c r="MDN106"/>
      <c r="MDO106"/>
      <c r="MDP106"/>
      <c r="MDQ106"/>
      <c r="MDR106"/>
      <c r="MDS106"/>
      <c r="MDT106"/>
      <c r="MDU106"/>
      <c r="MDV106"/>
      <c r="MDW106"/>
      <c r="MDX106"/>
      <c r="MDY106"/>
      <c r="MDZ106"/>
      <c r="MEA106"/>
      <c r="MEB106"/>
      <c r="MEC106"/>
      <c r="MED106"/>
      <c r="MEE106"/>
      <c r="MEF106"/>
      <c r="MEG106"/>
      <c r="MEH106"/>
      <c r="MEI106"/>
      <c r="MEJ106"/>
      <c r="MEK106"/>
      <c r="MEL106"/>
      <c r="MEM106"/>
      <c r="MEN106"/>
      <c r="MEO106"/>
      <c r="MEP106"/>
      <c r="MEQ106"/>
      <c r="MER106"/>
      <c r="MES106"/>
      <c r="MET106"/>
      <c r="MEU106"/>
      <c r="MEV106"/>
      <c r="MEW106"/>
      <c r="MEX106"/>
      <c r="MEY106"/>
      <c r="MEZ106"/>
      <c r="MFA106"/>
      <c r="MFB106"/>
      <c r="MFC106"/>
      <c r="MFD106"/>
      <c r="MFE106"/>
      <c r="MFF106"/>
      <c r="MFG106"/>
      <c r="MFH106"/>
      <c r="MFI106"/>
      <c r="MFJ106"/>
      <c r="MFK106"/>
      <c r="MFL106"/>
      <c r="MFM106"/>
      <c r="MFN106"/>
      <c r="MFO106"/>
      <c r="MFP106"/>
      <c r="MFQ106"/>
      <c r="MFR106"/>
      <c r="MFS106"/>
      <c r="MFT106"/>
      <c r="MFU106"/>
      <c r="MFV106"/>
      <c r="MFW106"/>
      <c r="MFX106"/>
      <c r="MFY106"/>
      <c r="MFZ106"/>
      <c r="MGA106"/>
      <c r="MGB106"/>
      <c r="MGC106"/>
      <c r="MGD106"/>
      <c r="MGE106"/>
      <c r="MGF106"/>
      <c r="MGG106"/>
      <c r="MGH106"/>
      <c r="MGI106"/>
      <c r="MGJ106"/>
      <c r="MGK106"/>
      <c r="MGL106"/>
      <c r="MGM106"/>
      <c r="MGN106"/>
      <c r="MGO106"/>
      <c r="MGP106"/>
      <c r="MGQ106"/>
      <c r="MGR106"/>
      <c r="MGS106"/>
      <c r="MGT106"/>
      <c r="MGU106"/>
      <c r="MGV106"/>
      <c r="MGW106"/>
      <c r="MGX106"/>
      <c r="MGY106"/>
      <c r="MGZ106"/>
      <c r="MHA106"/>
      <c r="MHB106"/>
      <c r="MHC106"/>
      <c r="MHD106"/>
      <c r="MHE106"/>
      <c r="MHF106"/>
      <c r="MHG106"/>
      <c r="MHH106"/>
      <c r="MHI106"/>
      <c r="MHJ106"/>
      <c r="MHK106"/>
      <c r="MHL106"/>
      <c r="MHM106"/>
      <c r="MHN106"/>
      <c r="MHO106"/>
      <c r="MHP106"/>
      <c r="MHQ106"/>
      <c r="MHR106"/>
      <c r="MHS106"/>
      <c r="MHT106"/>
      <c r="MHU106"/>
      <c r="MHV106"/>
      <c r="MHW106"/>
      <c r="MHX106"/>
      <c r="MHY106"/>
      <c r="MHZ106"/>
      <c r="MIA106"/>
      <c r="MIB106"/>
      <c r="MIC106"/>
      <c r="MID106"/>
      <c r="MIE106"/>
      <c r="MIF106"/>
      <c r="MIG106"/>
      <c r="MIH106"/>
      <c r="MII106"/>
      <c r="MIJ106"/>
      <c r="MIK106"/>
      <c r="MIL106"/>
      <c r="MIM106"/>
      <c r="MIN106"/>
      <c r="MIO106"/>
      <c r="MIP106"/>
      <c r="MIQ106"/>
      <c r="MIR106"/>
      <c r="MIS106"/>
      <c r="MIT106"/>
      <c r="MIU106"/>
      <c r="MIV106"/>
      <c r="MIW106"/>
      <c r="MIX106"/>
      <c r="MIY106"/>
      <c r="MIZ106"/>
      <c r="MJA106"/>
      <c r="MJB106"/>
      <c r="MJC106"/>
      <c r="MJD106"/>
      <c r="MJE106"/>
      <c r="MJF106"/>
      <c r="MJG106"/>
      <c r="MJH106"/>
      <c r="MJI106"/>
      <c r="MJJ106"/>
      <c r="MJK106"/>
      <c r="MJL106"/>
      <c r="MJM106"/>
      <c r="MJN106"/>
      <c r="MJO106"/>
      <c r="MJP106"/>
      <c r="MJQ106"/>
      <c r="MJR106"/>
      <c r="MJS106"/>
      <c r="MJT106"/>
      <c r="MJU106"/>
      <c r="MJV106"/>
      <c r="MJW106"/>
      <c r="MJX106"/>
      <c r="MJY106"/>
      <c r="MJZ106"/>
      <c r="MKA106"/>
      <c r="MKB106"/>
      <c r="MKC106"/>
      <c r="MKD106"/>
      <c r="MKE106"/>
      <c r="MKF106"/>
      <c r="MKG106"/>
      <c r="MKH106"/>
      <c r="MKI106"/>
      <c r="MKJ106"/>
      <c r="MKK106"/>
      <c r="MKL106"/>
      <c r="MKM106"/>
      <c r="MKN106"/>
      <c r="MKO106"/>
      <c r="MKP106"/>
      <c r="MKQ106"/>
      <c r="MKR106"/>
      <c r="MKS106"/>
      <c r="MKT106"/>
      <c r="MKU106"/>
      <c r="MKV106"/>
      <c r="MKW106"/>
      <c r="MKX106"/>
      <c r="MKY106"/>
      <c r="MKZ106"/>
      <c r="MLA106"/>
      <c r="MLB106"/>
      <c r="MLC106"/>
      <c r="MLD106"/>
      <c r="MLE106"/>
      <c r="MLF106"/>
      <c r="MLG106"/>
      <c r="MLH106"/>
      <c r="MLI106"/>
      <c r="MLJ106"/>
      <c r="MLK106"/>
      <c r="MLL106"/>
      <c r="MLM106"/>
      <c r="MLN106"/>
      <c r="MLO106"/>
      <c r="MLP106"/>
      <c r="MLQ106"/>
      <c r="MLR106"/>
      <c r="MLS106"/>
      <c r="MLT106"/>
      <c r="MLU106"/>
      <c r="MLV106"/>
      <c r="MLW106"/>
      <c r="MLX106"/>
      <c r="MLY106"/>
      <c r="MLZ106"/>
      <c r="MMA106"/>
      <c r="MMB106"/>
      <c r="MMC106"/>
      <c r="MMD106"/>
      <c r="MME106"/>
      <c r="MMF106"/>
      <c r="MMG106"/>
      <c r="MMH106"/>
      <c r="MMI106"/>
      <c r="MMJ106"/>
      <c r="MMK106"/>
      <c r="MML106"/>
      <c r="MMM106"/>
      <c r="MMN106"/>
      <c r="MMO106"/>
      <c r="MMP106"/>
      <c r="MMQ106"/>
      <c r="MMR106"/>
      <c r="MMS106"/>
      <c r="MMT106"/>
      <c r="MMU106"/>
      <c r="MMV106"/>
      <c r="MMW106"/>
      <c r="MMX106"/>
      <c r="MMY106"/>
      <c r="MMZ106"/>
      <c r="MNA106"/>
      <c r="MNB106"/>
      <c r="MNC106"/>
      <c r="MND106"/>
      <c r="MNE106"/>
      <c r="MNF106"/>
      <c r="MNG106"/>
      <c r="MNH106"/>
      <c r="MNI106"/>
      <c r="MNJ106"/>
      <c r="MNK106"/>
      <c r="MNL106"/>
      <c r="MNM106"/>
      <c r="MNN106"/>
      <c r="MNO106"/>
      <c r="MNP106"/>
      <c r="MNQ106"/>
      <c r="MNR106"/>
      <c r="MNS106"/>
      <c r="MNT106"/>
      <c r="MNU106"/>
      <c r="MNV106"/>
      <c r="MNW106"/>
      <c r="MNX106"/>
      <c r="MNY106"/>
      <c r="MNZ106"/>
      <c r="MOA106"/>
      <c r="MOB106"/>
      <c r="MOC106"/>
      <c r="MOD106"/>
      <c r="MOE106"/>
      <c r="MOF106"/>
      <c r="MOG106"/>
      <c r="MOH106"/>
      <c r="MOI106"/>
      <c r="MOJ106"/>
      <c r="MOK106"/>
      <c r="MOL106"/>
      <c r="MOM106"/>
      <c r="MON106"/>
      <c r="MOO106"/>
      <c r="MOP106"/>
      <c r="MOQ106"/>
      <c r="MOR106"/>
      <c r="MOS106"/>
      <c r="MOT106"/>
      <c r="MOU106"/>
      <c r="MOV106"/>
      <c r="MOW106"/>
      <c r="MOX106"/>
      <c r="MOY106"/>
      <c r="MOZ106"/>
      <c r="MPA106"/>
      <c r="MPB106"/>
      <c r="MPC106"/>
      <c r="MPD106"/>
      <c r="MPE106"/>
      <c r="MPF106"/>
      <c r="MPG106"/>
      <c r="MPH106"/>
      <c r="MPI106"/>
      <c r="MPJ106"/>
      <c r="MPK106"/>
      <c r="MPL106"/>
      <c r="MPM106"/>
      <c r="MPN106"/>
      <c r="MPO106"/>
      <c r="MPP106"/>
      <c r="MPQ106"/>
      <c r="MPR106"/>
      <c r="MPS106"/>
      <c r="MPT106"/>
      <c r="MPU106"/>
      <c r="MPV106"/>
      <c r="MPW106"/>
      <c r="MPX106"/>
      <c r="MPY106"/>
      <c r="MPZ106"/>
      <c r="MQA106"/>
      <c r="MQB106"/>
      <c r="MQC106"/>
      <c r="MQD106"/>
      <c r="MQE106"/>
      <c r="MQF106"/>
      <c r="MQG106"/>
      <c r="MQH106"/>
      <c r="MQI106"/>
      <c r="MQJ106"/>
      <c r="MQK106"/>
      <c r="MQL106"/>
      <c r="MQM106"/>
      <c r="MQN106"/>
      <c r="MQO106"/>
      <c r="MQP106"/>
      <c r="MQQ106"/>
      <c r="MQR106"/>
      <c r="MQS106"/>
      <c r="MQT106"/>
      <c r="MQU106"/>
      <c r="MQV106"/>
      <c r="MQW106"/>
      <c r="MQX106"/>
      <c r="MQY106"/>
      <c r="MQZ106"/>
      <c r="MRA106"/>
      <c r="MRB106"/>
      <c r="MRC106"/>
      <c r="MRD106"/>
      <c r="MRE106"/>
      <c r="MRF106"/>
      <c r="MRG106"/>
      <c r="MRH106"/>
      <c r="MRI106"/>
      <c r="MRJ106"/>
      <c r="MRK106"/>
      <c r="MRL106"/>
      <c r="MRM106"/>
      <c r="MRN106"/>
      <c r="MRO106"/>
      <c r="MRP106"/>
      <c r="MRQ106"/>
      <c r="MRR106"/>
      <c r="MRS106"/>
      <c r="MRT106"/>
      <c r="MRU106"/>
      <c r="MRV106"/>
      <c r="MRW106"/>
      <c r="MRX106"/>
      <c r="MRY106"/>
      <c r="MRZ106"/>
      <c r="MSA106"/>
      <c r="MSB106"/>
      <c r="MSC106"/>
      <c r="MSD106"/>
      <c r="MSE106"/>
      <c r="MSF106"/>
      <c r="MSG106"/>
      <c r="MSH106"/>
      <c r="MSI106"/>
      <c r="MSJ106"/>
      <c r="MSK106"/>
      <c r="MSL106"/>
      <c r="MSM106"/>
      <c r="MSN106"/>
      <c r="MSO106"/>
      <c r="MSP106"/>
      <c r="MSQ106"/>
      <c r="MSR106"/>
      <c r="MSS106"/>
      <c r="MST106"/>
      <c r="MSU106"/>
      <c r="MSV106"/>
      <c r="MSW106"/>
      <c r="MSX106"/>
      <c r="MSY106"/>
      <c r="MSZ106"/>
      <c r="MTA106"/>
      <c r="MTB106"/>
      <c r="MTC106"/>
      <c r="MTD106"/>
      <c r="MTE106"/>
      <c r="MTF106"/>
      <c r="MTG106"/>
      <c r="MTH106"/>
      <c r="MTI106"/>
      <c r="MTJ106"/>
      <c r="MTK106"/>
      <c r="MTL106"/>
      <c r="MTM106"/>
      <c r="MTN106"/>
      <c r="MTO106"/>
      <c r="MTP106"/>
      <c r="MTQ106"/>
      <c r="MTR106"/>
      <c r="MTS106"/>
      <c r="MTT106"/>
      <c r="MTU106"/>
      <c r="MTV106"/>
      <c r="MTW106"/>
      <c r="MTX106"/>
      <c r="MTY106"/>
      <c r="MTZ106"/>
      <c r="MUA106"/>
      <c r="MUB106"/>
      <c r="MUC106"/>
      <c r="MUD106"/>
      <c r="MUE106"/>
      <c r="MUF106"/>
      <c r="MUG106"/>
      <c r="MUH106"/>
      <c r="MUI106"/>
      <c r="MUJ106"/>
      <c r="MUK106"/>
      <c r="MUL106"/>
      <c r="MUM106"/>
      <c r="MUN106"/>
      <c r="MUO106"/>
      <c r="MUP106"/>
      <c r="MUQ106"/>
      <c r="MUR106"/>
      <c r="MUS106"/>
      <c r="MUT106"/>
      <c r="MUU106"/>
      <c r="MUV106"/>
      <c r="MUW106"/>
      <c r="MUX106"/>
      <c r="MUY106"/>
      <c r="MUZ106"/>
      <c r="MVA106"/>
      <c r="MVB106"/>
      <c r="MVC106"/>
      <c r="MVD106"/>
      <c r="MVE106"/>
      <c r="MVF106"/>
      <c r="MVG106"/>
      <c r="MVH106"/>
      <c r="MVI106"/>
      <c r="MVJ106"/>
      <c r="MVK106"/>
      <c r="MVL106"/>
      <c r="MVM106"/>
      <c r="MVN106"/>
      <c r="MVO106"/>
      <c r="MVP106"/>
      <c r="MVQ106"/>
      <c r="MVR106"/>
      <c r="MVS106"/>
      <c r="MVT106"/>
      <c r="MVU106"/>
      <c r="MVV106"/>
      <c r="MVW106"/>
      <c r="MVX106"/>
      <c r="MVY106"/>
      <c r="MVZ106"/>
      <c r="MWA106"/>
      <c r="MWB106"/>
      <c r="MWC106"/>
      <c r="MWD106"/>
      <c r="MWE106"/>
      <c r="MWF106"/>
      <c r="MWG106"/>
      <c r="MWH106"/>
      <c r="MWI106"/>
      <c r="MWJ106"/>
      <c r="MWK106"/>
      <c r="MWL106"/>
      <c r="MWM106"/>
      <c r="MWN106"/>
      <c r="MWO106"/>
      <c r="MWP106"/>
      <c r="MWQ106"/>
      <c r="MWR106"/>
      <c r="MWS106"/>
      <c r="MWT106"/>
      <c r="MWU106"/>
      <c r="MWV106"/>
      <c r="MWW106"/>
      <c r="MWX106"/>
      <c r="MWY106"/>
      <c r="MWZ106"/>
      <c r="MXA106"/>
      <c r="MXB106"/>
      <c r="MXC106"/>
      <c r="MXD106"/>
      <c r="MXE106"/>
      <c r="MXF106"/>
      <c r="MXG106"/>
      <c r="MXH106"/>
      <c r="MXI106"/>
      <c r="MXJ106"/>
      <c r="MXK106"/>
      <c r="MXL106"/>
      <c r="MXM106"/>
      <c r="MXN106"/>
      <c r="MXO106"/>
      <c r="MXP106"/>
      <c r="MXQ106"/>
      <c r="MXR106"/>
      <c r="MXS106"/>
      <c r="MXT106"/>
      <c r="MXU106"/>
      <c r="MXV106"/>
      <c r="MXW106"/>
      <c r="MXX106"/>
      <c r="MXY106"/>
      <c r="MXZ106"/>
      <c r="MYA106"/>
      <c r="MYB106"/>
      <c r="MYC106"/>
      <c r="MYD106"/>
      <c r="MYE106"/>
      <c r="MYF106"/>
      <c r="MYG106"/>
      <c r="MYH106"/>
      <c r="MYI106"/>
      <c r="MYJ106"/>
      <c r="MYK106"/>
      <c r="MYL106"/>
      <c r="MYM106"/>
      <c r="MYN106"/>
      <c r="MYO106"/>
      <c r="MYP106"/>
      <c r="MYQ106"/>
      <c r="MYR106"/>
      <c r="MYS106"/>
      <c r="MYT106"/>
      <c r="MYU106"/>
      <c r="MYV106"/>
      <c r="MYW106"/>
      <c r="MYX106"/>
      <c r="MYY106"/>
      <c r="MYZ106"/>
      <c r="MZA106"/>
      <c r="MZB106"/>
      <c r="MZC106"/>
      <c r="MZD106"/>
      <c r="MZE106"/>
      <c r="MZF106"/>
      <c r="MZG106"/>
      <c r="MZH106"/>
      <c r="MZI106"/>
      <c r="MZJ106"/>
      <c r="MZK106"/>
      <c r="MZL106"/>
      <c r="MZM106"/>
      <c r="MZN106"/>
      <c r="MZO106"/>
      <c r="MZP106"/>
      <c r="MZQ106"/>
      <c r="MZR106"/>
      <c r="MZS106"/>
      <c r="MZT106"/>
      <c r="MZU106"/>
      <c r="MZV106"/>
      <c r="MZW106"/>
      <c r="MZX106"/>
      <c r="MZY106"/>
      <c r="MZZ106"/>
      <c r="NAA106"/>
      <c r="NAB106"/>
      <c r="NAC106"/>
      <c r="NAD106"/>
      <c r="NAE106"/>
      <c r="NAF106"/>
      <c r="NAG106"/>
      <c r="NAH106"/>
      <c r="NAI106"/>
      <c r="NAJ106"/>
      <c r="NAK106"/>
      <c r="NAL106"/>
      <c r="NAM106"/>
      <c r="NAN106"/>
      <c r="NAO106"/>
      <c r="NAP106"/>
      <c r="NAQ106"/>
      <c r="NAR106"/>
      <c r="NAS106"/>
      <c r="NAT106"/>
      <c r="NAU106"/>
      <c r="NAV106"/>
      <c r="NAW106"/>
      <c r="NAX106"/>
      <c r="NAY106"/>
      <c r="NAZ106"/>
      <c r="NBA106"/>
      <c r="NBB106"/>
      <c r="NBC106"/>
      <c r="NBD106"/>
      <c r="NBE106"/>
      <c r="NBF106"/>
      <c r="NBG106"/>
      <c r="NBH106"/>
      <c r="NBI106"/>
      <c r="NBJ106"/>
      <c r="NBK106"/>
      <c r="NBL106"/>
      <c r="NBM106"/>
      <c r="NBN106"/>
      <c r="NBO106"/>
      <c r="NBP106"/>
      <c r="NBQ106"/>
      <c r="NBR106"/>
      <c r="NBS106"/>
      <c r="NBT106"/>
      <c r="NBU106"/>
      <c r="NBV106"/>
      <c r="NBW106"/>
      <c r="NBX106"/>
      <c r="NBY106"/>
      <c r="NBZ106"/>
      <c r="NCA106"/>
      <c r="NCB106"/>
      <c r="NCC106"/>
      <c r="NCD106"/>
      <c r="NCE106"/>
      <c r="NCF106"/>
      <c r="NCG106"/>
      <c r="NCH106"/>
      <c r="NCI106"/>
      <c r="NCJ106"/>
      <c r="NCK106"/>
      <c r="NCL106"/>
      <c r="NCM106"/>
      <c r="NCN106"/>
      <c r="NCO106"/>
      <c r="NCP106"/>
      <c r="NCQ106"/>
      <c r="NCR106"/>
      <c r="NCS106"/>
      <c r="NCT106"/>
      <c r="NCU106"/>
      <c r="NCV106"/>
      <c r="NCW106"/>
      <c r="NCX106"/>
      <c r="NCY106"/>
      <c r="NCZ106"/>
      <c r="NDA106"/>
      <c r="NDB106"/>
      <c r="NDC106"/>
      <c r="NDD106"/>
      <c r="NDE106"/>
      <c r="NDF106"/>
      <c r="NDG106"/>
      <c r="NDH106"/>
      <c r="NDI106"/>
      <c r="NDJ106"/>
      <c r="NDK106"/>
      <c r="NDL106"/>
      <c r="NDM106"/>
      <c r="NDN106"/>
      <c r="NDO106"/>
      <c r="NDP106"/>
      <c r="NDQ106"/>
      <c r="NDR106"/>
      <c r="NDS106"/>
      <c r="NDT106"/>
      <c r="NDU106"/>
      <c r="NDV106"/>
      <c r="NDW106"/>
      <c r="NDX106"/>
      <c r="NDY106"/>
      <c r="NDZ106"/>
      <c r="NEA106"/>
      <c r="NEB106"/>
      <c r="NEC106"/>
      <c r="NED106"/>
      <c r="NEE106"/>
      <c r="NEF106"/>
      <c r="NEG106"/>
      <c r="NEH106"/>
      <c r="NEI106"/>
      <c r="NEJ106"/>
      <c r="NEK106"/>
      <c r="NEL106"/>
      <c r="NEM106"/>
      <c r="NEN106"/>
      <c r="NEO106"/>
      <c r="NEP106"/>
      <c r="NEQ106"/>
      <c r="NER106"/>
      <c r="NES106"/>
      <c r="NET106"/>
      <c r="NEU106"/>
      <c r="NEV106"/>
      <c r="NEW106"/>
      <c r="NEX106"/>
      <c r="NEY106"/>
      <c r="NEZ106"/>
      <c r="NFA106"/>
      <c r="NFB106"/>
      <c r="NFC106"/>
      <c r="NFD106"/>
      <c r="NFE106"/>
      <c r="NFF106"/>
      <c r="NFG106"/>
      <c r="NFH106"/>
      <c r="NFI106"/>
      <c r="NFJ106"/>
      <c r="NFK106"/>
      <c r="NFL106"/>
      <c r="NFM106"/>
      <c r="NFN106"/>
      <c r="NFO106"/>
      <c r="NFP106"/>
      <c r="NFQ106"/>
      <c r="NFR106"/>
      <c r="NFS106"/>
      <c r="NFT106"/>
      <c r="NFU106"/>
      <c r="NFV106"/>
      <c r="NFW106"/>
      <c r="NFX106"/>
      <c r="NFY106"/>
      <c r="NFZ106"/>
      <c r="NGA106"/>
      <c r="NGB106"/>
      <c r="NGC106"/>
      <c r="NGD106"/>
      <c r="NGE106"/>
      <c r="NGF106"/>
      <c r="NGG106"/>
      <c r="NGH106"/>
      <c r="NGI106"/>
      <c r="NGJ106"/>
      <c r="NGK106"/>
      <c r="NGL106"/>
      <c r="NGM106"/>
      <c r="NGN106"/>
      <c r="NGO106"/>
      <c r="NGP106"/>
      <c r="NGQ106"/>
      <c r="NGR106"/>
      <c r="NGS106"/>
      <c r="NGT106"/>
      <c r="NGU106"/>
      <c r="NGV106"/>
      <c r="NGW106"/>
      <c r="NGX106"/>
      <c r="NGY106"/>
      <c r="NGZ106"/>
      <c r="NHA106"/>
      <c r="NHB106"/>
      <c r="NHC106"/>
      <c r="NHD106"/>
      <c r="NHE106"/>
      <c r="NHF106"/>
      <c r="NHG106"/>
      <c r="NHH106"/>
      <c r="NHI106"/>
      <c r="NHJ106"/>
      <c r="NHK106"/>
      <c r="NHL106"/>
      <c r="NHM106"/>
      <c r="NHN106"/>
      <c r="NHO106"/>
      <c r="NHP106"/>
      <c r="NHQ106"/>
      <c r="NHR106"/>
      <c r="NHS106"/>
      <c r="NHT106"/>
      <c r="NHU106"/>
      <c r="NHV106"/>
      <c r="NHW106"/>
      <c r="NHX106"/>
      <c r="NHY106"/>
      <c r="NHZ106"/>
      <c r="NIA106"/>
      <c r="NIB106"/>
      <c r="NIC106"/>
      <c r="NID106"/>
      <c r="NIE106"/>
      <c r="NIF106"/>
      <c r="NIG106"/>
      <c r="NIH106"/>
      <c r="NII106"/>
      <c r="NIJ106"/>
      <c r="NIK106"/>
      <c r="NIL106"/>
      <c r="NIM106"/>
      <c r="NIN106"/>
      <c r="NIO106"/>
      <c r="NIP106"/>
      <c r="NIQ106"/>
      <c r="NIR106"/>
      <c r="NIS106"/>
      <c r="NIT106"/>
      <c r="NIU106"/>
      <c r="NIV106"/>
      <c r="NIW106"/>
      <c r="NIX106"/>
      <c r="NIY106"/>
      <c r="NIZ106"/>
      <c r="NJA106"/>
      <c r="NJB106"/>
      <c r="NJC106"/>
      <c r="NJD106"/>
      <c r="NJE106"/>
      <c r="NJF106"/>
      <c r="NJG106"/>
      <c r="NJH106"/>
      <c r="NJI106"/>
      <c r="NJJ106"/>
      <c r="NJK106"/>
      <c r="NJL106"/>
      <c r="NJM106"/>
      <c r="NJN106"/>
      <c r="NJO106"/>
      <c r="NJP106"/>
      <c r="NJQ106"/>
      <c r="NJR106"/>
      <c r="NJS106"/>
      <c r="NJT106"/>
      <c r="NJU106"/>
      <c r="NJV106"/>
      <c r="NJW106"/>
      <c r="NJX106"/>
      <c r="NJY106"/>
      <c r="NJZ106"/>
      <c r="NKA106"/>
      <c r="NKB106"/>
      <c r="NKC106"/>
      <c r="NKD106"/>
      <c r="NKE106"/>
      <c r="NKF106"/>
      <c r="NKG106"/>
      <c r="NKH106"/>
      <c r="NKI106"/>
      <c r="NKJ106"/>
      <c r="NKK106"/>
      <c r="NKL106"/>
      <c r="NKM106"/>
      <c r="NKN106"/>
      <c r="NKO106"/>
      <c r="NKP106"/>
      <c r="NKQ106"/>
      <c r="NKR106"/>
      <c r="NKS106"/>
      <c r="NKT106"/>
      <c r="NKU106"/>
      <c r="NKV106"/>
      <c r="NKW106"/>
      <c r="NKX106"/>
      <c r="NKY106"/>
      <c r="NKZ106"/>
      <c r="NLA106"/>
      <c r="NLB106"/>
      <c r="NLC106"/>
      <c r="NLD106"/>
      <c r="NLE106"/>
      <c r="NLF106"/>
      <c r="NLG106"/>
      <c r="NLH106"/>
      <c r="NLI106"/>
      <c r="NLJ106"/>
      <c r="NLK106"/>
      <c r="NLL106"/>
      <c r="NLM106"/>
      <c r="NLN106"/>
      <c r="NLO106"/>
      <c r="NLP106"/>
      <c r="NLQ106"/>
      <c r="NLR106"/>
      <c r="NLS106"/>
      <c r="NLT106"/>
      <c r="NLU106"/>
      <c r="NLV106"/>
      <c r="NLW106"/>
      <c r="NLX106"/>
      <c r="NLY106"/>
      <c r="NLZ106"/>
      <c r="NMA106"/>
      <c r="NMB106"/>
      <c r="NMC106"/>
      <c r="NMD106"/>
      <c r="NME106"/>
      <c r="NMF106"/>
      <c r="NMG106"/>
      <c r="NMH106"/>
      <c r="NMI106"/>
      <c r="NMJ106"/>
      <c r="NMK106"/>
      <c r="NML106"/>
      <c r="NMM106"/>
      <c r="NMN106"/>
      <c r="NMO106"/>
      <c r="NMP106"/>
      <c r="NMQ106"/>
      <c r="NMR106"/>
      <c r="NMS106"/>
      <c r="NMT106"/>
      <c r="NMU106"/>
      <c r="NMV106"/>
      <c r="NMW106"/>
      <c r="NMX106"/>
      <c r="NMY106"/>
      <c r="NMZ106"/>
      <c r="NNA106"/>
      <c r="NNB106"/>
      <c r="NNC106"/>
      <c r="NND106"/>
      <c r="NNE106"/>
      <c r="NNF106"/>
      <c r="NNG106"/>
      <c r="NNH106"/>
      <c r="NNI106"/>
      <c r="NNJ106"/>
      <c r="NNK106"/>
      <c r="NNL106"/>
      <c r="NNM106"/>
      <c r="NNN106"/>
      <c r="NNO106"/>
      <c r="NNP106"/>
      <c r="NNQ106"/>
      <c r="NNR106"/>
      <c r="NNS106"/>
      <c r="NNT106"/>
      <c r="NNU106"/>
      <c r="NNV106"/>
      <c r="NNW106"/>
      <c r="NNX106"/>
      <c r="NNY106"/>
      <c r="NNZ106"/>
      <c r="NOA106"/>
      <c r="NOB106"/>
      <c r="NOC106"/>
      <c r="NOD106"/>
      <c r="NOE106"/>
      <c r="NOF106"/>
      <c r="NOG106"/>
      <c r="NOH106"/>
      <c r="NOI106"/>
      <c r="NOJ106"/>
      <c r="NOK106"/>
      <c r="NOL106"/>
      <c r="NOM106"/>
      <c r="NON106"/>
      <c r="NOO106"/>
      <c r="NOP106"/>
      <c r="NOQ106"/>
      <c r="NOR106"/>
      <c r="NOS106"/>
      <c r="NOT106"/>
      <c r="NOU106"/>
      <c r="NOV106"/>
      <c r="NOW106"/>
      <c r="NOX106"/>
      <c r="NOY106"/>
      <c r="NOZ106"/>
      <c r="NPA106"/>
      <c r="NPB106"/>
      <c r="NPC106"/>
      <c r="NPD106"/>
      <c r="NPE106"/>
      <c r="NPF106"/>
      <c r="NPG106"/>
      <c r="NPH106"/>
      <c r="NPI106"/>
      <c r="NPJ106"/>
      <c r="NPK106"/>
      <c r="NPL106"/>
      <c r="NPM106"/>
      <c r="NPN106"/>
      <c r="NPO106"/>
      <c r="NPP106"/>
      <c r="NPQ106"/>
      <c r="NPR106"/>
      <c r="NPS106"/>
      <c r="NPT106"/>
      <c r="NPU106"/>
      <c r="NPV106"/>
      <c r="NPW106"/>
      <c r="NPX106"/>
      <c r="NPY106"/>
      <c r="NPZ106"/>
      <c r="NQA106"/>
      <c r="NQB106"/>
      <c r="NQC106"/>
      <c r="NQD106"/>
      <c r="NQE106"/>
      <c r="NQF106"/>
      <c r="NQG106"/>
      <c r="NQH106"/>
      <c r="NQI106"/>
      <c r="NQJ106"/>
      <c r="NQK106"/>
      <c r="NQL106"/>
      <c r="NQM106"/>
      <c r="NQN106"/>
      <c r="NQO106"/>
      <c r="NQP106"/>
      <c r="NQQ106"/>
      <c r="NQR106"/>
      <c r="NQS106"/>
      <c r="NQT106"/>
      <c r="NQU106"/>
      <c r="NQV106"/>
      <c r="NQW106"/>
      <c r="NQX106"/>
      <c r="NQY106"/>
      <c r="NQZ106"/>
      <c r="NRA106"/>
      <c r="NRB106"/>
      <c r="NRC106"/>
      <c r="NRD106"/>
      <c r="NRE106"/>
      <c r="NRF106"/>
      <c r="NRG106"/>
      <c r="NRH106"/>
      <c r="NRI106"/>
      <c r="NRJ106"/>
      <c r="NRK106"/>
      <c r="NRL106"/>
      <c r="NRM106"/>
      <c r="NRN106"/>
      <c r="NRO106"/>
      <c r="NRP106"/>
      <c r="NRQ106"/>
      <c r="NRR106"/>
      <c r="NRS106"/>
      <c r="NRT106"/>
      <c r="NRU106"/>
      <c r="NRV106"/>
      <c r="NRW106"/>
      <c r="NRX106"/>
      <c r="NRY106"/>
      <c r="NRZ106"/>
      <c r="NSA106"/>
      <c r="NSB106"/>
      <c r="NSC106"/>
      <c r="NSD106"/>
      <c r="NSE106"/>
      <c r="NSF106"/>
      <c r="NSG106"/>
      <c r="NSH106"/>
      <c r="NSI106"/>
      <c r="NSJ106"/>
      <c r="NSK106"/>
      <c r="NSL106"/>
      <c r="NSM106"/>
      <c r="NSN106"/>
      <c r="NSO106"/>
      <c r="NSP106"/>
      <c r="NSQ106"/>
      <c r="NSR106"/>
      <c r="NSS106"/>
      <c r="NST106"/>
      <c r="NSU106"/>
      <c r="NSV106"/>
      <c r="NSW106"/>
      <c r="NSX106"/>
      <c r="NSY106"/>
      <c r="NSZ106"/>
      <c r="NTA106"/>
      <c r="NTB106"/>
      <c r="NTC106"/>
      <c r="NTD106"/>
      <c r="NTE106"/>
      <c r="NTF106"/>
      <c r="NTG106"/>
      <c r="NTH106"/>
      <c r="NTI106"/>
      <c r="NTJ106"/>
      <c r="NTK106"/>
      <c r="NTL106"/>
      <c r="NTM106"/>
      <c r="NTN106"/>
      <c r="NTO106"/>
      <c r="NTP106"/>
      <c r="NTQ106"/>
      <c r="NTR106"/>
      <c r="NTS106"/>
      <c r="NTT106"/>
      <c r="NTU106"/>
      <c r="NTV106"/>
      <c r="NTW106"/>
      <c r="NTX106"/>
      <c r="NTY106"/>
      <c r="NTZ106"/>
      <c r="NUA106"/>
      <c r="NUB106"/>
      <c r="NUC106"/>
      <c r="NUD106"/>
      <c r="NUE106"/>
      <c r="NUF106"/>
      <c r="NUG106"/>
      <c r="NUH106"/>
      <c r="NUI106"/>
      <c r="NUJ106"/>
      <c r="NUK106"/>
      <c r="NUL106"/>
      <c r="NUM106"/>
      <c r="NUN106"/>
      <c r="NUO106"/>
      <c r="NUP106"/>
      <c r="NUQ106"/>
      <c r="NUR106"/>
      <c r="NUS106"/>
      <c r="NUT106"/>
      <c r="NUU106"/>
      <c r="NUV106"/>
      <c r="NUW106"/>
      <c r="NUX106"/>
      <c r="NUY106"/>
      <c r="NUZ106"/>
      <c r="NVA106"/>
      <c r="NVB106"/>
      <c r="NVC106"/>
      <c r="NVD106"/>
      <c r="NVE106"/>
      <c r="NVF106"/>
      <c r="NVG106"/>
      <c r="NVH106"/>
      <c r="NVI106"/>
      <c r="NVJ106"/>
      <c r="NVK106"/>
      <c r="NVL106"/>
      <c r="NVM106"/>
      <c r="NVN106"/>
      <c r="NVO106"/>
      <c r="NVP106"/>
      <c r="NVQ106"/>
      <c r="NVR106"/>
      <c r="NVS106"/>
      <c r="NVT106"/>
      <c r="NVU106"/>
      <c r="NVV106"/>
      <c r="NVW106"/>
      <c r="NVX106"/>
      <c r="NVY106"/>
      <c r="NVZ106"/>
      <c r="NWA106"/>
      <c r="NWB106"/>
      <c r="NWC106"/>
      <c r="NWD106"/>
      <c r="NWE106"/>
      <c r="NWF106"/>
      <c r="NWG106"/>
      <c r="NWH106"/>
      <c r="NWI106"/>
      <c r="NWJ106"/>
      <c r="NWK106"/>
      <c r="NWL106"/>
      <c r="NWM106"/>
      <c r="NWN106"/>
      <c r="NWO106"/>
      <c r="NWP106"/>
      <c r="NWQ106"/>
      <c r="NWR106"/>
      <c r="NWS106"/>
      <c r="NWT106"/>
      <c r="NWU106"/>
      <c r="NWV106"/>
      <c r="NWW106"/>
      <c r="NWX106"/>
      <c r="NWY106"/>
      <c r="NWZ106"/>
      <c r="NXA106"/>
      <c r="NXB106"/>
      <c r="NXC106"/>
      <c r="NXD106"/>
      <c r="NXE106"/>
      <c r="NXF106"/>
      <c r="NXG106"/>
      <c r="NXH106"/>
      <c r="NXI106"/>
      <c r="NXJ106"/>
      <c r="NXK106"/>
      <c r="NXL106"/>
      <c r="NXM106"/>
      <c r="NXN106"/>
      <c r="NXO106"/>
      <c r="NXP106"/>
      <c r="NXQ106"/>
      <c r="NXR106"/>
      <c r="NXS106"/>
      <c r="NXT106"/>
      <c r="NXU106"/>
      <c r="NXV106"/>
      <c r="NXW106"/>
      <c r="NXX106"/>
      <c r="NXY106"/>
      <c r="NXZ106"/>
      <c r="NYA106"/>
      <c r="NYB106"/>
      <c r="NYC106"/>
      <c r="NYD106"/>
      <c r="NYE106"/>
      <c r="NYF106"/>
      <c r="NYG106"/>
      <c r="NYH106"/>
      <c r="NYI106"/>
      <c r="NYJ106"/>
      <c r="NYK106"/>
      <c r="NYL106"/>
      <c r="NYM106"/>
      <c r="NYN106"/>
      <c r="NYO106"/>
      <c r="NYP106"/>
      <c r="NYQ106"/>
      <c r="NYR106"/>
      <c r="NYS106"/>
      <c r="NYT106"/>
      <c r="NYU106"/>
      <c r="NYV106"/>
      <c r="NYW106"/>
      <c r="NYX106"/>
      <c r="NYY106"/>
      <c r="NYZ106"/>
      <c r="NZA106"/>
      <c r="NZB106"/>
      <c r="NZC106"/>
      <c r="NZD106"/>
      <c r="NZE106"/>
      <c r="NZF106"/>
      <c r="NZG106"/>
      <c r="NZH106"/>
      <c r="NZI106"/>
      <c r="NZJ106"/>
      <c r="NZK106"/>
      <c r="NZL106"/>
      <c r="NZM106"/>
      <c r="NZN106"/>
      <c r="NZO106"/>
      <c r="NZP106"/>
      <c r="NZQ106"/>
      <c r="NZR106"/>
      <c r="NZS106"/>
      <c r="NZT106"/>
      <c r="NZU106"/>
      <c r="NZV106"/>
      <c r="NZW106"/>
      <c r="NZX106"/>
      <c r="NZY106"/>
      <c r="NZZ106"/>
      <c r="OAA106"/>
      <c r="OAB106"/>
      <c r="OAC106"/>
      <c r="OAD106"/>
      <c r="OAE106"/>
      <c r="OAF106"/>
      <c r="OAG106"/>
      <c r="OAH106"/>
      <c r="OAI106"/>
      <c r="OAJ106"/>
      <c r="OAK106"/>
      <c r="OAL106"/>
      <c r="OAM106"/>
      <c r="OAN106"/>
      <c r="OAO106"/>
      <c r="OAP106"/>
      <c r="OAQ106"/>
      <c r="OAR106"/>
      <c r="OAS106"/>
      <c r="OAT106"/>
      <c r="OAU106"/>
      <c r="OAV106"/>
      <c r="OAW106"/>
      <c r="OAX106"/>
      <c r="OAY106"/>
      <c r="OAZ106"/>
      <c r="OBA106"/>
      <c r="OBB106"/>
      <c r="OBC106"/>
      <c r="OBD106"/>
      <c r="OBE106"/>
      <c r="OBF106"/>
      <c r="OBG106"/>
      <c r="OBH106"/>
      <c r="OBI106"/>
      <c r="OBJ106"/>
      <c r="OBK106"/>
      <c r="OBL106"/>
      <c r="OBM106"/>
      <c r="OBN106"/>
      <c r="OBO106"/>
      <c r="OBP106"/>
      <c r="OBQ106"/>
      <c r="OBR106"/>
      <c r="OBS106"/>
      <c r="OBT106"/>
      <c r="OBU106"/>
      <c r="OBV106"/>
      <c r="OBW106"/>
      <c r="OBX106"/>
      <c r="OBY106"/>
      <c r="OBZ106"/>
      <c r="OCA106"/>
      <c r="OCB106"/>
      <c r="OCC106"/>
      <c r="OCD106"/>
      <c r="OCE106"/>
      <c r="OCF106"/>
      <c r="OCG106"/>
      <c r="OCH106"/>
      <c r="OCI106"/>
      <c r="OCJ106"/>
      <c r="OCK106"/>
      <c r="OCL106"/>
      <c r="OCM106"/>
      <c r="OCN106"/>
      <c r="OCO106"/>
      <c r="OCP106"/>
      <c r="OCQ106"/>
      <c r="OCR106"/>
      <c r="OCS106"/>
      <c r="OCT106"/>
      <c r="OCU106"/>
      <c r="OCV106"/>
      <c r="OCW106"/>
      <c r="OCX106"/>
      <c r="OCY106"/>
      <c r="OCZ106"/>
      <c r="ODA106"/>
      <c r="ODB106"/>
      <c r="ODC106"/>
      <c r="ODD106"/>
      <c r="ODE106"/>
      <c r="ODF106"/>
      <c r="ODG106"/>
      <c r="ODH106"/>
      <c r="ODI106"/>
      <c r="ODJ106"/>
      <c r="ODK106"/>
      <c r="ODL106"/>
      <c r="ODM106"/>
      <c r="ODN106"/>
      <c r="ODO106"/>
      <c r="ODP106"/>
      <c r="ODQ106"/>
      <c r="ODR106"/>
      <c r="ODS106"/>
      <c r="ODT106"/>
      <c r="ODU106"/>
      <c r="ODV106"/>
      <c r="ODW106"/>
      <c r="ODX106"/>
      <c r="ODY106"/>
      <c r="ODZ106"/>
      <c r="OEA106"/>
      <c r="OEB106"/>
      <c r="OEC106"/>
      <c r="OED106"/>
      <c r="OEE106"/>
      <c r="OEF106"/>
      <c r="OEG106"/>
      <c r="OEH106"/>
      <c r="OEI106"/>
      <c r="OEJ106"/>
      <c r="OEK106"/>
      <c r="OEL106"/>
      <c r="OEM106"/>
      <c r="OEN106"/>
      <c r="OEO106"/>
      <c r="OEP106"/>
      <c r="OEQ106"/>
      <c r="OER106"/>
      <c r="OES106"/>
      <c r="OET106"/>
      <c r="OEU106"/>
      <c r="OEV106"/>
      <c r="OEW106"/>
      <c r="OEX106"/>
      <c r="OEY106"/>
      <c r="OEZ106"/>
      <c r="OFA106"/>
      <c r="OFB106"/>
      <c r="OFC106"/>
      <c r="OFD106"/>
      <c r="OFE106"/>
      <c r="OFF106"/>
      <c r="OFG106"/>
      <c r="OFH106"/>
      <c r="OFI106"/>
      <c r="OFJ106"/>
      <c r="OFK106"/>
      <c r="OFL106"/>
      <c r="OFM106"/>
      <c r="OFN106"/>
      <c r="OFO106"/>
      <c r="OFP106"/>
      <c r="OFQ106"/>
      <c r="OFR106"/>
      <c r="OFS106"/>
      <c r="OFT106"/>
      <c r="OFU106"/>
      <c r="OFV106"/>
      <c r="OFW106"/>
      <c r="OFX106"/>
      <c r="OFY106"/>
      <c r="OFZ106"/>
      <c r="OGA106"/>
      <c r="OGB106"/>
      <c r="OGC106"/>
      <c r="OGD106"/>
      <c r="OGE106"/>
      <c r="OGF106"/>
      <c r="OGG106"/>
      <c r="OGH106"/>
      <c r="OGI106"/>
      <c r="OGJ106"/>
      <c r="OGK106"/>
      <c r="OGL106"/>
      <c r="OGM106"/>
      <c r="OGN106"/>
      <c r="OGO106"/>
      <c r="OGP106"/>
      <c r="OGQ106"/>
      <c r="OGR106"/>
      <c r="OGS106"/>
      <c r="OGT106"/>
      <c r="OGU106"/>
      <c r="OGV106"/>
      <c r="OGW106"/>
      <c r="OGX106"/>
      <c r="OGY106"/>
      <c r="OGZ106"/>
      <c r="OHA106"/>
      <c r="OHB106"/>
      <c r="OHC106"/>
      <c r="OHD106"/>
      <c r="OHE106"/>
      <c r="OHF106"/>
      <c r="OHG106"/>
      <c r="OHH106"/>
      <c r="OHI106"/>
      <c r="OHJ106"/>
      <c r="OHK106"/>
      <c r="OHL106"/>
      <c r="OHM106"/>
      <c r="OHN106"/>
      <c r="OHO106"/>
      <c r="OHP106"/>
      <c r="OHQ106"/>
      <c r="OHR106"/>
      <c r="OHS106"/>
      <c r="OHT106"/>
      <c r="OHU106"/>
      <c r="OHV106"/>
      <c r="OHW106"/>
      <c r="OHX106"/>
      <c r="OHY106"/>
      <c r="OHZ106"/>
      <c r="OIA106"/>
      <c r="OIB106"/>
      <c r="OIC106"/>
      <c r="OID106"/>
      <c r="OIE106"/>
      <c r="OIF106"/>
      <c r="OIG106"/>
      <c r="OIH106"/>
      <c r="OII106"/>
      <c r="OIJ106"/>
      <c r="OIK106"/>
      <c r="OIL106"/>
      <c r="OIM106"/>
      <c r="OIN106"/>
      <c r="OIO106"/>
      <c r="OIP106"/>
      <c r="OIQ106"/>
      <c r="OIR106"/>
      <c r="OIS106"/>
      <c r="OIT106"/>
      <c r="OIU106"/>
      <c r="OIV106"/>
      <c r="OIW106"/>
      <c r="OIX106"/>
      <c r="OIY106"/>
      <c r="OIZ106"/>
      <c r="OJA106"/>
      <c r="OJB106"/>
      <c r="OJC106"/>
      <c r="OJD106"/>
      <c r="OJE106"/>
      <c r="OJF106"/>
      <c r="OJG106"/>
      <c r="OJH106"/>
      <c r="OJI106"/>
      <c r="OJJ106"/>
      <c r="OJK106"/>
      <c r="OJL106"/>
      <c r="OJM106"/>
      <c r="OJN106"/>
      <c r="OJO106"/>
      <c r="OJP106"/>
      <c r="OJQ106"/>
      <c r="OJR106"/>
      <c r="OJS106"/>
      <c r="OJT106"/>
      <c r="OJU106"/>
      <c r="OJV106"/>
      <c r="OJW106"/>
      <c r="OJX106"/>
      <c r="OJY106"/>
      <c r="OJZ106"/>
      <c r="OKA106"/>
      <c r="OKB106"/>
      <c r="OKC106"/>
      <c r="OKD106"/>
      <c r="OKE106"/>
      <c r="OKF106"/>
      <c r="OKG106"/>
      <c r="OKH106"/>
      <c r="OKI106"/>
      <c r="OKJ106"/>
      <c r="OKK106"/>
      <c r="OKL106"/>
      <c r="OKM106"/>
      <c r="OKN106"/>
      <c r="OKO106"/>
      <c r="OKP106"/>
      <c r="OKQ106"/>
      <c r="OKR106"/>
      <c r="OKS106"/>
      <c r="OKT106"/>
      <c r="OKU106"/>
      <c r="OKV106"/>
      <c r="OKW106"/>
      <c r="OKX106"/>
      <c r="OKY106"/>
      <c r="OKZ106"/>
      <c r="OLA106"/>
      <c r="OLB106"/>
      <c r="OLC106"/>
      <c r="OLD106"/>
      <c r="OLE106"/>
      <c r="OLF106"/>
      <c r="OLG106"/>
      <c r="OLH106"/>
      <c r="OLI106"/>
      <c r="OLJ106"/>
      <c r="OLK106"/>
      <c r="OLL106"/>
      <c r="OLM106"/>
      <c r="OLN106"/>
      <c r="OLO106"/>
      <c r="OLP106"/>
      <c r="OLQ106"/>
      <c r="OLR106"/>
      <c r="OLS106"/>
      <c r="OLT106"/>
      <c r="OLU106"/>
      <c r="OLV106"/>
      <c r="OLW106"/>
      <c r="OLX106"/>
      <c r="OLY106"/>
      <c r="OLZ106"/>
      <c r="OMA106"/>
      <c r="OMB106"/>
      <c r="OMC106"/>
      <c r="OMD106"/>
      <c r="OME106"/>
      <c r="OMF106"/>
      <c r="OMG106"/>
      <c r="OMH106"/>
      <c r="OMI106"/>
      <c r="OMJ106"/>
      <c r="OMK106"/>
      <c r="OML106"/>
      <c r="OMM106"/>
      <c r="OMN106"/>
      <c r="OMO106"/>
      <c r="OMP106"/>
      <c r="OMQ106"/>
      <c r="OMR106"/>
      <c r="OMS106"/>
      <c r="OMT106"/>
      <c r="OMU106"/>
      <c r="OMV106"/>
      <c r="OMW106"/>
      <c r="OMX106"/>
      <c r="OMY106"/>
      <c r="OMZ106"/>
      <c r="ONA106"/>
      <c r="ONB106"/>
      <c r="ONC106"/>
      <c r="OND106"/>
      <c r="ONE106"/>
      <c r="ONF106"/>
      <c r="ONG106"/>
      <c r="ONH106"/>
      <c r="ONI106"/>
      <c r="ONJ106"/>
      <c r="ONK106"/>
      <c r="ONL106"/>
      <c r="ONM106"/>
      <c r="ONN106"/>
      <c r="ONO106"/>
      <c r="ONP106"/>
      <c r="ONQ106"/>
      <c r="ONR106"/>
      <c r="ONS106"/>
      <c r="ONT106"/>
      <c r="ONU106"/>
      <c r="ONV106"/>
      <c r="ONW106"/>
      <c r="ONX106"/>
      <c r="ONY106"/>
      <c r="ONZ106"/>
      <c r="OOA106"/>
      <c r="OOB106"/>
      <c r="OOC106"/>
      <c r="OOD106"/>
      <c r="OOE106"/>
      <c r="OOF106"/>
      <c r="OOG106"/>
      <c r="OOH106"/>
      <c r="OOI106"/>
      <c r="OOJ106"/>
      <c r="OOK106"/>
      <c r="OOL106"/>
      <c r="OOM106"/>
      <c r="OON106"/>
      <c r="OOO106"/>
      <c r="OOP106"/>
      <c r="OOQ106"/>
      <c r="OOR106"/>
      <c r="OOS106"/>
      <c r="OOT106"/>
      <c r="OOU106"/>
      <c r="OOV106"/>
      <c r="OOW106"/>
      <c r="OOX106"/>
      <c r="OOY106"/>
      <c r="OOZ106"/>
      <c r="OPA106"/>
      <c r="OPB106"/>
      <c r="OPC106"/>
      <c r="OPD106"/>
      <c r="OPE106"/>
      <c r="OPF106"/>
      <c r="OPG106"/>
      <c r="OPH106"/>
      <c r="OPI106"/>
      <c r="OPJ106"/>
      <c r="OPK106"/>
      <c r="OPL106"/>
      <c r="OPM106"/>
      <c r="OPN106"/>
      <c r="OPO106"/>
      <c r="OPP106"/>
      <c r="OPQ106"/>
      <c r="OPR106"/>
      <c r="OPS106"/>
      <c r="OPT106"/>
      <c r="OPU106"/>
      <c r="OPV106"/>
      <c r="OPW106"/>
      <c r="OPX106"/>
      <c r="OPY106"/>
      <c r="OPZ106"/>
      <c r="OQA106"/>
      <c r="OQB106"/>
      <c r="OQC106"/>
      <c r="OQD106"/>
      <c r="OQE106"/>
      <c r="OQF106"/>
      <c r="OQG106"/>
      <c r="OQH106"/>
      <c r="OQI106"/>
      <c r="OQJ106"/>
      <c r="OQK106"/>
      <c r="OQL106"/>
      <c r="OQM106"/>
      <c r="OQN106"/>
      <c r="OQO106"/>
      <c r="OQP106"/>
      <c r="OQQ106"/>
      <c r="OQR106"/>
      <c r="OQS106"/>
      <c r="OQT106"/>
      <c r="OQU106"/>
      <c r="OQV106"/>
      <c r="OQW106"/>
      <c r="OQX106"/>
      <c r="OQY106"/>
      <c r="OQZ106"/>
      <c r="ORA106"/>
      <c r="ORB106"/>
      <c r="ORC106"/>
      <c r="ORD106"/>
      <c r="ORE106"/>
      <c r="ORF106"/>
      <c r="ORG106"/>
      <c r="ORH106"/>
      <c r="ORI106"/>
      <c r="ORJ106"/>
      <c r="ORK106"/>
      <c r="ORL106"/>
      <c r="ORM106"/>
      <c r="ORN106"/>
      <c r="ORO106"/>
      <c r="ORP106"/>
      <c r="ORQ106"/>
      <c r="ORR106"/>
      <c r="ORS106"/>
      <c r="ORT106"/>
      <c r="ORU106"/>
      <c r="ORV106"/>
      <c r="ORW106"/>
      <c r="ORX106"/>
      <c r="ORY106"/>
      <c r="ORZ106"/>
      <c r="OSA106"/>
      <c r="OSB106"/>
      <c r="OSC106"/>
      <c r="OSD106"/>
      <c r="OSE106"/>
      <c r="OSF106"/>
      <c r="OSG106"/>
      <c r="OSH106"/>
      <c r="OSI106"/>
      <c r="OSJ106"/>
      <c r="OSK106"/>
      <c r="OSL106"/>
      <c r="OSM106"/>
      <c r="OSN106"/>
      <c r="OSO106"/>
      <c r="OSP106"/>
      <c r="OSQ106"/>
      <c r="OSR106"/>
      <c r="OSS106"/>
      <c r="OST106"/>
      <c r="OSU106"/>
      <c r="OSV106"/>
      <c r="OSW106"/>
      <c r="OSX106"/>
      <c r="OSY106"/>
      <c r="OSZ106"/>
      <c r="OTA106"/>
      <c r="OTB106"/>
      <c r="OTC106"/>
      <c r="OTD106"/>
      <c r="OTE106"/>
      <c r="OTF106"/>
      <c r="OTG106"/>
      <c r="OTH106"/>
      <c r="OTI106"/>
      <c r="OTJ106"/>
      <c r="OTK106"/>
      <c r="OTL106"/>
      <c r="OTM106"/>
      <c r="OTN106"/>
      <c r="OTO106"/>
      <c r="OTP106"/>
      <c r="OTQ106"/>
      <c r="OTR106"/>
      <c r="OTS106"/>
      <c r="OTT106"/>
      <c r="OTU106"/>
      <c r="OTV106"/>
      <c r="OTW106"/>
      <c r="OTX106"/>
      <c r="OTY106"/>
      <c r="OTZ106"/>
      <c r="OUA106"/>
      <c r="OUB106"/>
      <c r="OUC106"/>
      <c r="OUD106"/>
      <c r="OUE106"/>
      <c r="OUF106"/>
      <c r="OUG106"/>
      <c r="OUH106"/>
      <c r="OUI106"/>
      <c r="OUJ106"/>
      <c r="OUK106"/>
      <c r="OUL106"/>
      <c r="OUM106"/>
      <c r="OUN106"/>
      <c r="OUO106"/>
      <c r="OUP106"/>
      <c r="OUQ106"/>
      <c r="OUR106"/>
      <c r="OUS106"/>
      <c r="OUT106"/>
      <c r="OUU106"/>
      <c r="OUV106"/>
      <c r="OUW106"/>
      <c r="OUX106"/>
      <c r="OUY106"/>
      <c r="OUZ106"/>
      <c r="OVA106"/>
      <c r="OVB106"/>
      <c r="OVC106"/>
      <c r="OVD106"/>
      <c r="OVE106"/>
      <c r="OVF106"/>
      <c r="OVG106"/>
      <c r="OVH106"/>
      <c r="OVI106"/>
      <c r="OVJ106"/>
      <c r="OVK106"/>
      <c r="OVL106"/>
      <c r="OVM106"/>
      <c r="OVN106"/>
      <c r="OVO106"/>
      <c r="OVP106"/>
      <c r="OVQ106"/>
      <c r="OVR106"/>
      <c r="OVS106"/>
      <c r="OVT106"/>
      <c r="OVU106"/>
      <c r="OVV106"/>
      <c r="OVW106"/>
      <c r="OVX106"/>
      <c r="OVY106"/>
      <c r="OVZ106"/>
      <c r="OWA106"/>
      <c r="OWB106"/>
      <c r="OWC106"/>
      <c r="OWD106"/>
      <c r="OWE106"/>
      <c r="OWF106"/>
      <c r="OWG106"/>
      <c r="OWH106"/>
      <c r="OWI106"/>
      <c r="OWJ106"/>
      <c r="OWK106"/>
      <c r="OWL106"/>
      <c r="OWM106"/>
      <c r="OWN106"/>
      <c r="OWO106"/>
      <c r="OWP106"/>
      <c r="OWQ106"/>
      <c r="OWR106"/>
      <c r="OWS106"/>
      <c r="OWT106"/>
      <c r="OWU106"/>
      <c r="OWV106"/>
      <c r="OWW106"/>
      <c r="OWX106"/>
      <c r="OWY106"/>
      <c r="OWZ106"/>
      <c r="OXA106"/>
      <c r="OXB106"/>
      <c r="OXC106"/>
      <c r="OXD106"/>
      <c r="OXE106"/>
      <c r="OXF106"/>
      <c r="OXG106"/>
      <c r="OXH106"/>
      <c r="OXI106"/>
      <c r="OXJ106"/>
      <c r="OXK106"/>
      <c r="OXL106"/>
      <c r="OXM106"/>
      <c r="OXN106"/>
      <c r="OXO106"/>
      <c r="OXP106"/>
      <c r="OXQ106"/>
      <c r="OXR106"/>
      <c r="OXS106"/>
      <c r="OXT106"/>
      <c r="OXU106"/>
      <c r="OXV106"/>
      <c r="OXW106"/>
      <c r="OXX106"/>
      <c r="OXY106"/>
      <c r="OXZ106"/>
      <c r="OYA106"/>
      <c r="OYB106"/>
      <c r="OYC106"/>
      <c r="OYD106"/>
      <c r="OYE106"/>
      <c r="OYF106"/>
      <c r="OYG106"/>
      <c r="OYH106"/>
      <c r="OYI106"/>
      <c r="OYJ106"/>
      <c r="OYK106"/>
      <c r="OYL106"/>
      <c r="OYM106"/>
      <c r="OYN106"/>
      <c r="OYO106"/>
      <c r="OYP106"/>
      <c r="OYQ106"/>
      <c r="OYR106"/>
      <c r="OYS106"/>
      <c r="OYT106"/>
      <c r="OYU106"/>
      <c r="OYV106"/>
      <c r="OYW106"/>
      <c r="OYX106"/>
      <c r="OYY106"/>
      <c r="OYZ106"/>
      <c r="OZA106"/>
      <c r="OZB106"/>
      <c r="OZC106"/>
      <c r="OZD106"/>
      <c r="OZE106"/>
      <c r="OZF106"/>
      <c r="OZG106"/>
      <c r="OZH106"/>
      <c r="OZI106"/>
      <c r="OZJ106"/>
      <c r="OZK106"/>
      <c r="OZL106"/>
      <c r="OZM106"/>
      <c r="OZN106"/>
      <c r="OZO106"/>
      <c r="OZP106"/>
      <c r="OZQ106"/>
      <c r="OZR106"/>
      <c r="OZS106"/>
      <c r="OZT106"/>
      <c r="OZU106"/>
      <c r="OZV106"/>
      <c r="OZW106"/>
      <c r="OZX106"/>
      <c r="OZY106"/>
      <c r="OZZ106"/>
      <c r="PAA106"/>
      <c r="PAB106"/>
      <c r="PAC106"/>
      <c r="PAD106"/>
      <c r="PAE106"/>
      <c r="PAF106"/>
      <c r="PAG106"/>
      <c r="PAH106"/>
      <c r="PAI106"/>
      <c r="PAJ106"/>
      <c r="PAK106"/>
      <c r="PAL106"/>
      <c r="PAM106"/>
      <c r="PAN106"/>
      <c r="PAO106"/>
      <c r="PAP106"/>
      <c r="PAQ106"/>
      <c r="PAR106"/>
      <c r="PAS106"/>
      <c r="PAT106"/>
      <c r="PAU106"/>
      <c r="PAV106"/>
      <c r="PAW106"/>
      <c r="PAX106"/>
      <c r="PAY106"/>
      <c r="PAZ106"/>
      <c r="PBA106"/>
      <c r="PBB106"/>
      <c r="PBC106"/>
      <c r="PBD106"/>
      <c r="PBE106"/>
      <c r="PBF106"/>
      <c r="PBG106"/>
      <c r="PBH106"/>
      <c r="PBI106"/>
      <c r="PBJ106"/>
      <c r="PBK106"/>
      <c r="PBL106"/>
      <c r="PBM106"/>
      <c r="PBN106"/>
      <c r="PBO106"/>
      <c r="PBP106"/>
      <c r="PBQ106"/>
      <c r="PBR106"/>
      <c r="PBS106"/>
      <c r="PBT106"/>
      <c r="PBU106"/>
      <c r="PBV106"/>
      <c r="PBW106"/>
      <c r="PBX106"/>
      <c r="PBY106"/>
      <c r="PBZ106"/>
      <c r="PCA106"/>
      <c r="PCB106"/>
      <c r="PCC106"/>
      <c r="PCD106"/>
      <c r="PCE106"/>
      <c r="PCF106"/>
      <c r="PCG106"/>
      <c r="PCH106"/>
      <c r="PCI106"/>
      <c r="PCJ106"/>
      <c r="PCK106"/>
      <c r="PCL106"/>
      <c r="PCM106"/>
      <c r="PCN106"/>
      <c r="PCO106"/>
      <c r="PCP106"/>
      <c r="PCQ106"/>
      <c r="PCR106"/>
      <c r="PCS106"/>
      <c r="PCT106"/>
      <c r="PCU106"/>
      <c r="PCV106"/>
      <c r="PCW106"/>
      <c r="PCX106"/>
      <c r="PCY106"/>
      <c r="PCZ106"/>
      <c r="PDA106"/>
      <c r="PDB106"/>
      <c r="PDC106"/>
      <c r="PDD106"/>
      <c r="PDE106"/>
      <c r="PDF106"/>
      <c r="PDG106"/>
      <c r="PDH106"/>
      <c r="PDI106"/>
      <c r="PDJ106"/>
      <c r="PDK106"/>
      <c r="PDL106"/>
      <c r="PDM106"/>
      <c r="PDN106"/>
      <c r="PDO106"/>
      <c r="PDP106"/>
      <c r="PDQ106"/>
      <c r="PDR106"/>
      <c r="PDS106"/>
      <c r="PDT106"/>
      <c r="PDU106"/>
      <c r="PDV106"/>
      <c r="PDW106"/>
      <c r="PDX106"/>
      <c r="PDY106"/>
      <c r="PDZ106"/>
      <c r="PEA106"/>
      <c r="PEB106"/>
      <c r="PEC106"/>
      <c r="PED106"/>
      <c r="PEE106"/>
      <c r="PEF106"/>
      <c r="PEG106"/>
      <c r="PEH106"/>
      <c r="PEI106"/>
      <c r="PEJ106"/>
      <c r="PEK106"/>
      <c r="PEL106"/>
      <c r="PEM106"/>
      <c r="PEN106"/>
      <c r="PEO106"/>
      <c r="PEP106"/>
      <c r="PEQ106"/>
      <c r="PER106"/>
      <c r="PES106"/>
      <c r="PET106"/>
      <c r="PEU106"/>
      <c r="PEV106"/>
      <c r="PEW106"/>
      <c r="PEX106"/>
      <c r="PEY106"/>
      <c r="PEZ106"/>
      <c r="PFA106"/>
      <c r="PFB106"/>
      <c r="PFC106"/>
      <c r="PFD106"/>
      <c r="PFE106"/>
      <c r="PFF106"/>
      <c r="PFG106"/>
      <c r="PFH106"/>
      <c r="PFI106"/>
      <c r="PFJ106"/>
      <c r="PFK106"/>
      <c r="PFL106"/>
      <c r="PFM106"/>
      <c r="PFN106"/>
      <c r="PFO106"/>
      <c r="PFP106"/>
      <c r="PFQ106"/>
      <c r="PFR106"/>
      <c r="PFS106"/>
      <c r="PFT106"/>
      <c r="PFU106"/>
      <c r="PFV106"/>
      <c r="PFW106"/>
      <c r="PFX106"/>
      <c r="PFY106"/>
      <c r="PFZ106"/>
      <c r="PGA106"/>
      <c r="PGB106"/>
      <c r="PGC106"/>
      <c r="PGD106"/>
      <c r="PGE106"/>
      <c r="PGF106"/>
      <c r="PGG106"/>
      <c r="PGH106"/>
      <c r="PGI106"/>
      <c r="PGJ106"/>
      <c r="PGK106"/>
      <c r="PGL106"/>
      <c r="PGM106"/>
      <c r="PGN106"/>
      <c r="PGO106"/>
      <c r="PGP106"/>
      <c r="PGQ106"/>
      <c r="PGR106"/>
      <c r="PGS106"/>
      <c r="PGT106"/>
      <c r="PGU106"/>
      <c r="PGV106"/>
      <c r="PGW106"/>
      <c r="PGX106"/>
      <c r="PGY106"/>
      <c r="PGZ106"/>
      <c r="PHA106"/>
      <c r="PHB106"/>
      <c r="PHC106"/>
      <c r="PHD106"/>
      <c r="PHE106"/>
      <c r="PHF106"/>
      <c r="PHG106"/>
      <c r="PHH106"/>
      <c r="PHI106"/>
      <c r="PHJ106"/>
      <c r="PHK106"/>
      <c r="PHL106"/>
      <c r="PHM106"/>
      <c r="PHN106"/>
      <c r="PHO106"/>
      <c r="PHP106"/>
      <c r="PHQ106"/>
      <c r="PHR106"/>
      <c r="PHS106"/>
      <c r="PHT106"/>
      <c r="PHU106"/>
      <c r="PHV106"/>
      <c r="PHW106"/>
      <c r="PHX106"/>
      <c r="PHY106"/>
      <c r="PHZ106"/>
      <c r="PIA106"/>
      <c r="PIB106"/>
      <c r="PIC106"/>
      <c r="PID106"/>
      <c r="PIE106"/>
      <c r="PIF106"/>
      <c r="PIG106"/>
      <c r="PIH106"/>
      <c r="PII106"/>
      <c r="PIJ106"/>
      <c r="PIK106"/>
      <c r="PIL106"/>
      <c r="PIM106"/>
      <c r="PIN106"/>
      <c r="PIO106"/>
      <c r="PIP106"/>
      <c r="PIQ106"/>
      <c r="PIR106"/>
      <c r="PIS106"/>
      <c r="PIT106"/>
      <c r="PIU106"/>
      <c r="PIV106"/>
      <c r="PIW106"/>
      <c r="PIX106"/>
      <c r="PIY106"/>
      <c r="PIZ106"/>
      <c r="PJA106"/>
      <c r="PJB106"/>
      <c r="PJC106"/>
      <c r="PJD106"/>
      <c r="PJE106"/>
      <c r="PJF106"/>
      <c r="PJG106"/>
      <c r="PJH106"/>
      <c r="PJI106"/>
      <c r="PJJ106"/>
      <c r="PJK106"/>
      <c r="PJL106"/>
      <c r="PJM106"/>
      <c r="PJN106"/>
      <c r="PJO106"/>
      <c r="PJP106"/>
      <c r="PJQ106"/>
      <c r="PJR106"/>
      <c r="PJS106"/>
      <c r="PJT106"/>
      <c r="PJU106"/>
      <c r="PJV106"/>
      <c r="PJW106"/>
      <c r="PJX106"/>
      <c r="PJY106"/>
      <c r="PJZ106"/>
      <c r="PKA106"/>
      <c r="PKB106"/>
      <c r="PKC106"/>
      <c r="PKD106"/>
      <c r="PKE106"/>
      <c r="PKF106"/>
      <c r="PKG106"/>
      <c r="PKH106"/>
      <c r="PKI106"/>
      <c r="PKJ106"/>
      <c r="PKK106"/>
      <c r="PKL106"/>
      <c r="PKM106"/>
      <c r="PKN106"/>
      <c r="PKO106"/>
      <c r="PKP106"/>
      <c r="PKQ106"/>
      <c r="PKR106"/>
      <c r="PKS106"/>
      <c r="PKT106"/>
      <c r="PKU106"/>
      <c r="PKV106"/>
      <c r="PKW106"/>
      <c r="PKX106"/>
      <c r="PKY106"/>
      <c r="PKZ106"/>
      <c r="PLA106"/>
      <c r="PLB106"/>
      <c r="PLC106"/>
      <c r="PLD106"/>
      <c r="PLE106"/>
      <c r="PLF106"/>
      <c r="PLG106"/>
      <c r="PLH106"/>
      <c r="PLI106"/>
      <c r="PLJ106"/>
      <c r="PLK106"/>
      <c r="PLL106"/>
      <c r="PLM106"/>
      <c r="PLN106"/>
      <c r="PLO106"/>
      <c r="PLP106"/>
      <c r="PLQ106"/>
      <c r="PLR106"/>
      <c r="PLS106"/>
      <c r="PLT106"/>
      <c r="PLU106"/>
      <c r="PLV106"/>
      <c r="PLW106"/>
      <c r="PLX106"/>
      <c r="PLY106"/>
      <c r="PLZ106"/>
      <c r="PMA106"/>
      <c r="PMB106"/>
      <c r="PMC106"/>
      <c r="PMD106"/>
      <c r="PME106"/>
      <c r="PMF106"/>
      <c r="PMG106"/>
      <c r="PMH106"/>
      <c r="PMI106"/>
      <c r="PMJ106"/>
      <c r="PMK106"/>
      <c r="PML106"/>
      <c r="PMM106"/>
      <c r="PMN106"/>
      <c r="PMO106"/>
      <c r="PMP106"/>
      <c r="PMQ106"/>
      <c r="PMR106"/>
      <c r="PMS106"/>
      <c r="PMT106"/>
      <c r="PMU106"/>
      <c r="PMV106"/>
      <c r="PMW106"/>
      <c r="PMX106"/>
      <c r="PMY106"/>
      <c r="PMZ106"/>
      <c r="PNA106"/>
      <c r="PNB106"/>
      <c r="PNC106"/>
      <c r="PND106"/>
      <c r="PNE106"/>
      <c r="PNF106"/>
      <c r="PNG106"/>
      <c r="PNH106"/>
      <c r="PNI106"/>
      <c r="PNJ106"/>
      <c r="PNK106"/>
      <c r="PNL106"/>
      <c r="PNM106"/>
      <c r="PNN106"/>
      <c r="PNO106"/>
      <c r="PNP106"/>
      <c r="PNQ106"/>
      <c r="PNR106"/>
      <c r="PNS106"/>
      <c r="PNT106"/>
      <c r="PNU106"/>
      <c r="PNV106"/>
      <c r="PNW106"/>
      <c r="PNX106"/>
      <c r="PNY106"/>
      <c r="PNZ106"/>
      <c r="POA106"/>
      <c r="POB106"/>
      <c r="POC106"/>
      <c r="POD106"/>
      <c r="POE106"/>
      <c r="POF106"/>
      <c r="POG106"/>
      <c r="POH106"/>
      <c r="POI106"/>
      <c r="POJ106"/>
      <c r="POK106"/>
      <c r="POL106"/>
      <c r="POM106"/>
      <c r="PON106"/>
      <c r="POO106"/>
      <c r="POP106"/>
      <c r="POQ106"/>
      <c r="POR106"/>
      <c r="POS106"/>
      <c r="POT106"/>
      <c r="POU106"/>
      <c r="POV106"/>
      <c r="POW106"/>
      <c r="POX106"/>
      <c r="POY106"/>
      <c r="POZ106"/>
      <c r="PPA106"/>
      <c r="PPB106"/>
      <c r="PPC106"/>
      <c r="PPD106"/>
      <c r="PPE106"/>
      <c r="PPF106"/>
      <c r="PPG106"/>
      <c r="PPH106"/>
      <c r="PPI106"/>
      <c r="PPJ106"/>
      <c r="PPK106"/>
      <c r="PPL106"/>
      <c r="PPM106"/>
      <c r="PPN106"/>
      <c r="PPO106"/>
      <c r="PPP106"/>
      <c r="PPQ106"/>
      <c r="PPR106"/>
      <c r="PPS106"/>
      <c r="PPT106"/>
      <c r="PPU106"/>
      <c r="PPV106"/>
      <c r="PPW106"/>
      <c r="PPX106"/>
      <c r="PPY106"/>
      <c r="PPZ106"/>
      <c r="PQA106"/>
      <c r="PQB106"/>
      <c r="PQC106"/>
      <c r="PQD106"/>
      <c r="PQE106"/>
      <c r="PQF106"/>
      <c r="PQG106"/>
      <c r="PQH106"/>
      <c r="PQI106"/>
      <c r="PQJ106"/>
      <c r="PQK106"/>
      <c r="PQL106"/>
      <c r="PQM106"/>
      <c r="PQN106"/>
      <c r="PQO106"/>
      <c r="PQP106"/>
      <c r="PQQ106"/>
      <c r="PQR106"/>
      <c r="PQS106"/>
      <c r="PQT106"/>
      <c r="PQU106"/>
      <c r="PQV106"/>
      <c r="PQW106"/>
      <c r="PQX106"/>
      <c r="PQY106"/>
      <c r="PQZ106"/>
      <c r="PRA106"/>
      <c r="PRB106"/>
      <c r="PRC106"/>
      <c r="PRD106"/>
      <c r="PRE106"/>
      <c r="PRF106"/>
      <c r="PRG106"/>
      <c r="PRH106"/>
      <c r="PRI106"/>
      <c r="PRJ106"/>
      <c r="PRK106"/>
      <c r="PRL106"/>
      <c r="PRM106"/>
      <c r="PRN106"/>
      <c r="PRO106"/>
      <c r="PRP106"/>
      <c r="PRQ106"/>
      <c r="PRR106"/>
      <c r="PRS106"/>
      <c r="PRT106"/>
      <c r="PRU106"/>
      <c r="PRV106"/>
      <c r="PRW106"/>
      <c r="PRX106"/>
      <c r="PRY106"/>
      <c r="PRZ106"/>
      <c r="PSA106"/>
      <c r="PSB106"/>
      <c r="PSC106"/>
      <c r="PSD106"/>
      <c r="PSE106"/>
      <c r="PSF106"/>
      <c r="PSG106"/>
      <c r="PSH106"/>
      <c r="PSI106"/>
      <c r="PSJ106"/>
      <c r="PSK106"/>
      <c r="PSL106"/>
      <c r="PSM106"/>
      <c r="PSN106"/>
      <c r="PSO106"/>
      <c r="PSP106"/>
      <c r="PSQ106"/>
      <c r="PSR106"/>
      <c r="PSS106"/>
      <c r="PST106"/>
      <c r="PSU106"/>
      <c r="PSV106"/>
      <c r="PSW106"/>
      <c r="PSX106"/>
      <c r="PSY106"/>
      <c r="PSZ106"/>
      <c r="PTA106"/>
      <c r="PTB106"/>
      <c r="PTC106"/>
      <c r="PTD106"/>
      <c r="PTE106"/>
      <c r="PTF106"/>
      <c r="PTG106"/>
      <c r="PTH106"/>
      <c r="PTI106"/>
      <c r="PTJ106"/>
      <c r="PTK106"/>
      <c r="PTL106"/>
      <c r="PTM106"/>
      <c r="PTN106"/>
      <c r="PTO106"/>
      <c r="PTP106"/>
      <c r="PTQ106"/>
      <c r="PTR106"/>
      <c r="PTS106"/>
      <c r="PTT106"/>
      <c r="PTU106"/>
      <c r="PTV106"/>
      <c r="PTW106"/>
      <c r="PTX106"/>
      <c r="PTY106"/>
      <c r="PTZ106"/>
      <c r="PUA106"/>
      <c r="PUB106"/>
      <c r="PUC106"/>
      <c r="PUD106"/>
      <c r="PUE106"/>
      <c r="PUF106"/>
      <c r="PUG106"/>
      <c r="PUH106"/>
      <c r="PUI106"/>
      <c r="PUJ106"/>
      <c r="PUK106"/>
      <c r="PUL106"/>
      <c r="PUM106"/>
      <c r="PUN106"/>
      <c r="PUO106"/>
      <c r="PUP106"/>
      <c r="PUQ106"/>
      <c r="PUR106"/>
      <c r="PUS106"/>
      <c r="PUT106"/>
      <c r="PUU106"/>
      <c r="PUV106"/>
      <c r="PUW106"/>
      <c r="PUX106"/>
      <c r="PUY106"/>
      <c r="PUZ106"/>
      <c r="PVA106"/>
      <c r="PVB106"/>
      <c r="PVC106"/>
      <c r="PVD106"/>
      <c r="PVE106"/>
      <c r="PVF106"/>
      <c r="PVG106"/>
      <c r="PVH106"/>
      <c r="PVI106"/>
      <c r="PVJ106"/>
      <c r="PVK106"/>
      <c r="PVL106"/>
      <c r="PVM106"/>
      <c r="PVN106"/>
      <c r="PVO106"/>
      <c r="PVP106"/>
      <c r="PVQ106"/>
      <c r="PVR106"/>
      <c r="PVS106"/>
      <c r="PVT106"/>
      <c r="PVU106"/>
      <c r="PVV106"/>
      <c r="PVW106"/>
      <c r="PVX106"/>
      <c r="PVY106"/>
      <c r="PVZ106"/>
      <c r="PWA106"/>
      <c r="PWB106"/>
      <c r="PWC106"/>
      <c r="PWD106"/>
      <c r="PWE106"/>
      <c r="PWF106"/>
      <c r="PWG106"/>
      <c r="PWH106"/>
      <c r="PWI106"/>
      <c r="PWJ106"/>
      <c r="PWK106"/>
      <c r="PWL106"/>
      <c r="PWM106"/>
      <c r="PWN106"/>
      <c r="PWO106"/>
      <c r="PWP106"/>
      <c r="PWQ106"/>
      <c r="PWR106"/>
      <c r="PWS106"/>
      <c r="PWT106"/>
      <c r="PWU106"/>
      <c r="PWV106"/>
      <c r="PWW106"/>
      <c r="PWX106"/>
      <c r="PWY106"/>
      <c r="PWZ106"/>
      <c r="PXA106"/>
      <c r="PXB106"/>
      <c r="PXC106"/>
      <c r="PXD106"/>
      <c r="PXE106"/>
      <c r="PXF106"/>
      <c r="PXG106"/>
      <c r="PXH106"/>
      <c r="PXI106"/>
      <c r="PXJ106"/>
      <c r="PXK106"/>
      <c r="PXL106"/>
      <c r="PXM106"/>
      <c r="PXN106"/>
      <c r="PXO106"/>
      <c r="PXP106"/>
      <c r="PXQ106"/>
      <c r="PXR106"/>
      <c r="PXS106"/>
      <c r="PXT106"/>
      <c r="PXU106"/>
      <c r="PXV106"/>
      <c r="PXW106"/>
      <c r="PXX106"/>
      <c r="PXY106"/>
      <c r="PXZ106"/>
      <c r="PYA106"/>
      <c r="PYB106"/>
      <c r="PYC106"/>
      <c r="PYD106"/>
      <c r="PYE106"/>
      <c r="PYF106"/>
      <c r="PYG106"/>
      <c r="PYH106"/>
      <c r="PYI106"/>
      <c r="PYJ106"/>
      <c r="PYK106"/>
      <c r="PYL106"/>
      <c r="PYM106"/>
      <c r="PYN106"/>
      <c r="PYO106"/>
      <c r="PYP106"/>
      <c r="PYQ106"/>
      <c r="PYR106"/>
      <c r="PYS106"/>
      <c r="PYT106"/>
      <c r="PYU106"/>
      <c r="PYV106"/>
      <c r="PYW106"/>
      <c r="PYX106"/>
      <c r="PYY106"/>
      <c r="PYZ106"/>
      <c r="PZA106"/>
      <c r="PZB106"/>
      <c r="PZC106"/>
      <c r="PZD106"/>
      <c r="PZE106"/>
      <c r="PZF106"/>
      <c r="PZG106"/>
      <c r="PZH106"/>
      <c r="PZI106"/>
      <c r="PZJ106"/>
      <c r="PZK106"/>
      <c r="PZL106"/>
      <c r="PZM106"/>
      <c r="PZN106"/>
      <c r="PZO106"/>
      <c r="PZP106"/>
      <c r="PZQ106"/>
      <c r="PZR106"/>
      <c r="PZS106"/>
      <c r="PZT106"/>
      <c r="PZU106"/>
      <c r="PZV106"/>
      <c r="PZW106"/>
      <c r="PZX106"/>
      <c r="PZY106"/>
      <c r="PZZ106"/>
      <c r="QAA106"/>
      <c r="QAB106"/>
      <c r="QAC106"/>
      <c r="QAD106"/>
      <c r="QAE106"/>
      <c r="QAF106"/>
      <c r="QAG106"/>
      <c r="QAH106"/>
      <c r="QAI106"/>
      <c r="QAJ106"/>
      <c r="QAK106"/>
      <c r="QAL106"/>
      <c r="QAM106"/>
      <c r="QAN106"/>
      <c r="QAO106"/>
      <c r="QAP106"/>
      <c r="QAQ106"/>
      <c r="QAR106"/>
      <c r="QAS106"/>
      <c r="QAT106"/>
      <c r="QAU106"/>
      <c r="QAV106"/>
      <c r="QAW106"/>
      <c r="QAX106"/>
      <c r="QAY106"/>
      <c r="QAZ106"/>
      <c r="QBA106"/>
      <c r="QBB106"/>
      <c r="QBC106"/>
      <c r="QBD106"/>
      <c r="QBE106"/>
      <c r="QBF106"/>
      <c r="QBG106"/>
      <c r="QBH106"/>
      <c r="QBI106"/>
      <c r="QBJ106"/>
      <c r="QBK106"/>
      <c r="QBL106"/>
      <c r="QBM106"/>
      <c r="QBN106"/>
      <c r="QBO106"/>
      <c r="QBP106"/>
      <c r="QBQ106"/>
      <c r="QBR106"/>
      <c r="QBS106"/>
      <c r="QBT106"/>
      <c r="QBU106"/>
      <c r="QBV106"/>
      <c r="QBW106"/>
      <c r="QBX106"/>
      <c r="QBY106"/>
      <c r="QBZ106"/>
      <c r="QCA106"/>
      <c r="QCB106"/>
      <c r="QCC106"/>
      <c r="QCD106"/>
      <c r="QCE106"/>
      <c r="QCF106"/>
      <c r="QCG106"/>
      <c r="QCH106"/>
      <c r="QCI106"/>
      <c r="QCJ106"/>
      <c r="QCK106"/>
      <c r="QCL106"/>
      <c r="QCM106"/>
      <c r="QCN106"/>
      <c r="QCO106"/>
      <c r="QCP106"/>
      <c r="QCQ106"/>
      <c r="QCR106"/>
      <c r="QCS106"/>
      <c r="QCT106"/>
      <c r="QCU106"/>
      <c r="QCV106"/>
      <c r="QCW106"/>
      <c r="QCX106"/>
      <c r="QCY106"/>
      <c r="QCZ106"/>
      <c r="QDA106"/>
      <c r="QDB106"/>
      <c r="QDC106"/>
      <c r="QDD106"/>
      <c r="QDE106"/>
      <c r="QDF106"/>
      <c r="QDG106"/>
      <c r="QDH106"/>
      <c r="QDI106"/>
      <c r="QDJ106"/>
      <c r="QDK106"/>
      <c r="QDL106"/>
      <c r="QDM106"/>
      <c r="QDN106"/>
      <c r="QDO106"/>
      <c r="QDP106"/>
      <c r="QDQ106"/>
      <c r="QDR106"/>
      <c r="QDS106"/>
      <c r="QDT106"/>
      <c r="QDU106"/>
      <c r="QDV106"/>
      <c r="QDW106"/>
      <c r="QDX106"/>
      <c r="QDY106"/>
      <c r="QDZ106"/>
      <c r="QEA106"/>
      <c r="QEB106"/>
      <c r="QEC106"/>
      <c r="QED106"/>
      <c r="QEE106"/>
      <c r="QEF106"/>
      <c r="QEG106"/>
      <c r="QEH106"/>
      <c r="QEI106"/>
      <c r="QEJ106"/>
      <c r="QEK106"/>
      <c r="QEL106"/>
      <c r="QEM106"/>
      <c r="QEN106"/>
      <c r="QEO106"/>
      <c r="QEP106"/>
      <c r="QEQ106"/>
      <c r="QER106"/>
      <c r="QES106"/>
      <c r="QET106"/>
      <c r="QEU106"/>
      <c r="QEV106"/>
      <c r="QEW106"/>
      <c r="QEX106"/>
      <c r="QEY106"/>
      <c r="QEZ106"/>
      <c r="QFA106"/>
      <c r="QFB106"/>
      <c r="QFC106"/>
      <c r="QFD106"/>
      <c r="QFE106"/>
      <c r="QFF106"/>
      <c r="QFG106"/>
      <c r="QFH106"/>
      <c r="QFI106"/>
      <c r="QFJ106"/>
      <c r="QFK106"/>
      <c r="QFL106"/>
      <c r="QFM106"/>
      <c r="QFN106"/>
      <c r="QFO106"/>
      <c r="QFP106"/>
      <c r="QFQ106"/>
      <c r="QFR106"/>
      <c r="QFS106"/>
      <c r="QFT106"/>
      <c r="QFU106"/>
      <c r="QFV106"/>
      <c r="QFW106"/>
      <c r="QFX106"/>
      <c r="QFY106"/>
      <c r="QFZ106"/>
      <c r="QGA106"/>
      <c r="QGB106"/>
      <c r="QGC106"/>
      <c r="QGD106"/>
      <c r="QGE106"/>
      <c r="QGF106"/>
      <c r="QGG106"/>
      <c r="QGH106"/>
      <c r="QGI106"/>
      <c r="QGJ106"/>
      <c r="QGK106"/>
      <c r="QGL106"/>
      <c r="QGM106"/>
      <c r="QGN106"/>
      <c r="QGO106"/>
      <c r="QGP106"/>
      <c r="QGQ106"/>
      <c r="QGR106"/>
      <c r="QGS106"/>
      <c r="QGT106"/>
      <c r="QGU106"/>
      <c r="QGV106"/>
      <c r="QGW106"/>
      <c r="QGX106"/>
      <c r="QGY106"/>
      <c r="QGZ106"/>
      <c r="QHA106"/>
      <c r="QHB106"/>
      <c r="QHC106"/>
      <c r="QHD106"/>
      <c r="QHE106"/>
      <c r="QHF106"/>
      <c r="QHG106"/>
      <c r="QHH106"/>
      <c r="QHI106"/>
      <c r="QHJ106"/>
      <c r="QHK106"/>
      <c r="QHL106"/>
      <c r="QHM106"/>
      <c r="QHN106"/>
      <c r="QHO106"/>
      <c r="QHP106"/>
      <c r="QHQ106"/>
      <c r="QHR106"/>
      <c r="QHS106"/>
      <c r="QHT106"/>
      <c r="QHU106"/>
      <c r="QHV106"/>
      <c r="QHW106"/>
      <c r="QHX106"/>
      <c r="QHY106"/>
      <c r="QHZ106"/>
      <c r="QIA106"/>
      <c r="QIB106"/>
      <c r="QIC106"/>
      <c r="QID106"/>
      <c r="QIE106"/>
      <c r="QIF106"/>
      <c r="QIG106"/>
      <c r="QIH106"/>
      <c r="QII106"/>
      <c r="QIJ106"/>
      <c r="QIK106"/>
      <c r="QIL106"/>
      <c r="QIM106"/>
      <c r="QIN106"/>
      <c r="QIO106"/>
      <c r="QIP106"/>
      <c r="QIQ106"/>
      <c r="QIR106"/>
      <c r="QIS106"/>
      <c r="QIT106"/>
      <c r="QIU106"/>
      <c r="QIV106"/>
      <c r="QIW106"/>
      <c r="QIX106"/>
      <c r="QIY106"/>
      <c r="QIZ106"/>
      <c r="QJA106"/>
      <c r="QJB106"/>
      <c r="QJC106"/>
      <c r="QJD106"/>
      <c r="QJE106"/>
      <c r="QJF106"/>
      <c r="QJG106"/>
      <c r="QJH106"/>
      <c r="QJI106"/>
      <c r="QJJ106"/>
      <c r="QJK106"/>
      <c r="QJL106"/>
      <c r="QJM106"/>
      <c r="QJN106"/>
      <c r="QJO106"/>
      <c r="QJP106"/>
      <c r="QJQ106"/>
      <c r="QJR106"/>
      <c r="QJS106"/>
      <c r="QJT106"/>
      <c r="QJU106"/>
      <c r="QJV106"/>
      <c r="QJW106"/>
      <c r="QJX106"/>
      <c r="QJY106"/>
      <c r="QJZ106"/>
      <c r="QKA106"/>
      <c r="QKB106"/>
      <c r="QKC106"/>
      <c r="QKD106"/>
      <c r="QKE106"/>
      <c r="QKF106"/>
      <c r="QKG106"/>
      <c r="QKH106"/>
      <c r="QKI106"/>
      <c r="QKJ106"/>
      <c r="QKK106"/>
      <c r="QKL106"/>
      <c r="QKM106"/>
      <c r="QKN106"/>
      <c r="QKO106"/>
      <c r="QKP106"/>
      <c r="QKQ106"/>
      <c r="QKR106"/>
      <c r="QKS106"/>
      <c r="QKT106"/>
      <c r="QKU106"/>
      <c r="QKV106"/>
      <c r="QKW106"/>
      <c r="QKX106"/>
      <c r="QKY106"/>
      <c r="QKZ106"/>
      <c r="QLA106"/>
      <c r="QLB106"/>
      <c r="QLC106"/>
      <c r="QLD106"/>
      <c r="QLE106"/>
      <c r="QLF106"/>
      <c r="QLG106"/>
      <c r="QLH106"/>
      <c r="QLI106"/>
      <c r="QLJ106"/>
      <c r="QLK106"/>
      <c r="QLL106"/>
      <c r="QLM106"/>
      <c r="QLN106"/>
      <c r="QLO106"/>
      <c r="QLP106"/>
      <c r="QLQ106"/>
      <c r="QLR106"/>
      <c r="QLS106"/>
      <c r="QLT106"/>
      <c r="QLU106"/>
      <c r="QLV106"/>
      <c r="QLW106"/>
      <c r="QLX106"/>
      <c r="QLY106"/>
      <c r="QLZ106"/>
      <c r="QMA106"/>
      <c r="QMB106"/>
      <c r="QMC106"/>
      <c r="QMD106"/>
      <c r="QME106"/>
      <c r="QMF106"/>
      <c r="QMG106"/>
      <c r="QMH106"/>
      <c r="QMI106"/>
      <c r="QMJ106"/>
      <c r="QMK106"/>
      <c r="QML106"/>
      <c r="QMM106"/>
      <c r="QMN106"/>
      <c r="QMO106"/>
      <c r="QMP106"/>
      <c r="QMQ106"/>
      <c r="QMR106"/>
      <c r="QMS106"/>
      <c r="QMT106"/>
      <c r="QMU106"/>
      <c r="QMV106"/>
      <c r="QMW106"/>
      <c r="QMX106"/>
      <c r="QMY106"/>
      <c r="QMZ106"/>
      <c r="QNA106"/>
      <c r="QNB106"/>
      <c r="QNC106"/>
      <c r="QND106"/>
      <c r="QNE106"/>
      <c r="QNF106"/>
      <c r="QNG106"/>
      <c r="QNH106"/>
      <c r="QNI106"/>
      <c r="QNJ106"/>
      <c r="QNK106"/>
      <c r="QNL106"/>
      <c r="QNM106"/>
      <c r="QNN106"/>
      <c r="QNO106"/>
      <c r="QNP106"/>
      <c r="QNQ106"/>
      <c r="QNR106"/>
      <c r="QNS106"/>
      <c r="QNT106"/>
      <c r="QNU106"/>
      <c r="QNV106"/>
      <c r="QNW106"/>
      <c r="QNX106"/>
      <c r="QNY106"/>
      <c r="QNZ106"/>
      <c r="QOA106"/>
      <c r="QOB106"/>
      <c r="QOC106"/>
      <c r="QOD106"/>
      <c r="QOE106"/>
      <c r="QOF106"/>
      <c r="QOG106"/>
      <c r="QOH106"/>
      <c r="QOI106"/>
      <c r="QOJ106"/>
      <c r="QOK106"/>
      <c r="QOL106"/>
      <c r="QOM106"/>
      <c r="QON106"/>
      <c r="QOO106"/>
      <c r="QOP106"/>
      <c r="QOQ106"/>
      <c r="QOR106"/>
      <c r="QOS106"/>
      <c r="QOT106"/>
      <c r="QOU106"/>
      <c r="QOV106"/>
      <c r="QOW106"/>
      <c r="QOX106"/>
      <c r="QOY106"/>
      <c r="QOZ106"/>
      <c r="QPA106"/>
      <c r="QPB106"/>
      <c r="QPC106"/>
      <c r="QPD106"/>
      <c r="QPE106"/>
      <c r="QPF106"/>
      <c r="QPG106"/>
      <c r="QPH106"/>
      <c r="QPI106"/>
      <c r="QPJ106"/>
      <c r="QPK106"/>
      <c r="QPL106"/>
      <c r="QPM106"/>
      <c r="QPN106"/>
      <c r="QPO106"/>
      <c r="QPP106"/>
      <c r="QPQ106"/>
      <c r="QPR106"/>
      <c r="QPS106"/>
      <c r="QPT106"/>
      <c r="QPU106"/>
      <c r="QPV106"/>
      <c r="QPW106"/>
      <c r="QPX106"/>
      <c r="QPY106"/>
      <c r="QPZ106"/>
      <c r="QQA106"/>
      <c r="QQB106"/>
      <c r="QQC106"/>
      <c r="QQD106"/>
      <c r="QQE106"/>
      <c r="QQF106"/>
      <c r="QQG106"/>
      <c r="QQH106"/>
      <c r="QQI106"/>
      <c r="QQJ106"/>
      <c r="QQK106"/>
      <c r="QQL106"/>
      <c r="QQM106"/>
      <c r="QQN106"/>
      <c r="QQO106"/>
      <c r="QQP106"/>
      <c r="QQQ106"/>
      <c r="QQR106"/>
      <c r="QQS106"/>
      <c r="QQT106"/>
      <c r="QQU106"/>
      <c r="QQV106"/>
      <c r="QQW106"/>
      <c r="QQX106"/>
      <c r="QQY106"/>
      <c r="QQZ106"/>
      <c r="QRA106"/>
      <c r="QRB106"/>
      <c r="QRC106"/>
      <c r="QRD106"/>
      <c r="QRE106"/>
      <c r="QRF106"/>
      <c r="QRG106"/>
      <c r="QRH106"/>
      <c r="QRI106"/>
      <c r="QRJ106"/>
      <c r="QRK106"/>
      <c r="QRL106"/>
      <c r="QRM106"/>
      <c r="QRN106"/>
      <c r="QRO106"/>
      <c r="QRP106"/>
      <c r="QRQ106"/>
      <c r="QRR106"/>
      <c r="QRS106"/>
      <c r="QRT106"/>
      <c r="QRU106"/>
      <c r="QRV106"/>
      <c r="QRW106"/>
      <c r="QRX106"/>
      <c r="QRY106"/>
      <c r="QRZ106"/>
      <c r="QSA106"/>
      <c r="QSB106"/>
      <c r="QSC106"/>
      <c r="QSD106"/>
      <c r="QSE106"/>
      <c r="QSF106"/>
      <c r="QSG106"/>
      <c r="QSH106"/>
      <c r="QSI106"/>
      <c r="QSJ106"/>
      <c r="QSK106"/>
      <c r="QSL106"/>
      <c r="QSM106"/>
      <c r="QSN106"/>
      <c r="QSO106"/>
      <c r="QSP106"/>
      <c r="QSQ106"/>
      <c r="QSR106"/>
      <c r="QSS106"/>
      <c r="QST106"/>
      <c r="QSU106"/>
      <c r="QSV106"/>
      <c r="QSW106"/>
      <c r="QSX106"/>
      <c r="QSY106"/>
      <c r="QSZ106"/>
      <c r="QTA106"/>
      <c r="QTB106"/>
      <c r="QTC106"/>
      <c r="QTD106"/>
      <c r="QTE106"/>
      <c r="QTF106"/>
      <c r="QTG106"/>
      <c r="QTH106"/>
      <c r="QTI106"/>
      <c r="QTJ106"/>
      <c r="QTK106"/>
      <c r="QTL106"/>
      <c r="QTM106"/>
      <c r="QTN106"/>
      <c r="QTO106"/>
      <c r="QTP106"/>
      <c r="QTQ106"/>
      <c r="QTR106"/>
      <c r="QTS106"/>
      <c r="QTT106"/>
      <c r="QTU106"/>
      <c r="QTV106"/>
      <c r="QTW106"/>
      <c r="QTX106"/>
      <c r="QTY106"/>
      <c r="QTZ106"/>
      <c r="QUA106"/>
      <c r="QUB106"/>
      <c r="QUC106"/>
      <c r="QUD106"/>
      <c r="QUE106"/>
      <c r="QUF106"/>
      <c r="QUG106"/>
      <c r="QUH106"/>
      <c r="QUI106"/>
      <c r="QUJ106"/>
      <c r="QUK106"/>
      <c r="QUL106"/>
      <c r="QUM106"/>
      <c r="QUN106"/>
      <c r="QUO106"/>
      <c r="QUP106"/>
      <c r="QUQ106"/>
      <c r="QUR106"/>
      <c r="QUS106"/>
      <c r="QUT106"/>
      <c r="QUU106"/>
      <c r="QUV106"/>
      <c r="QUW106"/>
      <c r="QUX106"/>
      <c r="QUY106"/>
      <c r="QUZ106"/>
      <c r="QVA106"/>
      <c r="QVB106"/>
      <c r="QVC106"/>
      <c r="QVD106"/>
      <c r="QVE106"/>
      <c r="QVF106"/>
      <c r="QVG106"/>
      <c r="QVH106"/>
      <c r="QVI106"/>
      <c r="QVJ106"/>
      <c r="QVK106"/>
      <c r="QVL106"/>
      <c r="QVM106"/>
      <c r="QVN106"/>
      <c r="QVO106"/>
      <c r="QVP106"/>
      <c r="QVQ106"/>
      <c r="QVR106"/>
      <c r="QVS106"/>
      <c r="QVT106"/>
      <c r="QVU106"/>
      <c r="QVV106"/>
      <c r="QVW106"/>
      <c r="QVX106"/>
      <c r="QVY106"/>
      <c r="QVZ106"/>
      <c r="QWA106"/>
      <c r="QWB106"/>
      <c r="QWC106"/>
      <c r="QWD106"/>
      <c r="QWE106"/>
      <c r="QWF106"/>
      <c r="QWG106"/>
      <c r="QWH106"/>
      <c r="QWI106"/>
      <c r="QWJ106"/>
      <c r="QWK106"/>
      <c r="QWL106"/>
      <c r="QWM106"/>
      <c r="QWN106"/>
      <c r="QWO106"/>
      <c r="QWP106"/>
      <c r="QWQ106"/>
      <c r="QWR106"/>
      <c r="QWS106"/>
      <c r="QWT106"/>
      <c r="QWU106"/>
      <c r="QWV106"/>
      <c r="QWW106"/>
      <c r="QWX106"/>
      <c r="QWY106"/>
      <c r="QWZ106"/>
      <c r="QXA106"/>
      <c r="QXB106"/>
      <c r="QXC106"/>
      <c r="QXD106"/>
      <c r="QXE106"/>
      <c r="QXF106"/>
      <c r="QXG106"/>
      <c r="QXH106"/>
      <c r="QXI106"/>
      <c r="QXJ106"/>
      <c r="QXK106"/>
      <c r="QXL106"/>
      <c r="QXM106"/>
      <c r="QXN106"/>
      <c r="QXO106"/>
      <c r="QXP106"/>
      <c r="QXQ106"/>
      <c r="QXR106"/>
      <c r="QXS106"/>
      <c r="QXT106"/>
      <c r="QXU106"/>
      <c r="QXV106"/>
      <c r="QXW106"/>
      <c r="QXX106"/>
      <c r="QXY106"/>
      <c r="QXZ106"/>
      <c r="QYA106"/>
      <c r="QYB106"/>
      <c r="QYC106"/>
      <c r="QYD106"/>
      <c r="QYE106"/>
      <c r="QYF106"/>
      <c r="QYG106"/>
      <c r="QYH106"/>
      <c r="QYI106"/>
      <c r="QYJ106"/>
      <c r="QYK106"/>
      <c r="QYL106"/>
      <c r="QYM106"/>
      <c r="QYN106"/>
      <c r="QYO106"/>
      <c r="QYP106"/>
      <c r="QYQ106"/>
      <c r="QYR106"/>
      <c r="QYS106"/>
      <c r="QYT106"/>
      <c r="QYU106"/>
      <c r="QYV106"/>
      <c r="QYW106"/>
      <c r="QYX106"/>
      <c r="QYY106"/>
      <c r="QYZ106"/>
      <c r="QZA106"/>
      <c r="QZB106"/>
      <c r="QZC106"/>
      <c r="QZD106"/>
      <c r="QZE106"/>
      <c r="QZF106"/>
      <c r="QZG106"/>
      <c r="QZH106"/>
      <c r="QZI106"/>
      <c r="QZJ106"/>
      <c r="QZK106"/>
      <c r="QZL106"/>
      <c r="QZM106"/>
      <c r="QZN106"/>
      <c r="QZO106"/>
      <c r="QZP106"/>
      <c r="QZQ106"/>
      <c r="QZR106"/>
      <c r="QZS106"/>
      <c r="QZT106"/>
      <c r="QZU106"/>
      <c r="QZV106"/>
      <c r="QZW106"/>
      <c r="QZX106"/>
      <c r="QZY106"/>
      <c r="QZZ106"/>
      <c r="RAA106"/>
      <c r="RAB106"/>
      <c r="RAC106"/>
      <c r="RAD106"/>
      <c r="RAE106"/>
      <c r="RAF106"/>
      <c r="RAG106"/>
      <c r="RAH106"/>
      <c r="RAI106"/>
      <c r="RAJ106"/>
      <c r="RAK106"/>
      <c r="RAL106"/>
      <c r="RAM106"/>
      <c r="RAN106"/>
      <c r="RAO106"/>
      <c r="RAP106"/>
      <c r="RAQ106"/>
      <c r="RAR106"/>
      <c r="RAS106"/>
      <c r="RAT106"/>
      <c r="RAU106"/>
      <c r="RAV106"/>
      <c r="RAW106"/>
      <c r="RAX106"/>
      <c r="RAY106"/>
      <c r="RAZ106"/>
      <c r="RBA106"/>
      <c r="RBB106"/>
      <c r="RBC106"/>
      <c r="RBD106"/>
      <c r="RBE106"/>
      <c r="RBF106"/>
      <c r="RBG106"/>
      <c r="RBH106"/>
      <c r="RBI106"/>
      <c r="RBJ106"/>
      <c r="RBK106"/>
      <c r="RBL106"/>
      <c r="RBM106"/>
      <c r="RBN106"/>
      <c r="RBO106"/>
      <c r="RBP106"/>
      <c r="RBQ106"/>
      <c r="RBR106"/>
      <c r="RBS106"/>
      <c r="RBT106"/>
      <c r="RBU106"/>
      <c r="RBV106"/>
      <c r="RBW106"/>
      <c r="RBX106"/>
      <c r="RBY106"/>
      <c r="RBZ106"/>
      <c r="RCA106"/>
      <c r="RCB106"/>
      <c r="RCC106"/>
      <c r="RCD106"/>
      <c r="RCE106"/>
      <c r="RCF106"/>
      <c r="RCG106"/>
      <c r="RCH106"/>
      <c r="RCI106"/>
      <c r="RCJ106"/>
      <c r="RCK106"/>
      <c r="RCL106"/>
      <c r="RCM106"/>
      <c r="RCN106"/>
      <c r="RCO106"/>
      <c r="RCP106"/>
      <c r="RCQ106"/>
      <c r="RCR106"/>
      <c r="RCS106"/>
      <c r="RCT106"/>
      <c r="RCU106"/>
      <c r="RCV106"/>
      <c r="RCW106"/>
      <c r="RCX106"/>
      <c r="RCY106"/>
      <c r="RCZ106"/>
      <c r="RDA106"/>
      <c r="RDB106"/>
      <c r="RDC106"/>
      <c r="RDD106"/>
      <c r="RDE106"/>
      <c r="RDF106"/>
      <c r="RDG106"/>
      <c r="RDH106"/>
      <c r="RDI106"/>
      <c r="RDJ106"/>
      <c r="RDK106"/>
      <c r="RDL106"/>
      <c r="RDM106"/>
      <c r="RDN106"/>
      <c r="RDO106"/>
      <c r="RDP106"/>
      <c r="RDQ106"/>
      <c r="RDR106"/>
      <c r="RDS106"/>
      <c r="RDT106"/>
      <c r="RDU106"/>
      <c r="RDV106"/>
      <c r="RDW106"/>
      <c r="RDX106"/>
      <c r="RDY106"/>
      <c r="RDZ106"/>
      <c r="REA106"/>
      <c r="REB106"/>
      <c r="REC106"/>
      <c r="RED106"/>
      <c r="REE106"/>
      <c r="REF106"/>
      <c r="REG106"/>
      <c r="REH106"/>
      <c r="REI106"/>
      <c r="REJ106"/>
      <c r="REK106"/>
      <c r="REL106"/>
      <c r="REM106"/>
      <c r="REN106"/>
      <c r="REO106"/>
      <c r="REP106"/>
      <c r="REQ106"/>
      <c r="RER106"/>
      <c r="RES106"/>
      <c r="RET106"/>
      <c r="REU106"/>
      <c r="REV106"/>
      <c r="REW106"/>
      <c r="REX106"/>
      <c r="REY106"/>
      <c r="REZ106"/>
      <c r="RFA106"/>
      <c r="RFB106"/>
      <c r="RFC106"/>
      <c r="RFD106"/>
      <c r="RFE106"/>
      <c r="RFF106"/>
      <c r="RFG106"/>
      <c r="RFH106"/>
      <c r="RFI106"/>
      <c r="RFJ106"/>
      <c r="RFK106"/>
      <c r="RFL106"/>
      <c r="RFM106"/>
      <c r="RFN106"/>
      <c r="RFO106"/>
      <c r="RFP106"/>
      <c r="RFQ106"/>
      <c r="RFR106"/>
      <c r="RFS106"/>
      <c r="RFT106"/>
      <c r="RFU106"/>
      <c r="RFV106"/>
      <c r="RFW106"/>
      <c r="RFX106"/>
      <c r="RFY106"/>
      <c r="RFZ106"/>
      <c r="RGA106"/>
      <c r="RGB106"/>
      <c r="RGC106"/>
      <c r="RGD106"/>
      <c r="RGE106"/>
      <c r="RGF106"/>
      <c r="RGG106"/>
      <c r="RGH106"/>
      <c r="RGI106"/>
      <c r="RGJ106"/>
      <c r="RGK106"/>
      <c r="RGL106"/>
      <c r="RGM106"/>
      <c r="RGN106"/>
      <c r="RGO106"/>
      <c r="RGP106"/>
      <c r="RGQ106"/>
      <c r="RGR106"/>
      <c r="RGS106"/>
      <c r="RGT106"/>
      <c r="RGU106"/>
      <c r="RGV106"/>
      <c r="RGW106"/>
      <c r="RGX106"/>
      <c r="RGY106"/>
      <c r="RGZ106"/>
      <c r="RHA106"/>
      <c r="RHB106"/>
      <c r="RHC106"/>
      <c r="RHD106"/>
      <c r="RHE106"/>
      <c r="RHF106"/>
      <c r="RHG106"/>
      <c r="RHH106"/>
      <c r="RHI106"/>
      <c r="RHJ106"/>
      <c r="RHK106"/>
      <c r="RHL106"/>
      <c r="RHM106"/>
      <c r="RHN106"/>
      <c r="RHO106"/>
      <c r="RHP106"/>
      <c r="RHQ106"/>
      <c r="RHR106"/>
      <c r="RHS106"/>
      <c r="RHT106"/>
      <c r="RHU106"/>
      <c r="RHV106"/>
      <c r="RHW106"/>
      <c r="RHX106"/>
      <c r="RHY106"/>
      <c r="RHZ106"/>
      <c r="RIA106"/>
      <c r="RIB106"/>
      <c r="RIC106"/>
      <c r="RID106"/>
      <c r="RIE106"/>
      <c r="RIF106"/>
      <c r="RIG106"/>
      <c r="RIH106"/>
      <c r="RII106"/>
      <c r="RIJ106"/>
      <c r="RIK106"/>
      <c r="RIL106"/>
      <c r="RIM106"/>
      <c r="RIN106"/>
      <c r="RIO106"/>
      <c r="RIP106"/>
      <c r="RIQ106"/>
      <c r="RIR106"/>
      <c r="RIS106"/>
      <c r="RIT106"/>
      <c r="RIU106"/>
      <c r="RIV106"/>
      <c r="RIW106"/>
      <c r="RIX106"/>
      <c r="RIY106"/>
      <c r="RIZ106"/>
      <c r="RJA106"/>
      <c r="RJB106"/>
      <c r="RJC106"/>
      <c r="RJD106"/>
      <c r="RJE106"/>
      <c r="RJF106"/>
      <c r="RJG106"/>
      <c r="RJH106"/>
      <c r="RJI106"/>
      <c r="RJJ106"/>
      <c r="RJK106"/>
      <c r="RJL106"/>
      <c r="RJM106"/>
      <c r="RJN106"/>
      <c r="RJO106"/>
      <c r="RJP106"/>
      <c r="RJQ106"/>
      <c r="RJR106"/>
      <c r="RJS106"/>
      <c r="RJT106"/>
      <c r="RJU106"/>
      <c r="RJV106"/>
      <c r="RJW106"/>
      <c r="RJX106"/>
      <c r="RJY106"/>
      <c r="RJZ106"/>
      <c r="RKA106"/>
      <c r="RKB106"/>
      <c r="RKC106"/>
      <c r="RKD106"/>
      <c r="RKE106"/>
      <c r="RKF106"/>
      <c r="RKG106"/>
      <c r="RKH106"/>
      <c r="RKI106"/>
      <c r="RKJ106"/>
      <c r="RKK106"/>
      <c r="RKL106"/>
      <c r="RKM106"/>
      <c r="RKN106"/>
      <c r="RKO106"/>
      <c r="RKP106"/>
      <c r="RKQ106"/>
      <c r="RKR106"/>
      <c r="RKS106"/>
      <c r="RKT106"/>
      <c r="RKU106"/>
      <c r="RKV106"/>
      <c r="RKW106"/>
      <c r="RKX106"/>
      <c r="RKY106"/>
      <c r="RKZ106"/>
      <c r="RLA106"/>
      <c r="RLB106"/>
      <c r="RLC106"/>
      <c r="RLD106"/>
      <c r="RLE106"/>
      <c r="RLF106"/>
      <c r="RLG106"/>
      <c r="RLH106"/>
      <c r="RLI106"/>
      <c r="RLJ106"/>
      <c r="RLK106"/>
      <c r="RLL106"/>
      <c r="RLM106"/>
      <c r="RLN106"/>
      <c r="RLO106"/>
      <c r="RLP106"/>
      <c r="RLQ106"/>
      <c r="RLR106"/>
      <c r="RLS106"/>
      <c r="RLT106"/>
      <c r="RLU106"/>
      <c r="RLV106"/>
      <c r="RLW106"/>
      <c r="RLX106"/>
      <c r="RLY106"/>
      <c r="RLZ106"/>
      <c r="RMA106"/>
      <c r="RMB106"/>
      <c r="RMC106"/>
      <c r="RMD106"/>
      <c r="RME106"/>
      <c r="RMF106"/>
      <c r="RMG106"/>
      <c r="RMH106"/>
      <c r="RMI106"/>
      <c r="RMJ106"/>
      <c r="RMK106"/>
      <c r="RML106"/>
      <c r="RMM106"/>
      <c r="RMN106"/>
      <c r="RMO106"/>
      <c r="RMP106"/>
      <c r="RMQ106"/>
      <c r="RMR106"/>
      <c r="RMS106"/>
      <c r="RMT106"/>
      <c r="RMU106"/>
      <c r="RMV106"/>
      <c r="RMW106"/>
      <c r="RMX106"/>
      <c r="RMY106"/>
      <c r="RMZ106"/>
      <c r="RNA106"/>
      <c r="RNB106"/>
      <c r="RNC106"/>
      <c r="RND106"/>
      <c r="RNE106"/>
      <c r="RNF106"/>
      <c r="RNG106"/>
      <c r="RNH106"/>
      <c r="RNI106"/>
      <c r="RNJ106"/>
      <c r="RNK106"/>
      <c r="RNL106"/>
      <c r="RNM106"/>
      <c r="RNN106"/>
      <c r="RNO106"/>
      <c r="RNP106"/>
      <c r="RNQ106"/>
      <c r="RNR106"/>
      <c r="RNS106"/>
      <c r="RNT106"/>
      <c r="RNU106"/>
      <c r="RNV106"/>
      <c r="RNW106"/>
      <c r="RNX106"/>
      <c r="RNY106"/>
      <c r="RNZ106"/>
      <c r="ROA106"/>
      <c r="ROB106"/>
      <c r="ROC106"/>
      <c r="ROD106"/>
      <c r="ROE106"/>
      <c r="ROF106"/>
      <c r="ROG106"/>
      <c r="ROH106"/>
      <c r="ROI106"/>
      <c r="ROJ106"/>
      <c r="ROK106"/>
      <c r="ROL106"/>
      <c r="ROM106"/>
      <c r="RON106"/>
      <c r="ROO106"/>
      <c r="ROP106"/>
      <c r="ROQ106"/>
      <c r="ROR106"/>
      <c r="ROS106"/>
      <c r="ROT106"/>
      <c r="ROU106"/>
      <c r="ROV106"/>
      <c r="ROW106"/>
      <c r="ROX106"/>
      <c r="ROY106"/>
      <c r="ROZ106"/>
      <c r="RPA106"/>
      <c r="RPB106"/>
      <c r="RPC106"/>
      <c r="RPD106"/>
      <c r="RPE106"/>
      <c r="RPF106"/>
      <c r="RPG106"/>
      <c r="RPH106"/>
      <c r="RPI106"/>
      <c r="RPJ106"/>
      <c r="RPK106"/>
      <c r="RPL106"/>
      <c r="RPM106"/>
      <c r="RPN106"/>
      <c r="RPO106"/>
      <c r="RPP106"/>
      <c r="RPQ106"/>
      <c r="RPR106"/>
      <c r="RPS106"/>
      <c r="RPT106"/>
      <c r="RPU106"/>
      <c r="RPV106"/>
      <c r="RPW106"/>
      <c r="RPX106"/>
      <c r="RPY106"/>
      <c r="RPZ106"/>
      <c r="RQA106"/>
      <c r="RQB106"/>
      <c r="RQC106"/>
      <c r="RQD106"/>
      <c r="RQE106"/>
      <c r="RQF106"/>
      <c r="RQG106"/>
      <c r="RQH106"/>
      <c r="RQI106"/>
      <c r="RQJ106"/>
      <c r="RQK106"/>
      <c r="RQL106"/>
      <c r="RQM106"/>
      <c r="RQN106"/>
      <c r="RQO106"/>
      <c r="RQP106"/>
      <c r="RQQ106"/>
      <c r="RQR106"/>
      <c r="RQS106"/>
      <c r="RQT106"/>
      <c r="RQU106"/>
      <c r="RQV106"/>
      <c r="RQW106"/>
      <c r="RQX106"/>
      <c r="RQY106"/>
      <c r="RQZ106"/>
      <c r="RRA106"/>
      <c r="RRB106"/>
      <c r="RRC106"/>
      <c r="RRD106"/>
      <c r="RRE106"/>
      <c r="RRF106"/>
      <c r="RRG106"/>
      <c r="RRH106"/>
      <c r="RRI106"/>
      <c r="RRJ106"/>
      <c r="RRK106"/>
      <c r="RRL106"/>
      <c r="RRM106"/>
      <c r="RRN106"/>
      <c r="RRO106"/>
      <c r="RRP106"/>
      <c r="RRQ106"/>
      <c r="RRR106"/>
      <c r="RRS106"/>
      <c r="RRT106"/>
      <c r="RRU106"/>
      <c r="RRV106"/>
      <c r="RRW106"/>
      <c r="RRX106"/>
      <c r="RRY106"/>
      <c r="RRZ106"/>
      <c r="RSA106"/>
      <c r="RSB106"/>
      <c r="RSC106"/>
      <c r="RSD106"/>
      <c r="RSE106"/>
      <c r="RSF106"/>
      <c r="RSG106"/>
      <c r="RSH106"/>
      <c r="RSI106"/>
      <c r="RSJ106"/>
      <c r="RSK106"/>
      <c r="RSL106"/>
      <c r="RSM106"/>
      <c r="RSN106"/>
      <c r="RSO106"/>
      <c r="RSP106"/>
      <c r="RSQ106"/>
      <c r="RSR106"/>
      <c r="RSS106"/>
      <c r="RST106"/>
      <c r="RSU106"/>
      <c r="RSV106"/>
      <c r="RSW106"/>
      <c r="RSX106"/>
      <c r="RSY106"/>
      <c r="RSZ106"/>
      <c r="RTA106"/>
      <c r="RTB106"/>
      <c r="RTC106"/>
      <c r="RTD106"/>
      <c r="RTE106"/>
      <c r="RTF106"/>
      <c r="RTG106"/>
      <c r="RTH106"/>
      <c r="RTI106"/>
      <c r="RTJ106"/>
      <c r="RTK106"/>
      <c r="RTL106"/>
      <c r="RTM106"/>
      <c r="RTN106"/>
      <c r="RTO106"/>
      <c r="RTP106"/>
      <c r="RTQ106"/>
      <c r="RTR106"/>
      <c r="RTS106"/>
      <c r="RTT106"/>
      <c r="RTU106"/>
      <c r="RTV106"/>
      <c r="RTW106"/>
      <c r="RTX106"/>
      <c r="RTY106"/>
      <c r="RTZ106"/>
      <c r="RUA106"/>
      <c r="RUB106"/>
      <c r="RUC106"/>
      <c r="RUD106"/>
      <c r="RUE106"/>
      <c r="RUF106"/>
      <c r="RUG106"/>
      <c r="RUH106"/>
      <c r="RUI106"/>
      <c r="RUJ106"/>
      <c r="RUK106"/>
      <c r="RUL106"/>
      <c r="RUM106"/>
      <c r="RUN106"/>
      <c r="RUO106"/>
      <c r="RUP106"/>
      <c r="RUQ106"/>
      <c r="RUR106"/>
      <c r="RUS106"/>
      <c r="RUT106"/>
      <c r="RUU106"/>
      <c r="RUV106"/>
      <c r="RUW106"/>
      <c r="RUX106"/>
      <c r="RUY106"/>
      <c r="RUZ106"/>
      <c r="RVA106"/>
      <c r="RVB106"/>
      <c r="RVC106"/>
      <c r="RVD106"/>
      <c r="RVE106"/>
      <c r="RVF106"/>
      <c r="RVG106"/>
      <c r="RVH106"/>
      <c r="RVI106"/>
      <c r="RVJ106"/>
      <c r="RVK106"/>
      <c r="RVL106"/>
      <c r="RVM106"/>
      <c r="RVN106"/>
      <c r="RVO106"/>
      <c r="RVP106"/>
      <c r="RVQ106"/>
      <c r="RVR106"/>
      <c r="RVS106"/>
      <c r="RVT106"/>
      <c r="RVU106"/>
      <c r="RVV106"/>
      <c r="RVW106"/>
      <c r="RVX106"/>
      <c r="RVY106"/>
      <c r="RVZ106"/>
      <c r="RWA106"/>
      <c r="RWB106"/>
      <c r="RWC106"/>
      <c r="RWD106"/>
      <c r="RWE106"/>
      <c r="RWF106"/>
      <c r="RWG106"/>
      <c r="RWH106"/>
      <c r="RWI106"/>
      <c r="RWJ106"/>
      <c r="RWK106"/>
      <c r="RWL106"/>
      <c r="RWM106"/>
      <c r="RWN106"/>
      <c r="RWO106"/>
      <c r="RWP106"/>
      <c r="RWQ106"/>
      <c r="RWR106"/>
      <c r="RWS106"/>
      <c r="RWT106"/>
      <c r="RWU106"/>
      <c r="RWV106"/>
      <c r="RWW106"/>
      <c r="RWX106"/>
      <c r="RWY106"/>
      <c r="RWZ106"/>
      <c r="RXA106"/>
      <c r="RXB106"/>
      <c r="RXC106"/>
      <c r="RXD106"/>
      <c r="RXE106"/>
      <c r="RXF106"/>
      <c r="RXG106"/>
      <c r="RXH106"/>
      <c r="RXI106"/>
      <c r="RXJ106"/>
      <c r="RXK106"/>
      <c r="RXL106"/>
      <c r="RXM106"/>
      <c r="RXN106"/>
      <c r="RXO106"/>
      <c r="RXP106"/>
      <c r="RXQ106"/>
      <c r="RXR106"/>
      <c r="RXS106"/>
      <c r="RXT106"/>
      <c r="RXU106"/>
      <c r="RXV106"/>
      <c r="RXW106"/>
      <c r="RXX106"/>
      <c r="RXY106"/>
      <c r="RXZ106"/>
      <c r="RYA106"/>
      <c r="RYB106"/>
      <c r="RYC106"/>
      <c r="RYD106"/>
      <c r="RYE106"/>
      <c r="RYF106"/>
      <c r="RYG106"/>
      <c r="RYH106"/>
      <c r="RYI106"/>
      <c r="RYJ106"/>
      <c r="RYK106"/>
      <c r="RYL106"/>
      <c r="RYM106"/>
      <c r="RYN106"/>
      <c r="RYO106"/>
      <c r="RYP106"/>
      <c r="RYQ106"/>
      <c r="RYR106"/>
      <c r="RYS106"/>
      <c r="RYT106"/>
      <c r="RYU106"/>
      <c r="RYV106"/>
      <c r="RYW106"/>
      <c r="RYX106"/>
      <c r="RYY106"/>
      <c r="RYZ106"/>
      <c r="RZA106"/>
      <c r="RZB106"/>
      <c r="RZC106"/>
      <c r="RZD106"/>
      <c r="RZE106"/>
      <c r="RZF106"/>
      <c r="RZG106"/>
      <c r="RZH106"/>
      <c r="RZI106"/>
      <c r="RZJ106"/>
      <c r="RZK106"/>
      <c r="RZL106"/>
      <c r="RZM106"/>
      <c r="RZN106"/>
      <c r="RZO106"/>
      <c r="RZP106"/>
      <c r="RZQ106"/>
      <c r="RZR106"/>
      <c r="RZS106"/>
      <c r="RZT106"/>
      <c r="RZU106"/>
      <c r="RZV106"/>
      <c r="RZW106"/>
      <c r="RZX106"/>
      <c r="RZY106"/>
      <c r="RZZ106"/>
      <c r="SAA106"/>
      <c r="SAB106"/>
      <c r="SAC106"/>
      <c r="SAD106"/>
      <c r="SAE106"/>
      <c r="SAF106"/>
      <c r="SAG106"/>
      <c r="SAH106"/>
      <c r="SAI106"/>
      <c r="SAJ106"/>
      <c r="SAK106"/>
      <c r="SAL106"/>
      <c r="SAM106"/>
      <c r="SAN106"/>
      <c r="SAO106"/>
      <c r="SAP106"/>
      <c r="SAQ106"/>
      <c r="SAR106"/>
      <c r="SAS106"/>
      <c r="SAT106"/>
      <c r="SAU106"/>
      <c r="SAV106"/>
      <c r="SAW106"/>
      <c r="SAX106"/>
      <c r="SAY106"/>
      <c r="SAZ106"/>
      <c r="SBA106"/>
      <c r="SBB106"/>
      <c r="SBC106"/>
      <c r="SBD106"/>
      <c r="SBE106"/>
      <c r="SBF106"/>
      <c r="SBG106"/>
      <c r="SBH106"/>
      <c r="SBI106"/>
      <c r="SBJ106"/>
      <c r="SBK106"/>
      <c r="SBL106"/>
      <c r="SBM106"/>
      <c r="SBN106"/>
      <c r="SBO106"/>
      <c r="SBP106"/>
      <c r="SBQ106"/>
      <c r="SBR106"/>
      <c r="SBS106"/>
      <c r="SBT106"/>
      <c r="SBU106"/>
      <c r="SBV106"/>
      <c r="SBW106"/>
      <c r="SBX106"/>
      <c r="SBY106"/>
      <c r="SBZ106"/>
      <c r="SCA106"/>
      <c r="SCB106"/>
      <c r="SCC106"/>
      <c r="SCD106"/>
      <c r="SCE106"/>
      <c r="SCF106"/>
      <c r="SCG106"/>
      <c r="SCH106"/>
      <c r="SCI106"/>
      <c r="SCJ106"/>
      <c r="SCK106"/>
      <c r="SCL106"/>
      <c r="SCM106"/>
      <c r="SCN106"/>
      <c r="SCO106"/>
      <c r="SCP106"/>
      <c r="SCQ106"/>
      <c r="SCR106"/>
      <c r="SCS106"/>
      <c r="SCT106"/>
      <c r="SCU106"/>
      <c r="SCV106"/>
      <c r="SCW106"/>
      <c r="SCX106"/>
      <c r="SCY106"/>
      <c r="SCZ106"/>
      <c r="SDA106"/>
      <c r="SDB106"/>
      <c r="SDC106"/>
      <c r="SDD106"/>
      <c r="SDE106"/>
      <c r="SDF106"/>
      <c r="SDG106"/>
      <c r="SDH106"/>
      <c r="SDI106"/>
      <c r="SDJ106"/>
      <c r="SDK106"/>
      <c r="SDL106"/>
      <c r="SDM106"/>
      <c r="SDN106"/>
      <c r="SDO106"/>
      <c r="SDP106"/>
      <c r="SDQ106"/>
      <c r="SDR106"/>
      <c r="SDS106"/>
      <c r="SDT106"/>
      <c r="SDU106"/>
      <c r="SDV106"/>
      <c r="SDW106"/>
      <c r="SDX106"/>
      <c r="SDY106"/>
      <c r="SDZ106"/>
      <c r="SEA106"/>
      <c r="SEB106"/>
      <c r="SEC106"/>
      <c r="SED106"/>
      <c r="SEE106"/>
      <c r="SEF106"/>
      <c r="SEG106"/>
      <c r="SEH106"/>
      <c r="SEI106"/>
      <c r="SEJ106"/>
      <c r="SEK106"/>
      <c r="SEL106"/>
      <c r="SEM106"/>
      <c r="SEN106"/>
      <c r="SEO106"/>
      <c r="SEP106"/>
      <c r="SEQ106"/>
      <c r="SER106"/>
      <c r="SES106"/>
      <c r="SET106"/>
      <c r="SEU106"/>
      <c r="SEV106"/>
      <c r="SEW106"/>
      <c r="SEX106"/>
      <c r="SEY106"/>
      <c r="SEZ106"/>
      <c r="SFA106"/>
      <c r="SFB106"/>
      <c r="SFC106"/>
      <c r="SFD106"/>
      <c r="SFE106"/>
      <c r="SFF106"/>
      <c r="SFG106"/>
      <c r="SFH106"/>
      <c r="SFI106"/>
      <c r="SFJ106"/>
      <c r="SFK106"/>
      <c r="SFL106"/>
      <c r="SFM106"/>
      <c r="SFN106"/>
      <c r="SFO106"/>
      <c r="SFP106"/>
      <c r="SFQ106"/>
      <c r="SFR106"/>
      <c r="SFS106"/>
      <c r="SFT106"/>
      <c r="SFU106"/>
      <c r="SFV106"/>
      <c r="SFW106"/>
      <c r="SFX106"/>
      <c r="SFY106"/>
      <c r="SFZ106"/>
      <c r="SGA106"/>
      <c r="SGB106"/>
      <c r="SGC106"/>
      <c r="SGD106"/>
      <c r="SGE106"/>
      <c r="SGF106"/>
      <c r="SGG106"/>
      <c r="SGH106"/>
      <c r="SGI106"/>
      <c r="SGJ106"/>
      <c r="SGK106"/>
      <c r="SGL106"/>
      <c r="SGM106"/>
      <c r="SGN106"/>
      <c r="SGO106"/>
      <c r="SGP106"/>
      <c r="SGQ106"/>
      <c r="SGR106"/>
      <c r="SGS106"/>
      <c r="SGT106"/>
      <c r="SGU106"/>
      <c r="SGV106"/>
      <c r="SGW106"/>
      <c r="SGX106"/>
      <c r="SGY106"/>
      <c r="SGZ106"/>
      <c r="SHA106"/>
      <c r="SHB106"/>
      <c r="SHC106"/>
      <c r="SHD106"/>
      <c r="SHE106"/>
      <c r="SHF106"/>
      <c r="SHG106"/>
      <c r="SHH106"/>
      <c r="SHI106"/>
      <c r="SHJ106"/>
      <c r="SHK106"/>
      <c r="SHL106"/>
      <c r="SHM106"/>
      <c r="SHN106"/>
      <c r="SHO106"/>
      <c r="SHP106"/>
      <c r="SHQ106"/>
      <c r="SHR106"/>
      <c r="SHS106"/>
      <c r="SHT106"/>
      <c r="SHU106"/>
      <c r="SHV106"/>
      <c r="SHW106"/>
      <c r="SHX106"/>
      <c r="SHY106"/>
      <c r="SHZ106"/>
      <c r="SIA106"/>
      <c r="SIB106"/>
      <c r="SIC106"/>
      <c r="SID106"/>
      <c r="SIE106"/>
      <c r="SIF106"/>
      <c r="SIG106"/>
      <c r="SIH106"/>
      <c r="SII106"/>
      <c r="SIJ106"/>
      <c r="SIK106"/>
      <c r="SIL106"/>
      <c r="SIM106"/>
      <c r="SIN106"/>
      <c r="SIO106"/>
      <c r="SIP106"/>
      <c r="SIQ106"/>
      <c r="SIR106"/>
      <c r="SIS106"/>
      <c r="SIT106"/>
      <c r="SIU106"/>
      <c r="SIV106"/>
      <c r="SIW106"/>
      <c r="SIX106"/>
      <c r="SIY106"/>
      <c r="SIZ106"/>
      <c r="SJA106"/>
      <c r="SJB106"/>
      <c r="SJC106"/>
      <c r="SJD106"/>
      <c r="SJE106"/>
      <c r="SJF106"/>
      <c r="SJG106"/>
      <c r="SJH106"/>
      <c r="SJI106"/>
      <c r="SJJ106"/>
      <c r="SJK106"/>
      <c r="SJL106"/>
      <c r="SJM106"/>
      <c r="SJN106"/>
      <c r="SJO106"/>
      <c r="SJP106"/>
      <c r="SJQ106"/>
      <c r="SJR106"/>
      <c r="SJS106"/>
      <c r="SJT106"/>
      <c r="SJU106"/>
      <c r="SJV106"/>
      <c r="SJW106"/>
      <c r="SJX106"/>
      <c r="SJY106"/>
      <c r="SJZ106"/>
      <c r="SKA106"/>
      <c r="SKB106"/>
      <c r="SKC106"/>
      <c r="SKD106"/>
      <c r="SKE106"/>
      <c r="SKF106"/>
      <c r="SKG106"/>
      <c r="SKH106"/>
      <c r="SKI106"/>
      <c r="SKJ106"/>
      <c r="SKK106"/>
      <c r="SKL106"/>
      <c r="SKM106"/>
      <c r="SKN106"/>
      <c r="SKO106"/>
      <c r="SKP106"/>
      <c r="SKQ106"/>
      <c r="SKR106"/>
      <c r="SKS106"/>
      <c r="SKT106"/>
      <c r="SKU106"/>
      <c r="SKV106"/>
      <c r="SKW106"/>
      <c r="SKX106"/>
      <c r="SKY106"/>
      <c r="SKZ106"/>
      <c r="SLA106"/>
      <c r="SLB106"/>
      <c r="SLC106"/>
      <c r="SLD106"/>
      <c r="SLE106"/>
      <c r="SLF106"/>
      <c r="SLG106"/>
      <c r="SLH106"/>
      <c r="SLI106"/>
      <c r="SLJ106"/>
      <c r="SLK106"/>
      <c r="SLL106"/>
      <c r="SLM106"/>
      <c r="SLN106"/>
      <c r="SLO106"/>
      <c r="SLP106"/>
      <c r="SLQ106"/>
      <c r="SLR106"/>
      <c r="SLS106"/>
      <c r="SLT106"/>
      <c r="SLU106"/>
      <c r="SLV106"/>
      <c r="SLW106"/>
      <c r="SLX106"/>
      <c r="SLY106"/>
      <c r="SLZ106"/>
      <c r="SMA106"/>
      <c r="SMB106"/>
      <c r="SMC106"/>
      <c r="SMD106"/>
      <c r="SME106"/>
      <c r="SMF106"/>
      <c r="SMG106"/>
      <c r="SMH106"/>
      <c r="SMI106"/>
      <c r="SMJ106"/>
      <c r="SMK106"/>
      <c r="SML106"/>
      <c r="SMM106"/>
      <c r="SMN106"/>
      <c r="SMO106"/>
      <c r="SMP106"/>
      <c r="SMQ106"/>
      <c r="SMR106"/>
      <c r="SMS106"/>
      <c r="SMT106"/>
      <c r="SMU106"/>
      <c r="SMV106"/>
      <c r="SMW106"/>
      <c r="SMX106"/>
      <c r="SMY106"/>
      <c r="SMZ106"/>
      <c r="SNA106"/>
      <c r="SNB106"/>
      <c r="SNC106"/>
      <c r="SND106"/>
      <c r="SNE106"/>
      <c r="SNF106"/>
      <c r="SNG106"/>
      <c r="SNH106"/>
      <c r="SNI106"/>
      <c r="SNJ106"/>
      <c r="SNK106"/>
      <c r="SNL106"/>
      <c r="SNM106"/>
      <c r="SNN106"/>
      <c r="SNO106"/>
      <c r="SNP106"/>
      <c r="SNQ106"/>
      <c r="SNR106"/>
      <c r="SNS106"/>
      <c r="SNT106"/>
      <c r="SNU106"/>
      <c r="SNV106"/>
      <c r="SNW106"/>
      <c r="SNX106"/>
      <c r="SNY106"/>
      <c r="SNZ106"/>
      <c r="SOA106"/>
      <c r="SOB106"/>
      <c r="SOC106"/>
      <c r="SOD106"/>
      <c r="SOE106"/>
      <c r="SOF106"/>
      <c r="SOG106"/>
      <c r="SOH106"/>
      <c r="SOI106"/>
      <c r="SOJ106"/>
      <c r="SOK106"/>
      <c r="SOL106"/>
      <c r="SOM106"/>
      <c r="SON106"/>
      <c r="SOO106"/>
      <c r="SOP106"/>
      <c r="SOQ106"/>
      <c r="SOR106"/>
      <c r="SOS106"/>
      <c r="SOT106"/>
      <c r="SOU106"/>
      <c r="SOV106"/>
      <c r="SOW106"/>
      <c r="SOX106"/>
      <c r="SOY106"/>
      <c r="SOZ106"/>
      <c r="SPA106"/>
      <c r="SPB106"/>
      <c r="SPC106"/>
      <c r="SPD106"/>
      <c r="SPE106"/>
      <c r="SPF106"/>
      <c r="SPG106"/>
      <c r="SPH106"/>
      <c r="SPI106"/>
      <c r="SPJ106"/>
      <c r="SPK106"/>
      <c r="SPL106"/>
      <c r="SPM106"/>
      <c r="SPN106"/>
      <c r="SPO106"/>
      <c r="SPP106"/>
      <c r="SPQ106"/>
      <c r="SPR106"/>
      <c r="SPS106"/>
      <c r="SPT106"/>
      <c r="SPU106"/>
      <c r="SPV106"/>
      <c r="SPW106"/>
      <c r="SPX106"/>
      <c r="SPY106"/>
      <c r="SPZ106"/>
      <c r="SQA106"/>
      <c r="SQB106"/>
      <c r="SQC106"/>
      <c r="SQD106"/>
      <c r="SQE106"/>
      <c r="SQF106"/>
      <c r="SQG106"/>
      <c r="SQH106"/>
      <c r="SQI106"/>
      <c r="SQJ106"/>
      <c r="SQK106"/>
      <c r="SQL106"/>
      <c r="SQM106"/>
      <c r="SQN106"/>
      <c r="SQO106"/>
      <c r="SQP106"/>
      <c r="SQQ106"/>
      <c r="SQR106"/>
      <c r="SQS106"/>
      <c r="SQT106"/>
      <c r="SQU106"/>
      <c r="SQV106"/>
      <c r="SQW106"/>
      <c r="SQX106"/>
      <c r="SQY106"/>
      <c r="SQZ106"/>
      <c r="SRA106"/>
      <c r="SRB106"/>
      <c r="SRC106"/>
      <c r="SRD106"/>
      <c r="SRE106"/>
      <c r="SRF106"/>
      <c r="SRG106"/>
      <c r="SRH106"/>
      <c r="SRI106"/>
      <c r="SRJ106"/>
      <c r="SRK106"/>
      <c r="SRL106"/>
      <c r="SRM106"/>
      <c r="SRN106"/>
      <c r="SRO106"/>
      <c r="SRP106"/>
      <c r="SRQ106"/>
      <c r="SRR106"/>
      <c r="SRS106"/>
      <c r="SRT106"/>
      <c r="SRU106"/>
      <c r="SRV106"/>
      <c r="SRW106"/>
      <c r="SRX106"/>
      <c r="SRY106"/>
      <c r="SRZ106"/>
      <c r="SSA106"/>
      <c r="SSB106"/>
      <c r="SSC106"/>
      <c r="SSD106"/>
      <c r="SSE106"/>
      <c r="SSF106"/>
      <c r="SSG106"/>
      <c r="SSH106"/>
      <c r="SSI106"/>
      <c r="SSJ106"/>
      <c r="SSK106"/>
      <c r="SSL106"/>
      <c r="SSM106"/>
      <c r="SSN106"/>
      <c r="SSO106"/>
      <c r="SSP106"/>
      <c r="SSQ106"/>
      <c r="SSR106"/>
      <c r="SSS106"/>
      <c r="SST106"/>
      <c r="SSU106"/>
      <c r="SSV106"/>
      <c r="SSW106"/>
      <c r="SSX106"/>
      <c r="SSY106"/>
      <c r="SSZ106"/>
      <c r="STA106"/>
      <c r="STB106"/>
      <c r="STC106"/>
      <c r="STD106"/>
      <c r="STE106"/>
      <c r="STF106"/>
      <c r="STG106"/>
      <c r="STH106"/>
      <c r="STI106"/>
      <c r="STJ106"/>
      <c r="STK106"/>
      <c r="STL106"/>
      <c r="STM106"/>
      <c r="STN106"/>
      <c r="STO106"/>
      <c r="STP106"/>
      <c r="STQ106"/>
      <c r="STR106"/>
      <c r="STS106"/>
      <c r="STT106"/>
      <c r="STU106"/>
      <c r="STV106"/>
      <c r="STW106"/>
      <c r="STX106"/>
      <c r="STY106"/>
      <c r="STZ106"/>
      <c r="SUA106"/>
      <c r="SUB106"/>
      <c r="SUC106"/>
      <c r="SUD106"/>
      <c r="SUE106"/>
      <c r="SUF106"/>
      <c r="SUG106"/>
      <c r="SUH106"/>
      <c r="SUI106"/>
      <c r="SUJ106"/>
      <c r="SUK106"/>
      <c r="SUL106"/>
      <c r="SUM106"/>
      <c r="SUN106"/>
      <c r="SUO106"/>
      <c r="SUP106"/>
      <c r="SUQ106"/>
      <c r="SUR106"/>
      <c r="SUS106"/>
      <c r="SUT106"/>
      <c r="SUU106"/>
      <c r="SUV106"/>
      <c r="SUW106"/>
      <c r="SUX106"/>
      <c r="SUY106"/>
      <c r="SUZ106"/>
      <c r="SVA106"/>
      <c r="SVB106"/>
      <c r="SVC106"/>
      <c r="SVD106"/>
      <c r="SVE106"/>
      <c r="SVF106"/>
      <c r="SVG106"/>
      <c r="SVH106"/>
      <c r="SVI106"/>
      <c r="SVJ106"/>
      <c r="SVK106"/>
      <c r="SVL106"/>
      <c r="SVM106"/>
      <c r="SVN106"/>
      <c r="SVO106"/>
      <c r="SVP106"/>
      <c r="SVQ106"/>
      <c r="SVR106"/>
      <c r="SVS106"/>
      <c r="SVT106"/>
      <c r="SVU106"/>
      <c r="SVV106"/>
      <c r="SVW106"/>
      <c r="SVX106"/>
      <c r="SVY106"/>
      <c r="SVZ106"/>
      <c r="SWA106"/>
      <c r="SWB106"/>
      <c r="SWC106"/>
      <c r="SWD106"/>
      <c r="SWE106"/>
      <c r="SWF106"/>
      <c r="SWG106"/>
      <c r="SWH106"/>
      <c r="SWI106"/>
      <c r="SWJ106"/>
      <c r="SWK106"/>
      <c r="SWL106"/>
      <c r="SWM106"/>
      <c r="SWN106"/>
      <c r="SWO106"/>
      <c r="SWP106"/>
      <c r="SWQ106"/>
      <c r="SWR106"/>
      <c r="SWS106"/>
      <c r="SWT106"/>
      <c r="SWU106"/>
      <c r="SWV106"/>
      <c r="SWW106"/>
      <c r="SWX106"/>
      <c r="SWY106"/>
      <c r="SWZ106"/>
      <c r="SXA106"/>
      <c r="SXB106"/>
      <c r="SXC106"/>
      <c r="SXD106"/>
      <c r="SXE106"/>
      <c r="SXF106"/>
      <c r="SXG106"/>
      <c r="SXH106"/>
      <c r="SXI106"/>
      <c r="SXJ106"/>
      <c r="SXK106"/>
      <c r="SXL106"/>
      <c r="SXM106"/>
      <c r="SXN106"/>
      <c r="SXO106"/>
      <c r="SXP106"/>
      <c r="SXQ106"/>
      <c r="SXR106"/>
      <c r="SXS106"/>
      <c r="SXT106"/>
      <c r="SXU106"/>
      <c r="SXV106"/>
      <c r="SXW106"/>
      <c r="SXX106"/>
      <c r="SXY106"/>
      <c r="SXZ106"/>
      <c r="SYA106"/>
      <c r="SYB106"/>
      <c r="SYC106"/>
      <c r="SYD106"/>
      <c r="SYE106"/>
      <c r="SYF106"/>
      <c r="SYG106"/>
      <c r="SYH106"/>
      <c r="SYI106"/>
      <c r="SYJ106"/>
      <c r="SYK106"/>
      <c r="SYL106"/>
      <c r="SYM106"/>
      <c r="SYN106"/>
      <c r="SYO106"/>
      <c r="SYP106"/>
      <c r="SYQ106"/>
      <c r="SYR106"/>
      <c r="SYS106"/>
      <c r="SYT106"/>
      <c r="SYU106"/>
      <c r="SYV106"/>
      <c r="SYW106"/>
      <c r="SYX106"/>
      <c r="SYY106"/>
      <c r="SYZ106"/>
      <c r="SZA106"/>
      <c r="SZB106"/>
      <c r="SZC106"/>
      <c r="SZD106"/>
      <c r="SZE106"/>
      <c r="SZF106"/>
      <c r="SZG106"/>
      <c r="SZH106"/>
      <c r="SZI106"/>
      <c r="SZJ106"/>
      <c r="SZK106"/>
      <c r="SZL106"/>
      <c r="SZM106"/>
      <c r="SZN106"/>
      <c r="SZO106"/>
      <c r="SZP106"/>
      <c r="SZQ106"/>
      <c r="SZR106"/>
      <c r="SZS106"/>
      <c r="SZT106"/>
      <c r="SZU106"/>
      <c r="SZV106"/>
      <c r="SZW106"/>
      <c r="SZX106"/>
      <c r="SZY106"/>
      <c r="SZZ106"/>
      <c r="TAA106"/>
      <c r="TAB106"/>
      <c r="TAC106"/>
      <c r="TAD106"/>
      <c r="TAE106"/>
      <c r="TAF106"/>
      <c r="TAG106"/>
      <c r="TAH106"/>
      <c r="TAI106"/>
      <c r="TAJ106"/>
      <c r="TAK106"/>
      <c r="TAL106"/>
      <c r="TAM106"/>
      <c r="TAN106"/>
      <c r="TAO106"/>
      <c r="TAP106"/>
      <c r="TAQ106"/>
      <c r="TAR106"/>
      <c r="TAS106"/>
      <c r="TAT106"/>
      <c r="TAU106"/>
      <c r="TAV106"/>
      <c r="TAW106"/>
      <c r="TAX106"/>
      <c r="TAY106"/>
      <c r="TAZ106"/>
      <c r="TBA106"/>
      <c r="TBB106"/>
      <c r="TBC106"/>
      <c r="TBD106"/>
      <c r="TBE106"/>
      <c r="TBF106"/>
      <c r="TBG106"/>
      <c r="TBH106"/>
      <c r="TBI106"/>
      <c r="TBJ106"/>
      <c r="TBK106"/>
      <c r="TBL106"/>
      <c r="TBM106"/>
      <c r="TBN106"/>
      <c r="TBO106"/>
      <c r="TBP106"/>
      <c r="TBQ106"/>
      <c r="TBR106"/>
      <c r="TBS106"/>
      <c r="TBT106"/>
      <c r="TBU106"/>
      <c r="TBV106"/>
      <c r="TBW106"/>
      <c r="TBX106"/>
      <c r="TBY106"/>
      <c r="TBZ106"/>
      <c r="TCA106"/>
      <c r="TCB106"/>
      <c r="TCC106"/>
      <c r="TCD106"/>
      <c r="TCE106"/>
      <c r="TCF106"/>
      <c r="TCG106"/>
      <c r="TCH106"/>
      <c r="TCI106"/>
      <c r="TCJ106"/>
      <c r="TCK106"/>
      <c r="TCL106"/>
      <c r="TCM106"/>
      <c r="TCN106"/>
      <c r="TCO106"/>
      <c r="TCP106"/>
      <c r="TCQ106"/>
      <c r="TCR106"/>
      <c r="TCS106"/>
      <c r="TCT106"/>
      <c r="TCU106"/>
      <c r="TCV106"/>
      <c r="TCW106"/>
      <c r="TCX106"/>
      <c r="TCY106"/>
      <c r="TCZ106"/>
      <c r="TDA106"/>
      <c r="TDB106"/>
      <c r="TDC106"/>
      <c r="TDD106"/>
      <c r="TDE106"/>
      <c r="TDF106"/>
      <c r="TDG106"/>
      <c r="TDH106"/>
      <c r="TDI106"/>
      <c r="TDJ106"/>
      <c r="TDK106"/>
      <c r="TDL106"/>
      <c r="TDM106"/>
      <c r="TDN106"/>
      <c r="TDO106"/>
      <c r="TDP106"/>
      <c r="TDQ106"/>
      <c r="TDR106"/>
      <c r="TDS106"/>
      <c r="TDT106"/>
      <c r="TDU106"/>
      <c r="TDV106"/>
      <c r="TDW106"/>
      <c r="TDX106"/>
      <c r="TDY106"/>
      <c r="TDZ106"/>
      <c r="TEA106"/>
      <c r="TEB106"/>
      <c r="TEC106"/>
      <c r="TED106"/>
      <c r="TEE106"/>
      <c r="TEF106"/>
      <c r="TEG106"/>
      <c r="TEH106"/>
      <c r="TEI106"/>
      <c r="TEJ106"/>
      <c r="TEK106"/>
      <c r="TEL106"/>
      <c r="TEM106"/>
      <c r="TEN106"/>
      <c r="TEO106"/>
      <c r="TEP106"/>
      <c r="TEQ106"/>
      <c r="TER106"/>
      <c r="TES106"/>
      <c r="TET106"/>
      <c r="TEU106"/>
      <c r="TEV106"/>
      <c r="TEW106"/>
      <c r="TEX106"/>
      <c r="TEY106"/>
      <c r="TEZ106"/>
      <c r="TFA106"/>
      <c r="TFB106"/>
      <c r="TFC106"/>
      <c r="TFD106"/>
      <c r="TFE106"/>
      <c r="TFF106"/>
      <c r="TFG106"/>
      <c r="TFH106"/>
      <c r="TFI106"/>
      <c r="TFJ106"/>
      <c r="TFK106"/>
      <c r="TFL106"/>
      <c r="TFM106"/>
      <c r="TFN106"/>
      <c r="TFO106"/>
      <c r="TFP106"/>
      <c r="TFQ106"/>
      <c r="TFR106"/>
      <c r="TFS106"/>
      <c r="TFT106"/>
      <c r="TFU106"/>
      <c r="TFV106"/>
      <c r="TFW106"/>
      <c r="TFX106"/>
      <c r="TFY106"/>
      <c r="TFZ106"/>
      <c r="TGA106"/>
      <c r="TGB106"/>
      <c r="TGC106"/>
      <c r="TGD106"/>
      <c r="TGE106"/>
      <c r="TGF106"/>
      <c r="TGG106"/>
      <c r="TGH106"/>
      <c r="TGI106"/>
      <c r="TGJ106"/>
      <c r="TGK106"/>
      <c r="TGL106"/>
      <c r="TGM106"/>
      <c r="TGN106"/>
      <c r="TGO106"/>
      <c r="TGP106"/>
      <c r="TGQ106"/>
      <c r="TGR106"/>
      <c r="TGS106"/>
      <c r="TGT106"/>
      <c r="TGU106"/>
      <c r="TGV106"/>
      <c r="TGW106"/>
      <c r="TGX106"/>
      <c r="TGY106"/>
      <c r="TGZ106"/>
      <c r="THA106"/>
      <c r="THB106"/>
      <c r="THC106"/>
      <c r="THD106"/>
      <c r="THE106"/>
      <c r="THF106"/>
      <c r="THG106"/>
      <c r="THH106"/>
      <c r="THI106"/>
      <c r="THJ106"/>
      <c r="THK106"/>
      <c r="THL106"/>
      <c r="THM106"/>
      <c r="THN106"/>
      <c r="THO106"/>
      <c r="THP106"/>
      <c r="THQ106"/>
      <c r="THR106"/>
      <c r="THS106"/>
      <c r="THT106"/>
      <c r="THU106"/>
      <c r="THV106"/>
      <c r="THW106"/>
      <c r="THX106"/>
      <c r="THY106"/>
      <c r="THZ106"/>
      <c r="TIA106"/>
      <c r="TIB106"/>
      <c r="TIC106"/>
      <c r="TID106"/>
      <c r="TIE106"/>
      <c r="TIF106"/>
      <c r="TIG106"/>
      <c r="TIH106"/>
      <c r="TII106"/>
      <c r="TIJ106"/>
      <c r="TIK106"/>
      <c r="TIL106"/>
      <c r="TIM106"/>
      <c r="TIN106"/>
      <c r="TIO106"/>
      <c r="TIP106"/>
      <c r="TIQ106"/>
      <c r="TIR106"/>
      <c r="TIS106"/>
      <c r="TIT106"/>
      <c r="TIU106"/>
      <c r="TIV106"/>
      <c r="TIW106"/>
      <c r="TIX106"/>
      <c r="TIY106"/>
      <c r="TIZ106"/>
      <c r="TJA106"/>
      <c r="TJB106"/>
      <c r="TJC106"/>
      <c r="TJD106"/>
      <c r="TJE106"/>
      <c r="TJF106"/>
      <c r="TJG106"/>
      <c r="TJH106"/>
      <c r="TJI106"/>
      <c r="TJJ106"/>
      <c r="TJK106"/>
      <c r="TJL106"/>
      <c r="TJM106"/>
      <c r="TJN106"/>
      <c r="TJO106"/>
      <c r="TJP106"/>
      <c r="TJQ106"/>
      <c r="TJR106"/>
      <c r="TJS106"/>
      <c r="TJT106"/>
      <c r="TJU106"/>
      <c r="TJV106"/>
      <c r="TJW106"/>
      <c r="TJX106"/>
      <c r="TJY106"/>
      <c r="TJZ106"/>
      <c r="TKA106"/>
      <c r="TKB106"/>
      <c r="TKC106"/>
      <c r="TKD106"/>
      <c r="TKE106"/>
      <c r="TKF106"/>
      <c r="TKG106"/>
      <c r="TKH106"/>
      <c r="TKI106"/>
      <c r="TKJ106"/>
      <c r="TKK106"/>
      <c r="TKL106"/>
      <c r="TKM106"/>
      <c r="TKN106"/>
      <c r="TKO106"/>
      <c r="TKP106"/>
      <c r="TKQ106"/>
      <c r="TKR106"/>
      <c r="TKS106"/>
      <c r="TKT106"/>
      <c r="TKU106"/>
      <c r="TKV106"/>
      <c r="TKW106"/>
      <c r="TKX106"/>
      <c r="TKY106"/>
      <c r="TKZ106"/>
      <c r="TLA106"/>
      <c r="TLB106"/>
      <c r="TLC106"/>
      <c r="TLD106"/>
      <c r="TLE106"/>
      <c r="TLF106"/>
      <c r="TLG106"/>
      <c r="TLH106"/>
      <c r="TLI106"/>
      <c r="TLJ106"/>
      <c r="TLK106"/>
      <c r="TLL106"/>
      <c r="TLM106"/>
      <c r="TLN106"/>
      <c r="TLO106"/>
      <c r="TLP106"/>
      <c r="TLQ106"/>
      <c r="TLR106"/>
      <c r="TLS106"/>
      <c r="TLT106"/>
      <c r="TLU106"/>
      <c r="TLV106"/>
      <c r="TLW106"/>
      <c r="TLX106"/>
      <c r="TLY106"/>
      <c r="TLZ106"/>
      <c r="TMA106"/>
      <c r="TMB106"/>
      <c r="TMC106"/>
      <c r="TMD106"/>
      <c r="TME106"/>
      <c r="TMF106"/>
      <c r="TMG106"/>
      <c r="TMH106"/>
      <c r="TMI106"/>
      <c r="TMJ106"/>
      <c r="TMK106"/>
      <c r="TML106"/>
      <c r="TMM106"/>
      <c r="TMN106"/>
      <c r="TMO106"/>
      <c r="TMP106"/>
      <c r="TMQ106"/>
      <c r="TMR106"/>
      <c r="TMS106"/>
      <c r="TMT106"/>
      <c r="TMU106"/>
      <c r="TMV106"/>
      <c r="TMW106"/>
      <c r="TMX106"/>
      <c r="TMY106"/>
      <c r="TMZ106"/>
      <c r="TNA106"/>
      <c r="TNB106"/>
      <c r="TNC106"/>
      <c r="TND106"/>
      <c r="TNE106"/>
      <c r="TNF106"/>
      <c r="TNG106"/>
      <c r="TNH106"/>
      <c r="TNI106"/>
      <c r="TNJ106"/>
      <c r="TNK106"/>
      <c r="TNL106"/>
      <c r="TNM106"/>
      <c r="TNN106"/>
      <c r="TNO106"/>
      <c r="TNP106"/>
      <c r="TNQ106"/>
      <c r="TNR106"/>
      <c r="TNS106"/>
      <c r="TNT106"/>
      <c r="TNU106"/>
      <c r="TNV106"/>
      <c r="TNW106"/>
      <c r="TNX106"/>
      <c r="TNY106"/>
      <c r="TNZ106"/>
      <c r="TOA106"/>
      <c r="TOB106"/>
      <c r="TOC106"/>
      <c r="TOD106"/>
      <c r="TOE106"/>
      <c r="TOF106"/>
      <c r="TOG106"/>
      <c r="TOH106"/>
      <c r="TOI106"/>
      <c r="TOJ106"/>
      <c r="TOK106"/>
      <c r="TOL106"/>
      <c r="TOM106"/>
      <c r="TON106"/>
      <c r="TOO106"/>
      <c r="TOP106"/>
      <c r="TOQ106"/>
      <c r="TOR106"/>
      <c r="TOS106"/>
      <c r="TOT106"/>
      <c r="TOU106"/>
      <c r="TOV106"/>
      <c r="TOW106"/>
      <c r="TOX106"/>
      <c r="TOY106"/>
      <c r="TOZ106"/>
      <c r="TPA106"/>
      <c r="TPB106"/>
      <c r="TPC106"/>
      <c r="TPD106"/>
      <c r="TPE106"/>
      <c r="TPF106"/>
      <c r="TPG106"/>
      <c r="TPH106"/>
      <c r="TPI106"/>
      <c r="TPJ106"/>
      <c r="TPK106"/>
      <c r="TPL106"/>
      <c r="TPM106"/>
      <c r="TPN106"/>
      <c r="TPO106"/>
      <c r="TPP106"/>
      <c r="TPQ106"/>
      <c r="TPR106"/>
      <c r="TPS106"/>
      <c r="TPT106"/>
      <c r="TPU106"/>
      <c r="TPV106"/>
      <c r="TPW106"/>
      <c r="TPX106"/>
      <c r="TPY106"/>
      <c r="TPZ106"/>
      <c r="TQA106"/>
      <c r="TQB106"/>
      <c r="TQC106"/>
      <c r="TQD106"/>
      <c r="TQE106"/>
      <c r="TQF106"/>
      <c r="TQG106"/>
      <c r="TQH106"/>
      <c r="TQI106"/>
      <c r="TQJ106"/>
      <c r="TQK106"/>
      <c r="TQL106"/>
      <c r="TQM106"/>
      <c r="TQN106"/>
      <c r="TQO106"/>
      <c r="TQP106"/>
      <c r="TQQ106"/>
      <c r="TQR106"/>
      <c r="TQS106"/>
      <c r="TQT106"/>
      <c r="TQU106"/>
      <c r="TQV106"/>
      <c r="TQW106"/>
      <c r="TQX106"/>
      <c r="TQY106"/>
      <c r="TQZ106"/>
      <c r="TRA106"/>
      <c r="TRB106"/>
      <c r="TRC106"/>
      <c r="TRD106"/>
      <c r="TRE106"/>
      <c r="TRF106"/>
      <c r="TRG106"/>
      <c r="TRH106"/>
      <c r="TRI106"/>
      <c r="TRJ106"/>
      <c r="TRK106"/>
      <c r="TRL106"/>
      <c r="TRM106"/>
      <c r="TRN106"/>
      <c r="TRO106"/>
      <c r="TRP106"/>
      <c r="TRQ106"/>
      <c r="TRR106"/>
      <c r="TRS106"/>
      <c r="TRT106"/>
      <c r="TRU106"/>
      <c r="TRV106"/>
      <c r="TRW106"/>
      <c r="TRX106"/>
      <c r="TRY106"/>
      <c r="TRZ106"/>
      <c r="TSA106"/>
      <c r="TSB106"/>
      <c r="TSC106"/>
      <c r="TSD106"/>
      <c r="TSE106"/>
      <c r="TSF106"/>
      <c r="TSG106"/>
      <c r="TSH106"/>
      <c r="TSI106"/>
      <c r="TSJ106"/>
      <c r="TSK106"/>
      <c r="TSL106"/>
      <c r="TSM106"/>
      <c r="TSN106"/>
      <c r="TSO106"/>
      <c r="TSP106"/>
      <c r="TSQ106"/>
      <c r="TSR106"/>
      <c r="TSS106"/>
      <c r="TST106"/>
      <c r="TSU106"/>
      <c r="TSV106"/>
      <c r="TSW106"/>
      <c r="TSX106"/>
      <c r="TSY106"/>
      <c r="TSZ106"/>
      <c r="TTA106"/>
      <c r="TTB106"/>
      <c r="TTC106"/>
      <c r="TTD106"/>
      <c r="TTE106"/>
      <c r="TTF106"/>
      <c r="TTG106"/>
      <c r="TTH106"/>
      <c r="TTI106"/>
      <c r="TTJ106"/>
      <c r="TTK106"/>
      <c r="TTL106"/>
      <c r="TTM106"/>
      <c r="TTN106"/>
      <c r="TTO106"/>
      <c r="TTP106"/>
      <c r="TTQ106"/>
      <c r="TTR106"/>
      <c r="TTS106"/>
      <c r="TTT106"/>
      <c r="TTU106"/>
      <c r="TTV106"/>
      <c r="TTW106"/>
      <c r="TTX106"/>
      <c r="TTY106"/>
      <c r="TTZ106"/>
      <c r="TUA106"/>
      <c r="TUB106"/>
      <c r="TUC106"/>
      <c r="TUD106"/>
      <c r="TUE106"/>
      <c r="TUF106"/>
      <c r="TUG106"/>
      <c r="TUH106"/>
      <c r="TUI106"/>
      <c r="TUJ106"/>
      <c r="TUK106"/>
      <c r="TUL106"/>
      <c r="TUM106"/>
      <c r="TUN106"/>
      <c r="TUO106"/>
      <c r="TUP106"/>
      <c r="TUQ106"/>
      <c r="TUR106"/>
      <c r="TUS106"/>
      <c r="TUT106"/>
      <c r="TUU106"/>
      <c r="TUV106"/>
      <c r="TUW106"/>
      <c r="TUX106"/>
      <c r="TUY106"/>
      <c r="TUZ106"/>
      <c r="TVA106"/>
      <c r="TVB106"/>
      <c r="TVC106"/>
      <c r="TVD106"/>
      <c r="TVE106"/>
      <c r="TVF106"/>
      <c r="TVG106"/>
      <c r="TVH106"/>
      <c r="TVI106"/>
      <c r="TVJ106"/>
      <c r="TVK106"/>
      <c r="TVL106"/>
      <c r="TVM106"/>
      <c r="TVN106"/>
      <c r="TVO106"/>
      <c r="TVP106"/>
      <c r="TVQ106"/>
      <c r="TVR106"/>
      <c r="TVS106"/>
      <c r="TVT106"/>
      <c r="TVU106"/>
      <c r="TVV106"/>
      <c r="TVW106"/>
      <c r="TVX106"/>
      <c r="TVY106"/>
      <c r="TVZ106"/>
      <c r="TWA106"/>
      <c r="TWB106"/>
      <c r="TWC106"/>
      <c r="TWD106"/>
      <c r="TWE106"/>
      <c r="TWF106"/>
      <c r="TWG106"/>
      <c r="TWH106"/>
      <c r="TWI106"/>
      <c r="TWJ106"/>
      <c r="TWK106"/>
      <c r="TWL106"/>
      <c r="TWM106"/>
      <c r="TWN106"/>
      <c r="TWO106"/>
      <c r="TWP106"/>
      <c r="TWQ106"/>
      <c r="TWR106"/>
      <c r="TWS106"/>
      <c r="TWT106"/>
      <c r="TWU106"/>
      <c r="TWV106"/>
      <c r="TWW106"/>
      <c r="TWX106"/>
      <c r="TWY106"/>
      <c r="TWZ106"/>
      <c r="TXA106"/>
      <c r="TXB106"/>
      <c r="TXC106"/>
      <c r="TXD106"/>
      <c r="TXE106"/>
      <c r="TXF106"/>
      <c r="TXG106"/>
      <c r="TXH106"/>
      <c r="TXI106"/>
      <c r="TXJ106"/>
      <c r="TXK106"/>
      <c r="TXL106"/>
      <c r="TXM106"/>
      <c r="TXN106"/>
      <c r="TXO106"/>
      <c r="TXP106"/>
      <c r="TXQ106"/>
      <c r="TXR106"/>
      <c r="TXS106"/>
      <c r="TXT106"/>
      <c r="TXU106"/>
      <c r="TXV106"/>
      <c r="TXW106"/>
      <c r="TXX106"/>
      <c r="TXY106"/>
      <c r="TXZ106"/>
      <c r="TYA106"/>
      <c r="TYB106"/>
      <c r="TYC106"/>
      <c r="TYD106"/>
      <c r="TYE106"/>
      <c r="TYF106"/>
      <c r="TYG106"/>
      <c r="TYH106"/>
      <c r="TYI106"/>
      <c r="TYJ106"/>
      <c r="TYK106"/>
      <c r="TYL106"/>
      <c r="TYM106"/>
      <c r="TYN106"/>
      <c r="TYO106"/>
      <c r="TYP106"/>
      <c r="TYQ106"/>
      <c r="TYR106"/>
      <c r="TYS106"/>
      <c r="TYT106"/>
      <c r="TYU106"/>
      <c r="TYV106"/>
      <c r="TYW106"/>
      <c r="TYX106"/>
      <c r="TYY106"/>
      <c r="TYZ106"/>
      <c r="TZA106"/>
      <c r="TZB106"/>
      <c r="TZC106"/>
      <c r="TZD106"/>
      <c r="TZE106"/>
      <c r="TZF106"/>
      <c r="TZG106"/>
      <c r="TZH106"/>
      <c r="TZI106"/>
      <c r="TZJ106"/>
      <c r="TZK106"/>
      <c r="TZL106"/>
      <c r="TZM106"/>
      <c r="TZN106"/>
      <c r="TZO106"/>
      <c r="TZP106"/>
      <c r="TZQ106"/>
      <c r="TZR106"/>
      <c r="TZS106"/>
      <c r="TZT106"/>
      <c r="TZU106"/>
      <c r="TZV106"/>
      <c r="TZW106"/>
      <c r="TZX106"/>
      <c r="TZY106"/>
      <c r="TZZ106"/>
      <c r="UAA106"/>
      <c r="UAB106"/>
      <c r="UAC106"/>
      <c r="UAD106"/>
      <c r="UAE106"/>
      <c r="UAF106"/>
      <c r="UAG106"/>
      <c r="UAH106"/>
      <c r="UAI106"/>
      <c r="UAJ106"/>
      <c r="UAK106"/>
      <c r="UAL106"/>
      <c r="UAM106"/>
      <c r="UAN106"/>
      <c r="UAO106"/>
      <c r="UAP106"/>
      <c r="UAQ106"/>
      <c r="UAR106"/>
      <c r="UAS106"/>
      <c r="UAT106"/>
      <c r="UAU106"/>
      <c r="UAV106"/>
      <c r="UAW106"/>
      <c r="UAX106"/>
      <c r="UAY106"/>
      <c r="UAZ106"/>
      <c r="UBA106"/>
      <c r="UBB106"/>
      <c r="UBC106"/>
      <c r="UBD106"/>
      <c r="UBE106"/>
      <c r="UBF106"/>
      <c r="UBG106"/>
      <c r="UBH106"/>
      <c r="UBI106"/>
      <c r="UBJ106"/>
      <c r="UBK106"/>
      <c r="UBL106"/>
      <c r="UBM106"/>
      <c r="UBN106"/>
      <c r="UBO106"/>
      <c r="UBP106"/>
      <c r="UBQ106"/>
      <c r="UBR106"/>
      <c r="UBS106"/>
      <c r="UBT106"/>
      <c r="UBU106"/>
      <c r="UBV106"/>
      <c r="UBW106"/>
      <c r="UBX106"/>
      <c r="UBY106"/>
      <c r="UBZ106"/>
      <c r="UCA106"/>
      <c r="UCB106"/>
      <c r="UCC106"/>
      <c r="UCD106"/>
      <c r="UCE106"/>
      <c r="UCF106"/>
      <c r="UCG106"/>
      <c r="UCH106"/>
      <c r="UCI106"/>
      <c r="UCJ106"/>
      <c r="UCK106"/>
      <c r="UCL106"/>
      <c r="UCM106"/>
      <c r="UCN106"/>
      <c r="UCO106"/>
      <c r="UCP106"/>
      <c r="UCQ106"/>
      <c r="UCR106"/>
      <c r="UCS106"/>
      <c r="UCT106"/>
      <c r="UCU106"/>
      <c r="UCV106"/>
      <c r="UCW106"/>
      <c r="UCX106"/>
      <c r="UCY106"/>
      <c r="UCZ106"/>
      <c r="UDA106"/>
      <c r="UDB106"/>
      <c r="UDC106"/>
      <c r="UDD106"/>
      <c r="UDE106"/>
      <c r="UDF106"/>
      <c r="UDG106"/>
      <c r="UDH106"/>
      <c r="UDI106"/>
      <c r="UDJ106"/>
      <c r="UDK106"/>
      <c r="UDL106"/>
      <c r="UDM106"/>
      <c r="UDN106"/>
      <c r="UDO106"/>
      <c r="UDP106"/>
      <c r="UDQ106"/>
      <c r="UDR106"/>
      <c r="UDS106"/>
      <c r="UDT106"/>
      <c r="UDU106"/>
      <c r="UDV106"/>
      <c r="UDW106"/>
      <c r="UDX106"/>
      <c r="UDY106"/>
      <c r="UDZ106"/>
      <c r="UEA106"/>
      <c r="UEB106"/>
      <c r="UEC106"/>
      <c r="UED106"/>
      <c r="UEE106"/>
      <c r="UEF106"/>
      <c r="UEG106"/>
      <c r="UEH106"/>
      <c r="UEI106"/>
      <c r="UEJ106"/>
      <c r="UEK106"/>
      <c r="UEL106"/>
      <c r="UEM106"/>
      <c r="UEN106"/>
      <c r="UEO106"/>
      <c r="UEP106"/>
      <c r="UEQ106"/>
      <c r="UER106"/>
      <c r="UES106"/>
      <c r="UET106"/>
      <c r="UEU106"/>
      <c r="UEV106"/>
      <c r="UEW106"/>
      <c r="UEX106"/>
      <c r="UEY106"/>
      <c r="UEZ106"/>
      <c r="UFA106"/>
      <c r="UFB106"/>
      <c r="UFC106"/>
      <c r="UFD106"/>
      <c r="UFE106"/>
      <c r="UFF106"/>
      <c r="UFG106"/>
      <c r="UFH106"/>
      <c r="UFI106"/>
      <c r="UFJ106"/>
      <c r="UFK106"/>
      <c r="UFL106"/>
      <c r="UFM106"/>
      <c r="UFN106"/>
      <c r="UFO106"/>
      <c r="UFP106"/>
      <c r="UFQ106"/>
      <c r="UFR106"/>
      <c r="UFS106"/>
      <c r="UFT106"/>
      <c r="UFU106"/>
      <c r="UFV106"/>
      <c r="UFW106"/>
      <c r="UFX106"/>
      <c r="UFY106"/>
      <c r="UFZ106"/>
      <c r="UGA106"/>
      <c r="UGB106"/>
      <c r="UGC106"/>
      <c r="UGD106"/>
      <c r="UGE106"/>
      <c r="UGF106"/>
      <c r="UGG106"/>
      <c r="UGH106"/>
      <c r="UGI106"/>
      <c r="UGJ106"/>
      <c r="UGK106"/>
      <c r="UGL106"/>
      <c r="UGM106"/>
      <c r="UGN106"/>
      <c r="UGO106"/>
      <c r="UGP106"/>
      <c r="UGQ106"/>
      <c r="UGR106"/>
      <c r="UGS106"/>
      <c r="UGT106"/>
      <c r="UGU106"/>
      <c r="UGV106"/>
      <c r="UGW106"/>
      <c r="UGX106"/>
      <c r="UGY106"/>
      <c r="UGZ106"/>
      <c r="UHA106"/>
      <c r="UHB106"/>
      <c r="UHC106"/>
      <c r="UHD106"/>
      <c r="UHE106"/>
      <c r="UHF106"/>
      <c r="UHG106"/>
      <c r="UHH106"/>
      <c r="UHI106"/>
      <c r="UHJ106"/>
      <c r="UHK106"/>
      <c r="UHL106"/>
      <c r="UHM106"/>
      <c r="UHN106"/>
      <c r="UHO106"/>
      <c r="UHP106"/>
      <c r="UHQ106"/>
      <c r="UHR106"/>
      <c r="UHS106"/>
      <c r="UHT106"/>
      <c r="UHU106"/>
      <c r="UHV106"/>
      <c r="UHW106"/>
      <c r="UHX106"/>
      <c r="UHY106"/>
      <c r="UHZ106"/>
      <c r="UIA106"/>
      <c r="UIB106"/>
      <c r="UIC106"/>
      <c r="UID106"/>
      <c r="UIE106"/>
      <c r="UIF106"/>
      <c r="UIG106"/>
      <c r="UIH106"/>
      <c r="UII106"/>
      <c r="UIJ106"/>
      <c r="UIK106"/>
      <c r="UIL106"/>
      <c r="UIM106"/>
      <c r="UIN106"/>
      <c r="UIO106"/>
      <c r="UIP106"/>
      <c r="UIQ106"/>
      <c r="UIR106"/>
      <c r="UIS106"/>
      <c r="UIT106"/>
      <c r="UIU106"/>
      <c r="UIV106"/>
      <c r="UIW106"/>
      <c r="UIX106"/>
      <c r="UIY106"/>
      <c r="UIZ106"/>
      <c r="UJA106"/>
      <c r="UJB106"/>
      <c r="UJC106"/>
      <c r="UJD106"/>
      <c r="UJE106"/>
      <c r="UJF106"/>
      <c r="UJG106"/>
      <c r="UJH106"/>
      <c r="UJI106"/>
      <c r="UJJ106"/>
      <c r="UJK106"/>
      <c r="UJL106"/>
      <c r="UJM106"/>
      <c r="UJN106"/>
      <c r="UJO106"/>
      <c r="UJP106"/>
      <c r="UJQ106"/>
      <c r="UJR106"/>
      <c r="UJS106"/>
      <c r="UJT106"/>
      <c r="UJU106"/>
      <c r="UJV106"/>
      <c r="UJW106"/>
      <c r="UJX106"/>
      <c r="UJY106"/>
      <c r="UJZ106"/>
      <c r="UKA106"/>
      <c r="UKB106"/>
      <c r="UKC106"/>
      <c r="UKD106"/>
      <c r="UKE106"/>
      <c r="UKF106"/>
      <c r="UKG106"/>
      <c r="UKH106"/>
      <c r="UKI106"/>
      <c r="UKJ106"/>
      <c r="UKK106"/>
      <c r="UKL106"/>
      <c r="UKM106"/>
      <c r="UKN106"/>
      <c r="UKO106"/>
      <c r="UKP106"/>
      <c r="UKQ106"/>
      <c r="UKR106"/>
      <c r="UKS106"/>
      <c r="UKT106"/>
      <c r="UKU106"/>
      <c r="UKV106"/>
      <c r="UKW106"/>
      <c r="UKX106"/>
      <c r="UKY106"/>
      <c r="UKZ106"/>
      <c r="ULA106"/>
      <c r="ULB106"/>
      <c r="ULC106"/>
      <c r="ULD106"/>
      <c r="ULE106"/>
      <c r="ULF106"/>
      <c r="ULG106"/>
      <c r="ULH106"/>
      <c r="ULI106"/>
      <c r="ULJ106"/>
      <c r="ULK106"/>
      <c r="ULL106"/>
      <c r="ULM106"/>
      <c r="ULN106"/>
      <c r="ULO106"/>
      <c r="ULP106"/>
      <c r="ULQ106"/>
      <c r="ULR106"/>
      <c r="ULS106"/>
      <c r="ULT106"/>
      <c r="ULU106"/>
      <c r="ULV106"/>
      <c r="ULW106"/>
      <c r="ULX106"/>
      <c r="ULY106"/>
      <c r="ULZ106"/>
      <c r="UMA106"/>
      <c r="UMB106"/>
      <c r="UMC106"/>
      <c r="UMD106"/>
      <c r="UME106"/>
      <c r="UMF106"/>
      <c r="UMG106"/>
      <c r="UMH106"/>
      <c r="UMI106"/>
      <c r="UMJ106"/>
      <c r="UMK106"/>
      <c r="UML106"/>
      <c r="UMM106"/>
      <c r="UMN106"/>
      <c r="UMO106"/>
      <c r="UMP106"/>
      <c r="UMQ106"/>
      <c r="UMR106"/>
      <c r="UMS106"/>
      <c r="UMT106"/>
      <c r="UMU106"/>
      <c r="UMV106"/>
      <c r="UMW106"/>
      <c r="UMX106"/>
      <c r="UMY106"/>
      <c r="UMZ106"/>
      <c r="UNA106"/>
      <c r="UNB106"/>
      <c r="UNC106"/>
      <c r="UND106"/>
      <c r="UNE106"/>
      <c r="UNF106"/>
      <c r="UNG106"/>
      <c r="UNH106"/>
      <c r="UNI106"/>
      <c r="UNJ106"/>
      <c r="UNK106"/>
      <c r="UNL106"/>
      <c r="UNM106"/>
      <c r="UNN106"/>
      <c r="UNO106"/>
      <c r="UNP106"/>
      <c r="UNQ106"/>
      <c r="UNR106"/>
      <c r="UNS106"/>
      <c r="UNT106"/>
      <c r="UNU106"/>
      <c r="UNV106"/>
      <c r="UNW106"/>
      <c r="UNX106"/>
      <c r="UNY106"/>
      <c r="UNZ106"/>
      <c r="UOA106"/>
      <c r="UOB106"/>
      <c r="UOC106"/>
      <c r="UOD106"/>
      <c r="UOE106"/>
      <c r="UOF106"/>
      <c r="UOG106"/>
      <c r="UOH106"/>
      <c r="UOI106"/>
      <c r="UOJ106"/>
      <c r="UOK106"/>
      <c r="UOL106"/>
      <c r="UOM106"/>
      <c r="UON106"/>
      <c r="UOO106"/>
      <c r="UOP106"/>
      <c r="UOQ106"/>
      <c r="UOR106"/>
      <c r="UOS106"/>
      <c r="UOT106"/>
      <c r="UOU106"/>
      <c r="UOV106"/>
      <c r="UOW106"/>
      <c r="UOX106"/>
      <c r="UOY106"/>
      <c r="UOZ106"/>
      <c r="UPA106"/>
      <c r="UPB106"/>
      <c r="UPC106"/>
      <c r="UPD106"/>
      <c r="UPE106"/>
      <c r="UPF106"/>
      <c r="UPG106"/>
      <c r="UPH106"/>
      <c r="UPI106"/>
      <c r="UPJ106"/>
      <c r="UPK106"/>
      <c r="UPL106"/>
      <c r="UPM106"/>
      <c r="UPN106"/>
      <c r="UPO106"/>
      <c r="UPP106"/>
      <c r="UPQ106"/>
      <c r="UPR106"/>
      <c r="UPS106"/>
      <c r="UPT106"/>
      <c r="UPU106"/>
      <c r="UPV106"/>
      <c r="UPW106"/>
      <c r="UPX106"/>
      <c r="UPY106"/>
      <c r="UPZ106"/>
      <c r="UQA106"/>
      <c r="UQB106"/>
      <c r="UQC106"/>
      <c r="UQD106"/>
      <c r="UQE106"/>
      <c r="UQF106"/>
      <c r="UQG106"/>
      <c r="UQH106"/>
      <c r="UQI106"/>
      <c r="UQJ106"/>
      <c r="UQK106"/>
      <c r="UQL106"/>
      <c r="UQM106"/>
      <c r="UQN106"/>
      <c r="UQO106"/>
      <c r="UQP106"/>
      <c r="UQQ106"/>
      <c r="UQR106"/>
      <c r="UQS106"/>
      <c r="UQT106"/>
      <c r="UQU106"/>
      <c r="UQV106"/>
      <c r="UQW106"/>
      <c r="UQX106"/>
      <c r="UQY106"/>
      <c r="UQZ106"/>
      <c r="URA106"/>
      <c r="URB106"/>
      <c r="URC106"/>
      <c r="URD106"/>
      <c r="URE106"/>
      <c r="URF106"/>
      <c r="URG106"/>
      <c r="URH106"/>
      <c r="URI106"/>
      <c r="URJ106"/>
      <c r="URK106"/>
      <c r="URL106"/>
      <c r="URM106"/>
      <c r="URN106"/>
      <c r="URO106"/>
      <c r="URP106"/>
      <c r="URQ106"/>
      <c r="URR106"/>
      <c r="URS106"/>
      <c r="URT106"/>
      <c r="URU106"/>
      <c r="URV106"/>
      <c r="URW106"/>
      <c r="URX106"/>
      <c r="URY106"/>
      <c r="URZ106"/>
      <c r="USA106"/>
      <c r="USB106"/>
      <c r="USC106"/>
      <c r="USD106"/>
      <c r="USE106"/>
      <c r="USF106"/>
      <c r="USG106"/>
      <c r="USH106"/>
      <c r="USI106"/>
      <c r="USJ106"/>
      <c r="USK106"/>
      <c r="USL106"/>
      <c r="USM106"/>
      <c r="USN106"/>
      <c r="USO106"/>
      <c r="USP106"/>
      <c r="USQ106"/>
      <c r="USR106"/>
      <c r="USS106"/>
      <c r="UST106"/>
      <c r="USU106"/>
      <c r="USV106"/>
      <c r="USW106"/>
      <c r="USX106"/>
      <c r="USY106"/>
      <c r="USZ106"/>
      <c r="UTA106"/>
      <c r="UTB106"/>
      <c r="UTC106"/>
      <c r="UTD106"/>
      <c r="UTE106"/>
      <c r="UTF106"/>
      <c r="UTG106"/>
      <c r="UTH106"/>
      <c r="UTI106"/>
      <c r="UTJ106"/>
      <c r="UTK106"/>
      <c r="UTL106"/>
      <c r="UTM106"/>
      <c r="UTN106"/>
      <c r="UTO106"/>
      <c r="UTP106"/>
      <c r="UTQ106"/>
      <c r="UTR106"/>
      <c r="UTS106"/>
      <c r="UTT106"/>
      <c r="UTU106"/>
      <c r="UTV106"/>
      <c r="UTW106"/>
      <c r="UTX106"/>
      <c r="UTY106"/>
      <c r="UTZ106"/>
      <c r="UUA106"/>
      <c r="UUB106"/>
      <c r="UUC106"/>
      <c r="UUD106"/>
      <c r="UUE106"/>
      <c r="UUF106"/>
      <c r="UUG106"/>
      <c r="UUH106"/>
      <c r="UUI106"/>
      <c r="UUJ106"/>
      <c r="UUK106"/>
      <c r="UUL106"/>
      <c r="UUM106"/>
      <c r="UUN106"/>
      <c r="UUO106"/>
      <c r="UUP106"/>
      <c r="UUQ106"/>
      <c r="UUR106"/>
      <c r="UUS106"/>
      <c r="UUT106"/>
      <c r="UUU106"/>
      <c r="UUV106"/>
      <c r="UUW106"/>
      <c r="UUX106"/>
      <c r="UUY106"/>
      <c r="UUZ106"/>
      <c r="UVA106"/>
      <c r="UVB106"/>
      <c r="UVC106"/>
      <c r="UVD106"/>
      <c r="UVE106"/>
      <c r="UVF106"/>
      <c r="UVG106"/>
      <c r="UVH106"/>
      <c r="UVI106"/>
      <c r="UVJ106"/>
      <c r="UVK106"/>
      <c r="UVL106"/>
      <c r="UVM106"/>
      <c r="UVN106"/>
      <c r="UVO106"/>
      <c r="UVP106"/>
      <c r="UVQ106"/>
      <c r="UVR106"/>
      <c r="UVS106"/>
      <c r="UVT106"/>
      <c r="UVU106"/>
      <c r="UVV106"/>
      <c r="UVW106"/>
      <c r="UVX106"/>
      <c r="UVY106"/>
      <c r="UVZ106"/>
      <c r="UWA106"/>
      <c r="UWB106"/>
      <c r="UWC106"/>
      <c r="UWD106"/>
      <c r="UWE106"/>
      <c r="UWF106"/>
      <c r="UWG106"/>
      <c r="UWH106"/>
      <c r="UWI106"/>
      <c r="UWJ106"/>
      <c r="UWK106"/>
      <c r="UWL106"/>
      <c r="UWM106"/>
      <c r="UWN106"/>
      <c r="UWO106"/>
      <c r="UWP106"/>
      <c r="UWQ106"/>
      <c r="UWR106"/>
      <c r="UWS106"/>
      <c r="UWT106"/>
      <c r="UWU106"/>
      <c r="UWV106"/>
      <c r="UWW106"/>
      <c r="UWX106"/>
      <c r="UWY106"/>
      <c r="UWZ106"/>
      <c r="UXA106"/>
      <c r="UXB106"/>
      <c r="UXC106"/>
      <c r="UXD106"/>
      <c r="UXE106"/>
      <c r="UXF106"/>
      <c r="UXG106"/>
      <c r="UXH106"/>
      <c r="UXI106"/>
      <c r="UXJ106"/>
      <c r="UXK106"/>
      <c r="UXL106"/>
      <c r="UXM106"/>
      <c r="UXN106"/>
      <c r="UXO106"/>
      <c r="UXP106"/>
      <c r="UXQ106"/>
      <c r="UXR106"/>
      <c r="UXS106"/>
      <c r="UXT106"/>
      <c r="UXU106"/>
      <c r="UXV106"/>
      <c r="UXW106"/>
      <c r="UXX106"/>
      <c r="UXY106"/>
      <c r="UXZ106"/>
      <c r="UYA106"/>
      <c r="UYB106"/>
      <c r="UYC106"/>
      <c r="UYD106"/>
      <c r="UYE106"/>
      <c r="UYF106"/>
      <c r="UYG106"/>
      <c r="UYH106"/>
      <c r="UYI106"/>
      <c r="UYJ106"/>
      <c r="UYK106"/>
      <c r="UYL106"/>
      <c r="UYM106"/>
      <c r="UYN106"/>
      <c r="UYO106"/>
      <c r="UYP106"/>
      <c r="UYQ106"/>
      <c r="UYR106"/>
      <c r="UYS106"/>
      <c r="UYT106"/>
      <c r="UYU106"/>
      <c r="UYV106"/>
      <c r="UYW106"/>
      <c r="UYX106"/>
      <c r="UYY106"/>
      <c r="UYZ106"/>
      <c r="UZA106"/>
      <c r="UZB106"/>
      <c r="UZC106"/>
      <c r="UZD106"/>
      <c r="UZE106"/>
      <c r="UZF106"/>
      <c r="UZG106"/>
      <c r="UZH106"/>
      <c r="UZI106"/>
      <c r="UZJ106"/>
      <c r="UZK106"/>
      <c r="UZL106"/>
      <c r="UZM106"/>
      <c r="UZN106"/>
      <c r="UZO106"/>
      <c r="UZP106"/>
      <c r="UZQ106"/>
      <c r="UZR106"/>
      <c r="UZS106"/>
      <c r="UZT106"/>
      <c r="UZU106"/>
      <c r="UZV106"/>
      <c r="UZW106"/>
      <c r="UZX106"/>
      <c r="UZY106"/>
      <c r="UZZ106"/>
      <c r="VAA106"/>
      <c r="VAB106"/>
      <c r="VAC106"/>
      <c r="VAD106"/>
      <c r="VAE106"/>
      <c r="VAF106"/>
      <c r="VAG106"/>
      <c r="VAH106"/>
      <c r="VAI106"/>
      <c r="VAJ106"/>
      <c r="VAK106"/>
      <c r="VAL106"/>
      <c r="VAM106"/>
      <c r="VAN106"/>
      <c r="VAO106"/>
      <c r="VAP106"/>
      <c r="VAQ106"/>
      <c r="VAR106"/>
      <c r="VAS106"/>
      <c r="VAT106"/>
      <c r="VAU106"/>
      <c r="VAV106"/>
      <c r="VAW106"/>
      <c r="VAX106"/>
      <c r="VAY106"/>
      <c r="VAZ106"/>
      <c r="VBA106"/>
      <c r="VBB106"/>
      <c r="VBC106"/>
      <c r="VBD106"/>
      <c r="VBE106"/>
      <c r="VBF106"/>
      <c r="VBG106"/>
      <c r="VBH106"/>
      <c r="VBI106"/>
      <c r="VBJ106"/>
      <c r="VBK106"/>
      <c r="VBL106"/>
      <c r="VBM106"/>
      <c r="VBN106"/>
      <c r="VBO106"/>
      <c r="VBP106"/>
      <c r="VBQ106"/>
      <c r="VBR106"/>
      <c r="VBS106"/>
      <c r="VBT106"/>
      <c r="VBU106"/>
      <c r="VBV106"/>
      <c r="VBW106"/>
      <c r="VBX106"/>
      <c r="VBY106"/>
      <c r="VBZ106"/>
      <c r="VCA106"/>
      <c r="VCB106"/>
      <c r="VCC106"/>
      <c r="VCD106"/>
      <c r="VCE106"/>
      <c r="VCF106"/>
      <c r="VCG106"/>
      <c r="VCH106"/>
      <c r="VCI106"/>
      <c r="VCJ106"/>
      <c r="VCK106"/>
      <c r="VCL106"/>
      <c r="VCM106"/>
      <c r="VCN106"/>
      <c r="VCO106"/>
      <c r="VCP106"/>
      <c r="VCQ106"/>
      <c r="VCR106"/>
      <c r="VCS106"/>
      <c r="VCT106"/>
      <c r="VCU106"/>
      <c r="VCV106"/>
      <c r="VCW106"/>
      <c r="VCX106"/>
      <c r="VCY106"/>
      <c r="VCZ106"/>
      <c r="VDA106"/>
      <c r="VDB106"/>
      <c r="VDC106"/>
      <c r="VDD106"/>
      <c r="VDE106"/>
      <c r="VDF106"/>
      <c r="VDG106"/>
      <c r="VDH106"/>
      <c r="VDI106"/>
      <c r="VDJ106"/>
      <c r="VDK106"/>
      <c r="VDL106"/>
      <c r="VDM106"/>
      <c r="VDN106"/>
      <c r="VDO106"/>
      <c r="VDP106"/>
      <c r="VDQ106"/>
      <c r="VDR106"/>
      <c r="VDS106"/>
      <c r="VDT106"/>
      <c r="VDU106"/>
      <c r="VDV106"/>
      <c r="VDW106"/>
      <c r="VDX106"/>
      <c r="VDY106"/>
      <c r="VDZ106"/>
      <c r="VEA106"/>
      <c r="VEB106"/>
      <c r="VEC106"/>
      <c r="VED106"/>
      <c r="VEE106"/>
      <c r="VEF106"/>
      <c r="VEG106"/>
      <c r="VEH106"/>
      <c r="VEI106"/>
      <c r="VEJ106"/>
      <c r="VEK106"/>
      <c r="VEL106"/>
      <c r="VEM106"/>
      <c r="VEN106"/>
      <c r="VEO106"/>
      <c r="VEP106"/>
      <c r="VEQ106"/>
      <c r="VER106"/>
      <c r="VES106"/>
      <c r="VET106"/>
      <c r="VEU106"/>
      <c r="VEV106"/>
      <c r="VEW106"/>
      <c r="VEX106"/>
      <c r="VEY106"/>
      <c r="VEZ106"/>
      <c r="VFA106"/>
      <c r="VFB106"/>
      <c r="VFC106"/>
      <c r="VFD106"/>
      <c r="VFE106"/>
      <c r="VFF106"/>
      <c r="VFG106"/>
      <c r="VFH106"/>
      <c r="VFI106"/>
      <c r="VFJ106"/>
      <c r="VFK106"/>
      <c r="VFL106"/>
      <c r="VFM106"/>
      <c r="VFN106"/>
      <c r="VFO106"/>
      <c r="VFP106"/>
      <c r="VFQ106"/>
      <c r="VFR106"/>
      <c r="VFS106"/>
      <c r="VFT106"/>
      <c r="VFU106"/>
      <c r="VFV106"/>
      <c r="VFW106"/>
      <c r="VFX106"/>
      <c r="VFY106"/>
      <c r="VFZ106"/>
      <c r="VGA106"/>
      <c r="VGB106"/>
      <c r="VGC106"/>
      <c r="VGD106"/>
      <c r="VGE106"/>
      <c r="VGF106"/>
      <c r="VGG106"/>
      <c r="VGH106"/>
      <c r="VGI106"/>
      <c r="VGJ106"/>
      <c r="VGK106"/>
      <c r="VGL106"/>
      <c r="VGM106"/>
      <c r="VGN106"/>
      <c r="VGO106"/>
      <c r="VGP106"/>
      <c r="VGQ106"/>
      <c r="VGR106"/>
      <c r="VGS106"/>
      <c r="VGT106"/>
      <c r="VGU106"/>
      <c r="VGV106"/>
      <c r="VGW106"/>
      <c r="VGX106"/>
      <c r="VGY106"/>
      <c r="VGZ106"/>
      <c r="VHA106"/>
      <c r="VHB106"/>
      <c r="VHC106"/>
      <c r="VHD106"/>
      <c r="VHE106"/>
      <c r="VHF106"/>
      <c r="VHG106"/>
      <c r="VHH106"/>
      <c r="VHI106"/>
      <c r="VHJ106"/>
      <c r="VHK106"/>
      <c r="VHL106"/>
      <c r="VHM106"/>
      <c r="VHN106"/>
      <c r="VHO106"/>
      <c r="VHP106"/>
      <c r="VHQ106"/>
      <c r="VHR106"/>
      <c r="VHS106"/>
      <c r="VHT106"/>
      <c r="VHU106"/>
      <c r="VHV106"/>
      <c r="VHW106"/>
      <c r="VHX106"/>
      <c r="VHY106"/>
      <c r="VHZ106"/>
      <c r="VIA106"/>
      <c r="VIB106"/>
      <c r="VIC106"/>
      <c r="VID106"/>
      <c r="VIE106"/>
      <c r="VIF106"/>
      <c r="VIG106"/>
      <c r="VIH106"/>
      <c r="VII106"/>
      <c r="VIJ106"/>
      <c r="VIK106"/>
      <c r="VIL106"/>
      <c r="VIM106"/>
      <c r="VIN106"/>
      <c r="VIO106"/>
      <c r="VIP106"/>
      <c r="VIQ106"/>
      <c r="VIR106"/>
      <c r="VIS106"/>
      <c r="VIT106"/>
      <c r="VIU106"/>
      <c r="VIV106"/>
      <c r="VIW106"/>
      <c r="VIX106"/>
      <c r="VIY106"/>
      <c r="VIZ106"/>
      <c r="VJA106"/>
      <c r="VJB106"/>
      <c r="VJC106"/>
      <c r="VJD106"/>
      <c r="VJE106"/>
      <c r="VJF106"/>
      <c r="VJG106"/>
      <c r="VJH106"/>
      <c r="VJI106"/>
      <c r="VJJ106"/>
      <c r="VJK106"/>
      <c r="VJL106"/>
      <c r="VJM106"/>
      <c r="VJN106"/>
      <c r="VJO106"/>
      <c r="VJP106"/>
      <c r="VJQ106"/>
      <c r="VJR106"/>
      <c r="VJS106"/>
      <c r="VJT106"/>
      <c r="VJU106"/>
      <c r="VJV106"/>
      <c r="VJW106"/>
      <c r="VJX106"/>
      <c r="VJY106"/>
      <c r="VJZ106"/>
      <c r="VKA106"/>
      <c r="VKB106"/>
      <c r="VKC106"/>
      <c r="VKD106"/>
      <c r="VKE106"/>
      <c r="VKF106"/>
      <c r="VKG106"/>
      <c r="VKH106"/>
      <c r="VKI106"/>
      <c r="VKJ106"/>
      <c r="VKK106"/>
      <c r="VKL106"/>
      <c r="VKM106"/>
      <c r="VKN106"/>
      <c r="VKO106"/>
      <c r="VKP106"/>
      <c r="VKQ106"/>
      <c r="VKR106"/>
      <c r="VKS106"/>
      <c r="VKT106"/>
      <c r="VKU106"/>
      <c r="VKV106"/>
      <c r="VKW106"/>
      <c r="VKX106"/>
      <c r="VKY106"/>
      <c r="VKZ106"/>
      <c r="VLA106"/>
      <c r="VLB106"/>
      <c r="VLC106"/>
      <c r="VLD106"/>
      <c r="VLE106"/>
      <c r="VLF106"/>
      <c r="VLG106"/>
      <c r="VLH106"/>
      <c r="VLI106"/>
      <c r="VLJ106"/>
      <c r="VLK106"/>
      <c r="VLL106"/>
      <c r="VLM106"/>
      <c r="VLN106"/>
      <c r="VLO106"/>
      <c r="VLP106"/>
      <c r="VLQ106"/>
      <c r="VLR106"/>
      <c r="VLS106"/>
      <c r="VLT106"/>
      <c r="VLU106"/>
      <c r="VLV106"/>
      <c r="VLW106"/>
      <c r="VLX106"/>
      <c r="VLY106"/>
      <c r="VLZ106"/>
      <c r="VMA106"/>
      <c r="VMB106"/>
      <c r="VMC106"/>
      <c r="VMD106"/>
      <c r="VME106"/>
      <c r="VMF106"/>
      <c r="VMG106"/>
      <c r="VMH106"/>
      <c r="VMI106"/>
      <c r="VMJ106"/>
      <c r="VMK106"/>
      <c r="VML106"/>
      <c r="VMM106"/>
      <c r="VMN106"/>
      <c r="VMO106"/>
      <c r="VMP106"/>
      <c r="VMQ106"/>
      <c r="VMR106"/>
      <c r="VMS106"/>
      <c r="VMT106"/>
      <c r="VMU106"/>
      <c r="VMV106"/>
      <c r="VMW106"/>
      <c r="VMX106"/>
      <c r="VMY106"/>
      <c r="VMZ106"/>
      <c r="VNA106"/>
      <c r="VNB106"/>
      <c r="VNC106"/>
      <c r="VND106"/>
      <c r="VNE106"/>
      <c r="VNF106"/>
      <c r="VNG106"/>
      <c r="VNH106"/>
      <c r="VNI106"/>
      <c r="VNJ106"/>
      <c r="VNK106"/>
      <c r="VNL106"/>
      <c r="VNM106"/>
      <c r="VNN106"/>
      <c r="VNO106"/>
      <c r="VNP106"/>
      <c r="VNQ106"/>
      <c r="VNR106"/>
      <c r="VNS106"/>
      <c r="VNT106"/>
      <c r="VNU106"/>
      <c r="VNV106"/>
      <c r="VNW106"/>
      <c r="VNX106"/>
      <c r="VNY106"/>
      <c r="VNZ106"/>
      <c r="VOA106"/>
      <c r="VOB106"/>
      <c r="VOC106"/>
      <c r="VOD106"/>
      <c r="VOE106"/>
      <c r="VOF106"/>
      <c r="VOG106"/>
      <c r="VOH106"/>
      <c r="VOI106"/>
      <c r="VOJ106"/>
      <c r="VOK106"/>
      <c r="VOL106"/>
      <c r="VOM106"/>
      <c r="VON106"/>
      <c r="VOO106"/>
      <c r="VOP106"/>
      <c r="VOQ106"/>
      <c r="VOR106"/>
      <c r="VOS106"/>
      <c r="VOT106"/>
      <c r="VOU106"/>
      <c r="VOV106"/>
      <c r="VOW106"/>
      <c r="VOX106"/>
      <c r="VOY106"/>
      <c r="VOZ106"/>
      <c r="VPA106"/>
      <c r="VPB106"/>
      <c r="VPC106"/>
      <c r="VPD106"/>
      <c r="VPE106"/>
      <c r="VPF106"/>
      <c r="VPG106"/>
      <c r="VPH106"/>
      <c r="VPI106"/>
      <c r="VPJ106"/>
      <c r="VPK106"/>
      <c r="VPL106"/>
      <c r="VPM106"/>
      <c r="VPN106"/>
      <c r="VPO106"/>
      <c r="VPP106"/>
      <c r="VPQ106"/>
      <c r="VPR106"/>
      <c r="VPS106"/>
      <c r="VPT106"/>
      <c r="VPU106"/>
      <c r="VPV106"/>
      <c r="VPW106"/>
      <c r="VPX106"/>
      <c r="VPY106"/>
      <c r="VPZ106"/>
      <c r="VQA106"/>
      <c r="VQB106"/>
      <c r="VQC106"/>
      <c r="VQD106"/>
      <c r="VQE106"/>
      <c r="VQF106"/>
      <c r="VQG106"/>
      <c r="VQH106"/>
      <c r="VQI106"/>
      <c r="VQJ106"/>
      <c r="VQK106"/>
      <c r="VQL106"/>
      <c r="VQM106"/>
      <c r="VQN106"/>
      <c r="VQO106"/>
      <c r="VQP106"/>
      <c r="VQQ106"/>
      <c r="VQR106"/>
      <c r="VQS106"/>
      <c r="VQT106"/>
      <c r="VQU106"/>
      <c r="VQV106"/>
      <c r="VQW106"/>
      <c r="VQX106"/>
      <c r="VQY106"/>
      <c r="VQZ106"/>
      <c r="VRA106"/>
      <c r="VRB106"/>
      <c r="VRC106"/>
      <c r="VRD106"/>
      <c r="VRE106"/>
      <c r="VRF106"/>
      <c r="VRG106"/>
      <c r="VRH106"/>
      <c r="VRI106"/>
      <c r="VRJ106"/>
      <c r="VRK106"/>
      <c r="VRL106"/>
      <c r="VRM106"/>
      <c r="VRN106"/>
      <c r="VRO106"/>
      <c r="VRP106"/>
      <c r="VRQ106"/>
      <c r="VRR106"/>
      <c r="VRS106"/>
      <c r="VRT106"/>
      <c r="VRU106"/>
      <c r="VRV106"/>
      <c r="VRW106"/>
      <c r="VRX106"/>
      <c r="VRY106"/>
      <c r="VRZ106"/>
      <c r="VSA106"/>
      <c r="VSB106"/>
      <c r="VSC106"/>
      <c r="VSD106"/>
      <c r="VSE106"/>
      <c r="VSF106"/>
      <c r="VSG106"/>
      <c r="VSH106"/>
      <c r="VSI106"/>
      <c r="VSJ106"/>
      <c r="VSK106"/>
      <c r="VSL106"/>
      <c r="VSM106"/>
      <c r="VSN106"/>
      <c r="VSO106"/>
      <c r="VSP106"/>
      <c r="VSQ106"/>
      <c r="VSR106"/>
      <c r="VSS106"/>
      <c r="VST106"/>
      <c r="VSU106"/>
      <c r="VSV106"/>
      <c r="VSW106"/>
      <c r="VSX106"/>
      <c r="VSY106"/>
      <c r="VSZ106"/>
      <c r="VTA106"/>
      <c r="VTB106"/>
      <c r="VTC106"/>
      <c r="VTD106"/>
      <c r="VTE106"/>
      <c r="VTF106"/>
      <c r="VTG106"/>
      <c r="VTH106"/>
      <c r="VTI106"/>
      <c r="VTJ106"/>
      <c r="VTK106"/>
      <c r="VTL106"/>
      <c r="VTM106"/>
      <c r="VTN106"/>
      <c r="VTO106"/>
      <c r="VTP106"/>
      <c r="VTQ106"/>
      <c r="VTR106"/>
      <c r="VTS106"/>
      <c r="VTT106"/>
      <c r="VTU106"/>
      <c r="VTV106"/>
      <c r="VTW106"/>
      <c r="VTX106"/>
      <c r="VTY106"/>
      <c r="VTZ106"/>
      <c r="VUA106"/>
      <c r="VUB106"/>
      <c r="VUC106"/>
      <c r="VUD106"/>
      <c r="VUE106"/>
      <c r="VUF106"/>
      <c r="VUG106"/>
      <c r="VUH106"/>
      <c r="VUI106"/>
      <c r="VUJ106"/>
      <c r="VUK106"/>
      <c r="VUL106"/>
      <c r="VUM106"/>
      <c r="VUN106"/>
      <c r="VUO106"/>
      <c r="VUP106"/>
      <c r="VUQ106"/>
      <c r="VUR106"/>
      <c r="VUS106"/>
      <c r="VUT106"/>
      <c r="VUU106"/>
      <c r="VUV106"/>
      <c r="VUW106"/>
      <c r="VUX106"/>
      <c r="VUY106"/>
      <c r="VUZ106"/>
      <c r="VVA106"/>
      <c r="VVB106"/>
      <c r="VVC106"/>
      <c r="VVD106"/>
      <c r="VVE106"/>
      <c r="VVF106"/>
      <c r="VVG106"/>
      <c r="VVH106"/>
      <c r="VVI106"/>
      <c r="VVJ106"/>
      <c r="VVK106"/>
      <c r="VVL106"/>
      <c r="VVM106"/>
      <c r="VVN106"/>
      <c r="VVO106"/>
      <c r="VVP106"/>
      <c r="VVQ106"/>
      <c r="VVR106"/>
      <c r="VVS106"/>
      <c r="VVT106"/>
      <c r="VVU106"/>
      <c r="VVV106"/>
      <c r="VVW106"/>
      <c r="VVX106"/>
      <c r="VVY106"/>
      <c r="VVZ106"/>
      <c r="VWA106"/>
      <c r="VWB106"/>
      <c r="VWC106"/>
      <c r="VWD106"/>
      <c r="VWE106"/>
      <c r="VWF106"/>
      <c r="VWG106"/>
      <c r="VWH106"/>
      <c r="VWI106"/>
      <c r="VWJ106"/>
      <c r="VWK106"/>
      <c r="VWL106"/>
      <c r="VWM106"/>
      <c r="VWN106"/>
      <c r="VWO106"/>
      <c r="VWP106"/>
      <c r="VWQ106"/>
      <c r="VWR106"/>
      <c r="VWS106"/>
      <c r="VWT106"/>
      <c r="VWU106"/>
      <c r="VWV106"/>
      <c r="VWW106"/>
      <c r="VWX106"/>
      <c r="VWY106"/>
      <c r="VWZ106"/>
      <c r="VXA106"/>
      <c r="VXB106"/>
      <c r="VXC106"/>
      <c r="VXD106"/>
      <c r="VXE106"/>
      <c r="VXF106"/>
      <c r="VXG106"/>
      <c r="VXH106"/>
      <c r="VXI106"/>
      <c r="VXJ106"/>
      <c r="VXK106"/>
      <c r="VXL106"/>
      <c r="VXM106"/>
      <c r="VXN106"/>
      <c r="VXO106"/>
      <c r="VXP106"/>
      <c r="VXQ106"/>
      <c r="VXR106"/>
      <c r="VXS106"/>
      <c r="VXT106"/>
      <c r="VXU106"/>
      <c r="VXV106"/>
      <c r="VXW106"/>
      <c r="VXX106"/>
      <c r="VXY106"/>
      <c r="VXZ106"/>
      <c r="VYA106"/>
      <c r="VYB106"/>
      <c r="VYC106"/>
      <c r="VYD106"/>
      <c r="VYE106"/>
      <c r="VYF106"/>
      <c r="VYG106"/>
      <c r="VYH106"/>
      <c r="VYI106"/>
      <c r="VYJ106"/>
      <c r="VYK106"/>
      <c r="VYL106"/>
      <c r="VYM106"/>
      <c r="VYN106"/>
      <c r="VYO106"/>
      <c r="VYP106"/>
      <c r="VYQ106"/>
      <c r="VYR106"/>
      <c r="VYS106"/>
      <c r="VYT106"/>
      <c r="VYU106"/>
      <c r="VYV106"/>
      <c r="VYW106"/>
      <c r="VYX106"/>
      <c r="VYY106"/>
      <c r="VYZ106"/>
      <c r="VZA106"/>
      <c r="VZB106"/>
      <c r="VZC106"/>
      <c r="VZD106"/>
      <c r="VZE106"/>
      <c r="VZF106"/>
      <c r="VZG106"/>
      <c r="VZH106"/>
      <c r="VZI106"/>
      <c r="VZJ106"/>
      <c r="VZK106"/>
      <c r="VZL106"/>
      <c r="VZM106"/>
      <c r="VZN106"/>
      <c r="VZO106"/>
      <c r="VZP106"/>
      <c r="VZQ106"/>
      <c r="VZR106"/>
      <c r="VZS106"/>
      <c r="VZT106"/>
      <c r="VZU106"/>
      <c r="VZV106"/>
      <c r="VZW106"/>
      <c r="VZX106"/>
      <c r="VZY106"/>
      <c r="VZZ106"/>
      <c r="WAA106"/>
      <c r="WAB106"/>
      <c r="WAC106"/>
      <c r="WAD106"/>
      <c r="WAE106"/>
      <c r="WAF106"/>
      <c r="WAG106"/>
      <c r="WAH106"/>
      <c r="WAI106"/>
      <c r="WAJ106"/>
      <c r="WAK106"/>
      <c r="WAL106"/>
      <c r="WAM106"/>
      <c r="WAN106"/>
      <c r="WAO106"/>
      <c r="WAP106"/>
      <c r="WAQ106"/>
      <c r="WAR106"/>
      <c r="WAS106"/>
      <c r="WAT106"/>
      <c r="WAU106"/>
      <c r="WAV106"/>
      <c r="WAW106"/>
      <c r="WAX106"/>
      <c r="WAY106"/>
      <c r="WAZ106"/>
      <c r="WBA106"/>
      <c r="WBB106"/>
      <c r="WBC106"/>
      <c r="WBD106"/>
      <c r="WBE106"/>
      <c r="WBF106"/>
      <c r="WBG106"/>
      <c r="WBH106"/>
      <c r="WBI106"/>
      <c r="WBJ106"/>
      <c r="WBK106"/>
      <c r="WBL106"/>
      <c r="WBM106"/>
      <c r="WBN106"/>
      <c r="WBO106"/>
      <c r="WBP106"/>
      <c r="WBQ106"/>
      <c r="WBR106"/>
      <c r="WBS106"/>
      <c r="WBT106"/>
      <c r="WBU106"/>
      <c r="WBV106"/>
      <c r="WBW106"/>
      <c r="WBX106"/>
      <c r="WBY106"/>
      <c r="WBZ106"/>
      <c r="WCA106"/>
      <c r="WCB106"/>
      <c r="WCC106"/>
      <c r="WCD106"/>
      <c r="WCE106"/>
      <c r="WCF106"/>
      <c r="WCG106"/>
      <c r="WCH106"/>
      <c r="WCI106"/>
      <c r="WCJ106"/>
      <c r="WCK106"/>
      <c r="WCL106"/>
      <c r="WCM106"/>
      <c r="WCN106"/>
      <c r="WCO106"/>
      <c r="WCP106"/>
      <c r="WCQ106"/>
      <c r="WCR106"/>
      <c r="WCS106"/>
      <c r="WCT106"/>
      <c r="WCU106"/>
      <c r="WCV106"/>
      <c r="WCW106"/>
      <c r="WCX106"/>
      <c r="WCY106"/>
      <c r="WCZ106"/>
      <c r="WDA106"/>
      <c r="WDB106"/>
      <c r="WDC106"/>
      <c r="WDD106"/>
      <c r="WDE106"/>
      <c r="WDF106"/>
      <c r="WDG106"/>
      <c r="WDH106"/>
      <c r="WDI106"/>
      <c r="WDJ106"/>
      <c r="WDK106"/>
      <c r="WDL106"/>
      <c r="WDM106"/>
      <c r="WDN106"/>
      <c r="WDO106"/>
      <c r="WDP106"/>
      <c r="WDQ106"/>
      <c r="WDR106"/>
      <c r="WDS106"/>
      <c r="WDT106"/>
      <c r="WDU106"/>
      <c r="WDV106"/>
      <c r="WDW106"/>
      <c r="WDX106"/>
      <c r="WDY106"/>
      <c r="WDZ106"/>
      <c r="WEA106"/>
      <c r="WEB106"/>
      <c r="WEC106"/>
      <c r="WED106"/>
      <c r="WEE106"/>
      <c r="WEF106"/>
      <c r="WEG106"/>
      <c r="WEH106"/>
      <c r="WEI106"/>
      <c r="WEJ106"/>
      <c r="WEK106"/>
      <c r="WEL106"/>
      <c r="WEM106"/>
      <c r="WEN106"/>
      <c r="WEO106"/>
      <c r="WEP106"/>
      <c r="WEQ106"/>
      <c r="WER106"/>
      <c r="WES106"/>
      <c r="WET106"/>
      <c r="WEU106"/>
      <c r="WEV106"/>
      <c r="WEW106"/>
      <c r="WEX106"/>
      <c r="WEY106"/>
      <c r="WEZ106"/>
      <c r="WFA106"/>
      <c r="WFB106"/>
      <c r="WFC106"/>
      <c r="WFD106"/>
      <c r="WFE106"/>
      <c r="WFF106"/>
      <c r="WFG106"/>
      <c r="WFH106"/>
      <c r="WFI106"/>
      <c r="WFJ106"/>
      <c r="WFK106"/>
      <c r="WFL106"/>
      <c r="WFM106"/>
      <c r="WFN106"/>
      <c r="WFO106"/>
      <c r="WFP106"/>
      <c r="WFQ106"/>
      <c r="WFR106"/>
      <c r="WFS106"/>
      <c r="WFT106"/>
      <c r="WFU106"/>
      <c r="WFV106"/>
      <c r="WFW106"/>
      <c r="WFX106"/>
      <c r="WFY106"/>
      <c r="WFZ106"/>
      <c r="WGA106"/>
      <c r="WGB106"/>
      <c r="WGC106"/>
      <c r="WGD106"/>
      <c r="WGE106"/>
      <c r="WGF106"/>
      <c r="WGG106"/>
      <c r="WGH106"/>
      <c r="WGI106"/>
      <c r="WGJ106"/>
      <c r="WGK106"/>
      <c r="WGL106"/>
      <c r="WGM106"/>
      <c r="WGN106"/>
      <c r="WGO106"/>
      <c r="WGP106"/>
      <c r="WGQ106"/>
      <c r="WGR106"/>
      <c r="WGS106"/>
      <c r="WGT106"/>
      <c r="WGU106"/>
      <c r="WGV106"/>
      <c r="WGW106"/>
      <c r="WGX106"/>
      <c r="WGY106"/>
      <c r="WGZ106"/>
      <c r="WHA106"/>
      <c r="WHB106"/>
      <c r="WHC106"/>
      <c r="WHD106"/>
      <c r="WHE106"/>
      <c r="WHF106"/>
      <c r="WHG106"/>
      <c r="WHH106"/>
      <c r="WHI106"/>
      <c r="WHJ106"/>
      <c r="WHK106"/>
      <c r="WHL106"/>
      <c r="WHM106"/>
      <c r="WHN106"/>
      <c r="WHO106"/>
      <c r="WHP106"/>
      <c r="WHQ106"/>
      <c r="WHR106"/>
      <c r="WHS106"/>
      <c r="WHT106"/>
      <c r="WHU106"/>
      <c r="WHV106"/>
      <c r="WHW106"/>
      <c r="WHX106"/>
      <c r="WHY106"/>
      <c r="WHZ106"/>
      <c r="WIA106"/>
      <c r="WIB106"/>
      <c r="WIC106"/>
      <c r="WID106"/>
      <c r="WIE106"/>
      <c r="WIF106"/>
      <c r="WIG106"/>
      <c r="WIH106"/>
      <c r="WII106"/>
      <c r="WIJ106"/>
      <c r="WIK106"/>
      <c r="WIL106"/>
      <c r="WIM106"/>
      <c r="WIN106"/>
      <c r="WIO106"/>
      <c r="WIP106"/>
      <c r="WIQ106"/>
      <c r="WIR106"/>
      <c r="WIS106"/>
      <c r="WIT106"/>
      <c r="WIU106"/>
      <c r="WIV106"/>
      <c r="WIW106"/>
      <c r="WIX106"/>
      <c r="WIY106"/>
      <c r="WIZ106"/>
      <c r="WJA106"/>
      <c r="WJB106"/>
      <c r="WJC106"/>
      <c r="WJD106"/>
      <c r="WJE106"/>
      <c r="WJF106"/>
      <c r="WJG106"/>
      <c r="WJH106"/>
      <c r="WJI106"/>
      <c r="WJJ106"/>
      <c r="WJK106"/>
      <c r="WJL106"/>
      <c r="WJM106"/>
      <c r="WJN106"/>
      <c r="WJO106"/>
      <c r="WJP106"/>
      <c r="WJQ106"/>
      <c r="WJR106"/>
      <c r="WJS106"/>
      <c r="WJT106"/>
      <c r="WJU106"/>
      <c r="WJV106"/>
      <c r="WJW106"/>
      <c r="WJX106"/>
      <c r="WJY106"/>
      <c r="WJZ106"/>
      <c r="WKA106"/>
      <c r="WKB106"/>
      <c r="WKC106"/>
      <c r="WKD106"/>
      <c r="WKE106"/>
      <c r="WKF106"/>
      <c r="WKG106"/>
      <c r="WKH106"/>
      <c r="WKI106"/>
      <c r="WKJ106"/>
      <c r="WKK106"/>
      <c r="WKL106"/>
      <c r="WKM106"/>
      <c r="WKN106"/>
      <c r="WKO106"/>
      <c r="WKP106"/>
      <c r="WKQ106"/>
      <c r="WKR106"/>
      <c r="WKS106"/>
      <c r="WKT106"/>
      <c r="WKU106"/>
      <c r="WKV106"/>
      <c r="WKW106"/>
      <c r="WKX106"/>
      <c r="WKY106"/>
      <c r="WKZ106"/>
      <c r="WLA106"/>
      <c r="WLB106"/>
      <c r="WLC106"/>
      <c r="WLD106"/>
      <c r="WLE106"/>
      <c r="WLF106"/>
      <c r="WLG106"/>
      <c r="WLH106"/>
      <c r="WLI106"/>
      <c r="WLJ106"/>
      <c r="WLK106"/>
      <c r="WLL106"/>
      <c r="WLM106"/>
      <c r="WLN106"/>
      <c r="WLO106"/>
      <c r="WLP106"/>
      <c r="WLQ106"/>
      <c r="WLR106"/>
      <c r="WLS106"/>
      <c r="WLT106"/>
      <c r="WLU106"/>
      <c r="WLV106"/>
      <c r="WLW106"/>
      <c r="WLX106"/>
      <c r="WLY106"/>
      <c r="WLZ106"/>
      <c r="WMA106"/>
      <c r="WMB106"/>
      <c r="WMC106"/>
      <c r="WMD106"/>
      <c r="WME106"/>
      <c r="WMF106"/>
      <c r="WMG106"/>
      <c r="WMH106"/>
      <c r="WMI106"/>
      <c r="WMJ106"/>
      <c r="WMK106"/>
      <c r="WML106"/>
      <c r="WMM106"/>
      <c r="WMN106"/>
      <c r="WMO106"/>
      <c r="WMP106"/>
      <c r="WMQ106"/>
      <c r="WMR106"/>
      <c r="WMS106"/>
      <c r="WMT106"/>
      <c r="WMU106"/>
      <c r="WMV106"/>
      <c r="WMW106"/>
      <c r="WMX106"/>
      <c r="WMY106"/>
      <c r="WMZ106"/>
      <c r="WNA106"/>
      <c r="WNB106"/>
      <c r="WNC106"/>
      <c r="WND106"/>
      <c r="WNE106"/>
      <c r="WNF106"/>
      <c r="WNG106"/>
      <c r="WNH106"/>
      <c r="WNI106"/>
      <c r="WNJ106"/>
      <c r="WNK106"/>
      <c r="WNL106"/>
      <c r="WNM106"/>
      <c r="WNN106"/>
      <c r="WNO106"/>
      <c r="WNP106"/>
      <c r="WNQ106"/>
      <c r="WNR106"/>
      <c r="WNS106"/>
      <c r="WNT106"/>
      <c r="WNU106"/>
      <c r="WNV106"/>
      <c r="WNW106"/>
      <c r="WNX106"/>
      <c r="WNY106"/>
      <c r="WNZ106"/>
      <c r="WOA106"/>
      <c r="WOB106"/>
      <c r="WOC106"/>
      <c r="WOD106"/>
      <c r="WOE106"/>
      <c r="WOF106"/>
      <c r="WOG106"/>
      <c r="WOH106"/>
      <c r="WOI106"/>
      <c r="WOJ106"/>
      <c r="WOK106"/>
      <c r="WOL106"/>
      <c r="WOM106"/>
      <c r="WON106"/>
      <c r="WOO106"/>
      <c r="WOP106"/>
      <c r="WOQ106"/>
      <c r="WOR106"/>
      <c r="WOS106"/>
      <c r="WOT106"/>
      <c r="WOU106"/>
      <c r="WOV106"/>
      <c r="WOW106"/>
      <c r="WOX106"/>
      <c r="WOY106"/>
      <c r="WOZ106"/>
      <c r="WPA106"/>
      <c r="WPB106"/>
      <c r="WPC106"/>
      <c r="WPD106"/>
      <c r="WPE106"/>
      <c r="WPF106"/>
      <c r="WPG106"/>
      <c r="WPH106"/>
      <c r="WPI106"/>
      <c r="WPJ106"/>
      <c r="WPK106"/>
      <c r="WPL106"/>
      <c r="WPM106"/>
      <c r="WPN106"/>
      <c r="WPO106"/>
      <c r="WPP106"/>
      <c r="WPQ106"/>
      <c r="WPR106"/>
      <c r="WPS106"/>
      <c r="WPT106"/>
      <c r="WPU106"/>
      <c r="WPV106"/>
      <c r="WPW106"/>
      <c r="WPX106"/>
      <c r="WPY106"/>
      <c r="WPZ106"/>
      <c r="WQA106"/>
      <c r="WQB106"/>
      <c r="WQC106"/>
      <c r="WQD106"/>
      <c r="WQE106"/>
      <c r="WQF106"/>
      <c r="WQG106"/>
      <c r="WQH106"/>
      <c r="WQI106"/>
      <c r="WQJ106"/>
      <c r="WQK106"/>
      <c r="WQL106"/>
      <c r="WQM106"/>
      <c r="WQN106"/>
      <c r="WQO106"/>
      <c r="WQP106"/>
      <c r="WQQ106"/>
      <c r="WQR106"/>
      <c r="WQS106"/>
      <c r="WQT106"/>
      <c r="WQU106"/>
      <c r="WQV106"/>
      <c r="WQW106"/>
      <c r="WQX106"/>
      <c r="WQY106"/>
      <c r="WQZ106"/>
      <c r="WRA106"/>
      <c r="WRB106"/>
      <c r="WRC106"/>
      <c r="WRD106"/>
      <c r="WRE106"/>
      <c r="WRF106"/>
      <c r="WRG106"/>
      <c r="WRH106"/>
      <c r="WRI106"/>
      <c r="WRJ106"/>
      <c r="WRK106"/>
      <c r="WRL106"/>
      <c r="WRM106"/>
      <c r="WRN106"/>
      <c r="WRO106"/>
      <c r="WRP106"/>
      <c r="WRQ106"/>
      <c r="WRR106"/>
      <c r="WRS106"/>
      <c r="WRT106"/>
      <c r="WRU106"/>
      <c r="WRV106"/>
      <c r="WRW106"/>
      <c r="WRX106"/>
      <c r="WRY106"/>
      <c r="WRZ106"/>
      <c r="WSA106"/>
      <c r="WSB106"/>
      <c r="WSC106"/>
      <c r="WSD106"/>
      <c r="WSE106"/>
      <c r="WSF106"/>
      <c r="WSG106"/>
      <c r="WSH106"/>
      <c r="WSI106"/>
      <c r="WSJ106"/>
      <c r="WSK106"/>
      <c r="WSL106"/>
      <c r="WSM106"/>
      <c r="WSN106"/>
      <c r="WSO106"/>
      <c r="WSP106"/>
      <c r="WSQ106"/>
      <c r="WSR106"/>
      <c r="WSS106"/>
      <c r="WST106"/>
      <c r="WSU106"/>
      <c r="WSV106"/>
      <c r="WSW106"/>
      <c r="WSX106"/>
      <c r="WSY106"/>
      <c r="WSZ106"/>
      <c r="WTA106"/>
      <c r="WTB106"/>
      <c r="WTC106"/>
      <c r="WTD106"/>
      <c r="WTE106"/>
      <c r="WTF106"/>
      <c r="WTG106"/>
      <c r="WTH106"/>
      <c r="WTI106"/>
      <c r="WTJ106"/>
      <c r="WTK106"/>
      <c r="WTL106"/>
      <c r="WTM106"/>
      <c r="WTN106"/>
      <c r="WTO106"/>
      <c r="WTP106"/>
      <c r="WTQ106"/>
      <c r="WTR106"/>
      <c r="WTS106"/>
      <c r="WTT106"/>
      <c r="WTU106"/>
      <c r="WTV106"/>
      <c r="WTW106"/>
      <c r="WTX106"/>
      <c r="WTY106"/>
      <c r="WTZ106"/>
      <c r="WUA106"/>
      <c r="WUB106"/>
      <c r="WUC106"/>
      <c r="WUD106"/>
      <c r="WUE106"/>
      <c r="WUF106"/>
      <c r="WUG106"/>
      <c r="WUH106"/>
      <c r="WUI106"/>
      <c r="WUJ106"/>
      <c r="WUK106"/>
      <c r="WUL106"/>
      <c r="WUM106"/>
      <c r="WUN106"/>
      <c r="WUO106"/>
      <c r="WUP106"/>
      <c r="WUQ106"/>
      <c r="WUR106"/>
      <c r="WUS106"/>
      <c r="WUT106"/>
      <c r="WUU106"/>
      <c r="WUV106"/>
      <c r="WUW106"/>
      <c r="WUX106"/>
      <c r="WUY106"/>
      <c r="WUZ106"/>
      <c r="WVA106"/>
      <c r="WVB106"/>
      <c r="WVC106"/>
      <c r="WVD106"/>
      <c r="WVE106"/>
      <c r="WVF106"/>
      <c r="WVG106"/>
      <c r="WVH106"/>
      <c r="WVI106"/>
      <c r="WVJ106"/>
      <c r="WVK106"/>
      <c r="WVL106"/>
      <c r="WVM106"/>
      <c r="WVN106"/>
      <c r="WVO106"/>
      <c r="WVP106"/>
      <c r="WVQ106"/>
      <c r="WVR106"/>
      <c r="WVS106"/>
      <c r="WVT106"/>
      <c r="WVU106"/>
      <c r="WVV106"/>
      <c r="WVW106"/>
      <c r="WVX106"/>
      <c r="WVY106"/>
      <c r="WVZ106"/>
      <c r="WWA106"/>
      <c r="WWB106"/>
      <c r="WWC106"/>
      <c r="WWD106"/>
      <c r="WWE106"/>
      <c r="WWF106"/>
      <c r="WWG106"/>
      <c r="WWH106"/>
      <c r="WWI106"/>
      <c r="WWJ106"/>
      <c r="WWK106"/>
      <c r="WWL106"/>
      <c r="WWM106"/>
      <c r="WWN106"/>
      <c r="WWO106"/>
      <c r="WWP106"/>
      <c r="WWQ106"/>
      <c r="WWR106"/>
      <c r="WWS106"/>
      <c r="WWT106"/>
      <c r="WWU106"/>
      <c r="WWV106"/>
      <c r="WWW106"/>
      <c r="WWX106"/>
      <c r="WWY106"/>
      <c r="WWZ106"/>
      <c r="WXA106"/>
      <c r="WXB106"/>
      <c r="WXC106"/>
      <c r="WXD106"/>
      <c r="WXE106"/>
      <c r="WXF106"/>
      <c r="WXG106"/>
      <c r="WXH106"/>
      <c r="WXI106"/>
      <c r="WXJ106"/>
      <c r="WXK106"/>
      <c r="WXL106"/>
      <c r="WXM106"/>
      <c r="WXN106"/>
      <c r="WXO106"/>
      <c r="WXP106"/>
      <c r="WXQ106"/>
      <c r="WXR106"/>
      <c r="WXS106"/>
      <c r="WXT106"/>
      <c r="WXU106"/>
      <c r="WXV106"/>
      <c r="WXW106"/>
      <c r="WXX106"/>
      <c r="WXY106"/>
      <c r="WXZ106"/>
      <c r="WYA106"/>
      <c r="WYB106"/>
      <c r="WYC106"/>
      <c r="WYD106"/>
      <c r="WYE106"/>
      <c r="WYF106"/>
      <c r="WYG106"/>
      <c r="WYH106"/>
      <c r="WYI106"/>
      <c r="WYJ106"/>
      <c r="WYK106"/>
      <c r="WYL106"/>
      <c r="WYM106"/>
      <c r="WYN106"/>
      <c r="WYO106"/>
      <c r="WYP106"/>
      <c r="WYQ106"/>
      <c r="WYR106"/>
      <c r="WYS106"/>
      <c r="WYT106"/>
      <c r="WYU106"/>
      <c r="WYV106"/>
      <c r="WYW106"/>
      <c r="WYX106"/>
      <c r="WYY106"/>
      <c r="WYZ106"/>
      <c r="WZA106"/>
      <c r="WZB106"/>
      <c r="WZC106"/>
      <c r="WZD106"/>
      <c r="WZE106"/>
      <c r="WZF106"/>
      <c r="WZG106"/>
      <c r="WZH106"/>
      <c r="WZI106"/>
      <c r="WZJ106"/>
      <c r="WZK106"/>
      <c r="WZL106"/>
      <c r="WZM106"/>
      <c r="WZN106"/>
      <c r="WZO106"/>
      <c r="WZP106"/>
      <c r="WZQ106"/>
      <c r="WZR106"/>
      <c r="WZS106"/>
      <c r="WZT106"/>
      <c r="WZU106"/>
      <c r="WZV106"/>
      <c r="WZW106"/>
      <c r="WZX106"/>
      <c r="WZY106"/>
      <c r="WZZ106"/>
      <c r="XAA106"/>
      <c r="XAB106"/>
      <c r="XAC106"/>
      <c r="XAD106"/>
      <c r="XAE106"/>
      <c r="XAF106"/>
      <c r="XAG106"/>
      <c r="XAH106"/>
      <c r="XAI106"/>
      <c r="XAJ106"/>
      <c r="XAK106"/>
      <c r="XAL106"/>
      <c r="XAM106"/>
      <c r="XAN106"/>
      <c r="XAO106"/>
      <c r="XAP106"/>
      <c r="XAQ106"/>
      <c r="XAR106"/>
      <c r="XAS106"/>
      <c r="XAT106"/>
      <c r="XAU106"/>
      <c r="XAV106"/>
      <c r="XAW106"/>
      <c r="XAX106"/>
      <c r="XAY106"/>
      <c r="XAZ106"/>
      <c r="XBA106"/>
      <c r="XBB106"/>
      <c r="XBC106"/>
      <c r="XBD106"/>
      <c r="XBE106"/>
      <c r="XBF106"/>
      <c r="XBG106"/>
      <c r="XBH106"/>
      <c r="XBI106"/>
      <c r="XBJ106"/>
      <c r="XBK106"/>
      <c r="XBL106"/>
      <c r="XBM106"/>
      <c r="XBN106"/>
      <c r="XBO106"/>
      <c r="XBP106"/>
      <c r="XBQ106"/>
      <c r="XBR106"/>
      <c r="XBS106"/>
      <c r="XBT106"/>
      <c r="XBU106"/>
      <c r="XBV106"/>
      <c r="XBW106"/>
      <c r="XBX106"/>
      <c r="XBY106"/>
      <c r="XBZ106"/>
      <c r="XCA106"/>
      <c r="XCB106"/>
      <c r="XCC106"/>
      <c r="XCD106"/>
      <c r="XCE106"/>
      <c r="XCF106"/>
      <c r="XCG106"/>
      <c r="XCH106"/>
      <c r="XCI106"/>
      <c r="XCJ106"/>
      <c r="XCK106"/>
      <c r="XCL106"/>
      <c r="XCM106"/>
      <c r="XCN106"/>
      <c r="XCO106"/>
      <c r="XCP106"/>
      <c r="XCQ106"/>
      <c r="XCR106"/>
      <c r="XCS106"/>
      <c r="XCT106"/>
      <c r="XCU106"/>
      <c r="XCV106"/>
      <c r="XCW106"/>
      <c r="XCX106"/>
      <c r="XCY106"/>
      <c r="XCZ106"/>
      <c r="XDA106"/>
      <c r="XDB106"/>
      <c r="XDC106"/>
      <c r="XDD106"/>
      <c r="XDE106"/>
      <c r="XDF106"/>
      <c r="XDG106"/>
      <c r="XDH106"/>
      <c r="XDI106"/>
      <c r="XDJ106"/>
      <c r="XDK106"/>
      <c r="XDL106"/>
      <c r="XDM106"/>
      <c r="XDN106"/>
      <c r="XDO106"/>
      <c r="XDP106"/>
      <c r="XDQ106"/>
      <c r="XDR106"/>
      <c r="XDS106"/>
      <c r="XDT106"/>
      <c r="XDU106"/>
      <c r="XDV106"/>
      <c r="XDW106"/>
      <c r="XDX106"/>
      <c r="XDY106"/>
      <c r="XDZ106"/>
      <c r="XEA106"/>
      <c r="XEB106"/>
      <c r="XEC106"/>
      <c r="XED106"/>
      <c r="XEE106"/>
      <c r="XEF106"/>
      <c r="XEG106"/>
      <c r="XEH106"/>
      <c r="XEI106"/>
      <c r="XEJ106"/>
      <c r="XEK106"/>
      <c r="XEL106"/>
      <c r="XEM106"/>
      <c r="XEN106"/>
      <c r="XEO106"/>
      <c r="XEP106"/>
      <c r="XEQ106"/>
      <c r="XER106"/>
      <c r="XES106"/>
      <c r="XET106"/>
      <c r="XEU106"/>
      <c r="XEV106"/>
      <c r="XEW106"/>
      <c r="XEX106"/>
    </row>
    <row r="107" spans="1:16378" x14ac:dyDescent="0.25">
      <c r="A107" s="1448" t="s">
        <v>8519</v>
      </c>
      <c r="B107" s="21" t="s">
        <v>614</v>
      </c>
      <c r="C107" s="233">
        <v>46257</v>
      </c>
      <c r="D107" s="233">
        <v>46257</v>
      </c>
      <c r="E107" s="28"/>
      <c r="F107" s="313" t="s">
        <v>675</v>
      </c>
      <c r="G107" t="s">
        <v>8549</v>
      </c>
      <c r="H107" s="89" t="s">
        <v>279</v>
      </c>
      <c r="I107" t="s">
        <v>8550</v>
      </c>
      <c r="J107" s="915">
        <v>51270</v>
      </c>
      <c r="K107" s="3">
        <f t="shared" si="3"/>
        <v>45118</v>
      </c>
      <c r="L107"/>
      <c r="M107"/>
      <c r="N107" s="558"/>
      <c r="O107" s="88"/>
      <c r="V107" t="s">
        <v>8193</v>
      </c>
      <c r="W107" s="360">
        <v>0.45555555555555555</v>
      </c>
      <c r="X107" s="360"/>
    </row>
    <row r="108" spans="1:16378" x14ac:dyDescent="0.25">
      <c r="A108" s="1448" t="s">
        <v>8587</v>
      </c>
      <c r="B108" s="21" t="s">
        <v>614</v>
      </c>
      <c r="C108" s="1444">
        <v>46270</v>
      </c>
      <c r="D108" s="233">
        <v>46270</v>
      </c>
      <c r="E108" s="28"/>
      <c r="F108" s="313" t="s">
        <v>126</v>
      </c>
      <c r="G108" t="s">
        <v>8597</v>
      </c>
      <c r="I108" t="s">
        <v>8665</v>
      </c>
      <c r="J108" s="240">
        <v>43010</v>
      </c>
      <c r="K108" s="3">
        <f t="shared" si="3"/>
        <v>37849</v>
      </c>
    </row>
    <row r="109" spans="1:16378" x14ac:dyDescent="0.25">
      <c r="A109" s="1448" t="s">
        <v>8663</v>
      </c>
      <c r="B109" s="21" t="s">
        <v>614</v>
      </c>
      <c r="C109" s="1444">
        <v>46288</v>
      </c>
      <c r="D109" s="233">
        <v>46288</v>
      </c>
      <c r="E109" s="28"/>
      <c r="F109" s="313" t="s">
        <v>294</v>
      </c>
      <c r="G109" t="s">
        <v>8664</v>
      </c>
      <c r="H109" s="88" t="s">
        <v>279</v>
      </c>
      <c r="J109" s="915">
        <v>45710</v>
      </c>
      <c r="K109" s="3">
        <f t="shared" si="3"/>
        <v>40225</v>
      </c>
      <c r="L109"/>
    </row>
    <row r="110" spans="1:16378" x14ac:dyDescent="0.25">
      <c r="A110" s="483"/>
      <c r="B110"/>
      <c r="C110" s="233"/>
      <c r="D110" s="28">
        <v>45932</v>
      </c>
      <c r="E110" s="28"/>
      <c r="F110" s="1067"/>
      <c r="H110" s="313"/>
      <c r="I110" s="3"/>
      <c r="J110" s="313"/>
      <c r="K110" s="3"/>
      <c r="L110" s="1355"/>
      <c r="M110" s="233"/>
      <c r="T110" s="360"/>
      <c r="U110" s="360"/>
    </row>
    <row r="111" spans="1:16378" x14ac:dyDescent="0.25">
      <c r="A111" s="483"/>
      <c r="B111"/>
      <c r="C111" s="233"/>
      <c r="D111" s="233"/>
      <c r="E111" s="233"/>
      <c r="G111" s="1067"/>
      <c r="H111"/>
      <c r="J111" s="313"/>
      <c r="K111" s="3"/>
      <c r="L111" s="1355"/>
      <c r="M111" s="798"/>
      <c r="N111" s="88"/>
      <c r="V111" s="360"/>
      <c r="W111" s="360"/>
    </row>
    <row r="112" spans="1:16378" x14ac:dyDescent="0.25">
      <c r="C112" s="233"/>
      <c r="H112"/>
      <c r="L112" s="1355"/>
    </row>
    <row r="113" spans="1:24" ht="15.75" thickBot="1" x14ac:dyDescent="0.3">
      <c r="A113" s="483"/>
      <c r="B113"/>
      <c r="C113" s="233"/>
      <c r="G113" s="30"/>
      <c r="H113"/>
      <c r="J113" s="798"/>
      <c r="K113" s="3"/>
      <c r="L113" s="1356"/>
      <c r="M113" s="798"/>
      <c r="V113" s="30"/>
      <c r="W113" s="30"/>
    </row>
    <row r="114" spans="1:24" ht="15.75" thickBot="1" x14ac:dyDescent="0.3">
      <c r="A114" s="483"/>
      <c r="B114"/>
      <c r="C114" s="233"/>
      <c r="G114" s="30"/>
      <c r="H114"/>
      <c r="J114" s="593">
        <f>SUBTOTAL(9,J39:J113)</f>
        <v>175354.6</v>
      </c>
      <c r="K114" s="3"/>
      <c r="M114" s="798"/>
      <c r="V114" s="30"/>
      <c r="W114" s="30"/>
    </row>
    <row r="115" spans="1:24" s="19" customFormat="1" x14ac:dyDescent="0.25">
      <c r="A115" s="690"/>
      <c r="C115" s="691"/>
      <c r="F115" s="472"/>
      <c r="G115" s="365"/>
      <c r="J115" s="983"/>
      <c r="K115" s="692"/>
      <c r="L115" s="365"/>
      <c r="M115" s="984"/>
      <c r="V115" s="365"/>
      <c r="W115" s="365"/>
    </row>
    <row r="116" spans="1:24" s="986" customFormat="1" x14ac:dyDescent="0.25">
      <c r="A116" s="985" t="s">
        <v>5901</v>
      </c>
      <c r="B116" s="986" t="s">
        <v>614</v>
      </c>
      <c r="C116" s="987">
        <v>45751</v>
      </c>
      <c r="F116" s="988" t="s">
        <v>143</v>
      </c>
      <c r="G116" s="986" t="s">
        <v>6027</v>
      </c>
      <c r="I116" s="989"/>
      <c r="J116" s="990">
        <v>43612.800000000003</v>
      </c>
      <c r="K116" s="991">
        <f>+J116-ROUND(J116*0.12,0)</f>
        <v>38378.800000000003</v>
      </c>
      <c r="L116" s="1357"/>
      <c r="M116" s="990"/>
      <c r="U116" s="986" t="s">
        <v>5902</v>
      </c>
      <c r="V116" s="992">
        <v>0.35416666666666669</v>
      </c>
      <c r="W116" s="992">
        <v>0.92569444444444449</v>
      </c>
    </row>
    <row r="117" spans="1:24" s="13" customFormat="1" x14ac:dyDescent="0.25">
      <c r="A117" s="586"/>
      <c r="C117" s="587"/>
      <c r="F117" s="241"/>
      <c r="I117" s="1376"/>
      <c r="J117" s="1165"/>
      <c r="K117" s="12"/>
      <c r="L117" s="1377"/>
      <c r="M117" s="1165"/>
      <c r="V117" s="482"/>
      <c r="W117" s="482"/>
    </row>
    <row r="118" spans="1:24" s="1299" customFormat="1" x14ac:dyDescent="0.25">
      <c r="A118" s="1298" t="s">
        <v>7547</v>
      </c>
      <c r="B118" s="1299" t="s">
        <v>614</v>
      </c>
      <c r="C118" s="1303">
        <v>46039</v>
      </c>
      <c r="D118" s="1303">
        <v>46039</v>
      </c>
      <c r="E118" s="1373" t="s">
        <v>7559</v>
      </c>
      <c r="F118" s="1243" t="s">
        <v>1931</v>
      </c>
      <c r="G118" s="1269" t="s">
        <v>7579</v>
      </c>
      <c r="I118" s="1446" t="s">
        <v>8412</v>
      </c>
      <c r="J118" s="1374">
        <v>52828.6</v>
      </c>
      <c r="K118" s="1302">
        <f>+J118-ROUND(J118*0.12,0)</f>
        <v>46489.599999999999</v>
      </c>
      <c r="L118" s="1269"/>
      <c r="M118" s="1375"/>
      <c r="N118" s="1344"/>
      <c r="U118" s="1299" t="s">
        <v>7548</v>
      </c>
      <c r="V118" s="1301">
        <v>0.33402777777777781</v>
      </c>
      <c r="W118" s="1301">
        <v>0.6972222222222223</v>
      </c>
    </row>
    <row r="119" spans="1:24" s="33" customFormat="1" x14ac:dyDescent="0.25">
      <c r="A119" s="547">
        <v>17062026</v>
      </c>
      <c r="B119" s="291" t="s">
        <v>614</v>
      </c>
      <c r="C119" s="1303">
        <v>46190</v>
      </c>
      <c r="D119" s="548">
        <v>46190</v>
      </c>
      <c r="E119" s="306" t="s">
        <v>8525</v>
      </c>
      <c r="F119" s="306" t="s">
        <v>2036</v>
      </c>
      <c r="G119" s="319"/>
      <c r="H119" s="279" t="s">
        <v>279</v>
      </c>
      <c r="I119" s="306" t="s">
        <v>8525</v>
      </c>
      <c r="J119" s="933">
        <v>26632</v>
      </c>
      <c r="K119" s="1302">
        <f>+J119-ROUND(J119*0.12,0)</f>
        <v>23436</v>
      </c>
      <c r="L119" s="1318"/>
      <c r="N119" s="933"/>
      <c r="O119" s="279"/>
      <c r="V119" s="291" t="s">
        <v>8196</v>
      </c>
      <c r="W119" s="550">
        <v>0.53541666666666665</v>
      </c>
      <c r="X119" s="550">
        <v>0.7090277777777777</v>
      </c>
    </row>
    <row r="120" spans="1:24" x14ac:dyDescent="0.25">
      <c r="A120" s="116"/>
      <c r="B120" s="177"/>
      <c r="C120" s="169"/>
      <c r="D120" s="122"/>
      <c r="E120" s="122"/>
      <c r="F120" s="313"/>
      <c r="H120" s="21"/>
      <c r="J120" s="160"/>
      <c r="K120" s="160"/>
      <c r="L120" s="237"/>
      <c r="P120" s="21"/>
      <c r="Q120" s="157"/>
      <c r="R120" s="21"/>
    </row>
    <row r="121" spans="1:24" x14ac:dyDescent="0.25">
      <c r="I121" s="1" t="s">
        <v>351</v>
      </c>
      <c r="J121" s="799"/>
    </row>
    <row r="122" spans="1:24" ht="15.75" thickBot="1" x14ac:dyDescent="0.3">
      <c r="I122" s="1"/>
      <c r="J122" s="475"/>
      <c r="K122" s="88"/>
    </row>
    <row r="123" spans="1:24" ht="15.75" thickBot="1" x14ac:dyDescent="0.3">
      <c r="C123" s="1600" t="s">
        <v>6571</v>
      </c>
      <c r="D123" s="1601"/>
      <c r="E123" s="1601"/>
      <c r="F123" s="1601"/>
      <c r="G123" s="1601"/>
      <c r="H123" s="1601"/>
      <c r="I123" s="1601"/>
      <c r="J123" s="1601"/>
      <c r="K123" s="1601"/>
      <c r="L123" s="1601"/>
      <c r="M123" s="1602"/>
    </row>
    <row r="124" spans="1:24" s="28" customFormat="1" ht="13.5" customHeight="1" x14ac:dyDescent="0.25">
      <c r="A124" s="1" t="s">
        <v>0</v>
      </c>
      <c r="B124" s="25" t="s">
        <v>1</v>
      </c>
      <c r="C124" s="1035" t="s">
        <v>2</v>
      </c>
      <c r="D124" s="1036"/>
      <c r="E124" s="1036"/>
      <c r="F124" s="1036" t="s">
        <v>3</v>
      </c>
      <c r="G124" s="1036" t="s">
        <v>4</v>
      </c>
      <c r="H124" s="1036" t="s">
        <v>3679</v>
      </c>
      <c r="I124" s="1036" t="s">
        <v>5</v>
      </c>
      <c r="J124" s="1036" t="s">
        <v>6</v>
      </c>
      <c r="K124" s="1037" t="s">
        <v>1780</v>
      </c>
      <c r="L124" s="1358" t="s">
        <v>8</v>
      </c>
      <c r="M124" s="1036" t="s">
        <v>3997</v>
      </c>
      <c r="N124" s="25" t="s">
        <v>10</v>
      </c>
      <c r="O124" s="25" t="s">
        <v>11</v>
      </c>
      <c r="P124" s="25"/>
      <c r="Q124" s="25"/>
      <c r="R124" s="25"/>
    </row>
    <row r="125" spans="1:24" hidden="1" x14ac:dyDescent="0.25">
      <c r="A125" s="430" t="s">
        <v>3329</v>
      </c>
      <c r="B125" s="28" t="s">
        <v>614</v>
      </c>
      <c r="C125" s="721">
        <v>45277</v>
      </c>
      <c r="D125" s="102">
        <v>4</v>
      </c>
      <c r="E125" s="102"/>
      <c r="F125" s="726" t="s">
        <v>236</v>
      </c>
      <c r="G125" s="362" t="s">
        <v>3355</v>
      </c>
      <c r="H125" s="102"/>
      <c r="I125" s="1590" t="s">
        <v>3617</v>
      </c>
      <c r="J125" s="805">
        <v>62304</v>
      </c>
      <c r="K125" s="810">
        <f t="shared" ref="K125:K156" si="4">+J125*0.88</f>
        <v>54827.519999999997</v>
      </c>
      <c r="L125" s="362" t="s">
        <v>17</v>
      </c>
      <c r="M125" s="803">
        <v>45724</v>
      </c>
      <c r="U125" s="14" t="s">
        <v>2050</v>
      </c>
      <c r="V125" s="14">
        <v>0.26527777777777778</v>
      </c>
      <c r="W125" s="14">
        <v>0.56180555555555556</v>
      </c>
    </row>
    <row r="126" spans="1:24" hidden="1" x14ac:dyDescent="0.25">
      <c r="A126" s="430" t="s">
        <v>3377</v>
      </c>
      <c r="B126" s="28" t="s">
        <v>3381</v>
      </c>
      <c r="C126" s="721">
        <v>45283</v>
      </c>
      <c r="D126" s="102">
        <v>20</v>
      </c>
      <c r="E126" s="102"/>
      <c r="F126" s="726" t="s">
        <v>2561</v>
      </c>
      <c r="G126" s="362" t="s">
        <v>3535</v>
      </c>
      <c r="H126" s="362"/>
      <c r="I126" s="1590"/>
      <c r="J126" s="804">
        <v>31152</v>
      </c>
      <c r="K126" s="810">
        <f t="shared" si="4"/>
        <v>27413.759999999998</v>
      </c>
      <c r="L126" s="362" t="s">
        <v>17</v>
      </c>
      <c r="M126" s="803">
        <v>45724</v>
      </c>
      <c r="U126" s="14" t="s">
        <v>2037</v>
      </c>
      <c r="V126" s="14">
        <v>0.37083333333333335</v>
      </c>
      <c r="W126" s="14">
        <v>0.5131944444444444</v>
      </c>
    </row>
    <row r="127" spans="1:24" hidden="1" x14ac:dyDescent="0.25">
      <c r="A127" s="430" t="s">
        <v>3390</v>
      </c>
      <c r="B127" s="28" t="s">
        <v>3391</v>
      </c>
      <c r="C127" s="721">
        <v>45287</v>
      </c>
      <c r="D127" s="102">
        <v>4</v>
      </c>
      <c r="E127" s="102"/>
      <c r="F127" s="726" t="s">
        <v>563</v>
      </c>
      <c r="G127" s="362" t="s">
        <v>3533</v>
      </c>
      <c r="H127" s="362"/>
      <c r="I127" s="1590"/>
      <c r="J127" s="804">
        <v>33228.800000000003</v>
      </c>
      <c r="K127" s="810">
        <f t="shared" si="4"/>
        <v>29241.344000000001</v>
      </c>
      <c r="L127" s="362" t="s">
        <v>17</v>
      </c>
      <c r="M127" s="803">
        <v>45724</v>
      </c>
      <c r="U127" s="14" t="s">
        <v>1029</v>
      </c>
      <c r="V127" s="14">
        <v>0.30972222222222223</v>
      </c>
      <c r="W127" s="14">
        <v>0.5083333333333333</v>
      </c>
    </row>
    <row r="128" spans="1:24" hidden="1" x14ac:dyDescent="0.25">
      <c r="A128" s="430" t="s">
        <v>3438</v>
      </c>
      <c r="B128" s="28" t="s">
        <v>614</v>
      </c>
      <c r="C128" s="721">
        <v>45289</v>
      </c>
      <c r="D128" s="102">
        <v>4</v>
      </c>
      <c r="E128" s="102"/>
      <c r="F128" s="726" t="s">
        <v>68</v>
      </c>
      <c r="G128" s="362" t="s">
        <v>3534</v>
      </c>
      <c r="H128" s="362"/>
      <c r="I128" s="1590"/>
      <c r="J128" s="804">
        <v>49843.199999999997</v>
      </c>
      <c r="K128" s="810">
        <f t="shared" si="4"/>
        <v>43862.015999999996</v>
      </c>
      <c r="L128" s="362" t="s">
        <v>17</v>
      </c>
      <c r="M128" s="803">
        <v>45724</v>
      </c>
      <c r="U128" s="14" t="s">
        <v>989</v>
      </c>
      <c r="V128" s="14">
        <v>0.59097222222222223</v>
      </c>
      <c r="W128" s="14">
        <v>0.87777777777777777</v>
      </c>
    </row>
    <row r="129" spans="1:23" hidden="1" x14ac:dyDescent="0.25">
      <c r="A129" s="430" t="s">
        <v>3406</v>
      </c>
      <c r="B129" s="28" t="s">
        <v>614</v>
      </c>
      <c r="C129" s="721">
        <v>45656</v>
      </c>
      <c r="D129" s="102">
        <v>12</v>
      </c>
      <c r="E129" s="102"/>
      <c r="F129" s="726" t="s">
        <v>872</v>
      </c>
      <c r="G129" s="362" t="s">
        <v>3537</v>
      </c>
      <c r="H129" s="726"/>
      <c r="I129" s="1590"/>
      <c r="J129" s="805">
        <v>44651.199999999997</v>
      </c>
      <c r="K129" s="810">
        <f t="shared" si="4"/>
        <v>39293.055999999997</v>
      </c>
      <c r="L129" s="362" t="s">
        <v>17</v>
      </c>
      <c r="M129" s="803">
        <v>45724</v>
      </c>
      <c r="U129" s="14" t="s">
        <v>3405</v>
      </c>
      <c r="V129" s="14">
        <v>0.41666666666666669</v>
      </c>
      <c r="W129" s="14">
        <v>0.64236111111111105</v>
      </c>
    </row>
    <row r="130" spans="1:23" hidden="1" x14ac:dyDescent="0.25">
      <c r="A130" s="430" t="s">
        <v>3407</v>
      </c>
      <c r="B130" s="28" t="s">
        <v>614</v>
      </c>
      <c r="C130" s="721">
        <v>45657</v>
      </c>
      <c r="D130" s="102">
        <v>8</v>
      </c>
      <c r="E130" s="102"/>
      <c r="F130" s="726" t="s">
        <v>285</v>
      </c>
      <c r="G130" s="362" t="s">
        <v>3536</v>
      </c>
      <c r="H130" s="362"/>
      <c r="I130" s="1590"/>
      <c r="J130" s="804">
        <v>51920</v>
      </c>
      <c r="K130" s="810">
        <f t="shared" si="4"/>
        <v>45689.599999999999</v>
      </c>
      <c r="L130" s="362" t="s">
        <v>17</v>
      </c>
      <c r="M130" s="803">
        <v>45724</v>
      </c>
      <c r="U130" s="14" t="s">
        <v>989</v>
      </c>
      <c r="V130" s="14">
        <v>0.42222222222222222</v>
      </c>
      <c r="W130" s="14">
        <v>0.69236111111111109</v>
      </c>
    </row>
    <row r="131" spans="1:23" s="28" customFormat="1" hidden="1" x14ac:dyDescent="0.25">
      <c r="A131" s="483" t="s">
        <v>3410</v>
      </c>
      <c r="B131" s="28" t="s">
        <v>614</v>
      </c>
      <c r="C131" s="1026">
        <v>45292</v>
      </c>
      <c r="D131" s="102">
        <v>12</v>
      </c>
      <c r="E131" s="102"/>
      <c r="F131" s="726" t="s">
        <v>113</v>
      </c>
      <c r="G131" s="362" t="s">
        <v>3538</v>
      </c>
      <c r="H131" s="726"/>
      <c r="I131" s="1590"/>
      <c r="J131" s="1020">
        <v>44651.199999999997</v>
      </c>
      <c r="K131" s="810">
        <f t="shared" si="4"/>
        <v>39293.055999999997</v>
      </c>
      <c r="L131" s="362" t="s">
        <v>17</v>
      </c>
      <c r="M131" s="803">
        <v>45724</v>
      </c>
      <c r="U131" s="28" t="s">
        <v>3408</v>
      </c>
      <c r="V131" s="488">
        <v>0.3125</v>
      </c>
      <c r="W131" s="488">
        <v>0.5493055555555556</v>
      </c>
    </row>
    <row r="132" spans="1:23" hidden="1" x14ac:dyDescent="0.25">
      <c r="A132" s="483" t="s">
        <v>3412</v>
      </c>
      <c r="B132" s="28" t="s">
        <v>614</v>
      </c>
      <c r="C132" s="1026">
        <v>45293</v>
      </c>
      <c r="D132" s="102">
        <v>4</v>
      </c>
      <c r="E132" s="102"/>
      <c r="F132" s="726" t="s">
        <v>3413</v>
      </c>
      <c r="G132" s="362" t="s">
        <v>3539</v>
      </c>
      <c r="H132" s="726"/>
      <c r="I132" s="1590"/>
      <c r="J132" s="805">
        <v>31152</v>
      </c>
      <c r="K132" s="810">
        <f t="shared" si="4"/>
        <v>27413.759999999998</v>
      </c>
      <c r="L132" s="362" t="s">
        <v>17</v>
      </c>
      <c r="M132" s="803">
        <v>45724</v>
      </c>
      <c r="U132" s="28" t="s">
        <v>1029</v>
      </c>
      <c r="V132" s="360">
        <v>0.34652777777777777</v>
      </c>
      <c r="W132" s="360">
        <v>0.52222222222222225</v>
      </c>
    </row>
    <row r="133" spans="1:23" hidden="1" x14ac:dyDescent="0.25">
      <c r="A133" s="483" t="s">
        <v>3456</v>
      </c>
      <c r="B133" s="28" t="s">
        <v>614</v>
      </c>
      <c r="C133" s="1026">
        <v>45296</v>
      </c>
      <c r="D133" s="102">
        <v>5</v>
      </c>
      <c r="E133" s="102"/>
      <c r="F133" s="726" t="s">
        <v>1985</v>
      </c>
      <c r="G133" s="362" t="s">
        <v>3540</v>
      </c>
      <c r="H133" s="726"/>
      <c r="I133" s="1590"/>
      <c r="J133" s="1020">
        <v>62304</v>
      </c>
      <c r="K133" s="810">
        <f t="shared" si="4"/>
        <v>54827.519999999997</v>
      </c>
      <c r="L133" s="362" t="s">
        <v>17</v>
      </c>
      <c r="M133" s="803">
        <v>45724</v>
      </c>
      <c r="U133" s="14" t="s">
        <v>1029</v>
      </c>
      <c r="V133" s="360">
        <v>0.3125</v>
      </c>
      <c r="W133" s="360">
        <v>0.68472222222222223</v>
      </c>
    </row>
    <row r="134" spans="1:23" hidden="1" x14ac:dyDescent="0.25">
      <c r="A134" s="483" t="s">
        <v>3460</v>
      </c>
      <c r="B134" s="28" t="s">
        <v>614</v>
      </c>
      <c r="C134" s="1026">
        <v>45297</v>
      </c>
      <c r="D134" s="102">
        <v>10</v>
      </c>
      <c r="E134" s="102"/>
      <c r="F134" s="726" t="s">
        <v>317</v>
      </c>
      <c r="G134" s="362" t="s">
        <v>3541</v>
      </c>
      <c r="H134" s="726"/>
      <c r="I134" s="1590"/>
      <c r="J134" s="1020">
        <v>53996.800000000003</v>
      </c>
      <c r="K134" s="810">
        <f t="shared" si="4"/>
        <v>47517.184000000001</v>
      </c>
      <c r="L134" s="362" t="s">
        <v>17</v>
      </c>
      <c r="M134" s="803">
        <v>45724</v>
      </c>
      <c r="U134" s="14" t="s">
        <v>2037</v>
      </c>
      <c r="V134" s="360">
        <v>0.29236111111111113</v>
      </c>
      <c r="W134" s="360">
        <v>0.61527777777777781</v>
      </c>
    </row>
    <row r="135" spans="1:23" hidden="1" x14ac:dyDescent="0.25">
      <c r="A135" s="483" t="s">
        <v>3461</v>
      </c>
      <c r="B135" s="28" t="s">
        <v>614</v>
      </c>
      <c r="C135" s="1026">
        <v>45298</v>
      </c>
      <c r="D135" s="102">
        <v>6</v>
      </c>
      <c r="E135" s="102"/>
      <c r="F135" s="726" t="s">
        <v>207</v>
      </c>
      <c r="G135" s="362" t="s">
        <v>3542</v>
      </c>
      <c r="H135" s="726"/>
      <c r="I135" s="1590"/>
      <c r="J135" s="1020">
        <v>41536</v>
      </c>
      <c r="K135" s="810">
        <f t="shared" si="4"/>
        <v>36551.68</v>
      </c>
      <c r="L135" s="362" t="s">
        <v>17</v>
      </c>
      <c r="M135" s="803">
        <v>45724</v>
      </c>
      <c r="U135" s="14" t="s">
        <v>989</v>
      </c>
      <c r="V135" s="360">
        <v>0.52083333333333337</v>
      </c>
      <c r="W135" s="360">
        <v>0.7319444444444444</v>
      </c>
    </row>
    <row r="136" spans="1:23" hidden="1" x14ac:dyDescent="0.25">
      <c r="A136" s="483" t="s">
        <v>3464</v>
      </c>
      <c r="B136" s="28" t="s">
        <v>614</v>
      </c>
      <c r="C136" s="1026">
        <v>45300</v>
      </c>
      <c r="D136" s="102">
        <v>10</v>
      </c>
      <c r="E136" s="102"/>
      <c r="F136" s="726" t="s">
        <v>317</v>
      </c>
      <c r="G136" s="362" t="s">
        <v>3543</v>
      </c>
      <c r="H136" s="726"/>
      <c r="I136" s="1590"/>
      <c r="J136" s="1020">
        <v>53996.800000000003</v>
      </c>
      <c r="K136" s="810">
        <f t="shared" si="4"/>
        <v>47517.184000000001</v>
      </c>
      <c r="L136" s="362" t="s">
        <v>17</v>
      </c>
      <c r="M136" s="803">
        <v>45724</v>
      </c>
      <c r="U136" s="14" t="s">
        <v>922</v>
      </c>
      <c r="V136" s="360">
        <v>0.30624999999999997</v>
      </c>
      <c r="W136" s="360">
        <v>0.57847222222222217</v>
      </c>
    </row>
    <row r="137" spans="1:23" hidden="1" x14ac:dyDescent="0.25">
      <c r="A137" s="483">
        <v>10012024</v>
      </c>
      <c r="B137" s="28" t="s">
        <v>614</v>
      </c>
      <c r="C137" s="1026">
        <v>45301</v>
      </c>
      <c r="D137" s="102">
        <v>12</v>
      </c>
      <c r="E137" s="102"/>
      <c r="F137" s="726" t="s">
        <v>2107</v>
      </c>
      <c r="G137" s="362" t="s">
        <v>3544</v>
      </c>
      <c r="H137" s="726"/>
      <c r="I137" s="1590"/>
      <c r="J137" s="1020">
        <v>44651.199999999997</v>
      </c>
      <c r="K137" s="810">
        <f t="shared" si="4"/>
        <v>39293.055999999997</v>
      </c>
      <c r="L137" s="362" t="s">
        <v>17</v>
      </c>
      <c r="M137" s="803">
        <v>45724</v>
      </c>
      <c r="U137" s="14" t="s">
        <v>3458</v>
      </c>
      <c r="V137" s="360"/>
      <c r="W137" s="360"/>
    </row>
    <row r="138" spans="1:23" hidden="1" x14ac:dyDescent="0.25">
      <c r="A138" s="483">
        <v>11012024</v>
      </c>
      <c r="B138" s="28" t="s">
        <v>614</v>
      </c>
      <c r="C138" s="1026">
        <v>45302</v>
      </c>
      <c r="D138" s="102">
        <v>6</v>
      </c>
      <c r="E138" s="102"/>
      <c r="F138" s="726" t="s">
        <v>207</v>
      </c>
      <c r="G138" s="362" t="s">
        <v>3545</v>
      </c>
      <c r="H138" s="726"/>
      <c r="I138" s="1590"/>
      <c r="J138" s="1020">
        <v>41536</v>
      </c>
      <c r="K138" s="810">
        <f t="shared" si="4"/>
        <v>36551.68</v>
      </c>
      <c r="L138" s="362" t="s">
        <v>17</v>
      </c>
      <c r="M138" s="803">
        <v>45724</v>
      </c>
      <c r="U138" s="14" t="s">
        <v>916</v>
      </c>
      <c r="V138" s="360">
        <v>0.26250000000000001</v>
      </c>
      <c r="W138" s="360"/>
    </row>
    <row r="139" spans="1:23" hidden="1" x14ac:dyDescent="0.25">
      <c r="A139" s="483">
        <v>18012024</v>
      </c>
      <c r="B139" s="28" t="s">
        <v>614</v>
      </c>
      <c r="C139" s="1026">
        <v>45309</v>
      </c>
      <c r="D139" s="102">
        <v>10</v>
      </c>
      <c r="E139" s="102"/>
      <c r="F139" s="726" t="s">
        <v>317</v>
      </c>
      <c r="G139" s="1027" t="s">
        <v>3563</v>
      </c>
      <c r="H139" s="102"/>
      <c r="I139" s="1590" t="s">
        <v>6302</v>
      </c>
      <c r="J139" s="1020">
        <v>53996.800000000003</v>
      </c>
      <c r="K139" s="810">
        <f t="shared" si="4"/>
        <v>47517.184000000001</v>
      </c>
      <c r="L139" s="362" t="s">
        <v>17</v>
      </c>
      <c r="M139" s="803">
        <v>45378</v>
      </c>
      <c r="U139" s="14" t="s">
        <v>922</v>
      </c>
      <c r="V139" s="360">
        <v>0.30069444444444443</v>
      </c>
      <c r="W139" s="360">
        <v>0.63611111111111118</v>
      </c>
    </row>
    <row r="140" spans="1:23" hidden="1" x14ac:dyDescent="0.25">
      <c r="A140" s="483">
        <v>19012024</v>
      </c>
      <c r="B140" s="28" t="s">
        <v>614</v>
      </c>
      <c r="C140" s="1026">
        <v>45310</v>
      </c>
      <c r="D140" s="102">
        <v>10</v>
      </c>
      <c r="E140" s="102"/>
      <c r="F140" s="726" t="s">
        <v>317</v>
      </c>
      <c r="G140" s="362" t="s">
        <v>3646</v>
      </c>
      <c r="H140" s="102"/>
      <c r="I140" s="1590"/>
      <c r="J140" s="1020">
        <v>53996.800000000003</v>
      </c>
      <c r="K140" s="810">
        <f t="shared" si="4"/>
        <v>47517.184000000001</v>
      </c>
      <c r="L140" s="362" t="s">
        <v>17</v>
      </c>
      <c r="M140" s="803">
        <v>45378</v>
      </c>
      <c r="U140" s="14" t="s">
        <v>1506</v>
      </c>
      <c r="V140" s="360">
        <v>0.34236111111111112</v>
      </c>
      <c r="W140" s="360">
        <v>0.71666666666666667</v>
      </c>
    </row>
    <row r="141" spans="1:23" hidden="1" x14ac:dyDescent="0.25">
      <c r="A141" s="483">
        <v>26012024</v>
      </c>
      <c r="B141" s="28" t="s">
        <v>614</v>
      </c>
      <c r="C141" s="1026">
        <v>45317</v>
      </c>
      <c r="D141" s="102">
        <v>6</v>
      </c>
      <c r="E141" s="102"/>
      <c r="F141" s="726" t="s">
        <v>106</v>
      </c>
      <c r="G141" s="362" t="s">
        <v>3664</v>
      </c>
      <c r="H141" s="362"/>
      <c r="I141" s="1590"/>
      <c r="J141" s="1021">
        <v>31152</v>
      </c>
      <c r="K141" s="810">
        <f t="shared" si="4"/>
        <v>27413.759999999998</v>
      </c>
      <c r="L141" s="362" t="s">
        <v>17</v>
      </c>
      <c r="M141" s="803">
        <v>45378</v>
      </c>
      <c r="U141" s="14" t="s">
        <v>922</v>
      </c>
      <c r="V141" s="360">
        <v>0.6020833333333333</v>
      </c>
      <c r="W141" s="360"/>
    </row>
    <row r="142" spans="1:23" s="21" customFormat="1" hidden="1" x14ac:dyDescent="0.25">
      <c r="A142" s="509">
        <v>30012024</v>
      </c>
      <c r="B142" s="177" t="s">
        <v>614</v>
      </c>
      <c r="C142" s="1028">
        <v>45321</v>
      </c>
      <c r="D142" s="102">
        <v>10</v>
      </c>
      <c r="E142" s="102"/>
      <c r="F142" s="1029" t="s">
        <v>317</v>
      </c>
      <c r="G142" s="362" t="s">
        <v>3663</v>
      </c>
      <c r="H142" s="1030"/>
      <c r="I142" s="1590"/>
      <c r="J142" s="1022">
        <v>53996.800000000003</v>
      </c>
      <c r="K142" s="810">
        <f t="shared" si="4"/>
        <v>47517.184000000001</v>
      </c>
      <c r="L142" s="362" t="s">
        <v>17</v>
      </c>
      <c r="M142" s="803">
        <v>45378</v>
      </c>
      <c r="U142" s="157" t="s">
        <v>989</v>
      </c>
      <c r="V142" s="488">
        <v>0.3756944444444445</v>
      </c>
      <c r="W142" s="488"/>
    </row>
    <row r="143" spans="1:23" s="21" customFormat="1" hidden="1" x14ac:dyDescent="0.25">
      <c r="A143" s="509">
        <v>31012024</v>
      </c>
      <c r="B143" s="177" t="s">
        <v>614</v>
      </c>
      <c r="C143" s="1028">
        <v>45322</v>
      </c>
      <c r="D143" s="102">
        <v>15</v>
      </c>
      <c r="E143" s="102"/>
      <c r="F143" s="726" t="s">
        <v>545</v>
      </c>
      <c r="G143" s="362" t="s">
        <v>3662</v>
      </c>
      <c r="H143" s="725"/>
      <c r="I143" s="1590"/>
      <c r="J143" s="1023">
        <v>37382.400000000001</v>
      </c>
      <c r="K143" s="810">
        <f t="shared" si="4"/>
        <v>32896.512000000002</v>
      </c>
      <c r="L143" s="362" t="s">
        <v>17</v>
      </c>
      <c r="M143" s="803">
        <v>45378</v>
      </c>
      <c r="U143" s="157" t="s">
        <v>2037</v>
      </c>
      <c r="V143" s="488"/>
      <c r="W143" s="488"/>
    </row>
    <row r="144" spans="1:23" s="21" customFormat="1" hidden="1" x14ac:dyDescent="0.25">
      <c r="A144" s="509" t="s">
        <v>3660</v>
      </c>
      <c r="B144" s="177" t="s">
        <v>614</v>
      </c>
      <c r="C144" s="1028">
        <v>45323</v>
      </c>
      <c r="D144" s="1030">
        <v>10</v>
      </c>
      <c r="E144" s="1030"/>
      <c r="F144" s="726" t="s">
        <v>143</v>
      </c>
      <c r="G144" s="362" t="s">
        <v>3736</v>
      </c>
      <c r="H144" s="725"/>
      <c r="I144" s="1590"/>
      <c r="J144" s="1023">
        <v>43612.800000000003</v>
      </c>
      <c r="K144" s="810">
        <f t="shared" si="4"/>
        <v>38379.264000000003</v>
      </c>
      <c r="L144" s="362" t="s">
        <v>17</v>
      </c>
      <c r="M144" s="803">
        <v>45378</v>
      </c>
      <c r="U144" s="157" t="s">
        <v>3408</v>
      </c>
      <c r="V144" s="488">
        <v>0.86805555555555547</v>
      </c>
      <c r="W144" s="488">
        <v>5.0694444444444452E-2</v>
      </c>
    </row>
    <row r="145" spans="1:34" s="21" customFormat="1" hidden="1" x14ac:dyDescent="0.25">
      <c r="A145" s="509" t="s">
        <v>3660</v>
      </c>
      <c r="B145" s="177" t="s">
        <v>614</v>
      </c>
      <c r="C145" s="1028">
        <v>45323</v>
      </c>
      <c r="D145" s="1030">
        <v>10</v>
      </c>
      <c r="E145" s="1030"/>
      <c r="F145" s="726" t="s">
        <v>143</v>
      </c>
      <c r="G145" s="362" t="s">
        <v>3735</v>
      </c>
      <c r="H145" s="725"/>
      <c r="I145" s="1590"/>
      <c r="J145" s="1023">
        <v>43612.800000000003</v>
      </c>
      <c r="K145" s="810">
        <f t="shared" si="4"/>
        <v>38379.264000000003</v>
      </c>
      <c r="L145" s="362" t="s">
        <v>17</v>
      </c>
      <c r="M145" s="803">
        <v>45378</v>
      </c>
      <c r="U145" s="157" t="s">
        <v>2050</v>
      </c>
      <c r="V145" s="488">
        <v>0.81041666666666667</v>
      </c>
      <c r="W145" s="488">
        <v>6.1111111111111116E-2</v>
      </c>
    </row>
    <row r="146" spans="1:34" hidden="1" x14ac:dyDescent="0.25">
      <c r="A146" s="509" t="s">
        <v>3661</v>
      </c>
      <c r="B146" s="28" t="s">
        <v>614</v>
      </c>
      <c r="C146" s="1026">
        <v>45324</v>
      </c>
      <c r="D146" s="102">
        <v>8</v>
      </c>
      <c r="E146" s="102"/>
      <c r="F146" s="726" t="s">
        <v>285</v>
      </c>
      <c r="G146" s="362" t="s">
        <v>3734</v>
      </c>
      <c r="H146" s="102"/>
      <c r="I146" s="1590"/>
      <c r="J146" s="1020">
        <v>51920</v>
      </c>
      <c r="K146" s="810">
        <f t="shared" si="4"/>
        <v>45689.599999999999</v>
      </c>
      <c r="L146" s="362" t="s">
        <v>17</v>
      </c>
      <c r="M146" s="803">
        <v>45378</v>
      </c>
      <c r="U146" s="14" t="s">
        <v>922</v>
      </c>
      <c r="V146" s="360"/>
      <c r="W146" s="360"/>
    </row>
    <row r="147" spans="1:34" hidden="1" x14ac:dyDescent="0.25">
      <c r="A147" s="509" t="s">
        <v>3661</v>
      </c>
      <c r="B147" s="28" t="s">
        <v>614</v>
      </c>
      <c r="C147" s="1026">
        <v>45324</v>
      </c>
      <c r="D147" s="102">
        <v>5</v>
      </c>
      <c r="E147" s="102"/>
      <c r="F147" s="726" t="s">
        <v>1985</v>
      </c>
      <c r="G147" s="362" t="s">
        <v>3733</v>
      </c>
      <c r="H147" s="102"/>
      <c r="I147" s="1590"/>
      <c r="J147" s="1020">
        <v>62304</v>
      </c>
      <c r="K147" s="810">
        <f t="shared" si="4"/>
        <v>54827.519999999997</v>
      </c>
      <c r="L147" s="362" t="s">
        <v>17</v>
      </c>
      <c r="M147" s="803">
        <v>45378</v>
      </c>
      <c r="U147" s="14" t="s">
        <v>2050</v>
      </c>
      <c r="V147" s="360"/>
      <c r="W147" s="360"/>
    </row>
    <row r="148" spans="1:34" hidden="1" x14ac:dyDescent="0.25">
      <c r="A148" s="509" t="s">
        <v>1854</v>
      </c>
      <c r="B148" s="28" t="s">
        <v>614</v>
      </c>
      <c r="C148" s="1026">
        <v>45328</v>
      </c>
      <c r="D148" s="102">
        <v>12</v>
      </c>
      <c r="E148" s="102"/>
      <c r="F148" s="726" t="s">
        <v>872</v>
      </c>
      <c r="G148" s="362" t="s">
        <v>3737</v>
      </c>
      <c r="H148" s="102"/>
      <c r="I148" s="1590"/>
      <c r="J148" s="1020">
        <v>44651.199999999997</v>
      </c>
      <c r="K148" s="810">
        <f t="shared" si="4"/>
        <v>39293.055999999997</v>
      </c>
      <c r="L148" s="362" t="s">
        <v>17</v>
      </c>
      <c r="M148" s="803">
        <v>45378</v>
      </c>
      <c r="U148" s="14" t="s">
        <v>3463</v>
      </c>
      <c r="V148" s="360">
        <v>0.35416666666666669</v>
      </c>
      <c r="W148" s="360">
        <v>0.58333333333333337</v>
      </c>
    </row>
    <row r="149" spans="1:34" hidden="1" x14ac:dyDescent="0.25">
      <c r="A149" s="509" t="s">
        <v>1864</v>
      </c>
      <c r="B149" s="28" t="s">
        <v>614</v>
      </c>
      <c r="C149" s="1026">
        <v>45330</v>
      </c>
      <c r="D149" s="102">
        <v>4</v>
      </c>
      <c r="E149" s="102"/>
      <c r="F149" s="726" t="s">
        <v>68</v>
      </c>
      <c r="G149" s="362" t="s">
        <v>3732</v>
      </c>
      <c r="H149" s="102"/>
      <c r="I149" s="1590"/>
      <c r="J149" s="1020">
        <v>49843.199999999997</v>
      </c>
      <c r="K149" s="810">
        <f t="shared" si="4"/>
        <v>43862.015999999996</v>
      </c>
      <c r="L149" s="362" t="s">
        <v>17</v>
      </c>
      <c r="M149" s="803">
        <v>45378</v>
      </c>
      <c r="U149" s="14" t="s">
        <v>2037</v>
      </c>
      <c r="V149" s="360">
        <v>0.26527777777777778</v>
      </c>
      <c r="W149" s="360"/>
    </row>
    <row r="150" spans="1:34" hidden="1" x14ac:dyDescent="0.25">
      <c r="A150" s="509" t="s">
        <v>1864</v>
      </c>
      <c r="B150" s="28" t="s">
        <v>614</v>
      </c>
      <c r="C150" s="1026">
        <v>45330</v>
      </c>
      <c r="D150" s="102">
        <v>4</v>
      </c>
      <c r="E150" s="102"/>
      <c r="F150" s="726" t="s">
        <v>3676</v>
      </c>
      <c r="G150" s="362" t="s">
        <v>3731</v>
      </c>
      <c r="H150" s="102"/>
      <c r="I150" s="1590"/>
      <c r="J150" s="805">
        <v>26998.400000000001</v>
      </c>
      <c r="K150" s="810">
        <f t="shared" si="4"/>
        <v>23758.592000000001</v>
      </c>
      <c r="L150" s="362" t="s">
        <v>17</v>
      </c>
      <c r="M150" s="803">
        <v>45378</v>
      </c>
      <c r="U150" s="14" t="s">
        <v>3151</v>
      </c>
      <c r="V150" s="360">
        <v>0.57013888888888886</v>
      </c>
      <c r="W150" s="360"/>
    </row>
    <row r="151" spans="1:34" hidden="1" x14ac:dyDescent="0.25">
      <c r="A151" s="509">
        <v>10022024</v>
      </c>
      <c r="B151" s="28" t="s">
        <v>614</v>
      </c>
      <c r="C151" s="1026">
        <v>45332</v>
      </c>
      <c r="D151" s="1030">
        <v>10</v>
      </c>
      <c r="E151" s="1030"/>
      <c r="F151" s="726" t="s">
        <v>143</v>
      </c>
      <c r="G151" s="362" t="s">
        <v>3729</v>
      </c>
      <c r="H151" s="362"/>
      <c r="I151" s="1590"/>
      <c r="J151" s="1021">
        <v>43612.800000000003</v>
      </c>
      <c r="K151" s="810">
        <f t="shared" si="4"/>
        <v>38379.264000000003</v>
      </c>
      <c r="L151" s="362" t="s">
        <v>17</v>
      </c>
      <c r="M151" s="803">
        <v>45378</v>
      </c>
      <c r="U151" s="14" t="s">
        <v>989</v>
      </c>
      <c r="V151" s="360">
        <v>0.62708333333333333</v>
      </c>
      <c r="W151" s="360">
        <v>0.83263888888888893</v>
      </c>
    </row>
    <row r="152" spans="1:34" hidden="1" x14ac:dyDescent="0.25">
      <c r="A152" s="509">
        <v>16022024</v>
      </c>
      <c r="B152" s="28" t="s">
        <v>614</v>
      </c>
      <c r="C152" s="1026">
        <v>45338</v>
      </c>
      <c r="D152" s="1030">
        <v>12</v>
      </c>
      <c r="E152" s="1030"/>
      <c r="F152" s="726" t="s">
        <v>113</v>
      </c>
      <c r="G152" s="362" t="s">
        <v>3728</v>
      </c>
      <c r="H152" s="102"/>
      <c r="I152" s="1590" t="s">
        <v>3933</v>
      </c>
      <c r="J152" s="1020">
        <v>44651.199999999997</v>
      </c>
      <c r="K152" s="810">
        <f t="shared" si="4"/>
        <v>39293.055999999997</v>
      </c>
      <c r="L152" s="362" t="s">
        <v>17</v>
      </c>
      <c r="M152" s="803">
        <v>45422</v>
      </c>
      <c r="U152" s="14" t="s">
        <v>3572</v>
      </c>
      <c r="V152" s="360"/>
      <c r="W152" s="360"/>
    </row>
    <row r="153" spans="1:34" hidden="1" x14ac:dyDescent="0.25">
      <c r="A153" s="509">
        <v>16022024</v>
      </c>
      <c r="B153" s="28" t="s">
        <v>614</v>
      </c>
      <c r="C153" s="1026">
        <v>45338</v>
      </c>
      <c r="D153" s="102">
        <v>12</v>
      </c>
      <c r="E153" s="102"/>
      <c r="F153" s="726" t="s">
        <v>872</v>
      </c>
      <c r="G153" s="362" t="s">
        <v>3753</v>
      </c>
      <c r="H153" s="362"/>
      <c r="I153" s="1590"/>
      <c r="J153" s="1021">
        <v>44651.199999999997</v>
      </c>
      <c r="K153" s="810">
        <f t="shared" si="4"/>
        <v>39293.055999999997</v>
      </c>
      <c r="L153" s="362" t="s">
        <v>17</v>
      </c>
      <c r="M153" s="803">
        <v>45422</v>
      </c>
      <c r="U153" s="14" t="s">
        <v>1506</v>
      </c>
      <c r="V153" s="360">
        <v>0.35902777777777778</v>
      </c>
      <c r="W153" s="360"/>
    </row>
    <row r="154" spans="1:34" hidden="1" x14ac:dyDescent="0.25">
      <c r="A154" s="509">
        <v>16022024</v>
      </c>
      <c r="B154" s="28" t="s">
        <v>614</v>
      </c>
      <c r="C154" s="1026">
        <v>45339</v>
      </c>
      <c r="D154" s="102">
        <v>4</v>
      </c>
      <c r="E154" s="102"/>
      <c r="F154" s="726" t="s">
        <v>236</v>
      </c>
      <c r="G154" s="362" t="s">
        <v>3754</v>
      </c>
      <c r="H154" s="362"/>
      <c r="I154" s="1590"/>
      <c r="J154" s="1021">
        <v>62304</v>
      </c>
      <c r="K154" s="810">
        <f t="shared" si="4"/>
        <v>54827.519999999997</v>
      </c>
      <c r="L154" s="362" t="s">
        <v>17</v>
      </c>
      <c r="M154" s="803">
        <v>45422</v>
      </c>
      <c r="U154" s="14" t="s">
        <v>795</v>
      </c>
      <c r="V154" s="360">
        <v>0.90069444444444446</v>
      </c>
      <c r="W154" s="360">
        <v>0.58333333333333337</v>
      </c>
    </row>
    <row r="155" spans="1:34" hidden="1" x14ac:dyDescent="0.25">
      <c r="A155" s="509">
        <v>18022024</v>
      </c>
      <c r="B155" s="28" t="s">
        <v>614</v>
      </c>
      <c r="C155" s="1026">
        <v>45340</v>
      </c>
      <c r="D155" s="102">
        <v>6</v>
      </c>
      <c r="E155" s="102"/>
      <c r="F155" s="726" t="s">
        <v>2008</v>
      </c>
      <c r="G155" s="362" t="s">
        <v>3807</v>
      </c>
      <c r="H155" s="362"/>
      <c r="I155" s="1590"/>
      <c r="J155" s="1021">
        <v>55035.199999999997</v>
      </c>
      <c r="K155" s="810">
        <f t="shared" si="4"/>
        <v>48430.975999999995</v>
      </c>
      <c r="L155" s="362" t="s">
        <v>17</v>
      </c>
      <c r="M155" s="803">
        <v>45422</v>
      </c>
      <c r="U155" s="14" t="s">
        <v>989</v>
      </c>
      <c r="V155" s="360">
        <v>0.26041666666666669</v>
      </c>
      <c r="W155" s="360">
        <v>0.54236111111111118</v>
      </c>
    </row>
    <row r="156" spans="1:34" hidden="1" x14ac:dyDescent="0.25">
      <c r="A156" s="509">
        <v>21022024</v>
      </c>
      <c r="B156" s="30" t="s">
        <v>614</v>
      </c>
      <c r="C156" s="1026">
        <v>45343</v>
      </c>
      <c r="D156" s="102">
        <v>12</v>
      </c>
      <c r="E156" s="102"/>
      <c r="F156" s="726" t="s">
        <v>113</v>
      </c>
      <c r="G156" s="362" t="s">
        <v>3805</v>
      </c>
      <c r="H156" s="362"/>
      <c r="I156" s="1590"/>
      <c r="J156" s="1021">
        <v>44651.199999999997</v>
      </c>
      <c r="K156" s="810">
        <f t="shared" si="4"/>
        <v>39293.055999999997</v>
      </c>
      <c r="L156" s="362" t="s">
        <v>17</v>
      </c>
      <c r="M156" s="803">
        <v>45422</v>
      </c>
      <c r="U156" s="14" t="s">
        <v>1644</v>
      </c>
      <c r="V156" s="360">
        <v>0.32222222222222224</v>
      </c>
      <c r="W156" s="360">
        <v>0.5493055555555556</v>
      </c>
    </row>
    <row r="157" spans="1:34" hidden="1" x14ac:dyDescent="0.25">
      <c r="A157" s="509">
        <v>21022024</v>
      </c>
      <c r="B157" s="30" t="s">
        <v>614</v>
      </c>
      <c r="C157" s="1026">
        <v>45343</v>
      </c>
      <c r="D157" s="102">
        <v>4</v>
      </c>
      <c r="E157" s="102"/>
      <c r="F157" s="726" t="s">
        <v>68</v>
      </c>
      <c r="G157" s="362" t="s">
        <v>3806</v>
      </c>
      <c r="H157" s="362"/>
      <c r="I157" s="1590"/>
      <c r="J157" s="1021">
        <v>49843.199999999997</v>
      </c>
      <c r="K157" s="810">
        <f t="shared" ref="K157:K188" si="5">+J157*0.88</f>
        <v>43862.015999999996</v>
      </c>
      <c r="L157" s="362" t="s">
        <v>17</v>
      </c>
      <c r="M157" s="803">
        <v>45422</v>
      </c>
      <c r="U157" s="14" t="s">
        <v>3463</v>
      </c>
      <c r="V157" s="360"/>
      <c r="W157" s="360"/>
    </row>
    <row r="158" spans="1:34" hidden="1" x14ac:dyDescent="0.25">
      <c r="A158" s="509">
        <v>28022024</v>
      </c>
      <c r="B158" s="30" t="s">
        <v>614</v>
      </c>
      <c r="C158" s="803">
        <v>45350</v>
      </c>
      <c r="D158" s="102">
        <v>5</v>
      </c>
      <c r="E158" s="102"/>
      <c r="F158" s="726" t="s">
        <v>1985</v>
      </c>
      <c r="G158" s="362" t="s">
        <v>3808</v>
      </c>
      <c r="H158" s="102"/>
      <c r="I158" s="1590"/>
      <c r="J158" s="1020">
        <v>62304</v>
      </c>
      <c r="K158" s="810">
        <f t="shared" si="5"/>
        <v>54827.519999999997</v>
      </c>
      <c r="L158" s="362" t="s">
        <v>17</v>
      </c>
      <c r="M158" s="803">
        <v>45422</v>
      </c>
      <c r="U158" s="14" t="s">
        <v>3765</v>
      </c>
      <c r="V158" s="360">
        <v>0.29375000000000001</v>
      </c>
      <c r="W158" s="360"/>
    </row>
    <row r="159" spans="1:34" s="5" customFormat="1" hidden="1" x14ac:dyDescent="0.25">
      <c r="A159" s="509">
        <v>29022024</v>
      </c>
      <c r="B159" s="30" t="s">
        <v>614</v>
      </c>
      <c r="C159" s="803">
        <v>45351</v>
      </c>
      <c r="D159" s="102">
        <v>10</v>
      </c>
      <c r="E159" s="102"/>
      <c r="F159" s="726" t="s">
        <v>143</v>
      </c>
      <c r="G159" s="362" t="s">
        <v>3809</v>
      </c>
      <c r="H159" s="102"/>
      <c r="I159" s="1590"/>
      <c r="J159" s="1020">
        <v>43612.800000000003</v>
      </c>
      <c r="K159" s="810">
        <f t="shared" si="5"/>
        <v>38379.264000000003</v>
      </c>
      <c r="L159" s="362" t="s">
        <v>17</v>
      </c>
      <c r="M159" s="803">
        <v>45422</v>
      </c>
      <c r="N159"/>
      <c r="O159"/>
      <c r="P159"/>
      <c r="Q159"/>
      <c r="R159"/>
      <c r="S159"/>
      <c r="T159"/>
      <c r="U159" s="14" t="s">
        <v>2037</v>
      </c>
      <c r="V159" s="360">
        <v>0.66041666666666665</v>
      </c>
      <c r="W159" s="360">
        <v>0.84305555555555556</v>
      </c>
      <c r="X159"/>
      <c r="Y159"/>
      <c r="Z159"/>
      <c r="AA159"/>
      <c r="AB159"/>
      <c r="AC159"/>
      <c r="AD159"/>
      <c r="AE159"/>
      <c r="AF159"/>
      <c r="AG159"/>
      <c r="AH159"/>
    </row>
    <row r="160" spans="1:34" hidden="1" x14ac:dyDescent="0.25">
      <c r="A160" s="509">
        <v>29022024</v>
      </c>
      <c r="B160" s="30" t="s">
        <v>614</v>
      </c>
      <c r="C160" s="803">
        <v>45351</v>
      </c>
      <c r="D160" s="102">
        <v>8</v>
      </c>
      <c r="E160" s="102"/>
      <c r="F160" s="726" t="s">
        <v>285</v>
      </c>
      <c r="G160" s="362" t="s">
        <v>3810</v>
      </c>
      <c r="H160" s="102"/>
      <c r="I160" s="1590"/>
      <c r="J160" s="1020">
        <v>51920</v>
      </c>
      <c r="K160" s="810">
        <f t="shared" si="5"/>
        <v>45689.599999999999</v>
      </c>
      <c r="L160" s="362" t="s">
        <v>17</v>
      </c>
      <c r="M160" s="803">
        <v>45422</v>
      </c>
      <c r="U160" s="14" t="s">
        <v>1506</v>
      </c>
      <c r="V160" s="360">
        <v>0.82500000000000007</v>
      </c>
      <c r="W160" s="360">
        <v>6.458333333333334E-2</v>
      </c>
    </row>
    <row r="161" spans="1:23" hidden="1" x14ac:dyDescent="0.25">
      <c r="A161" s="509" t="s">
        <v>3834</v>
      </c>
      <c r="B161" s="30" t="s">
        <v>614</v>
      </c>
      <c r="C161" s="803">
        <v>45361</v>
      </c>
      <c r="D161" s="102">
        <v>4</v>
      </c>
      <c r="E161" s="102"/>
      <c r="F161" s="726" t="s">
        <v>573</v>
      </c>
      <c r="G161" s="362" t="s">
        <v>3866</v>
      </c>
      <c r="H161" s="102"/>
      <c r="I161" s="1590"/>
      <c r="J161" s="1020">
        <v>62304</v>
      </c>
      <c r="K161" s="810">
        <f t="shared" si="5"/>
        <v>54827.519999999997</v>
      </c>
      <c r="L161" s="362" t="s">
        <v>17</v>
      </c>
      <c r="M161" s="803">
        <v>45422</v>
      </c>
      <c r="U161" s="14" t="s">
        <v>2037</v>
      </c>
      <c r="V161" s="360">
        <v>0.34236111111111112</v>
      </c>
      <c r="W161" s="360">
        <v>0.53055555555555556</v>
      </c>
    </row>
    <row r="162" spans="1:23" s="30" customFormat="1" hidden="1" x14ac:dyDescent="0.25">
      <c r="A162" s="184">
        <v>17032024</v>
      </c>
      <c r="B162" s="30" t="s">
        <v>614</v>
      </c>
      <c r="C162" s="803">
        <v>45368</v>
      </c>
      <c r="D162" s="102">
        <v>5</v>
      </c>
      <c r="E162" s="102"/>
      <c r="F162" s="726" t="s">
        <v>1985</v>
      </c>
      <c r="G162" s="362" t="s">
        <v>3949</v>
      </c>
      <c r="H162" s="362"/>
      <c r="I162" s="1609" t="s">
        <v>4083</v>
      </c>
      <c r="J162" s="1021">
        <v>62304</v>
      </c>
      <c r="K162" s="810">
        <f t="shared" si="5"/>
        <v>54827.519999999997</v>
      </c>
      <c r="L162" s="362" t="s">
        <v>17</v>
      </c>
      <c r="M162" s="803">
        <v>45432</v>
      </c>
      <c r="U162" s="360" t="s">
        <v>1506</v>
      </c>
      <c r="V162" s="360">
        <v>0.30555555555555552</v>
      </c>
      <c r="W162" s="360">
        <v>0.66041666666666665</v>
      </c>
    </row>
    <row r="163" spans="1:23" hidden="1" x14ac:dyDescent="0.25">
      <c r="A163" s="509">
        <v>19032024</v>
      </c>
      <c r="B163" s="30" t="s">
        <v>614</v>
      </c>
      <c r="C163" s="803">
        <v>45370</v>
      </c>
      <c r="D163" s="102">
        <v>10</v>
      </c>
      <c r="E163" s="102"/>
      <c r="F163" s="726" t="s">
        <v>143</v>
      </c>
      <c r="G163" s="362" t="s">
        <v>3947</v>
      </c>
      <c r="H163" s="362"/>
      <c r="I163" s="1609"/>
      <c r="J163" s="1021">
        <v>43612.800000000003</v>
      </c>
      <c r="K163" s="810">
        <f t="shared" si="5"/>
        <v>38379.264000000003</v>
      </c>
      <c r="L163" s="362" t="s">
        <v>17</v>
      </c>
      <c r="M163" s="803">
        <v>45432</v>
      </c>
      <c r="U163" s="14" t="s">
        <v>2380</v>
      </c>
      <c r="V163" s="360"/>
      <c r="W163" s="360"/>
    </row>
    <row r="164" spans="1:23" hidden="1" x14ac:dyDescent="0.25">
      <c r="A164" s="509">
        <v>19032024</v>
      </c>
      <c r="B164" s="30" t="s">
        <v>614</v>
      </c>
      <c r="C164" s="803">
        <v>45370</v>
      </c>
      <c r="D164" s="102">
        <v>8</v>
      </c>
      <c r="E164" s="102"/>
      <c r="F164" s="726" t="s">
        <v>285</v>
      </c>
      <c r="G164" s="362" t="s">
        <v>3946</v>
      </c>
      <c r="H164" s="362"/>
      <c r="I164" s="1609"/>
      <c r="J164" s="1021">
        <v>51920</v>
      </c>
      <c r="K164" s="810">
        <f t="shared" si="5"/>
        <v>45689.599999999999</v>
      </c>
      <c r="L164" s="362" t="s">
        <v>17</v>
      </c>
      <c r="M164" s="803">
        <v>45432</v>
      </c>
      <c r="U164" s="14"/>
      <c r="V164" s="360"/>
      <c r="W164" s="360"/>
    </row>
    <row r="165" spans="1:23" hidden="1" x14ac:dyDescent="0.25">
      <c r="A165" s="509">
        <v>21032024</v>
      </c>
      <c r="B165" s="30" t="s">
        <v>614</v>
      </c>
      <c r="C165" s="803">
        <v>45372</v>
      </c>
      <c r="D165" s="102">
        <v>4</v>
      </c>
      <c r="E165" s="102"/>
      <c r="F165" s="726" t="s">
        <v>236</v>
      </c>
      <c r="G165" s="362" t="s">
        <v>3945</v>
      </c>
      <c r="H165" s="362"/>
      <c r="I165" s="1609"/>
      <c r="J165" s="1021">
        <v>62304</v>
      </c>
      <c r="K165" s="810">
        <f t="shared" si="5"/>
        <v>54827.519999999997</v>
      </c>
      <c r="L165" s="362" t="s">
        <v>17</v>
      </c>
      <c r="M165" s="803">
        <v>45432</v>
      </c>
      <c r="U165" s="14" t="s">
        <v>1042</v>
      </c>
      <c r="V165" s="360">
        <v>0.80555555555555547</v>
      </c>
      <c r="W165" s="360">
        <v>2.013888888888889E-2</v>
      </c>
    </row>
    <row r="166" spans="1:23" hidden="1" x14ac:dyDescent="0.25">
      <c r="A166" s="509">
        <v>23032024</v>
      </c>
      <c r="B166" s="30" t="s">
        <v>614</v>
      </c>
      <c r="C166" s="803">
        <v>45374</v>
      </c>
      <c r="D166" s="102">
        <v>12</v>
      </c>
      <c r="E166" s="102"/>
      <c r="F166" s="726" t="s">
        <v>113</v>
      </c>
      <c r="G166" s="362" t="s">
        <v>3944</v>
      </c>
      <c r="H166" s="362"/>
      <c r="I166" s="1609"/>
      <c r="J166" s="1021">
        <v>44651.199999999997</v>
      </c>
      <c r="K166" s="810">
        <f t="shared" si="5"/>
        <v>39293.055999999997</v>
      </c>
      <c r="L166" s="362" t="s">
        <v>17</v>
      </c>
      <c r="M166" s="803">
        <v>45432</v>
      </c>
      <c r="U166" s="14" t="s">
        <v>3879</v>
      </c>
      <c r="V166" s="360">
        <v>0.34166666666666662</v>
      </c>
      <c r="W166" s="360">
        <v>0.5444444444444444</v>
      </c>
    </row>
    <row r="167" spans="1:23" hidden="1" x14ac:dyDescent="0.25">
      <c r="A167" s="509">
        <v>24022024</v>
      </c>
      <c r="B167" s="30" t="s">
        <v>614</v>
      </c>
      <c r="C167" s="803">
        <v>45375</v>
      </c>
      <c r="D167" s="102">
        <v>10</v>
      </c>
      <c r="E167" s="102"/>
      <c r="F167" s="726" t="s">
        <v>143</v>
      </c>
      <c r="G167" s="362" t="s">
        <v>3943</v>
      </c>
      <c r="H167" s="362"/>
      <c r="I167" s="1609"/>
      <c r="J167" s="1021">
        <v>43612.800000000003</v>
      </c>
      <c r="K167" s="810">
        <f t="shared" si="5"/>
        <v>38379.264000000003</v>
      </c>
      <c r="L167" s="362" t="s">
        <v>17</v>
      </c>
      <c r="M167" s="803">
        <v>45432</v>
      </c>
      <c r="U167" s="14" t="s">
        <v>1042</v>
      </c>
      <c r="V167" s="360">
        <v>0.62777777777777777</v>
      </c>
      <c r="W167" s="360">
        <v>0.84097222222222223</v>
      </c>
    </row>
    <row r="168" spans="1:23" hidden="1" x14ac:dyDescent="0.25">
      <c r="A168" s="509">
        <v>25032024</v>
      </c>
      <c r="B168" s="30" t="s">
        <v>614</v>
      </c>
      <c r="C168" s="803">
        <v>45376</v>
      </c>
      <c r="D168" s="102">
        <v>4</v>
      </c>
      <c r="E168" s="102"/>
      <c r="F168" s="726" t="s">
        <v>3924</v>
      </c>
      <c r="G168" s="362" t="s">
        <v>3950</v>
      </c>
      <c r="H168" s="102"/>
      <c r="I168" s="1609"/>
      <c r="J168" s="1020">
        <v>26998.400000000001</v>
      </c>
      <c r="K168" s="810">
        <f t="shared" si="5"/>
        <v>23758.592000000001</v>
      </c>
      <c r="L168" s="362" t="s">
        <v>17</v>
      </c>
      <c r="M168" s="803">
        <v>45432</v>
      </c>
      <c r="U168" s="14" t="s">
        <v>1042</v>
      </c>
      <c r="V168" s="360">
        <v>0.60069444444444442</v>
      </c>
      <c r="W168" s="360">
        <v>0.72222222222222221</v>
      </c>
    </row>
    <row r="169" spans="1:23" hidden="1" x14ac:dyDescent="0.25">
      <c r="A169" s="509">
        <v>29032024</v>
      </c>
      <c r="B169" s="30" t="s">
        <v>614</v>
      </c>
      <c r="C169" s="803">
        <v>45380</v>
      </c>
      <c r="D169" s="102">
        <v>4</v>
      </c>
      <c r="E169" s="102"/>
      <c r="F169" s="726" t="s">
        <v>68</v>
      </c>
      <c r="G169" s="362" t="s">
        <v>3948</v>
      </c>
      <c r="H169" s="362"/>
      <c r="I169" s="1609"/>
      <c r="J169" s="1021">
        <v>49843.199999999997</v>
      </c>
      <c r="K169" s="810">
        <f t="shared" si="5"/>
        <v>43862.015999999996</v>
      </c>
      <c r="L169" s="362" t="s">
        <v>17</v>
      </c>
      <c r="M169" s="803">
        <v>45432</v>
      </c>
      <c r="U169" s="14" t="s">
        <v>2050</v>
      </c>
      <c r="V169" s="360">
        <v>0.4597222222222222</v>
      </c>
      <c r="W169" s="360">
        <v>0.72152777777777777</v>
      </c>
    </row>
    <row r="170" spans="1:23" hidden="1" x14ac:dyDescent="0.25">
      <c r="A170" s="509" t="s">
        <v>3973</v>
      </c>
      <c r="B170" s="30" t="s">
        <v>614</v>
      </c>
      <c r="C170" s="803">
        <v>45386</v>
      </c>
      <c r="D170" s="102">
        <v>6</v>
      </c>
      <c r="E170" s="102"/>
      <c r="F170" s="726" t="s">
        <v>207</v>
      </c>
      <c r="G170" s="362" t="s">
        <v>3999</v>
      </c>
      <c r="H170" s="102"/>
      <c r="I170" s="1609"/>
      <c r="J170" s="1020">
        <v>41536</v>
      </c>
      <c r="K170" s="810">
        <f t="shared" si="5"/>
        <v>36551.68</v>
      </c>
      <c r="L170" s="362" t="s">
        <v>17</v>
      </c>
      <c r="M170" s="803">
        <v>45432</v>
      </c>
      <c r="U170" s="14" t="s">
        <v>3974</v>
      </c>
      <c r="V170" s="360">
        <v>0.27777777777777779</v>
      </c>
      <c r="W170" s="360">
        <v>0.4770833333333333</v>
      </c>
    </row>
    <row r="171" spans="1:23" hidden="1" x14ac:dyDescent="0.25">
      <c r="A171" s="509" t="s">
        <v>3983</v>
      </c>
      <c r="B171" s="30" t="s">
        <v>614</v>
      </c>
      <c r="C171" s="803">
        <v>45389</v>
      </c>
      <c r="D171" s="102">
        <v>10</v>
      </c>
      <c r="E171" s="102"/>
      <c r="F171" s="726" t="s">
        <v>317</v>
      </c>
      <c r="G171" s="362" t="s">
        <v>4000</v>
      </c>
      <c r="H171" s="102"/>
      <c r="I171" s="1609"/>
      <c r="J171" s="1020">
        <v>53996.800000000003</v>
      </c>
      <c r="K171" s="810">
        <f t="shared" si="5"/>
        <v>47517.184000000001</v>
      </c>
      <c r="L171" s="362" t="s">
        <v>17</v>
      </c>
      <c r="M171" s="803">
        <v>45432</v>
      </c>
      <c r="U171" s="14" t="s">
        <v>922</v>
      </c>
      <c r="V171" s="360">
        <v>0.40416666666666662</v>
      </c>
      <c r="W171" s="360">
        <v>0.66041666666666665</v>
      </c>
    </row>
    <row r="172" spans="1:23" hidden="1" x14ac:dyDescent="0.25">
      <c r="A172" s="509">
        <v>12042024</v>
      </c>
      <c r="B172" t="s">
        <v>614</v>
      </c>
      <c r="C172" s="803">
        <v>45394</v>
      </c>
      <c r="D172" s="102">
        <v>10</v>
      </c>
      <c r="E172" s="102"/>
      <c r="F172" s="726" t="s">
        <v>317</v>
      </c>
      <c r="G172" s="362" t="s">
        <v>4027</v>
      </c>
      <c r="H172" s="102"/>
      <c r="I172" s="1609"/>
      <c r="J172" s="1020">
        <v>53996.800000000003</v>
      </c>
      <c r="K172" s="810">
        <f t="shared" si="5"/>
        <v>47517.184000000001</v>
      </c>
      <c r="L172" s="362" t="s">
        <v>17</v>
      </c>
      <c r="M172" s="803">
        <v>45432</v>
      </c>
      <c r="U172" s="14" t="s">
        <v>2380</v>
      </c>
      <c r="V172" s="360">
        <v>0.25833333333333336</v>
      </c>
      <c r="W172" s="360"/>
    </row>
    <row r="173" spans="1:23" s="698" customFormat="1" hidden="1" x14ac:dyDescent="0.25">
      <c r="A173" s="697">
        <v>16042024</v>
      </c>
      <c r="B173" s="698" t="s">
        <v>614</v>
      </c>
      <c r="C173" s="1031">
        <v>45398</v>
      </c>
      <c r="D173" s="1032">
        <v>4</v>
      </c>
      <c r="E173" s="1032"/>
      <c r="F173" s="1033" t="s">
        <v>236</v>
      </c>
      <c r="G173" s="362" t="s">
        <v>4084</v>
      </c>
      <c r="H173" s="1034"/>
      <c r="I173" s="1590" t="s">
        <v>4160</v>
      </c>
      <c r="J173" s="1021">
        <v>62304</v>
      </c>
      <c r="K173" s="1024">
        <f t="shared" si="5"/>
        <v>54827.519999999997</v>
      </c>
      <c r="L173" s="1034" t="s">
        <v>17</v>
      </c>
      <c r="M173" s="1031">
        <v>45476</v>
      </c>
      <c r="U173" s="699" t="s">
        <v>1656</v>
      </c>
      <c r="V173" s="700">
        <v>0.38958333333333334</v>
      </c>
      <c r="W173" s="700">
        <v>0.16944444444444443</v>
      </c>
    </row>
    <row r="174" spans="1:23" hidden="1" x14ac:dyDescent="0.25">
      <c r="A174" s="509">
        <v>19042024</v>
      </c>
      <c r="B174" t="s">
        <v>614</v>
      </c>
      <c r="C174" s="803">
        <v>45401</v>
      </c>
      <c r="D174" s="102">
        <v>4</v>
      </c>
      <c r="E174" s="102"/>
      <c r="F174" s="726" t="s">
        <v>68</v>
      </c>
      <c r="G174" s="362" t="s">
        <v>3948</v>
      </c>
      <c r="H174" s="362"/>
      <c r="I174" s="1590"/>
      <c r="J174" s="1021">
        <v>49843.199999999997</v>
      </c>
      <c r="K174" s="810">
        <f t="shared" si="5"/>
        <v>43862.015999999996</v>
      </c>
      <c r="L174" s="362" t="s">
        <v>17</v>
      </c>
      <c r="M174" s="803">
        <v>45476</v>
      </c>
      <c r="U174" s="14"/>
      <c r="V174" s="360"/>
      <c r="W174" s="360"/>
    </row>
    <row r="175" spans="1:23" ht="15.75" hidden="1" customHeight="1" x14ac:dyDescent="0.25">
      <c r="A175" s="483">
        <v>23042024</v>
      </c>
      <c r="B175" t="s">
        <v>614</v>
      </c>
      <c r="C175" s="803">
        <v>45405</v>
      </c>
      <c r="D175" s="102"/>
      <c r="E175" s="102"/>
      <c r="F175" s="726" t="s">
        <v>143</v>
      </c>
      <c r="G175" s="362" t="s">
        <v>4082</v>
      </c>
      <c r="H175" s="362"/>
      <c r="I175" s="1590"/>
      <c r="J175" s="1021">
        <v>43612.800000000003</v>
      </c>
      <c r="K175" s="810">
        <f t="shared" si="5"/>
        <v>38379.264000000003</v>
      </c>
      <c r="L175" s="362" t="s">
        <v>17</v>
      </c>
      <c r="M175" s="803">
        <v>45476</v>
      </c>
      <c r="U175" s="14" t="s">
        <v>1506</v>
      </c>
      <c r="V175" s="360"/>
      <c r="W175" s="360"/>
    </row>
    <row r="176" spans="1:23" hidden="1" x14ac:dyDescent="0.25">
      <c r="A176" s="483">
        <v>24042024</v>
      </c>
      <c r="B176" t="s">
        <v>614</v>
      </c>
      <c r="C176" s="803">
        <v>45406</v>
      </c>
      <c r="D176" s="102"/>
      <c r="E176" s="102"/>
      <c r="F176" s="726" t="s">
        <v>294</v>
      </c>
      <c r="G176" s="362" t="s">
        <v>4105</v>
      </c>
      <c r="H176" s="362"/>
      <c r="I176" s="1590"/>
      <c r="J176" s="1021">
        <v>44651.199999999997</v>
      </c>
      <c r="K176" s="810">
        <f t="shared" si="5"/>
        <v>39293.055999999997</v>
      </c>
      <c r="L176" s="362" t="s">
        <v>17</v>
      </c>
      <c r="M176" s="803">
        <v>45476</v>
      </c>
      <c r="U176" s="14" t="s">
        <v>1506</v>
      </c>
      <c r="V176" s="360"/>
      <c r="W176" s="360"/>
    </row>
    <row r="177" spans="1:23" hidden="1" x14ac:dyDescent="0.25">
      <c r="A177" s="483">
        <v>25042024</v>
      </c>
      <c r="B177" t="s">
        <v>614</v>
      </c>
      <c r="C177" s="803">
        <v>45407</v>
      </c>
      <c r="D177" s="803"/>
      <c r="E177" s="803"/>
      <c r="F177" s="726" t="s">
        <v>285</v>
      </c>
      <c r="G177" s="362" t="s">
        <v>4106</v>
      </c>
      <c r="H177" s="102"/>
      <c r="I177" s="1590"/>
      <c r="J177" s="1021">
        <v>51920</v>
      </c>
      <c r="K177" s="810">
        <f t="shared" si="5"/>
        <v>45689.599999999999</v>
      </c>
      <c r="L177" s="362" t="s">
        <v>17</v>
      </c>
      <c r="M177" s="803">
        <v>45476</v>
      </c>
      <c r="U177" s="14" t="s">
        <v>4022</v>
      </c>
      <c r="V177" s="360">
        <v>0.85069444444444442</v>
      </c>
      <c r="W177" s="360">
        <v>6.7361111111111108E-2</v>
      </c>
    </row>
    <row r="178" spans="1:23" hidden="1" x14ac:dyDescent="0.25">
      <c r="A178" s="483">
        <v>26042024</v>
      </c>
      <c r="B178" t="s">
        <v>614</v>
      </c>
      <c r="C178" s="803">
        <v>45408</v>
      </c>
      <c r="D178" s="803"/>
      <c r="E178" s="803"/>
      <c r="F178" s="726" t="s">
        <v>68</v>
      </c>
      <c r="G178" s="362" t="s">
        <v>4107</v>
      </c>
      <c r="H178" s="102"/>
      <c r="I178" s="1590"/>
      <c r="J178" s="1021">
        <v>49843.199999999997</v>
      </c>
      <c r="K178" s="810">
        <f t="shared" si="5"/>
        <v>43862.015999999996</v>
      </c>
      <c r="L178" s="362" t="s">
        <v>17</v>
      </c>
      <c r="M178" s="803">
        <v>45476</v>
      </c>
      <c r="U178" s="14" t="s">
        <v>1506</v>
      </c>
      <c r="V178" s="360">
        <v>0.65486111111111112</v>
      </c>
      <c r="W178" s="360">
        <v>0.93402777777777779</v>
      </c>
    </row>
    <row r="179" spans="1:23" hidden="1" x14ac:dyDescent="0.25">
      <c r="A179" s="483">
        <v>27042024</v>
      </c>
      <c r="B179" t="s">
        <v>614</v>
      </c>
      <c r="C179" s="803">
        <v>45409</v>
      </c>
      <c r="D179" s="803"/>
      <c r="E179" s="803"/>
      <c r="F179" s="726" t="s">
        <v>285</v>
      </c>
      <c r="G179" s="362" t="s">
        <v>4108</v>
      </c>
      <c r="H179" s="102"/>
      <c r="I179" s="1590"/>
      <c r="J179" s="1021">
        <v>51920</v>
      </c>
      <c r="K179" s="810">
        <f t="shared" si="5"/>
        <v>45689.599999999999</v>
      </c>
      <c r="L179" s="362" t="s">
        <v>17</v>
      </c>
      <c r="M179" s="803">
        <v>45476</v>
      </c>
      <c r="U179" s="14" t="s">
        <v>4094</v>
      </c>
      <c r="V179" s="360">
        <v>0.60416666666666663</v>
      </c>
      <c r="W179" s="360">
        <v>0.83611111111111114</v>
      </c>
    </row>
    <row r="180" spans="1:23" hidden="1" x14ac:dyDescent="0.25">
      <c r="A180" s="509">
        <v>2052024</v>
      </c>
      <c r="B180" t="s">
        <v>614</v>
      </c>
      <c r="C180" s="803">
        <v>45414</v>
      </c>
      <c r="D180" s="803"/>
      <c r="E180" s="803"/>
      <c r="F180" s="726" t="s">
        <v>687</v>
      </c>
      <c r="G180" s="362" t="s">
        <v>4109</v>
      </c>
      <c r="H180" s="726"/>
      <c r="I180" s="1590"/>
      <c r="J180" s="1020">
        <v>31152</v>
      </c>
      <c r="K180" s="810">
        <f t="shared" si="5"/>
        <v>27413.759999999998</v>
      </c>
      <c r="L180" s="362" t="s">
        <v>17</v>
      </c>
      <c r="M180" s="803">
        <v>45476</v>
      </c>
      <c r="N180" s="251"/>
      <c r="U180" s="14" t="s">
        <v>3463</v>
      </c>
      <c r="V180" s="360">
        <v>0.47569444444444442</v>
      </c>
      <c r="W180" s="360">
        <v>0.66319444444444442</v>
      </c>
    </row>
    <row r="181" spans="1:23" hidden="1" x14ac:dyDescent="0.25">
      <c r="A181" s="509">
        <v>4052024</v>
      </c>
      <c r="B181" t="s">
        <v>614</v>
      </c>
      <c r="C181" s="803">
        <v>45416</v>
      </c>
      <c r="D181" s="803"/>
      <c r="E181" s="803"/>
      <c r="F181" s="726" t="s">
        <v>2008</v>
      </c>
      <c r="G181" s="362" t="s">
        <v>4110</v>
      </c>
      <c r="H181" s="726"/>
      <c r="I181" s="1590"/>
      <c r="J181" s="1021">
        <v>55035.199999999997</v>
      </c>
      <c r="K181" s="810">
        <f t="shared" si="5"/>
        <v>48430.975999999995</v>
      </c>
      <c r="L181" s="362" t="s">
        <v>17</v>
      </c>
      <c r="M181" s="803">
        <v>45476</v>
      </c>
      <c r="U181" s="14" t="s">
        <v>4095</v>
      </c>
      <c r="V181" s="360">
        <v>0.26597222222222222</v>
      </c>
      <c r="W181" s="360">
        <v>0.54722222222222228</v>
      </c>
    </row>
    <row r="182" spans="1:23" hidden="1" x14ac:dyDescent="0.25">
      <c r="A182" s="509">
        <v>4052024</v>
      </c>
      <c r="B182" t="s">
        <v>614</v>
      </c>
      <c r="C182" s="803">
        <v>45416</v>
      </c>
      <c r="D182" s="803"/>
      <c r="E182" s="803"/>
      <c r="F182" s="726" t="s">
        <v>2029</v>
      </c>
      <c r="G182" s="362" t="s">
        <v>4111</v>
      </c>
      <c r="H182" s="726"/>
      <c r="I182" s="1590"/>
      <c r="J182" s="1020">
        <v>31152</v>
      </c>
      <c r="K182" s="810">
        <f t="shared" si="5"/>
        <v>27413.759999999998</v>
      </c>
      <c r="L182" s="362" t="s">
        <v>17</v>
      </c>
      <c r="M182" s="803">
        <v>45476</v>
      </c>
      <c r="U182" s="14" t="s">
        <v>4097</v>
      </c>
      <c r="V182" s="360">
        <v>0.39374999999999999</v>
      </c>
      <c r="W182" s="360">
        <v>0.55694444444444446</v>
      </c>
    </row>
    <row r="183" spans="1:23" hidden="1" x14ac:dyDescent="0.25">
      <c r="A183" s="483">
        <v>8052024</v>
      </c>
      <c r="B183" t="s">
        <v>614</v>
      </c>
      <c r="C183" s="803">
        <v>45420</v>
      </c>
      <c r="D183" s="102"/>
      <c r="E183" s="102"/>
      <c r="F183" s="726" t="s">
        <v>207</v>
      </c>
      <c r="G183" s="362" t="s">
        <v>4134</v>
      </c>
      <c r="H183" s="362"/>
      <c r="I183" s="1590"/>
      <c r="J183" s="804">
        <v>41536</v>
      </c>
      <c r="K183" s="810">
        <f t="shared" si="5"/>
        <v>36551.68</v>
      </c>
      <c r="L183" s="362" t="s">
        <v>17</v>
      </c>
      <c r="M183" s="803">
        <v>45476</v>
      </c>
      <c r="U183" s="14" t="s">
        <v>4123</v>
      </c>
      <c r="V183" s="360">
        <v>0.27083333333333331</v>
      </c>
      <c r="W183" s="360">
        <v>0.56388888888888888</v>
      </c>
    </row>
    <row r="184" spans="1:23" hidden="1" x14ac:dyDescent="0.25">
      <c r="A184" s="483">
        <v>10052024</v>
      </c>
      <c r="B184" t="s">
        <v>614</v>
      </c>
      <c r="C184" s="803">
        <v>45422</v>
      </c>
      <c r="D184" s="102"/>
      <c r="E184" s="102"/>
      <c r="F184" s="726" t="s">
        <v>143</v>
      </c>
      <c r="G184" s="362" t="s">
        <v>4159</v>
      </c>
      <c r="H184" s="362"/>
      <c r="I184" s="1590"/>
      <c r="J184" s="1021">
        <v>43612.800000000003</v>
      </c>
      <c r="K184" s="810">
        <f t="shared" si="5"/>
        <v>38379.264000000003</v>
      </c>
      <c r="L184" s="362" t="s">
        <v>17</v>
      </c>
      <c r="M184" s="803">
        <v>45476</v>
      </c>
      <c r="U184" s="14" t="s">
        <v>4071</v>
      </c>
      <c r="V184" s="360">
        <v>0.66874999999999996</v>
      </c>
      <c r="W184" s="360">
        <v>0.86458333333333337</v>
      </c>
    </row>
    <row r="185" spans="1:23" hidden="1" x14ac:dyDescent="0.25">
      <c r="A185" s="483">
        <v>15052024</v>
      </c>
      <c r="B185" t="s">
        <v>614</v>
      </c>
      <c r="C185" s="803">
        <v>45427</v>
      </c>
      <c r="D185" s="102"/>
      <c r="E185" s="102"/>
      <c r="F185" s="726" t="s">
        <v>317</v>
      </c>
      <c r="G185" s="362" t="s">
        <v>4170</v>
      </c>
      <c r="H185" s="102"/>
      <c r="I185" s="1590" t="s">
        <v>5081</v>
      </c>
      <c r="J185" s="1020">
        <v>53996.800000000003</v>
      </c>
      <c r="K185" s="810">
        <f t="shared" si="5"/>
        <v>47517.184000000001</v>
      </c>
      <c r="L185" s="362" t="s">
        <v>17</v>
      </c>
      <c r="M185" s="803">
        <v>45504</v>
      </c>
      <c r="U185" s="14" t="s">
        <v>4071</v>
      </c>
      <c r="V185" s="360">
        <v>0.35138888888888892</v>
      </c>
      <c r="W185" s="360"/>
    </row>
    <row r="186" spans="1:23" hidden="1" x14ac:dyDescent="0.25">
      <c r="A186" s="483">
        <v>21052024</v>
      </c>
      <c r="B186" t="s">
        <v>614</v>
      </c>
      <c r="C186" s="803">
        <v>45433</v>
      </c>
      <c r="D186" s="102"/>
      <c r="E186" s="102"/>
      <c r="F186" s="726" t="s">
        <v>236</v>
      </c>
      <c r="G186" s="362" t="s">
        <v>4367</v>
      </c>
      <c r="H186" s="362"/>
      <c r="I186" s="1590"/>
      <c r="J186" s="1021">
        <v>62304</v>
      </c>
      <c r="K186" s="810">
        <f t="shared" si="5"/>
        <v>54827.519999999997</v>
      </c>
      <c r="L186" s="362" t="s">
        <v>17</v>
      </c>
      <c r="M186" s="803">
        <v>45504</v>
      </c>
      <c r="U186" s="14" t="s">
        <v>4139</v>
      </c>
      <c r="V186" s="360">
        <v>0.25347222222222221</v>
      </c>
      <c r="W186" s="360"/>
    </row>
    <row r="187" spans="1:23" hidden="1" x14ac:dyDescent="0.25">
      <c r="A187" s="483">
        <v>25052024</v>
      </c>
      <c r="B187" t="s">
        <v>614</v>
      </c>
      <c r="C187" s="803">
        <v>45437</v>
      </c>
      <c r="D187" s="102"/>
      <c r="E187" s="102"/>
      <c r="F187" s="726" t="s">
        <v>4225</v>
      </c>
      <c r="G187" s="362" t="s">
        <v>4368</v>
      </c>
      <c r="H187" s="362"/>
      <c r="I187" s="1590"/>
      <c r="J187" s="1021">
        <v>62304</v>
      </c>
      <c r="K187" s="810">
        <f t="shared" si="5"/>
        <v>54827.519999999997</v>
      </c>
      <c r="L187" s="362" t="s">
        <v>17</v>
      </c>
      <c r="M187" s="803">
        <v>45504</v>
      </c>
      <c r="U187" s="258" t="s">
        <v>4095</v>
      </c>
      <c r="V187" s="360">
        <v>0.4375</v>
      </c>
      <c r="W187" s="360">
        <v>0.73402777777777783</v>
      </c>
    </row>
    <row r="188" spans="1:23" hidden="1" x14ac:dyDescent="0.25">
      <c r="A188" s="483">
        <v>25052024</v>
      </c>
      <c r="B188" t="s">
        <v>614</v>
      </c>
      <c r="C188" s="803">
        <v>45437</v>
      </c>
      <c r="D188" s="102"/>
      <c r="E188" s="102"/>
      <c r="F188" s="726" t="s">
        <v>106</v>
      </c>
      <c r="G188" s="362" t="s">
        <v>4369</v>
      </c>
      <c r="H188" s="362"/>
      <c r="I188" s="1590"/>
      <c r="J188" s="1021">
        <v>31152</v>
      </c>
      <c r="K188" s="810">
        <f t="shared" si="5"/>
        <v>27413.759999999998</v>
      </c>
      <c r="L188" s="362" t="s">
        <v>17</v>
      </c>
      <c r="M188" s="803">
        <v>45504</v>
      </c>
      <c r="U188" s="14" t="s">
        <v>1506</v>
      </c>
      <c r="V188" s="360">
        <v>0.25416666666666665</v>
      </c>
      <c r="W188" s="360">
        <v>0.4513888888888889</v>
      </c>
    </row>
    <row r="189" spans="1:23" hidden="1" x14ac:dyDescent="0.25">
      <c r="A189" s="509" t="s">
        <v>4247</v>
      </c>
      <c r="B189" t="s">
        <v>614</v>
      </c>
      <c r="C189" s="803">
        <v>45444</v>
      </c>
      <c r="D189" s="102"/>
      <c r="E189" s="102"/>
      <c r="F189" s="726" t="s">
        <v>4248</v>
      </c>
      <c r="G189" s="362" t="s">
        <v>4370</v>
      </c>
      <c r="H189" s="362"/>
      <c r="I189" s="1590"/>
      <c r="J189" s="1021">
        <v>55035.199999999997</v>
      </c>
      <c r="K189" s="810">
        <f t="shared" ref="K189:K220" si="6">+J189*0.88</f>
        <v>48430.975999999995</v>
      </c>
      <c r="L189" s="362" t="s">
        <v>17</v>
      </c>
      <c r="M189" s="803">
        <v>45504</v>
      </c>
      <c r="U189" s="14" t="s">
        <v>2380</v>
      </c>
      <c r="V189" s="360">
        <v>0.2673611111111111</v>
      </c>
      <c r="W189" s="360">
        <v>0.56944444444444442</v>
      </c>
    </row>
    <row r="190" spans="1:23" hidden="1" x14ac:dyDescent="0.25">
      <c r="A190" s="509" t="s">
        <v>4246</v>
      </c>
      <c r="B190" t="s">
        <v>614</v>
      </c>
      <c r="C190" s="803">
        <v>45445</v>
      </c>
      <c r="D190" s="102"/>
      <c r="E190" s="102"/>
      <c r="F190" s="726" t="s">
        <v>143</v>
      </c>
      <c r="G190" s="362" t="s">
        <v>4371</v>
      </c>
      <c r="H190" s="362"/>
      <c r="I190" s="1590"/>
      <c r="J190" s="1021">
        <v>43612.800000000003</v>
      </c>
      <c r="K190" s="810">
        <f t="shared" si="6"/>
        <v>38379.264000000003</v>
      </c>
      <c r="L190" s="362" t="s">
        <v>17</v>
      </c>
      <c r="M190" s="803">
        <v>45504</v>
      </c>
      <c r="U190" s="14" t="s">
        <v>4138</v>
      </c>
      <c r="V190" s="360">
        <v>0.41944444444444445</v>
      </c>
      <c r="W190" s="360">
        <v>0.60972222222222217</v>
      </c>
    </row>
    <row r="191" spans="1:23" hidden="1" x14ac:dyDescent="0.25">
      <c r="A191" s="509" t="s">
        <v>4265</v>
      </c>
      <c r="B191" t="s">
        <v>614</v>
      </c>
      <c r="C191" s="803">
        <v>45451</v>
      </c>
      <c r="D191" s="102"/>
      <c r="E191" s="102"/>
      <c r="F191" s="726" t="s">
        <v>1985</v>
      </c>
      <c r="G191" s="362" t="s">
        <v>4372</v>
      </c>
      <c r="H191" s="102"/>
      <c r="I191" s="1590"/>
      <c r="J191" s="1021">
        <v>62304</v>
      </c>
      <c r="K191" s="810">
        <f t="shared" si="6"/>
        <v>54827.519999999997</v>
      </c>
      <c r="L191" s="362" t="s">
        <v>17</v>
      </c>
      <c r="M191" s="803">
        <v>45504</v>
      </c>
      <c r="U191" s="14" t="s">
        <v>2050</v>
      </c>
      <c r="V191" s="360">
        <v>0.37291666666666662</v>
      </c>
      <c r="W191" s="360">
        <v>0.65486111111111112</v>
      </c>
    </row>
    <row r="192" spans="1:23" hidden="1" x14ac:dyDescent="0.25">
      <c r="A192" s="509">
        <v>14062024</v>
      </c>
      <c r="B192" t="s">
        <v>614</v>
      </c>
      <c r="C192" s="803">
        <v>45457</v>
      </c>
      <c r="D192" s="102"/>
      <c r="E192" s="102"/>
      <c r="F192" s="726" t="s">
        <v>563</v>
      </c>
      <c r="G192" s="362" t="s">
        <v>4373</v>
      </c>
      <c r="H192" s="102"/>
      <c r="I192" s="1590"/>
      <c r="J192" s="1020">
        <v>33228.800000000003</v>
      </c>
      <c r="K192" s="810">
        <f t="shared" si="6"/>
        <v>29241.344000000001</v>
      </c>
      <c r="L192" s="362" t="s">
        <v>17</v>
      </c>
      <c r="M192" s="803">
        <v>45504</v>
      </c>
      <c r="U192" s="14" t="s">
        <v>4070</v>
      </c>
      <c r="V192" s="360">
        <v>0.3743055555555555</v>
      </c>
      <c r="W192" s="360"/>
    </row>
    <row r="193" spans="1:23" hidden="1" x14ac:dyDescent="0.25">
      <c r="A193" s="509">
        <v>18062024</v>
      </c>
      <c r="B193" t="s">
        <v>614</v>
      </c>
      <c r="C193" s="803">
        <v>45461</v>
      </c>
      <c r="D193" s="102"/>
      <c r="E193" s="102"/>
      <c r="F193" s="726" t="s">
        <v>317</v>
      </c>
      <c r="G193" s="362" t="s">
        <v>4375</v>
      </c>
      <c r="H193" s="102"/>
      <c r="I193" s="1590" t="s">
        <v>4671</v>
      </c>
      <c r="J193" s="1020">
        <v>53996.800000000003</v>
      </c>
      <c r="K193" s="810">
        <f t="shared" si="6"/>
        <v>47517.184000000001</v>
      </c>
      <c r="L193" s="804" t="s">
        <v>17</v>
      </c>
      <c r="M193" s="803">
        <v>45544</v>
      </c>
      <c r="U193" s="14" t="s">
        <v>4139</v>
      </c>
      <c r="V193" s="360">
        <v>0.53263888888888888</v>
      </c>
      <c r="W193" s="360"/>
    </row>
    <row r="194" spans="1:23" hidden="1" x14ac:dyDescent="0.25">
      <c r="A194" s="509">
        <v>19062024</v>
      </c>
      <c r="B194" t="s">
        <v>614</v>
      </c>
      <c r="C194" s="803">
        <v>45462</v>
      </c>
      <c r="D194" s="102"/>
      <c r="E194" s="102"/>
      <c r="F194" s="726" t="s">
        <v>143</v>
      </c>
      <c r="G194" s="362" t="s">
        <v>4536</v>
      </c>
      <c r="H194" s="362"/>
      <c r="I194" s="1590"/>
      <c r="J194" s="1021">
        <v>43612.800000000003</v>
      </c>
      <c r="K194" s="810">
        <f t="shared" si="6"/>
        <v>38379.264000000003</v>
      </c>
      <c r="L194" s="804" t="s">
        <v>17</v>
      </c>
      <c r="M194" s="803">
        <v>45544</v>
      </c>
      <c r="U194" s="14" t="s">
        <v>4376</v>
      </c>
      <c r="V194" s="360"/>
      <c r="W194" s="360"/>
    </row>
    <row r="195" spans="1:23" hidden="1" x14ac:dyDescent="0.25">
      <c r="A195" s="509">
        <v>20062024</v>
      </c>
      <c r="B195" t="s">
        <v>614</v>
      </c>
      <c r="C195" s="803">
        <v>45463</v>
      </c>
      <c r="D195" s="102"/>
      <c r="E195" s="102"/>
      <c r="F195" s="726" t="s">
        <v>113</v>
      </c>
      <c r="G195" s="102" t="s">
        <v>4537</v>
      </c>
      <c r="H195" s="102"/>
      <c r="I195" s="1590"/>
      <c r="J195" s="1020">
        <v>44651.199999999997</v>
      </c>
      <c r="K195" s="810">
        <f t="shared" si="6"/>
        <v>39293.055999999997</v>
      </c>
      <c r="L195" s="804" t="s">
        <v>17</v>
      </c>
      <c r="M195" s="803">
        <v>45544</v>
      </c>
      <c r="U195" s="14" t="s">
        <v>4377</v>
      </c>
      <c r="V195" s="360">
        <v>0.33611111111111108</v>
      </c>
      <c r="W195" s="360"/>
    </row>
    <row r="196" spans="1:23" hidden="1" x14ac:dyDescent="0.25">
      <c r="A196" s="509">
        <v>21062024</v>
      </c>
      <c r="B196" t="s">
        <v>614</v>
      </c>
      <c r="C196" s="803">
        <v>45464</v>
      </c>
      <c r="D196" s="102"/>
      <c r="E196" s="102"/>
      <c r="F196" s="726" t="s">
        <v>236</v>
      </c>
      <c r="G196" s="362" t="s">
        <v>4538</v>
      </c>
      <c r="H196" s="102"/>
      <c r="I196" s="1590"/>
      <c r="J196" s="1020">
        <v>62304</v>
      </c>
      <c r="K196" s="810">
        <f t="shared" si="6"/>
        <v>54827.519999999997</v>
      </c>
      <c r="L196" s="804" t="s">
        <v>17</v>
      </c>
      <c r="M196" s="803">
        <v>45544</v>
      </c>
      <c r="U196" s="14" t="s">
        <v>4376</v>
      </c>
      <c r="V196" s="360"/>
      <c r="W196" s="360"/>
    </row>
    <row r="197" spans="1:23" hidden="1" x14ac:dyDescent="0.25">
      <c r="A197" s="509">
        <v>23062024</v>
      </c>
      <c r="B197" t="s">
        <v>614</v>
      </c>
      <c r="C197" s="803">
        <v>45466</v>
      </c>
      <c r="D197" s="102"/>
      <c r="E197" s="102"/>
      <c r="F197" s="726" t="s">
        <v>861</v>
      </c>
      <c r="G197" s="362" t="s">
        <v>4539</v>
      </c>
      <c r="H197" s="102"/>
      <c r="I197" s="1590"/>
      <c r="J197" s="1020">
        <v>39459.199999999997</v>
      </c>
      <c r="K197" s="810">
        <f t="shared" si="6"/>
        <v>34724.095999999998</v>
      </c>
      <c r="L197" s="804" t="s">
        <v>17</v>
      </c>
      <c r="M197" s="803">
        <v>45544</v>
      </c>
      <c r="U197" s="14" t="s">
        <v>3151</v>
      </c>
      <c r="V197" s="360">
        <v>11.18</v>
      </c>
      <c r="W197" s="360">
        <v>0.69513888888888886</v>
      </c>
    </row>
    <row r="198" spans="1:23" hidden="1" x14ac:dyDescent="0.25">
      <c r="A198" s="509">
        <v>25062024</v>
      </c>
      <c r="B198" t="s">
        <v>614</v>
      </c>
      <c r="C198" s="803">
        <v>45468</v>
      </c>
      <c r="D198" s="102"/>
      <c r="E198" s="102"/>
      <c r="F198" s="726" t="s">
        <v>687</v>
      </c>
      <c r="G198" s="362" t="s">
        <v>4542</v>
      </c>
      <c r="H198" s="102"/>
      <c r="I198" s="1590"/>
      <c r="J198" s="1020">
        <v>31152</v>
      </c>
      <c r="K198" s="810">
        <f t="shared" si="6"/>
        <v>27413.759999999998</v>
      </c>
      <c r="L198" s="804" t="s">
        <v>17</v>
      </c>
      <c r="M198" s="803">
        <v>45544</v>
      </c>
      <c r="U198" s="14" t="s">
        <v>4365</v>
      </c>
      <c r="V198" s="360"/>
      <c r="W198" s="360"/>
    </row>
    <row r="199" spans="1:23" hidden="1" x14ac:dyDescent="0.25">
      <c r="A199" s="509">
        <v>30062024</v>
      </c>
      <c r="B199" t="s">
        <v>614</v>
      </c>
      <c r="C199" s="803">
        <v>45473</v>
      </c>
      <c r="D199" s="102"/>
      <c r="E199" s="102"/>
      <c r="F199" s="726" t="s">
        <v>1985</v>
      </c>
      <c r="G199" s="362" t="s">
        <v>4543</v>
      </c>
      <c r="H199" s="102"/>
      <c r="I199" s="1590"/>
      <c r="J199" s="1020">
        <v>62304</v>
      </c>
      <c r="K199" s="810">
        <f t="shared" si="6"/>
        <v>54827.519999999997</v>
      </c>
      <c r="L199" s="804" t="s">
        <v>17</v>
      </c>
      <c r="M199" s="803">
        <v>45544</v>
      </c>
      <c r="U199" s="14" t="s">
        <v>1506</v>
      </c>
      <c r="V199" s="360">
        <v>0.30416666666666664</v>
      </c>
      <c r="W199" s="360">
        <v>0.6333333333333333</v>
      </c>
    </row>
    <row r="200" spans="1:23" hidden="1" x14ac:dyDescent="0.25">
      <c r="A200" s="483" t="s">
        <v>4436</v>
      </c>
      <c r="B200" t="s">
        <v>614</v>
      </c>
      <c r="C200" s="803">
        <v>45475</v>
      </c>
      <c r="D200" s="102"/>
      <c r="E200" s="102"/>
      <c r="F200" s="726" t="s">
        <v>68</v>
      </c>
      <c r="G200" s="362" t="s">
        <v>4544</v>
      </c>
      <c r="H200" s="102"/>
      <c r="I200" s="1590"/>
      <c r="J200" s="805">
        <v>49843.199999999997</v>
      </c>
      <c r="K200" s="810">
        <f t="shared" si="6"/>
        <v>43862.015999999996</v>
      </c>
      <c r="L200" s="804" t="s">
        <v>17</v>
      </c>
      <c r="M200" s="803">
        <v>45544</v>
      </c>
      <c r="U200" s="14" t="s">
        <v>1506</v>
      </c>
      <c r="V200" s="30"/>
      <c r="W200" s="30"/>
    </row>
    <row r="201" spans="1:23" hidden="1" x14ac:dyDescent="0.25">
      <c r="A201" s="483" t="s">
        <v>4459</v>
      </c>
      <c r="B201" t="s">
        <v>614</v>
      </c>
      <c r="C201" s="803">
        <v>45477</v>
      </c>
      <c r="D201" s="102"/>
      <c r="E201" s="102"/>
      <c r="F201" s="726" t="s">
        <v>545</v>
      </c>
      <c r="G201" s="362" t="s">
        <v>4545</v>
      </c>
      <c r="H201" s="102"/>
      <c r="I201" s="1590"/>
      <c r="J201" s="805">
        <v>37382.400000000001</v>
      </c>
      <c r="K201" s="810">
        <f t="shared" si="6"/>
        <v>32896.512000000002</v>
      </c>
      <c r="L201" s="804" t="s">
        <v>17</v>
      </c>
      <c r="M201" s="803">
        <v>45544</v>
      </c>
      <c r="U201" s="14"/>
      <c r="V201" s="30"/>
      <c r="W201" s="30"/>
    </row>
    <row r="202" spans="1:23" hidden="1" x14ac:dyDescent="0.25">
      <c r="A202" s="483" t="s">
        <v>4459</v>
      </c>
      <c r="B202" t="s">
        <v>614</v>
      </c>
      <c r="C202" s="803">
        <v>45477</v>
      </c>
      <c r="D202" s="102"/>
      <c r="E202" s="102"/>
      <c r="F202" s="726" t="s">
        <v>1985</v>
      </c>
      <c r="G202" s="362" t="s">
        <v>4546</v>
      </c>
      <c r="H202" s="102"/>
      <c r="I202" s="1590"/>
      <c r="J202" s="805">
        <v>62304</v>
      </c>
      <c r="K202" s="810">
        <f t="shared" si="6"/>
        <v>54827.519999999997</v>
      </c>
      <c r="L202" s="804" t="s">
        <v>17</v>
      </c>
      <c r="M202" s="803">
        <v>45544</v>
      </c>
      <c r="U202" s="14"/>
      <c r="V202" s="30"/>
      <c r="W202" s="30"/>
    </row>
    <row r="203" spans="1:23" hidden="1" x14ac:dyDescent="0.25">
      <c r="A203" s="483" t="s">
        <v>4474</v>
      </c>
      <c r="B203" t="s">
        <v>614</v>
      </c>
      <c r="C203" s="803">
        <v>45479</v>
      </c>
      <c r="D203" s="102"/>
      <c r="E203" s="102"/>
      <c r="F203" s="726" t="s">
        <v>236</v>
      </c>
      <c r="G203" s="362" t="s">
        <v>4547</v>
      </c>
      <c r="H203" s="102"/>
      <c r="I203" s="1590"/>
      <c r="J203" s="805">
        <v>62304</v>
      </c>
      <c r="K203" s="810">
        <f t="shared" si="6"/>
        <v>54827.519999999997</v>
      </c>
      <c r="L203" s="804" t="s">
        <v>17</v>
      </c>
      <c r="M203" s="803">
        <v>45544</v>
      </c>
      <c r="U203" s="14" t="s">
        <v>3408</v>
      </c>
      <c r="V203" s="360">
        <v>0.52638888888888891</v>
      </c>
      <c r="W203" s="30">
        <v>19.37</v>
      </c>
    </row>
    <row r="204" spans="1:23" hidden="1" x14ac:dyDescent="0.25">
      <c r="A204" s="483" t="s">
        <v>4483</v>
      </c>
      <c r="B204" t="s">
        <v>614</v>
      </c>
      <c r="C204" s="803">
        <v>45481</v>
      </c>
      <c r="D204" s="102"/>
      <c r="E204" s="102"/>
      <c r="F204" s="726" t="s">
        <v>317</v>
      </c>
      <c r="G204" s="362" t="s">
        <v>4548</v>
      </c>
      <c r="H204" s="102"/>
      <c r="I204" s="1590"/>
      <c r="J204" s="805">
        <v>53996.800000000003</v>
      </c>
      <c r="K204" s="810">
        <f t="shared" si="6"/>
        <v>47517.184000000001</v>
      </c>
      <c r="L204" s="804" t="s">
        <v>17</v>
      </c>
      <c r="M204" s="803">
        <v>45544</v>
      </c>
      <c r="U204" s="14" t="s">
        <v>3408</v>
      </c>
      <c r="V204" s="360">
        <v>0.30277777777777776</v>
      </c>
      <c r="W204" s="30"/>
    </row>
    <row r="205" spans="1:23" hidden="1" x14ac:dyDescent="0.25">
      <c r="A205" s="483" t="s">
        <v>4508</v>
      </c>
      <c r="B205" t="s">
        <v>614</v>
      </c>
      <c r="C205" s="803">
        <v>45485</v>
      </c>
      <c r="D205" s="102"/>
      <c r="E205" s="102"/>
      <c r="F205" s="726" t="s">
        <v>68</v>
      </c>
      <c r="G205" s="362" t="s">
        <v>4549</v>
      </c>
      <c r="H205" s="102"/>
      <c r="I205" s="1590"/>
      <c r="J205" s="805">
        <v>49843.199999999997</v>
      </c>
      <c r="K205" s="810">
        <f t="shared" si="6"/>
        <v>43862.015999999996</v>
      </c>
      <c r="L205" s="804" t="s">
        <v>17</v>
      </c>
      <c r="M205" s="803">
        <v>45544</v>
      </c>
      <c r="U205" s="14" t="s">
        <v>3572</v>
      </c>
      <c r="V205" s="360"/>
      <c r="W205" s="30"/>
    </row>
    <row r="206" spans="1:23" hidden="1" x14ac:dyDescent="0.25">
      <c r="A206" s="483">
        <v>19072024</v>
      </c>
      <c r="B206" t="s">
        <v>614</v>
      </c>
      <c r="C206" s="803">
        <v>45492</v>
      </c>
      <c r="D206" s="102"/>
      <c r="E206" s="102"/>
      <c r="F206" s="726" t="s">
        <v>285</v>
      </c>
      <c r="G206" s="102" t="s">
        <v>4656</v>
      </c>
      <c r="H206" s="102"/>
      <c r="I206" s="1590" t="s">
        <v>4672</v>
      </c>
      <c r="J206" s="805">
        <v>51920</v>
      </c>
      <c r="K206" s="810">
        <f t="shared" si="6"/>
        <v>45689.599999999999</v>
      </c>
      <c r="L206" s="362" t="s">
        <v>17</v>
      </c>
      <c r="M206" s="803">
        <v>45561</v>
      </c>
      <c r="U206" s="14" t="s">
        <v>4396</v>
      </c>
      <c r="V206" s="360"/>
      <c r="W206" s="360"/>
    </row>
    <row r="207" spans="1:23" hidden="1" x14ac:dyDescent="0.25">
      <c r="A207" s="483">
        <v>27072024</v>
      </c>
      <c r="B207" t="s">
        <v>614</v>
      </c>
      <c r="C207" s="803">
        <v>45500</v>
      </c>
      <c r="D207" s="102"/>
      <c r="E207" s="102"/>
      <c r="F207" s="726" t="s">
        <v>68</v>
      </c>
      <c r="G207" s="102" t="s">
        <v>4657</v>
      </c>
      <c r="H207" s="102"/>
      <c r="I207" s="1590"/>
      <c r="J207" s="805">
        <v>49843.199999999997</v>
      </c>
      <c r="K207" s="810">
        <f t="shared" si="6"/>
        <v>43862.015999999996</v>
      </c>
      <c r="L207" s="362" t="s">
        <v>17</v>
      </c>
      <c r="M207" s="803">
        <v>45561</v>
      </c>
      <c r="U207" s="14" t="s">
        <v>4365</v>
      </c>
      <c r="V207" s="360">
        <v>0.49444444444444446</v>
      </c>
      <c r="W207" s="360">
        <v>0.77361111111111114</v>
      </c>
    </row>
    <row r="208" spans="1:23" hidden="1" x14ac:dyDescent="0.25">
      <c r="A208" s="483">
        <v>30072024</v>
      </c>
      <c r="B208" t="s">
        <v>614</v>
      </c>
      <c r="C208" s="803">
        <v>45503</v>
      </c>
      <c r="D208" s="102"/>
      <c r="E208" s="102"/>
      <c r="F208" s="726" t="s">
        <v>4562</v>
      </c>
      <c r="G208" s="102" t="s">
        <v>4658</v>
      </c>
      <c r="H208" s="102"/>
      <c r="I208" s="1590"/>
      <c r="J208" s="805">
        <v>31152</v>
      </c>
      <c r="K208" s="810">
        <f t="shared" si="6"/>
        <v>27413.759999999998</v>
      </c>
      <c r="L208" s="362" t="s">
        <v>17</v>
      </c>
      <c r="M208" s="803">
        <v>45561</v>
      </c>
      <c r="U208" s="14" t="s">
        <v>4277</v>
      </c>
      <c r="V208" s="360">
        <v>0.33749999999999997</v>
      </c>
      <c r="W208" s="360"/>
    </row>
    <row r="209" spans="1:23" hidden="1" x14ac:dyDescent="0.25">
      <c r="A209" s="95" t="s">
        <v>4576</v>
      </c>
      <c r="B209" t="s">
        <v>318</v>
      </c>
      <c r="C209" s="803">
        <v>45505</v>
      </c>
      <c r="D209" s="102"/>
      <c r="E209" s="102"/>
      <c r="F209" s="726" t="s">
        <v>143</v>
      </c>
      <c r="G209" s="102" t="s">
        <v>4659</v>
      </c>
      <c r="H209" s="102"/>
      <c r="I209" s="1590"/>
      <c r="J209" s="805">
        <v>43612.800000000003</v>
      </c>
      <c r="K209" s="810">
        <f t="shared" si="6"/>
        <v>38379.264000000003</v>
      </c>
      <c r="L209" s="362" t="s">
        <v>17</v>
      </c>
      <c r="M209" s="803">
        <v>45561</v>
      </c>
      <c r="U209" t="s">
        <v>4097</v>
      </c>
      <c r="V209" s="360">
        <v>0.24722222222222223</v>
      </c>
      <c r="W209" s="360">
        <v>0.43611111111111112</v>
      </c>
    </row>
    <row r="210" spans="1:23" hidden="1" x14ac:dyDescent="0.25">
      <c r="A210" s="95" t="s">
        <v>4576</v>
      </c>
      <c r="B210" t="s">
        <v>318</v>
      </c>
      <c r="C210" s="803">
        <v>45505</v>
      </c>
      <c r="D210" s="102"/>
      <c r="E210" s="102"/>
      <c r="F210" s="726" t="s">
        <v>4562</v>
      </c>
      <c r="G210" s="102" t="s">
        <v>4660</v>
      </c>
      <c r="H210" s="102"/>
      <c r="I210" s="1590"/>
      <c r="J210" s="805">
        <v>31152</v>
      </c>
      <c r="K210" s="810">
        <f t="shared" si="6"/>
        <v>27413.759999999998</v>
      </c>
      <c r="L210" s="362" t="s">
        <v>17</v>
      </c>
      <c r="M210" s="803">
        <v>45561</v>
      </c>
      <c r="U210" t="s">
        <v>4097</v>
      </c>
      <c r="V210" s="360">
        <v>0.48194444444444445</v>
      </c>
      <c r="W210" s="30"/>
    </row>
    <row r="211" spans="1:23" hidden="1" x14ac:dyDescent="0.25">
      <c r="A211" s="95">
        <v>15082024</v>
      </c>
      <c r="B211" t="s">
        <v>318</v>
      </c>
      <c r="C211" s="803">
        <v>45519</v>
      </c>
      <c r="D211" s="102"/>
      <c r="E211" s="102"/>
      <c r="F211" s="726" t="s">
        <v>113</v>
      </c>
      <c r="G211" s="362" t="s">
        <v>4661</v>
      </c>
      <c r="H211" s="362"/>
      <c r="I211" s="1590" t="s">
        <v>4847</v>
      </c>
      <c r="J211" s="804">
        <v>44651.199999999997</v>
      </c>
      <c r="K211" s="810">
        <f t="shared" si="6"/>
        <v>39293.055999999997</v>
      </c>
      <c r="L211" s="362" t="s">
        <v>17</v>
      </c>
      <c r="M211" s="803">
        <v>45583</v>
      </c>
      <c r="U211" t="s">
        <v>4277</v>
      </c>
      <c r="V211" s="360">
        <v>0.34166666666666662</v>
      </c>
      <c r="W211" s="360"/>
    </row>
    <row r="212" spans="1:23" hidden="1" x14ac:dyDescent="0.25">
      <c r="A212" s="95">
        <v>18082024</v>
      </c>
      <c r="B212" t="s">
        <v>318</v>
      </c>
      <c r="C212" s="803">
        <v>45522</v>
      </c>
      <c r="D212" s="102"/>
      <c r="E212" s="102"/>
      <c r="F212" s="726" t="s">
        <v>687</v>
      </c>
      <c r="G212" s="362" t="s">
        <v>4775</v>
      </c>
      <c r="H212" s="102"/>
      <c r="I212" s="1590"/>
      <c r="J212" s="805">
        <v>31152</v>
      </c>
      <c r="K212" s="810">
        <f t="shared" si="6"/>
        <v>27413.759999999998</v>
      </c>
      <c r="L212" s="362" t="s">
        <v>17</v>
      </c>
      <c r="M212" s="803">
        <v>45583</v>
      </c>
      <c r="U212" t="s">
        <v>4022</v>
      </c>
      <c r="V212" s="360">
        <v>0.49444444444444446</v>
      </c>
      <c r="W212" s="360">
        <v>0.65069444444444446</v>
      </c>
    </row>
    <row r="213" spans="1:23" hidden="1" x14ac:dyDescent="0.25">
      <c r="A213" s="95">
        <v>28082024</v>
      </c>
      <c r="B213" t="s">
        <v>318</v>
      </c>
      <c r="C213" s="803">
        <v>45532</v>
      </c>
      <c r="D213" s="102"/>
      <c r="E213" s="102"/>
      <c r="F213" s="726" t="s">
        <v>285</v>
      </c>
      <c r="G213" s="362" t="s">
        <v>4776</v>
      </c>
      <c r="H213" s="102"/>
      <c r="I213" s="1590"/>
      <c r="J213" s="805">
        <v>51920</v>
      </c>
      <c r="K213" s="810">
        <f t="shared" si="6"/>
        <v>45689.599999999999</v>
      </c>
      <c r="L213" s="362" t="s">
        <v>17</v>
      </c>
      <c r="M213" s="803">
        <v>45583</v>
      </c>
      <c r="U213" t="s">
        <v>4365</v>
      </c>
      <c r="V213" s="360">
        <v>0.47569444444444442</v>
      </c>
      <c r="W213" s="360"/>
    </row>
    <row r="214" spans="1:23" hidden="1" x14ac:dyDescent="0.25">
      <c r="A214" s="95">
        <v>28082024</v>
      </c>
      <c r="B214" t="s">
        <v>318</v>
      </c>
      <c r="C214" s="803">
        <v>45532</v>
      </c>
      <c r="D214" s="102"/>
      <c r="E214" s="102"/>
      <c r="F214" s="726" t="s">
        <v>236</v>
      </c>
      <c r="G214" s="362" t="s">
        <v>4777</v>
      </c>
      <c r="H214" s="102"/>
      <c r="I214" s="1590"/>
      <c r="J214" s="805">
        <v>62304</v>
      </c>
      <c r="K214" s="810">
        <f t="shared" si="6"/>
        <v>54827.519999999997</v>
      </c>
      <c r="L214" s="362" t="s">
        <v>17</v>
      </c>
      <c r="M214" s="803">
        <v>45583</v>
      </c>
      <c r="U214" t="s">
        <v>4138</v>
      </c>
      <c r="V214" s="360"/>
      <c r="W214" s="360"/>
    </row>
    <row r="215" spans="1:23" hidden="1" x14ac:dyDescent="0.25">
      <c r="A215" s="95">
        <v>29082024</v>
      </c>
      <c r="B215" t="s">
        <v>318</v>
      </c>
      <c r="C215" s="803">
        <v>45533</v>
      </c>
      <c r="D215" s="102"/>
      <c r="E215" s="102"/>
      <c r="F215" s="726" t="s">
        <v>317</v>
      </c>
      <c r="G215" s="362" t="s">
        <v>4778</v>
      </c>
      <c r="H215" s="102"/>
      <c r="I215" s="1590"/>
      <c r="J215" s="805">
        <v>53996.800000000003</v>
      </c>
      <c r="K215" s="810">
        <f t="shared" si="6"/>
        <v>47517.184000000001</v>
      </c>
      <c r="L215" s="362" t="s">
        <v>17</v>
      </c>
      <c r="M215" s="803">
        <v>45583</v>
      </c>
      <c r="U215" t="s">
        <v>1506</v>
      </c>
      <c r="V215" s="360">
        <v>0.5708333333333333</v>
      </c>
      <c r="W215" s="360">
        <v>0.8833333333333333</v>
      </c>
    </row>
    <row r="216" spans="1:23" hidden="1" x14ac:dyDescent="0.25">
      <c r="A216" s="95">
        <v>31082024</v>
      </c>
      <c r="B216" t="s">
        <v>318</v>
      </c>
      <c r="C216" s="803">
        <v>45535</v>
      </c>
      <c r="D216" s="102"/>
      <c r="E216" s="102"/>
      <c r="F216" s="726" t="s">
        <v>113</v>
      </c>
      <c r="G216" s="362" t="s">
        <v>4779</v>
      </c>
      <c r="H216" s="102"/>
      <c r="I216" s="1590"/>
      <c r="J216" s="805">
        <v>44651.199999999997</v>
      </c>
      <c r="K216" s="810">
        <f t="shared" si="6"/>
        <v>39293.055999999997</v>
      </c>
      <c r="L216" s="362" t="s">
        <v>17</v>
      </c>
      <c r="M216" s="803">
        <v>45583</v>
      </c>
      <c r="U216" t="s">
        <v>4617</v>
      </c>
      <c r="V216" s="360">
        <v>0.59444444444444444</v>
      </c>
      <c r="W216" s="360">
        <v>0.78749999999999998</v>
      </c>
    </row>
    <row r="217" spans="1:23" hidden="1" x14ac:dyDescent="0.25">
      <c r="A217" s="95">
        <v>3092024</v>
      </c>
      <c r="B217" t="s">
        <v>614</v>
      </c>
      <c r="C217" s="803">
        <v>45538</v>
      </c>
      <c r="D217" s="102"/>
      <c r="E217" s="102"/>
      <c r="F217" s="726" t="s">
        <v>545</v>
      </c>
      <c r="G217" s="362" t="s">
        <v>4780</v>
      </c>
      <c r="H217" s="102"/>
      <c r="I217" s="1590"/>
      <c r="J217" s="805">
        <v>37382.400000000001</v>
      </c>
      <c r="K217" s="810">
        <f t="shared" si="6"/>
        <v>32896.512000000002</v>
      </c>
      <c r="L217" s="362" t="s">
        <v>17</v>
      </c>
      <c r="M217" s="803">
        <v>45583</v>
      </c>
      <c r="U217" t="s">
        <v>4509</v>
      </c>
      <c r="V217" s="360">
        <v>0.39444444444444443</v>
      </c>
      <c r="W217" s="360">
        <v>0.59375</v>
      </c>
    </row>
    <row r="218" spans="1:23" hidden="1" x14ac:dyDescent="0.25">
      <c r="A218" s="95">
        <v>7092024</v>
      </c>
      <c r="B218" t="s">
        <v>614</v>
      </c>
      <c r="C218" s="803">
        <v>45542</v>
      </c>
      <c r="D218" s="102"/>
      <c r="E218" s="102"/>
      <c r="F218" s="726" t="s">
        <v>798</v>
      </c>
      <c r="G218" s="362" t="s">
        <v>4781</v>
      </c>
      <c r="H218" s="102"/>
      <c r="I218" s="1590"/>
      <c r="J218" s="805">
        <v>31152</v>
      </c>
      <c r="K218" s="810">
        <f t="shared" si="6"/>
        <v>27413.759999999998</v>
      </c>
      <c r="L218" s="362" t="s">
        <v>17</v>
      </c>
      <c r="M218" s="803">
        <v>45583</v>
      </c>
      <c r="U218" t="s">
        <v>4139</v>
      </c>
      <c r="V218" s="360">
        <v>0.36527777777777781</v>
      </c>
      <c r="W218" s="360">
        <v>0.50555555555555554</v>
      </c>
    </row>
    <row r="219" spans="1:23" hidden="1" x14ac:dyDescent="0.25">
      <c r="A219" s="95">
        <v>8092024</v>
      </c>
      <c r="B219" t="s">
        <v>614</v>
      </c>
      <c r="C219" s="803">
        <v>45543</v>
      </c>
      <c r="D219" s="102"/>
      <c r="E219" s="102"/>
      <c r="F219" s="726" t="s">
        <v>4200</v>
      </c>
      <c r="G219" s="362" t="s">
        <v>4782</v>
      </c>
      <c r="H219" s="102"/>
      <c r="I219" s="1590"/>
      <c r="J219" s="805">
        <v>44651.199999999997</v>
      </c>
      <c r="K219" s="810">
        <f t="shared" si="6"/>
        <v>39293.055999999997</v>
      </c>
      <c r="L219" s="362" t="s">
        <v>17</v>
      </c>
      <c r="M219" s="803">
        <v>45583</v>
      </c>
      <c r="U219" t="s">
        <v>4071</v>
      </c>
      <c r="V219" s="360">
        <v>0.3611111111111111</v>
      </c>
      <c r="W219" s="360">
        <v>0.72152777777777777</v>
      </c>
    </row>
    <row r="220" spans="1:23" hidden="1" x14ac:dyDescent="0.25">
      <c r="A220" s="95">
        <v>8092024</v>
      </c>
      <c r="B220" t="s">
        <v>614</v>
      </c>
      <c r="C220" s="803">
        <v>45543</v>
      </c>
      <c r="D220" s="102"/>
      <c r="E220" s="102"/>
      <c r="F220" s="726" t="s">
        <v>106</v>
      </c>
      <c r="G220" s="362" t="s">
        <v>4783</v>
      </c>
      <c r="H220" s="102"/>
      <c r="I220" s="1590"/>
      <c r="J220" s="805">
        <v>31152</v>
      </c>
      <c r="K220" s="810">
        <f t="shared" si="6"/>
        <v>27413.759999999998</v>
      </c>
      <c r="L220" s="362" t="s">
        <v>17</v>
      </c>
      <c r="M220" s="803">
        <v>45583</v>
      </c>
      <c r="U220" t="s">
        <v>4345</v>
      </c>
      <c r="V220" s="360">
        <v>0.57152777777777775</v>
      </c>
      <c r="W220" s="360">
        <v>0.7270833333333333</v>
      </c>
    </row>
    <row r="221" spans="1:23" hidden="1" x14ac:dyDescent="0.25">
      <c r="A221" s="95">
        <v>10092024</v>
      </c>
      <c r="B221" t="s">
        <v>614</v>
      </c>
      <c r="C221" s="803">
        <v>45545</v>
      </c>
      <c r="D221" s="102"/>
      <c r="E221" s="102"/>
      <c r="F221" s="726" t="s">
        <v>106</v>
      </c>
      <c r="G221" s="362" t="s">
        <v>4784</v>
      </c>
      <c r="H221" s="102"/>
      <c r="I221" s="1590"/>
      <c r="J221" s="805">
        <v>31152</v>
      </c>
      <c r="K221" s="810">
        <f t="shared" ref="K221:K222" si="7">+J221*0.88</f>
        <v>27413.759999999998</v>
      </c>
      <c r="L221" s="362" t="s">
        <v>17</v>
      </c>
      <c r="M221" s="803">
        <v>45583</v>
      </c>
      <c r="U221" t="s">
        <v>4022</v>
      </c>
      <c r="V221" s="360">
        <v>0.21666666666666667</v>
      </c>
      <c r="W221" s="360">
        <v>0.35694444444444445</v>
      </c>
    </row>
    <row r="222" spans="1:23" hidden="1" x14ac:dyDescent="0.25">
      <c r="A222" s="95">
        <v>12092024</v>
      </c>
      <c r="B222" t="s">
        <v>614</v>
      </c>
      <c r="C222" s="803">
        <v>45547</v>
      </c>
      <c r="D222" s="102"/>
      <c r="E222" s="102"/>
      <c r="F222" s="726" t="s">
        <v>143</v>
      </c>
      <c r="G222" s="362" t="s">
        <v>4785</v>
      </c>
      <c r="H222" s="102"/>
      <c r="I222" s="1590"/>
      <c r="J222" s="805">
        <v>43612.800000000003</v>
      </c>
      <c r="K222" s="810">
        <f t="shared" si="7"/>
        <v>38379.264000000003</v>
      </c>
      <c r="L222" s="362" t="s">
        <v>17</v>
      </c>
      <c r="M222" s="803">
        <v>45583</v>
      </c>
      <c r="U222" t="s">
        <v>4509</v>
      </c>
      <c r="V222" s="360">
        <v>0.29444444444444445</v>
      </c>
      <c r="W222" s="360">
        <v>0.51458333333333328</v>
      </c>
    </row>
    <row r="223" spans="1:23" hidden="1" x14ac:dyDescent="0.25">
      <c r="A223" s="95">
        <v>17092024</v>
      </c>
      <c r="B223" t="s">
        <v>614</v>
      </c>
      <c r="C223" s="803">
        <v>45552</v>
      </c>
      <c r="D223" s="102"/>
      <c r="E223" s="102"/>
      <c r="F223" s="726" t="s">
        <v>68</v>
      </c>
      <c r="G223" s="362" t="s">
        <v>4942</v>
      </c>
      <c r="H223" s="102"/>
      <c r="I223" s="1590" t="s">
        <v>4957</v>
      </c>
      <c r="J223" s="805">
        <v>49843.199999999997</v>
      </c>
      <c r="K223" s="1025">
        <f t="shared" ref="K223:K258" si="8">+J223-ROUND(J223*0.12,0)</f>
        <v>43862.2</v>
      </c>
      <c r="L223" s="362" t="s">
        <v>17</v>
      </c>
      <c r="M223" s="803">
        <v>45621</v>
      </c>
      <c r="U223" t="s">
        <v>4792</v>
      </c>
      <c r="V223" s="360">
        <v>0.26319444444444445</v>
      </c>
      <c r="W223" s="360">
        <v>0.52430555555555558</v>
      </c>
    </row>
    <row r="224" spans="1:23" hidden="1" x14ac:dyDescent="0.25">
      <c r="A224" s="95">
        <v>18092024</v>
      </c>
      <c r="B224" t="s">
        <v>614</v>
      </c>
      <c r="C224" s="803">
        <v>45553</v>
      </c>
      <c r="D224" s="102"/>
      <c r="E224" s="102"/>
      <c r="F224" s="726" t="s">
        <v>68</v>
      </c>
      <c r="G224" s="362" t="s">
        <v>4943</v>
      </c>
      <c r="H224" s="102"/>
      <c r="I224" s="1590"/>
      <c r="J224" s="805">
        <v>49843.199999999997</v>
      </c>
      <c r="K224" s="1025">
        <f t="shared" si="8"/>
        <v>43862.2</v>
      </c>
      <c r="L224" s="362" t="s">
        <v>17</v>
      </c>
      <c r="M224" s="803">
        <v>45621</v>
      </c>
      <c r="U224" t="s">
        <v>4097</v>
      </c>
      <c r="V224" s="360"/>
      <c r="W224" s="30"/>
    </row>
    <row r="225" spans="1:23" hidden="1" x14ac:dyDescent="0.25">
      <c r="A225" s="95">
        <v>18092024</v>
      </c>
      <c r="B225" t="s">
        <v>614</v>
      </c>
      <c r="C225" s="803">
        <v>45553</v>
      </c>
      <c r="D225" s="102"/>
      <c r="E225" s="102"/>
      <c r="F225" s="726" t="s">
        <v>68</v>
      </c>
      <c r="G225" s="362" t="s">
        <v>4944</v>
      </c>
      <c r="H225" s="102"/>
      <c r="I225" s="1590"/>
      <c r="J225" s="805">
        <v>49843.199999999997</v>
      </c>
      <c r="K225" s="1025">
        <f t="shared" si="8"/>
        <v>43862.2</v>
      </c>
      <c r="L225" s="362" t="s">
        <v>17</v>
      </c>
      <c r="M225" s="803">
        <v>45621</v>
      </c>
      <c r="U225" t="s">
        <v>1506</v>
      </c>
      <c r="V225" s="360"/>
      <c r="W225" s="30"/>
    </row>
    <row r="226" spans="1:23" hidden="1" x14ac:dyDescent="0.25">
      <c r="A226" s="95">
        <v>25092024</v>
      </c>
      <c r="B226" t="s">
        <v>614</v>
      </c>
      <c r="C226" s="803">
        <v>45560</v>
      </c>
      <c r="D226" s="102"/>
      <c r="E226" s="102"/>
      <c r="F226" s="726" t="s">
        <v>285</v>
      </c>
      <c r="G226" s="362" t="s">
        <v>4945</v>
      </c>
      <c r="H226" s="102"/>
      <c r="I226" s="1590"/>
      <c r="J226" s="805">
        <v>51920</v>
      </c>
      <c r="K226" s="1025">
        <f t="shared" si="8"/>
        <v>45690</v>
      </c>
      <c r="L226" s="362" t="s">
        <v>17</v>
      </c>
      <c r="M226" s="803">
        <v>45621</v>
      </c>
      <c r="U226" t="s">
        <v>4842</v>
      </c>
      <c r="V226" s="360">
        <v>0.28749999999999998</v>
      </c>
      <c r="W226" s="360">
        <v>0.62222222222222223</v>
      </c>
    </row>
    <row r="227" spans="1:23" hidden="1" x14ac:dyDescent="0.25">
      <c r="A227" s="95">
        <v>25092024</v>
      </c>
      <c r="B227" t="s">
        <v>614</v>
      </c>
      <c r="C227" s="803">
        <v>45560</v>
      </c>
      <c r="D227" s="102"/>
      <c r="E227" s="102"/>
      <c r="F227" s="726" t="s">
        <v>317</v>
      </c>
      <c r="G227" s="362" t="s">
        <v>4946</v>
      </c>
      <c r="H227" s="102"/>
      <c r="I227" s="1590"/>
      <c r="J227" s="805">
        <v>53996.800000000003</v>
      </c>
      <c r="K227" s="1025">
        <f t="shared" si="8"/>
        <v>47516.800000000003</v>
      </c>
      <c r="L227" s="362" t="s">
        <v>17</v>
      </c>
      <c r="M227" s="803">
        <v>45621</v>
      </c>
      <c r="U227" t="s">
        <v>4509</v>
      </c>
      <c r="V227" s="360">
        <v>0.54861111111111116</v>
      </c>
      <c r="W227" s="30"/>
    </row>
    <row r="228" spans="1:23" hidden="1" x14ac:dyDescent="0.25">
      <c r="A228" s="95">
        <v>26092024</v>
      </c>
      <c r="B228" t="s">
        <v>614</v>
      </c>
      <c r="C228" s="803">
        <v>45561</v>
      </c>
      <c r="D228" s="102"/>
      <c r="E228" s="102"/>
      <c r="F228" s="726" t="s">
        <v>68</v>
      </c>
      <c r="G228" s="362" t="s">
        <v>4947</v>
      </c>
      <c r="H228" s="102"/>
      <c r="I228" s="1590"/>
      <c r="J228" s="805">
        <v>49843.199999999997</v>
      </c>
      <c r="K228" s="1025">
        <f t="shared" si="8"/>
        <v>43862.2</v>
      </c>
      <c r="L228" s="362" t="s">
        <v>17</v>
      </c>
      <c r="M228" s="803">
        <v>45621</v>
      </c>
      <c r="U228" t="s">
        <v>4509</v>
      </c>
      <c r="V228" s="360">
        <v>0.75277777777777777</v>
      </c>
      <c r="W228" s="360"/>
    </row>
    <row r="229" spans="1:23" hidden="1" x14ac:dyDescent="0.25">
      <c r="A229" s="95">
        <v>29092024</v>
      </c>
      <c r="B229" t="s">
        <v>614</v>
      </c>
      <c r="C229" s="803">
        <v>45564</v>
      </c>
      <c r="D229" s="803"/>
      <c r="E229" s="803"/>
      <c r="F229" s="726" t="s">
        <v>143</v>
      </c>
      <c r="G229" s="362" t="s">
        <v>4948</v>
      </c>
      <c r="H229" s="102"/>
      <c r="I229" s="1590"/>
      <c r="J229" s="805">
        <v>43612.800000000003</v>
      </c>
      <c r="K229" s="1025">
        <f t="shared" si="8"/>
        <v>38378.800000000003</v>
      </c>
      <c r="L229" s="362" t="s">
        <v>17</v>
      </c>
      <c r="M229" s="803">
        <v>45621</v>
      </c>
      <c r="U229" t="s">
        <v>4139</v>
      </c>
      <c r="V229" s="360">
        <v>0.53749999999999998</v>
      </c>
      <c r="W229" s="360">
        <v>0.74930555555555556</v>
      </c>
    </row>
    <row r="230" spans="1:23" hidden="1" x14ac:dyDescent="0.25">
      <c r="A230" s="483" t="s">
        <v>4868</v>
      </c>
      <c r="B230" t="s">
        <v>614</v>
      </c>
      <c r="C230" s="803">
        <v>45567</v>
      </c>
      <c r="D230" s="102"/>
      <c r="E230" s="102"/>
      <c r="F230" s="726" t="s">
        <v>113</v>
      </c>
      <c r="G230" s="362" t="s">
        <v>4949</v>
      </c>
      <c r="H230" s="102"/>
      <c r="I230" s="1590"/>
      <c r="J230" s="805">
        <v>44651.199999999997</v>
      </c>
      <c r="K230" s="1025">
        <f t="shared" si="8"/>
        <v>39293.199999999997</v>
      </c>
      <c r="L230" s="362" t="s">
        <v>17</v>
      </c>
      <c r="M230" s="803">
        <v>45621</v>
      </c>
      <c r="U230" t="s">
        <v>2050</v>
      </c>
      <c r="V230" s="360">
        <v>0.37847222222222221</v>
      </c>
      <c r="W230" s="360">
        <v>0.5625</v>
      </c>
    </row>
    <row r="231" spans="1:23" hidden="1" x14ac:dyDescent="0.25">
      <c r="A231" s="483" t="s">
        <v>4882</v>
      </c>
      <c r="B231" t="s">
        <v>614</v>
      </c>
      <c r="C231" s="803">
        <v>45570</v>
      </c>
      <c r="D231" s="102"/>
      <c r="E231" s="102"/>
      <c r="F231" s="726" t="s">
        <v>4200</v>
      </c>
      <c r="G231" s="362" t="s">
        <v>4950</v>
      </c>
      <c r="H231" s="102"/>
      <c r="I231" s="1590"/>
      <c r="J231" s="805">
        <v>39459.199999999997</v>
      </c>
      <c r="K231" s="1025">
        <f t="shared" si="8"/>
        <v>34724.199999999997</v>
      </c>
      <c r="L231" s="362" t="s">
        <v>17</v>
      </c>
      <c r="M231" s="803">
        <v>45621</v>
      </c>
      <c r="U231" t="s">
        <v>4617</v>
      </c>
      <c r="V231" s="360">
        <v>0.35555555555555557</v>
      </c>
      <c r="W231" s="360">
        <v>0.63472222222222219</v>
      </c>
    </row>
    <row r="232" spans="1:23" hidden="1" x14ac:dyDescent="0.25">
      <c r="A232" s="483" t="s">
        <v>4883</v>
      </c>
      <c r="B232" t="s">
        <v>614</v>
      </c>
      <c r="C232" s="803">
        <v>45571</v>
      </c>
      <c r="D232" s="102"/>
      <c r="E232" s="102"/>
      <c r="F232" s="726" t="s">
        <v>285</v>
      </c>
      <c r="G232" s="362" t="s">
        <v>4951</v>
      </c>
      <c r="H232" s="102"/>
      <c r="I232" s="1590"/>
      <c r="J232" s="805">
        <v>51920</v>
      </c>
      <c r="K232" s="1025">
        <f t="shared" si="8"/>
        <v>45690</v>
      </c>
      <c r="L232" s="362" t="s">
        <v>17</v>
      </c>
      <c r="M232" s="803">
        <v>45621</v>
      </c>
      <c r="U232" t="s">
        <v>2050</v>
      </c>
      <c r="V232" s="360">
        <v>0.28888888888888892</v>
      </c>
      <c r="W232" s="360">
        <v>0.53333333333333333</v>
      </c>
    </row>
    <row r="233" spans="1:23" hidden="1" x14ac:dyDescent="0.25">
      <c r="A233" s="483" t="s">
        <v>4908</v>
      </c>
      <c r="B233" t="s">
        <v>614</v>
      </c>
      <c r="C233" s="803">
        <v>45576</v>
      </c>
      <c r="D233" s="102"/>
      <c r="E233" s="102"/>
      <c r="F233" s="726" t="s">
        <v>236</v>
      </c>
      <c r="G233" s="362" t="s">
        <v>4952</v>
      </c>
      <c r="H233" s="102"/>
      <c r="I233" s="1590"/>
      <c r="J233" s="805">
        <v>62304</v>
      </c>
      <c r="K233" s="1025">
        <f t="shared" si="8"/>
        <v>54828</v>
      </c>
      <c r="L233" s="362" t="s">
        <v>17</v>
      </c>
      <c r="M233" s="803">
        <v>45621</v>
      </c>
      <c r="U233" t="s">
        <v>4277</v>
      </c>
      <c r="V233" s="360">
        <v>0.23749999999999999</v>
      </c>
      <c r="W233" s="360"/>
    </row>
    <row r="234" spans="1:23" hidden="1" x14ac:dyDescent="0.25">
      <c r="A234" s="483" t="s">
        <v>4910</v>
      </c>
      <c r="B234" t="s">
        <v>614</v>
      </c>
      <c r="C234" s="803">
        <v>45577</v>
      </c>
      <c r="D234" s="803"/>
      <c r="E234" s="803"/>
      <c r="F234" s="726" t="s">
        <v>113</v>
      </c>
      <c r="G234" s="362" t="s">
        <v>4953</v>
      </c>
      <c r="H234" s="102"/>
      <c r="I234" s="1590"/>
      <c r="J234" s="810">
        <v>44651.199999999997</v>
      </c>
      <c r="K234" s="1025">
        <f t="shared" si="8"/>
        <v>39293.199999999997</v>
      </c>
      <c r="L234" s="804" t="s">
        <v>17</v>
      </c>
      <c r="M234" s="803">
        <v>45621</v>
      </c>
      <c r="U234" t="s">
        <v>4617</v>
      </c>
      <c r="V234" s="360">
        <v>0.58750000000000002</v>
      </c>
      <c r="W234" s="360">
        <v>0.78541666666666676</v>
      </c>
    </row>
    <row r="235" spans="1:23" hidden="1" x14ac:dyDescent="0.25">
      <c r="A235" s="483" t="s">
        <v>4912</v>
      </c>
      <c r="B235" t="s">
        <v>614</v>
      </c>
      <c r="C235" s="803">
        <v>45578</v>
      </c>
      <c r="D235" s="803"/>
      <c r="E235" s="803"/>
      <c r="F235" s="726" t="s">
        <v>106</v>
      </c>
      <c r="G235" s="362" t="s">
        <v>4954</v>
      </c>
      <c r="H235" s="102"/>
      <c r="I235" s="1590"/>
      <c r="J235" s="810">
        <v>31152</v>
      </c>
      <c r="K235" s="1025">
        <f t="shared" si="8"/>
        <v>27414</v>
      </c>
      <c r="L235" s="804" t="s">
        <v>17</v>
      </c>
      <c r="M235" s="803">
        <v>45621</v>
      </c>
      <c r="U235" s="13" t="s">
        <v>4550</v>
      </c>
      <c r="V235" s="360">
        <v>0.25</v>
      </c>
      <c r="W235" s="360">
        <v>0.40416666666666662</v>
      </c>
    </row>
    <row r="236" spans="1:23" hidden="1" x14ac:dyDescent="0.25">
      <c r="A236" s="483" t="s">
        <v>4912</v>
      </c>
      <c r="B236" t="s">
        <v>614</v>
      </c>
      <c r="C236" s="803">
        <v>45578</v>
      </c>
      <c r="D236" s="803"/>
      <c r="E236" s="803"/>
      <c r="F236" s="726" t="s">
        <v>545</v>
      </c>
      <c r="G236" s="362" t="s">
        <v>4955</v>
      </c>
      <c r="H236" s="102"/>
      <c r="I236" s="1590"/>
      <c r="J236" s="810">
        <v>37382.400000000001</v>
      </c>
      <c r="K236" s="1025">
        <f t="shared" si="8"/>
        <v>32896.400000000001</v>
      </c>
      <c r="L236" s="804" t="s">
        <v>17</v>
      </c>
      <c r="M236" s="803">
        <v>45621</v>
      </c>
      <c r="U236" t="s">
        <v>4853</v>
      </c>
      <c r="V236" s="360">
        <v>0.71736111111111101</v>
      </c>
      <c r="W236" s="360">
        <v>0.88680555555555562</v>
      </c>
    </row>
    <row r="237" spans="1:23" hidden="1" x14ac:dyDescent="0.25">
      <c r="A237" s="483" t="s">
        <v>4913</v>
      </c>
      <c r="B237" t="s">
        <v>614</v>
      </c>
      <c r="C237" s="803">
        <v>45579</v>
      </c>
      <c r="D237" s="803"/>
      <c r="E237" s="803"/>
      <c r="F237" s="726" t="s">
        <v>545</v>
      </c>
      <c r="G237" s="362" t="s">
        <v>4956</v>
      </c>
      <c r="H237" s="102"/>
      <c r="I237" s="1590"/>
      <c r="J237" s="810">
        <v>37382.400000000001</v>
      </c>
      <c r="K237" s="1025">
        <f t="shared" si="8"/>
        <v>32896.400000000001</v>
      </c>
      <c r="L237" s="804" t="s">
        <v>17</v>
      </c>
      <c r="M237" s="803">
        <v>45621</v>
      </c>
      <c r="U237" t="s">
        <v>4365</v>
      </c>
      <c r="V237" s="360">
        <v>0.28541666666666665</v>
      </c>
      <c r="W237" s="360">
        <v>0.45763888888888887</v>
      </c>
    </row>
    <row r="238" spans="1:23" s="88" customFormat="1" hidden="1" x14ac:dyDescent="0.25">
      <c r="A238" s="686" t="s">
        <v>4941</v>
      </c>
      <c r="B238" s="88" t="s">
        <v>614</v>
      </c>
      <c r="C238" s="803">
        <v>45580</v>
      </c>
      <c r="D238" s="810"/>
      <c r="E238" s="810"/>
      <c r="F238" s="805" t="s">
        <v>2253</v>
      </c>
      <c r="G238" s="804" t="s">
        <v>5205</v>
      </c>
      <c r="H238" s="810"/>
      <c r="I238" s="1594" t="s">
        <v>5178</v>
      </c>
      <c r="J238" s="810">
        <v>62304</v>
      </c>
      <c r="K238" s="1025">
        <f t="shared" si="8"/>
        <v>54828</v>
      </c>
      <c r="L238" s="804" t="s">
        <v>17</v>
      </c>
      <c r="M238" s="803">
        <v>45637</v>
      </c>
      <c r="U238" s="88" t="s">
        <v>4097</v>
      </c>
      <c r="V238" s="236">
        <v>0.42222222222222222</v>
      </c>
      <c r="W238" s="236"/>
    </row>
    <row r="239" spans="1:23" hidden="1" x14ac:dyDescent="0.25">
      <c r="A239" s="483">
        <v>21102024</v>
      </c>
      <c r="B239" t="s">
        <v>614</v>
      </c>
      <c r="C239" s="803">
        <v>45586</v>
      </c>
      <c r="D239" s="803"/>
      <c r="E239" s="803"/>
      <c r="F239" s="726" t="s">
        <v>872</v>
      </c>
      <c r="G239" s="362" t="s">
        <v>5206</v>
      </c>
      <c r="H239" s="102"/>
      <c r="I239" s="1594"/>
      <c r="J239" s="805">
        <v>44651.199999999997</v>
      </c>
      <c r="K239" s="1025">
        <f t="shared" si="8"/>
        <v>39293.199999999997</v>
      </c>
      <c r="L239" s="804" t="s">
        <v>17</v>
      </c>
      <c r="M239" s="803">
        <v>45637</v>
      </c>
      <c r="U239" t="s">
        <v>4140</v>
      </c>
      <c r="V239" s="360">
        <v>0.33888888888888891</v>
      </c>
      <c r="W239" s="360">
        <v>0.58194444444444449</v>
      </c>
    </row>
    <row r="240" spans="1:23" hidden="1" x14ac:dyDescent="0.25">
      <c r="A240" s="483">
        <v>25102024</v>
      </c>
      <c r="B240" t="s">
        <v>614</v>
      </c>
      <c r="C240" s="803">
        <v>45590</v>
      </c>
      <c r="D240" s="102"/>
      <c r="E240" s="102"/>
      <c r="F240" s="726" t="s">
        <v>236</v>
      </c>
      <c r="G240" s="362" t="s">
        <v>5207</v>
      </c>
      <c r="H240" s="102"/>
      <c r="I240" s="1594"/>
      <c r="J240" s="805">
        <v>62304</v>
      </c>
      <c r="K240" s="1025">
        <f t="shared" si="8"/>
        <v>54828</v>
      </c>
      <c r="L240" s="804" t="s">
        <v>17</v>
      </c>
      <c r="M240" s="803">
        <v>45637</v>
      </c>
      <c r="V240" s="360"/>
      <c r="W240" s="360"/>
    </row>
    <row r="241" spans="1:23" hidden="1" x14ac:dyDescent="0.25">
      <c r="A241" s="483">
        <v>26102024</v>
      </c>
      <c r="B241" t="s">
        <v>614</v>
      </c>
      <c r="C241" s="803">
        <v>45591</v>
      </c>
      <c r="D241" s="102"/>
      <c r="E241" s="102"/>
      <c r="F241" s="726" t="s">
        <v>861</v>
      </c>
      <c r="G241" s="362" t="s">
        <v>5208</v>
      </c>
      <c r="H241" s="102"/>
      <c r="I241" s="1594"/>
      <c r="J241" s="805">
        <v>39459.199999999997</v>
      </c>
      <c r="K241" s="1025">
        <f t="shared" si="8"/>
        <v>34724.199999999997</v>
      </c>
      <c r="L241" s="804" t="s">
        <v>17</v>
      </c>
      <c r="M241" s="803">
        <v>45637</v>
      </c>
      <c r="U241" t="s">
        <v>4983</v>
      </c>
      <c r="V241" s="360">
        <v>0.4694444444444445</v>
      </c>
      <c r="W241" s="360">
        <v>0.67499999999999993</v>
      </c>
    </row>
    <row r="242" spans="1:23" hidden="1" x14ac:dyDescent="0.25">
      <c r="A242" s="483">
        <v>28102024</v>
      </c>
      <c r="B242" t="s">
        <v>614</v>
      </c>
      <c r="C242" s="803">
        <v>45593</v>
      </c>
      <c r="D242" s="102"/>
      <c r="E242" s="102"/>
      <c r="F242" s="726" t="s">
        <v>4200</v>
      </c>
      <c r="G242" s="362" t="s">
        <v>5209</v>
      </c>
      <c r="H242" s="102"/>
      <c r="I242" s="1594"/>
      <c r="J242" s="805">
        <v>39459.199999999997</v>
      </c>
      <c r="K242" s="1025">
        <f t="shared" si="8"/>
        <v>34724.199999999997</v>
      </c>
      <c r="L242" s="804" t="s">
        <v>17</v>
      </c>
      <c r="M242" s="803">
        <v>45637</v>
      </c>
      <c r="U242" t="s">
        <v>4365</v>
      </c>
      <c r="V242" s="360">
        <v>0.40486111111111112</v>
      </c>
      <c r="W242" s="360"/>
    </row>
    <row r="243" spans="1:23" hidden="1" x14ac:dyDescent="0.25">
      <c r="A243" s="483">
        <v>28102024</v>
      </c>
      <c r="B243" t="s">
        <v>614</v>
      </c>
      <c r="C243" s="803">
        <v>45593</v>
      </c>
      <c r="D243" s="102"/>
      <c r="E243" s="102"/>
      <c r="F243" s="726" t="s">
        <v>143</v>
      </c>
      <c r="G243" s="362" t="s">
        <v>5210</v>
      </c>
      <c r="H243" s="102"/>
      <c r="I243" s="1594"/>
      <c r="J243" s="805">
        <v>43612.800000000003</v>
      </c>
      <c r="K243" s="1025">
        <f t="shared" si="8"/>
        <v>38378.800000000003</v>
      </c>
      <c r="L243" s="804" t="s">
        <v>17</v>
      </c>
      <c r="M243" s="803">
        <v>45637</v>
      </c>
      <c r="U243" t="s">
        <v>4022</v>
      </c>
      <c r="V243" s="360">
        <v>0.9375</v>
      </c>
      <c r="W243" s="360">
        <v>0.12361111111111112</v>
      </c>
    </row>
    <row r="244" spans="1:23" hidden="1" x14ac:dyDescent="0.25">
      <c r="A244" s="483">
        <v>30102024</v>
      </c>
      <c r="B244" t="s">
        <v>614</v>
      </c>
      <c r="C244" s="803">
        <v>45595</v>
      </c>
      <c r="D244" s="102"/>
      <c r="E244" s="102"/>
      <c r="F244" s="726" t="s">
        <v>113</v>
      </c>
      <c r="G244" s="362" t="s">
        <v>5211</v>
      </c>
      <c r="H244" s="102"/>
      <c r="I244" s="1594"/>
      <c r="J244" s="805">
        <v>44651.199999999997</v>
      </c>
      <c r="K244" s="1025">
        <f t="shared" si="8"/>
        <v>39293.199999999997</v>
      </c>
      <c r="L244" s="804" t="s">
        <v>17</v>
      </c>
      <c r="M244" s="803">
        <v>45637</v>
      </c>
      <c r="U244" t="s">
        <v>5021</v>
      </c>
      <c r="V244" s="360">
        <v>0.3430555555555555</v>
      </c>
      <c r="W244" s="360"/>
    </row>
    <row r="245" spans="1:23" hidden="1" x14ac:dyDescent="0.25">
      <c r="A245" s="483" t="s">
        <v>5027</v>
      </c>
      <c r="B245" t="s">
        <v>614</v>
      </c>
      <c r="C245" s="803">
        <v>45597</v>
      </c>
      <c r="D245" s="102"/>
      <c r="E245" s="102"/>
      <c r="F245" s="726" t="s">
        <v>2008</v>
      </c>
      <c r="G245" s="102" t="s">
        <v>5212</v>
      </c>
      <c r="H245" s="102"/>
      <c r="I245" s="1594"/>
      <c r="J245" s="810">
        <v>55035.199999999997</v>
      </c>
      <c r="K245" s="1025">
        <f t="shared" si="8"/>
        <v>48431.199999999997</v>
      </c>
      <c r="L245" s="804" t="s">
        <v>17</v>
      </c>
      <c r="M245" s="803">
        <v>45637</v>
      </c>
      <c r="U245" t="s">
        <v>2050</v>
      </c>
      <c r="V245" s="360">
        <v>0.42777777777777781</v>
      </c>
      <c r="W245" s="360">
        <v>0.67569444444444438</v>
      </c>
    </row>
    <row r="246" spans="1:23" hidden="1" x14ac:dyDescent="0.25">
      <c r="A246" s="483" t="s">
        <v>5055</v>
      </c>
      <c r="B246" t="s">
        <v>614</v>
      </c>
      <c r="C246" s="803">
        <v>45601</v>
      </c>
      <c r="D246" s="102"/>
      <c r="E246" s="102"/>
      <c r="F246" s="726" t="s">
        <v>68</v>
      </c>
      <c r="G246" s="102" t="s">
        <v>5213</v>
      </c>
      <c r="H246" s="102"/>
      <c r="I246" s="1594"/>
      <c r="J246" s="805">
        <v>49843.199999999997</v>
      </c>
      <c r="K246" s="1025">
        <f t="shared" si="8"/>
        <v>43862.2</v>
      </c>
      <c r="L246" s="804" t="s">
        <v>17</v>
      </c>
      <c r="M246" s="803">
        <v>45637</v>
      </c>
      <c r="U246" t="s">
        <v>1644</v>
      </c>
      <c r="V246" s="360">
        <v>0.25208333333333333</v>
      </c>
      <c r="W246" s="360">
        <v>0.50972222222222219</v>
      </c>
    </row>
    <row r="247" spans="1:23" hidden="1" x14ac:dyDescent="0.25">
      <c r="A247" s="483" t="s">
        <v>5055</v>
      </c>
      <c r="B247" t="s">
        <v>614</v>
      </c>
      <c r="C247" s="803">
        <v>45601</v>
      </c>
      <c r="D247" s="102"/>
      <c r="E247" s="102"/>
      <c r="F247" s="726" t="s">
        <v>113</v>
      </c>
      <c r="G247" s="102" t="s">
        <v>5214</v>
      </c>
      <c r="H247" s="102"/>
      <c r="I247" s="1594"/>
      <c r="J247" s="805">
        <v>44651.199999999997</v>
      </c>
      <c r="K247" s="1025">
        <f t="shared" si="8"/>
        <v>39293.199999999997</v>
      </c>
      <c r="L247" s="804" t="s">
        <v>17</v>
      </c>
      <c r="M247" s="803">
        <v>45637</v>
      </c>
      <c r="U247" t="s">
        <v>1644</v>
      </c>
      <c r="V247" s="360">
        <v>0.54513888888888895</v>
      </c>
      <c r="W247" s="360"/>
    </row>
    <row r="248" spans="1:23" hidden="1" x14ac:dyDescent="0.25">
      <c r="A248" s="483" t="s">
        <v>5066</v>
      </c>
      <c r="B248" t="s">
        <v>614</v>
      </c>
      <c r="C248" s="803">
        <v>45602</v>
      </c>
      <c r="D248" s="102"/>
      <c r="E248" s="102"/>
      <c r="F248" s="726" t="s">
        <v>317</v>
      </c>
      <c r="G248" s="102" t="s">
        <v>5215</v>
      </c>
      <c r="H248" s="102"/>
      <c r="I248" s="1594"/>
      <c r="J248" s="810">
        <v>53996.800000000003</v>
      </c>
      <c r="K248" s="1025">
        <f t="shared" si="8"/>
        <v>47516.800000000003</v>
      </c>
      <c r="L248" s="804" t="s">
        <v>17</v>
      </c>
      <c r="M248" s="803">
        <v>45637</v>
      </c>
      <c r="U248" t="s">
        <v>4396</v>
      </c>
      <c r="V248" s="360">
        <v>0.74652777777777779</v>
      </c>
      <c r="W248" s="360"/>
    </row>
    <row r="249" spans="1:23" hidden="1" x14ac:dyDescent="0.25">
      <c r="A249" s="483" t="s">
        <v>5077</v>
      </c>
      <c r="B249" t="s">
        <v>614</v>
      </c>
      <c r="C249" s="803">
        <v>45603</v>
      </c>
      <c r="D249" s="102"/>
      <c r="E249" s="102"/>
      <c r="F249" s="726" t="s">
        <v>106</v>
      </c>
      <c r="G249" s="102" t="s">
        <v>4954</v>
      </c>
      <c r="H249" s="102"/>
      <c r="I249" s="1594"/>
      <c r="J249" s="805">
        <v>31152</v>
      </c>
      <c r="K249" s="1025">
        <f t="shared" si="8"/>
        <v>27414</v>
      </c>
      <c r="L249" s="804" t="s">
        <v>17</v>
      </c>
      <c r="M249" s="803">
        <v>45637</v>
      </c>
      <c r="U249" t="s">
        <v>1644</v>
      </c>
      <c r="V249" s="360">
        <v>0.45416666666666666</v>
      </c>
      <c r="W249" s="360"/>
    </row>
    <row r="250" spans="1:23" hidden="1" x14ac:dyDescent="0.25">
      <c r="A250" s="483" t="s">
        <v>5077</v>
      </c>
      <c r="B250" t="s">
        <v>614</v>
      </c>
      <c r="C250" s="803">
        <v>45603</v>
      </c>
      <c r="D250" s="102"/>
      <c r="E250" s="102"/>
      <c r="F250" s="726" t="s">
        <v>207</v>
      </c>
      <c r="G250" s="102" t="s">
        <v>5216</v>
      </c>
      <c r="H250" s="102"/>
      <c r="I250" s="1594"/>
      <c r="J250" s="805">
        <v>41536</v>
      </c>
      <c r="K250" s="1025">
        <f t="shared" si="8"/>
        <v>36552</v>
      </c>
      <c r="L250" s="804" t="s">
        <v>17</v>
      </c>
      <c r="M250" s="803">
        <v>45637</v>
      </c>
      <c r="U250" t="s">
        <v>1644</v>
      </c>
      <c r="V250" s="360"/>
      <c r="W250" s="360"/>
    </row>
    <row r="251" spans="1:23" hidden="1" x14ac:dyDescent="0.25">
      <c r="A251" s="483" t="s">
        <v>5082</v>
      </c>
      <c r="B251" t="s">
        <v>614</v>
      </c>
      <c r="C251" s="803">
        <v>45604</v>
      </c>
      <c r="D251" s="102"/>
      <c r="E251" s="102"/>
      <c r="F251" s="726" t="s">
        <v>113</v>
      </c>
      <c r="G251" s="102" t="s">
        <v>5217</v>
      </c>
      <c r="H251" s="102"/>
      <c r="I251" s="1594"/>
      <c r="J251" s="810">
        <v>44651.199999999997</v>
      </c>
      <c r="K251" s="1025">
        <f t="shared" si="8"/>
        <v>39293.199999999997</v>
      </c>
      <c r="L251" s="804" t="s">
        <v>17</v>
      </c>
      <c r="M251" s="803">
        <v>45637</v>
      </c>
      <c r="U251" t="s">
        <v>4140</v>
      </c>
      <c r="V251" s="360"/>
      <c r="W251" s="360"/>
    </row>
    <row r="252" spans="1:23" hidden="1" x14ac:dyDescent="0.25">
      <c r="A252" s="483" t="s">
        <v>5090</v>
      </c>
      <c r="B252" t="s">
        <v>614</v>
      </c>
      <c r="C252" s="803">
        <v>45606</v>
      </c>
      <c r="D252" s="102"/>
      <c r="E252" s="102"/>
      <c r="F252" s="726" t="s">
        <v>143</v>
      </c>
      <c r="G252" s="102" t="s">
        <v>5218</v>
      </c>
      <c r="H252" s="102"/>
      <c r="I252" s="1594"/>
      <c r="J252" s="810">
        <v>43612.800000000003</v>
      </c>
      <c r="K252" s="1025">
        <f t="shared" si="8"/>
        <v>38378.800000000003</v>
      </c>
      <c r="L252" s="804" t="s">
        <v>17</v>
      </c>
      <c r="M252" s="803">
        <v>45637</v>
      </c>
      <c r="U252" t="s">
        <v>5078</v>
      </c>
      <c r="V252" s="360">
        <v>0.25555555555555559</v>
      </c>
      <c r="W252" s="360">
        <v>0.45</v>
      </c>
    </row>
    <row r="253" spans="1:23" hidden="1" x14ac:dyDescent="0.25">
      <c r="A253" s="483" t="s">
        <v>5090</v>
      </c>
      <c r="B253" t="s">
        <v>614</v>
      </c>
      <c r="C253" s="803">
        <v>45606</v>
      </c>
      <c r="D253" s="102"/>
      <c r="E253" s="102"/>
      <c r="F253" s="726" t="s">
        <v>143</v>
      </c>
      <c r="G253" s="102" t="s">
        <v>5219</v>
      </c>
      <c r="H253" s="102"/>
      <c r="I253" s="1594"/>
      <c r="J253" s="810">
        <v>43612.800000000003</v>
      </c>
      <c r="K253" s="1025">
        <f t="shared" si="8"/>
        <v>38378.800000000003</v>
      </c>
      <c r="L253" s="804" t="s">
        <v>17</v>
      </c>
      <c r="M253" s="803">
        <v>45637</v>
      </c>
      <c r="U253" t="s">
        <v>4911</v>
      </c>
      <c r="V253" s="360">
        <v>0.84791666666666676</v>
      </c>
      <c r="W253" s="360">
        <v>5.347222222222222E-2</v>
      </c>
    </row>
    <row r="254" spans="1:23" hidden="1" x14ac:dyDescent="0.25">
      <c r="A254" s="483" t="s">
        <v>5091</v>
      </c>
      <c r="B254" t="s">
        <v>614</v>
      </c>
      <c r="C254" s="803">
        <v>45607</v>
      </c>
      <c r="D254" s="102"/>
      <c r="E254" s="102"/>
      <c r="F254" s="726" t="s">
        <v>68</v>
      </c>
      <c r="G254" s="102" t="s">
        <v>5220</v>
      </c>
      <c r="H254" s="102"/>
      <c r="I254" s="1594"/>
      <c r="J254" s="810">
        <v>49843.199999999997</v>
      </c>
      <c r="K254" s="1025">
        <f t="shared" si="8"/>
        <v>43862.2</v>
      </c>
      <c r="L254" s="804" t="s">
        <v>17</v>
      </c>
      <c r="M254" s="803">
        <v>45637</v>
      </c>
      <c r="U254" t="s">
        <v>5021</v>
      </c>
      <c r="V254" s="360">
        <v>0.27847222222222223</v>
      </c>
      <c r="W254" s="360"/>
    </row>
    <row r="255" spans="1:23" hidden="1" x14ac:dyDescent="0.25">
      <c r="A255" s="483" t="s">
        <v>5091</v>
      </c>
      <c r="B255" t="s">
        <v>614</v>
      </c>
      <c r="C255" s="803">
        <v>45607</v>
      </c>
      <c r="D255" s="102"/>
      <c r="E255" s="102"/>
      <c r="F255" s="726" t="s">
        <v>68</v>
      </c>
      <c r="G255" s="102" t="s">
        <v>5221</v>
      </c>
      <c r="H255" s="102"/>
      <c r="I255" s="1594"/>
      <c r="J255" s="810">
        <v>49843.199999999997</v>
      </c>
      <c r="K255" s="1025">
        <f t="shared" si="8"/>
        <v>43862.2</v>
      </c>
      <c r="L255" s="804" t="s">
        <v>17</v>
      </c>
      <c r="M255" s="803">
        <v>45637</v>
      </c>
      <c r="U255" t="s">
        <v>5078</v>
      </c>
      <c r="V255" s="360"/>
      <c r="W255" s="360"/>
    </row>
    <row r="256" spans="1:23" hidden="1" x14ac:dyDescent="0.25">
      <c r="A256" s="483" t="s">
        <v>5097</v>
      </c>
      <c r="B256" t="s">
        <v>614</v>
      </c>
      <c r="C256" s="803">
        <v>45609</v>
      </c>
      <c r="D256" s="102"/>
      <c r="E256" s="102"/>
      <c r="F256" s="362" t="s">
        <v>113</v>
      </c>
      <c r="G256" s="102" t="s">
        <v>5222</v>
      </c>
      <c r="H256" s="102"/>
      <c r="I256" s="1594"/>
      <c r="J256" s="810">
        <v>44651.199999999997</v>
      </c>
      <c r="K256" s="1025">
        <f t="shared" si="8"/>
        <v>39293.199999999997</v>
      </c>
      <c r="L256" s="804" t="s">
        <v>17</v>
      </c>
      <c r="M256" s="803">
        <v>45637</v>
      </c>
      <c r="U256" t="s">
        <v>4983</v>
      </c>
      <c r="V256" s="360">
        <v>0.36319444444444443</v>
      </c>
      <c r="W256" s="360"/>
    </row>
    <row r="257" spans="1:23" hidden="1" x14ac:dyDescent="0.25">
      <c r="A257" s="483" t="s">
        <v>5097</v>
      </c>
      <c r="B257" t="s">
        <v>614</v>
      </c>
      <c r="C257" s="803">
        <v>45609</v>
      </c>
      <c r="D257" s="102"/>
      <c r="E257" s="102"/>
      <c r="F257" s="362" t="s">
        <v>2008</v>
      </c>
      <c r="G257" s="102" t="s">
        <v>5223</v>
      </c>
      <c r="H257" s="102"/>
      <c r="I257" s="1594"/>
      <c r="J257" s="810">
        <v>55035.199999999997</v>
      </c>
      <c r="K257" s="1025">
        <f t="shared" si="8"/>
        <v>48431.199999999997</v>
      </c>
      <c r="L257" s="804" t="s">
        <v>17</v>
      </c>
      <c r="M257" s="803">
        <v>45637</v>
      </c>
      <c r="U257" t="s">
        <v>4581</v>
      </c>
      <c r="V257" s="360">
        <v>0.26805555555555555</v>
      </c>
      <c r="W257" s="360"/>
    </row>
    <row r="258" spans="1:23" hidden="1" x14ac:dyDescent="0.25">
      <c r="A258" s="483">
        <v>18112024</v>
      </c>
      <c r="B258" t="s">
        <v>614</v>
      </c>
      <c r="C258" s="803">
        <v>45614</v>
      </c>
      <c r="D258" s="803"/>
      <c r="E258" s="803"/>
      <c r="F258" s="362" t="s">
        <v>2029</v>
      </c>
      <c r="G258" s="102" t="s">
        <v>5333</v>
      </c>
      <c r="H258" s="102"/>
      <c r="I258" s="102" t="s">
        <v>5350</v>
      </c>
      <c r="J258" s="810">
        <v>31152</v>
      </c>
      <c r="K258" s="1025">
        <f t="shared" si="8"/>
        <v>27414</v>
      </c>
      <c r="L258" s="804" t="s">
        <v>17</v>
      </c>
      <c r="M258" s="803">
        <v>45645</v>
      </c>
      <c r="U258" t="s">
        <v>4617</v>
      </c>
      <c r="V258" s="360">
        <v>0.51736111111111105</v>
      </c>
      <c r="W258" s="360"/>
    </row>
    <row r="259" spans="1:23" ht="15.75" thickBot="1" x14ac:dyDescent="0.3"/>
    <row r="260" spans="1:23" ht="15.75" thickBot="1" x14ac:dyDescent="0.3">
      <c r="C260" s="1595" t="s">
        <v>6570</v>
      </c>
      <c r="D260" s="1595"/>
      <c r="E260" s="1595"/>
      <c r="F260" s="1595"/>
      <c r="G260" s="1595"/>
      <c r="H260" s="1595"/>
      <c r="I260" s="1596"/>
      <c r="J260" s="560">
        <f>SUBTOTAL(9,J125:J259)</f>
        <v>0</v>
      </c>
      <c r="K260" s="88"/>
      <c r="L260" s="836"/>
      <c r="N260" s="149"/>
    </row>
    <row r="261" spans="1:23" x14ac:dyDescent="0.25">
      <c r="K261" s="88"/>
    </row>
    <row r="262" spans="1:23" x14ac:dyDescent="0.25">
      <c r="J262" s="149"/>
      <c r="M262" s="28">
        <v>134</v>
      </c>
      <c r="N262" s="32">
        <v>6302049.6000000034</v>
      </c>
    </row>
    <row r="263" spans="1:23" x14ac:dyDescent="0.25">
      <c r="I263" s="1"/>
      <c r="J263" s="475"/>
      <c r="K263" s="61"/>
      <c r="L263" s="30" t="s">
        <v>4046</v>
      </c>
      <c r="N263" s="28" t="s">
        <v>2468</v>
      </c>
    </row>
    <row r="264" spans="1:23" x14ac:dyDescent="0.25">
      <c r="I264" s="1"/>
      <c r="J264" s="475"/>
      <c r="K264" s="61" t="s">
        <v>219</v>
      </c>
      <c r="L264" s="368">
        <v>6307241.5999999996</v>
      </c>
      <c r="M264" s="28">
        <v>148</v>
      </c>
      <c r="N264" s="122">
        <v>45614</v>
      </c>
    </row>
    <row r="265" spans="1:23" x14ac:dyDescent="0.25">
      <c r="I265" s="1"/>
      <c r="J265" s="475"/>
      <c r="K265" s="61" t="s">
        <v>2048</v>
      </c>
      <c r="L265" s="688">
        <f>+N262</f>
        <v>6302049.6000000034</v>
      </c>
      <c r="M265" s="28">
        <f>+M262</f>
        <v>134</v>
      </c>
      <c r="N265" s="122">
        <f>+N264</f>
        <v>45614</v>
      </c>
    </row>
    <row r="266" spans="1:23" x14ac:dyDescent="0.25">
      <c r="H266" s="313"/>
      <c r="K266" s="695" t="s">
        <v>2128</v>
      </c>
      <c r="L266" s="1359">
        <f>+L264-N262</f>
        <v>5191.9999999962747</v>
      </c>
      <c r="M266" s="696" t="s">
        <v>5080</v>
      </c>
    </row>
    <row r="267" spans="1:23" x14ac:dyDescent="0.25">
      <c r="B267"/>
      <c r="C267"/>
      <c r="H267" s="61"/>
      <c r="K267" s="61"/>
      <c r="N267" s="149"/>
    </row>
    <row r="268" spans="1:23" x14ac:dyDescent="0.25">
      <c r="B268"/>
      <c r="C268"/>
      <c r="H268" s="61"/>
    </row>
    <row r="269" spans="1:23" x14ac:dyDescent="0.25">
      <c r="B269"/>
      <c r="C269"/>
      <c r="H269" s="61"/>
      <c r="I269" s="17"/>
      <c r="K269" s="312" t="s">
        <v>2128</v>
      </c>
      <c r="L269" s="1360">
        <f>+L266-L268</f>
        <v>5191.9999999962747</v>
      </c>
    </row>
    <row r="270" spans="1:23" ht="15.75" thickBot="1" x14ac:dyDescent="0.3">
      <c r="B270"/>
      <c r="C270"/>
      <c r="H270" s="313"/>
      <c r="I270" s="17"/>
      <c r="K270" s="313"/>
      <c r="L270" s="236"/>
    </row>
    <row r="271" spans="1:23" ht="15.75" thickBot="1" x14ac:dyDescent="0.3">
      <c r="B271" s="1019"/>
      <c r="C271" s="1597" t="s">
        <v>6572</v>
      </c>
      <c r="D271" s="1598"/>
      <c r="E271" s="1598"/>
      <c r="F271" s="1598"/>
      <c r="G271" s="1598"/>
      <c r="H271" s="1598"/>
      <c r="I271" s="1598"/>
      <c r="J271" s="1598"/>
      <c r="K271" s="1598"/>
      <c r="L271" s="1598"/>
      <c r="M271" s="1599"/>
    </row>
    <row r="272" spans="1:23" hidden="1" x14ac:dyDescent="0.25">
      <c r="A272" s="483" t="s">
        <v>5135</v>
      </c>
      <c r="B272" t="s">
        <v>614</v>
      </c>
      <c r="C272" s="803">
        <v>45612</v>
      </c>
      <c r="D272" s="803"/>
      <c r="E272" s="803"/>
      <c r="F272" s="362" t="s">
        <v>317</v>
      </c>
      <c r="G272" s="102" t="s">
        <v>5346</v>
      </c>
      <c r="H272" s="102"/>
      <c r="I272" s="1590" t="s">
        <v>6304</v>
      </c>
      <c r="J272" s="810">
        <v>53996.800000000003</v>
      </c>
      <c r="K272" s="1025">
        <f t="shared" ref="K272:K306" si="9">+J272-ROUND(J272*0.12,0)</f>
        <v>47516.800000000003</v>
      </c>
      <c r="L272" s="804" t="s">
        <v>17</v>
      </c>
      <c r="M272" s="803">
        <v>45702</v>
      </c>
      <c r="U272" t="s">
        <v>4345</v>
      </c>
      <c r="V272" s="360">
        <v>0.4777777777777778</v>
      </c>
      <c r="W272" s="360">
        <v>0.76666666666666661</v>
      </c>
    </row>
    <row r="273" spans="1:23" hidden="1" x14ac:dyDescent="0.25">
      <c r="A273" s="483" t="s">
        <v>5135</v>
      </c>
      <c r="B273" t="s">
        <v>614</v>
      </c>
      <c r="C273" s="803">
        <v>45612</v>
      </c>
      <c r="D273" s="803"/>
      <c r="E273" s="803"/>
      <c r="F273" s="362" t="s">
        <v>545</v>
      </c>
      <c r="G273" s="102" t="s">
        <v>5347</v>
      </c>
      <c r="H273" s="102"/>
      <c r="I273" s="1590"/>
      <c r="J273" s="810">
        <v>37382.400000000001</v>
      </c>
      <c r="K273" s="1025">
        <f t="shared" si="9"/>
        <v>32896.400000000001</v>
      </c>
      <c r="L273" s="804" t="s">
        <v>17</v>
      </c>
      <c r="M273" s="803">
        <v>45702</v>
      </c>
      <c r="U273" t="s">
        <v>5119</v>
      </c>
      <c r="V273" s="360">
        <v>0.54861111111111105</v>
      </c>
      <c r="W273" s="360">
        <v>0.72499999999999998</v>
      </c>
    </row>
    <row r="274" spans="1:23" hidden="1" x14ac:dyDescent="0.25">
      <c r="A274" s="483" t="s">
        <v>5136</v>
      </c>
      <c r="B274" t="s">
        <v>614</v>
      </c>
      <c r="C274" s="803">
        <v>45613</v>
      </c>
      <c r="D274" s="803"/>
      <c r="E274" s="803"/>
      <c r="F274" s="362" t="s">
        <v>1931</v>
      </c>
      <c r="G274" s="102" t="s">
        <v>5348</v>
      </c>
      <c r="H274" s="102"/>
      <c r="I274" s="1590"/>
      <c r="J274" s="810">
        <v>62304</v>
      </c>
      <c r="K274" s="1025">
        <f t="shared" si="9"/>
        <v>54828</v>
      </c>
      <c r="L274" s="804" t="s">
        <v>17</v>
      </c>
      <c r="M274" s="803">
        <v>45702</v>
      </c>
      <c r="U274" t="s">
        <v>4139</v>
      </c>
      <c r="V274" s="360">
        <v>0.37708333333333338</v>
      </c>
      <c r="W274" s="360">
        <v>0.76250000000000007</v>
      </c>
    </row>
    <row r="275" spans="1:23" hidden="1" x14ac:dyDescent="0.25">
      <c r="A275" s="483">
        <v>18112024</v>
      </c>
      <c r="B275" t="s">
        <v>614</v>
      </c>
      <c r="C275" s="803">
        <v>45614</v>
      </c>
      <c r="D275" s="803"/>
      <c r="E275" s="803"/>
      <c r="F275" s="362" t="s">
        <v>4200</v>
      </c>
      <c r="G275" s="102" t="s">
        <v>5349</v>
      </c>
      <c r="H275" s="102"/>
      <c r="I275" s="1590"/>
      <c r="J275" s="810">
        <v>44651.199999999997</v>
      </c>
      <c r="K275" s="1025">
        <f t="shared" si="9"/>
        <v>39293.199999999997</v>
      </c>
      <c r="L275" s="804" t="s">
        <v>17</v>
      </c>
      <c r="M275" s="803">
        <v>45702</v>
      </c>
      <c r="U275" t="s">
        <v>4022</v>
      </c>
      <c r="V275" s="360">
        <v>0.38611111111111113</v>
      </c>
      <c r="W275" s="360"/>
    </row>
    <row r="276" spans="1:23" hidden="1" x14ac:dyDescent="0.25">
      <c r="A276" s="483">
        <v>23112024</v>
      </c>
      <c r="B276" t="s">
        <v>614</v>
      </c>
      <c r="C276" s="803">
        <v>45619</v>
      </c>
      <c r="D276" s="102"/>
      <c r="E276" s="102"/>
      <c r="F276" s="362" t="s">
        <v>317</v>
      </c>
      <c r="G276" s="102" t="s">
        <v>5345</v>
      </c>
      <c r="H276" s="102"/>
      <c r="I276" s="1590"/>
      <c r="J276" s="810">
        <v>53996.800000000003</v>
      </c>
      <c r="K276" s="1025">
        <f t="shared" si="9"/>
        <v>47516.800000000003</v>
      </c>
      <c r="L276" s="804" t="s">
        <v>17</v>
      </c>
      <c r="M276" s="803">
        <v>45702</v>
      </c>
      <c r="U276" t="s">
        <v>4911</v>
      </c>
      <c r="V276" s="360">
        <v>0.32222222222222224</v>
      </c>
      <c r="W276" s="360">
        <v>0.66666666666666663</v>
      </c>
    </row>
    <row r="277" spans="1:23" hidden="1" x14ac:dyDescent="0.25">
      <c r="A277" s="483">
        <v>23112024</v>
      </c>
      <c r="B277" t="s">
        <v>614</v>
      </c>
      <c r="C277" s="803">
        <v>45619</v>
      </c>
      <c r="D277" s="102"/>
      <c r="E277" s="102"/>
      <c r="F277" s="362" t="s">
        <v>5174</v>
      </c>
      <c r="G277" s="102" t="s">
        <v>5344</v>
      </c>
      <c r="H277" s="102"/>
      <c r="I277" s="1590"/>
      <c r="J277" s="810">
        <v>44651.199999999997</v>
      </c>
      <c r="K277" s="1025">
        <f t="shared" si="9"/>
        <v>39293.199999999997</v>
      </c>
      <c r="L277" s="804" t="s">
        <v>17</v>
      </c>
      <c r="M277" s="803">
        <v>45702</v>
      </c>
      <c r="U277" t="s">
        <v>5021</v>
      </c>
      <c r="V277" s="360">
        <v>0.4694444444444445</v>
      </c>
      <c r="W277" s="360">
        <v>0.62361111111111112</v>
      </c>
    </row>
    <row r="278" spans="1:23" hidden="1" x14ac:dyDescent="0.25">
      <c r="A278" s="483">
        <v>25112024</v>
      </c>
      <c r="B278" t="s">
        <v>614</v>
      </c>
      <c r="C278" s="803">
        <v>45621</v>
      </c>
      <c r="D278" s="102"/>
      <c r="E278" s="102"/>
      <c r="F278" s="362" t="s">
        <v>3413</v>
      </c>
      <c r="G278" s="102" t="s">
        <v>5341</v>
      </c>
      <c r="H278" s="102"/>
      <c r="I278" s="1590"/>
      <c r="J278" s="810">
        <v>31152</v>
      </c>
      <c r="K278" s="1025">
        <f t="shared" si="9"/>
        <v>27414</v>
      </c>
      <c r="L278" s="804" t="s">
        <v>17</v>
      </c>
      <c r="M278" s="803">
        <v>45702</v>
      </c>
      <c r="V278" s="360"/>
      <c r="W278" s="360"/>
    </row>
    <row r="279" spans="1:23" hidden="1" x14ac:dyDescent="0.25">
      <c r="A279" s="483">
        <v>30112024</v>
      </c>
      <c r="B279" t="s">
        <v>614</v>
      </c>
      <c r="C279" s="803">
        <v>45626</v>
      </c>
      <c r="D279" s="102"/>
      <c r="E279" s="102"/>
      <c r="F279" s="362" t="s">
        <v>2036</v>
      </c>
      <c r="G279" s="102" t="s">
        <v>5342</v>
      </c>
      <c r="H279" s="102"/>
      <c r="I279" s="1590"/>
      <c r="J279" s="810">
        <v>31152</v>
      </c>
      <c r="K279" s="1025">
        <f t="shared" si="9"/>
        <v>27414</v>
      </c>
      <c r="L279" s="804" t="s">
        <v>17</v>
      </c>
      <c r="M279" s="803">
        <v>45702</v>
      </c>
      <c r="U279" t="s">
        <v>4824</v>
      </c>
      <c r="V279" s="360">
        <v>0.56805555555555554</v>
      </c>
      <c r="W279" s="360">
        <v>0.71250000000000002</v>
      </c>
    </row>
    <row r="280" spans="1:23" hidden="1" x14ac:dyDescent="0.25">
      <c r="A280" s="483">
        <v>3122024</v>
      </c>
      <c r="B280" t="s">
        <v>614</v>
      </c>
      <c r="C280" s="803">
        <v>45629</v>
      </c>
      <c r="D280" s="102"/>
      <c r="E280" s="102"/>
      <c r="F280" s="362" t="s">
        <v>236</v>
      </c>
      <c r="G280" s="102" t="s">
        <v>5343</v>
      </c>
      <c r="H280" s="102"/>
      <c r="I280" s="1590"/>
      <c r="J280" s="810">
        <v>62304</v>
      </c>
      <c r="K280" s="1025">
        <f t="shared" si="9"/>
        <v>54828</v>
      </c>
      <c r="L280" s="804" t="s">
        <v>17</v>
      </c>
      <c r="M280" s="803">
        <v>45702</v>
      </c>
      <c r="U280" t="s">
        <v>4140</v>
      </c>
      <c r="V280" s="360"/>
      <c r="W280" s="360"/>
    </row>
    <row r="281" spans="1:23" hidden="1" x14ac:dyDescent="0.25">
      <c r="A281" s="483">
        <v>5122024</v>
      </c>
      <c r="B281" t="s">
        <v>614</v>
      </c>
      <c r="C281" s="803">
        <v>45631</v>
      </c>
      <c r="D281" s="102"/>
      <c r="E281" s="102"/>
      <c r="F281" s="362" t="s">
        <v>113</v>
      </c>
      <c r="G281" s="102" t="s">
        <v>5334</v>
      </c>
      <c r="H281" s="102"/>
      <c r="I281" s="1590"/>
      <c r="J281" s="805">
        <v>44651.199999999997</v>
      </c>
      <c r="K281" s="1025">
        <f t="shared" si="9"/>
        <v>39293.199999999997</v>
      </c>
      <c r="L281" s="804" t="s">
        <v>17</v>
      </c>
      <c r="M281" s="803">
        <v>45702</v>
      </c>
      <c r="U281" t="s">
        <v>4140</v>
      </c>
      <c r="V281" s="360">
        <v>0.50555555555555554</v>
      </c>
      <c r="W281" s="360">
        <v>0.71666666666666667</v>
      </c>
    </row>
    <row r="282" spans="1:23" hidden="1" x14ac:dyDescent="0.25">
      <c r="A282" s="483">
        <v>5122024</v>
      </c>
      <c r="B282" t="s">
        <v>614</v>
      </c>
      <c r="C282" s="803">
        <v>45631</v>
      </c>
      <c r="D282" s="102"/>
      <c r="E282" s="102"/>
      <c r="F282" s="362" t="s">
        <v>3924</v>
      </c>
      <c r="G282" s="102" t="s">
        <v>5335</v>
      </c>
      <c r="H282" s="102"/>
      <c r="I282" s="1590"/>
      <c r="J282" s="805">
        <v>26998.400000000001</v>
      </c>
      <c r="K282" s="1025">
        <f t="shared" si="9"/>
        <v>23758.400000000001</v>
      </c>
      <c r="L282" s="804" t="s">
        <v>17</v>
      </c>
      <c r="M282" s="803">
        <v>45702</v>
      </c>
      <c r="U282" t="s">
        <v>2050</v>
      </c>
      <c r="V282" s="360">
        <v>0.62569444444444444</v>
      </c>
      <c r="W282" s="360"/>
    </row>
    <row r="283" spans="1:23" hidden="1" x14ac:dyDescent="0.25">
      <c r="A283" s="483">
        <v>10122024</v>
      </c>
      <c r="B283" t="s">
        <v>614</v>
      </c>
      <c r="C283" s="803">
        <v>45636</v>
      </c>
      <c r="D283" s="803"/>
      <c r="E283" s="803"/>
      <c r="F283" s="362" t="s">
        <v>3924</v>
      </c>
      <c r="G283" s="102" t="s">
        <v>5336</v>
      </c>
      <c r="H283" s="102"/>
      <c r="I283" s="1590"/>
      <c r="J283" s="810">
        <v>26998.400000000001</v>
      </c>
      <c r="K283" s="1025">
        <f t="shared" si="9"/>
        <v>23758.400000000001</v>
      </c>
      <c r="L283" s="804" t="s">
        <v>17</v>
      </c>
      <c r="M283" s="803">
        <v>45702</v>
      </c>
      <c r="U283" t="s">
        <v>5004</v>
      </c>
      <c r="V283" s="360"/>
      <c r="W283" s="360"/>
    </row>
    <row r="284" spans="1:23" hidden="1" x14ac:dyDescent="0.25">
      <c r="A284" s="483">
        <v>11122024</v>
      </c>
      <c r="B284" t="s">
        <v>614</v>
      </c>
      <c r="C284" s="803">
        <v>45637</v>
      </c>
      <c r="D284" s="102"/>
      <c r="E284" s="102"/>
      <c r="F284" s="362" t="s">
        <v>1931</v>
      </c>
      <c r="G284" s="102" t="s">
        <v>5337</v>
      </c>
      <c r="H284" s="102"/>
      <c r="I284" s="1590"/>
      <c r="J284" s="810">
        <v>62304</v>
      </c>
      <c r="K284" s="1025">
        <f t="shared" si="9"/>
        <v>54828</v>
      </c>
      <c r="L284" s="804" t="s">
        <v>17</v>
      </c>
      <c r="M284" s="803">
        <v>45702</v>
      </c>
      <c r="U284" t="s">
        <v>4417</v>
      </c>
      <c r="V284" s="360">
        <v>0.62083333333333335</v>
      </c>
      <c r="W284" s="360">
        <v>0.90069444444444446</v>
      </c>
    </row>
    <row r="285" spans="1:23" hidden="1" x14ac:dyDescent="0.25">
      <c r="A285" s="483">
        <v>16122024</v>
      </c>
      <c r="B285" t="s">
        <v>614</v>
      </c>
      <c r="C285" s="803">
        <v>45642</v>
      </c>
      <c r="D285" s="102"/>
      <c r="E285" s="102"/>
      <c r="F285" s="362" t="s">
        <v>106</v>
      </c>
      <c r="G285" s="102" t="s">
        <v>5338</v>
      </c>
      <c r="H285" s="102"/>
      <c r="I285" s="1590" t="s">
        <v>5653</v>
      </c>
      <c r="J285" s="810">
        <v>31152</v>
      </c>
      <c r="K285" s="1025">
        <f t="shared" si="9"/>
        <v>27414</v>
      </c>
      <c r="L285" s="362" t="s">
        <v>17</v>
      </c>
      <c r="M285" s="803">
        <v>45715</v>
      </c>
      <c r="U285" t="s">
        <v>4139</v>
      </c>
      <c r="V285" s="360">
        <v>0.47291666666666665</v>
      </c>
      <c r="W285" s="360"/>
    </row>
    <row r="286" spans="1:23" hidden="1" x14ac:dyDescent="0.25">
      <c r="A286" s="483">
        <v>16122024</v>
      </c>
      <c r="B286" t="s">
        <v>614</v>
      </c>
      <c r="C286" s="803">
        <v>45642</v>
      </c>
      <c r="D286" s="102"/>
      <c r="E286" s="102"/>
      <c r="F286" s="362" t="s">
        <v>68</v>
      </c>
      <c r="G286" s="102" t="s">
        <v>5339</v>
      </c>
      <c r="H286" s="102"/>
      <c r="I286" s="1590"/>
      <c r="J286" s="810">
        <v>49843.199999999997</v>
      </c>
      <c r="K286" s="1025">
        <f t="shared" si="9"/>
        <v>43862.2</v>
      </c>
      <c r="L286" s="362" t="s">
        <v>17</v>
      </c>
      <c r="M286" s="803">
        <v>45715</v>
      </c>
      <c r="U286" t="s">
        <v>4417</v>
      </c>
      <c r="V286" s="360"/>
      <c r="W286" s="360"/>
    </row>
    <row r="287" spans="1:23" hidden="1" x14ac:dyDescent="0.25">
      <c r="A287" s="483">
        <v>17122024</v>
      </c>
      <c r="B287" t="s">
        <v>614</v>
      </c>
      <c r="C287" s="803">
        <v>45643</v>
      </c>
      <c r="D287" s="102"/>
      <c r="E287" s="102"/>
      <c r="F287" s="362" t="s">
        <v>294</v>
      </c>
      <c r="G287" s="102" t="s">
        <v>5340</v>
      </c>
      <c r="H287" s="102"/>
      <c r="I287" s="1590"/>
      <c r="J287" s="810">
        <v>44651.199999999997</v>
      </c>
      <c r="K287" s="1025">
        <f t="shared" si="9"/>
        <v>39293.199999999997</v>
      </c>
      <c r="L287" s="362" t="s">
        <v>17</v>
      </c>
      <c r="M287" s="803">
        <v>45715</v>
      </c>
      <c r="U287" t="s">
        <v>5026</v>
      </c>
      <c r="V287" s="360">
        <v>0.4604166666666667</v>
      </c>
      <c r="W287" s="360"/>
    </row>
    <row r="288" spans="1:23" hidden="1" x14ac:dyDescent="0.25">
      <c r="A288" s="483">
        <v>21122024</v>
      </c>
      <c r="B288" t="s">
        <v>614</v>
      </c>
      <c r="C288" s="803">
        <v>45647</v>
      </c>
      <c r="D288" s="102"/>
      <c r="E288" s="102"/>
      <c r="F288" s="362" t="s">
        <v>113</v>
      </c>
      <c r="G288" s="102" t="s">
        <v>5403</v>
      </c>
      <c r="H288" s="102"/>
      <c r="I288" s="1590"/>
      <c r="J288" s="805">
        <v>44651.199999999997</v>
      </c>
      <c r="K288" s="1025">
        <f t="shared" si="9"/>
        <v>39293.199999999997</v>
      </c>
      <c r="L288" s="362" t="s">
        <v>17</v>
      </c>
      <c r="M288" s="803">
        <v>45715</v>
      </c>
      <c r="U288" t="s">
        <v>5020</v>
      </c>
      <c r="V288" s="360">
        <v>0.34444444444444444</v>
      </c>
      <c r="W288" s="360"/>
    </row>
    <row r="289" spans="1:23" hidden="1" x14ac:dyDescent="0.25">
      <c r="A289" s="483">
        <v>22122024</v>
      </c>
      <c r="B289" t="s">
        <v>614</v>
      </c>
      <c r="C289" s="803">
        <v>45648</v>
      </c>
      <c r="D289" s="102"/>
      <c r="E289" s="102"/>
      <c r="F289" s="362" t="s">
        <v>2029</v>
      </c>
      <c r="G289" s="102" t="s">
        <v>5404</v>
      </c>
      <c r="H289" s="102"/>
      <c r="I289" s="1590"/>
      <c r="J289" s="810">
        <v>31152</v>
      </c>
      <c r="K289" s="1025">
        <f t="shared" si="9"/>
        <v>27414</v>
      </c>
      <c r="L289" s="362" t="s">
        <v>17</v>
      </c>
      <c r="M289" s="803">
        <v>45715</v>
      </c>
      <c r="U289" t="s">
        <v>2050</v>
      </c>
      <c r="V289" s="360">
        <v>0.31944444444444448</v>
      </c>
      <c r="W289" s="360">
        <v>0.54305555555555551</v>
      </c>
    </row>
    <row r="290" spans="1:23" hidden="1" x14ac:dyDescent="0.25">
      <c r="A290" s="483">
        <v>29122024</v>
      </c>
      <c r="B290" t="s">
        <v>614</v>
      </c>
      <c r="C290" s="803">
        <v>45655</v>
      </c>
      <c r="D290" s="102"/>
      <c r="E290" s="102"/>
      <c r="F290" s="726" t="s">
        <v>2008</v>
      </c>
      <c r="G290" s="102" t="s">
        <v>5564</v>
      </c>
      <c r="H290" s="102"/>
      <c r="I290" s="1590"/>
      <c r="J290" s="810">
        <v>55035.199999999997</v>
      </c>
      <c r="K290" s="1025">
        <f t="shared" si="9"/>
        <v>48431.199999999997</v>
      </c>
      <c r="L290" s="362" t="s">
        <v>17</v>
      </c>
      <c r="M290" s="803">
        <v>45715</v>
      </c>
      <c r="U290" t="s">
        <v>5393</v>
      </c>
      <c r="V290" s="360">
        <v>0.3666666666666667</v>
      </c>
      <c r="W290" s="360">
        <v>0.61458333333333337</v>
      </c>
    </row>
    <row r="291" spans="1:23" hidden="1" x14ac:dyDescent="0.25">
      <c r="A291" s="483">
        <v>30122024</v>
      </c>
      <c r="B291" t="s">
        <v>614</v>
      </c>
      <c r="C291" s="803">
        <v>45656</v>
      </c>
      <c r="D291" s="102"/>
      <c r="E291" s="102"/>
      <c r="F291" s="726" t="s">
        <v>2036</v>
      </c>
      <c r="G291" s="102" t="s">
        <v>5565</v>
      </c>
      <c r="H291" s="102"/>
      <c r="I291" s="1590"/>
      <c r="J291" s="810">
        <v>31152</v>
      </c>
      <c r="K291" s="1025">
        <f t="shared" si="9"/>
        <v>27414</v>
      </c>
      <c r="L291" s="362" t="s">
        <v>17</v>
      </c>
      <c r="M291" s="803">
        <v>45715</v>
      </c>
      <c r="U291" t="s">
        <v>5020</v>
      </c>
      <c r="V291" s="360">
        <v>0.3833333333333333</v>
      </c>
      <c r="W291" s="360"/>
    </row>
    <row r="292" spans="1:23" hidden="1" x14ac:dyDescent="0.25">
      <c r="A292" s="483">
        <v>8012025</v>
      </c>
      <c r="B292" t="s">
        <v>614</v>
      </c>
      <c r="C292" s="803">
        <v>45665</v>
      </c>
      <c r="D292" s="102"/>
      <c r="E292" s="102"/>
      <c r="F292" s="726" t="s">
        <v>2036</v>
      </c>
      <c r="G292" s="102" t="s">
        <v>5566</v>
      </c>
      <c r="H292" s="102"/>
      <c r="I292" s="1590"/>
      <c r="J292" s="810">
        <v>31152</v>
      </c>
      <c r="K292" s="1025">
        <f t="shared" si="9"/>
        <v>27414</v>
      </c>
      <c r="L292" s="362" t="s">
        <v>17</v>
      </c>
      <c r="M292" s="803">
        <v>45715</v>
      </c>
      <c r="U292" t="s">
        <v>5020</v>
      </c>
      <c r="V292" s="360">
        <v>0.51250000000000007</v>
      </c>
      <c r="W292" s="360"/>
    </row>
    <row r="293" spans="1:23" hidden="1" x14ac:dyDescent="0.25">
      <c r="A293" s="483">
        <v>10012025</v>
      </c>
      <c r="B293" t="s">
        <v>614</v>
      </c>
      <c r="C293" s="803">
        <v>45667</v>
      </c>
      <c r="D293" s="102"/>
      <c r="E293" s="102"/>
      <c r="F293" s="726" t="s">
        <v>143</v>
      </c>
      <c r="G293" s="102" t="s">
        <v>5567</v>
      </c>
      <c r="H293" s="102"/>
      <c r="I293" s="1590"/>
      <c r="J293" s="810">
        <v>43612.800000000003</v>
      </c>
      <c r="K293" s="1025">
        <f t="shared" si="9"/>
        <v>38378.800000000003</v>
      </c>
      <c r="L293" s="362" t="s">
        <v>17</v>
      </c>
      <c r="M293" s="803">
        <v>45715</v>
      </c>
      <c r="U293" t="s">
        <v>4365</v>
      </c>
      <c r="V293" s="360">
        <v>0.68958333333333333</v>
      </c>
      <c r="W293" s="360">
        <v>0.87430555555555556</v>
      </c>
    </row>
    <row r="294" spans="1:23" hidden="1" x14ac:dyDescent="0.25">
      <c r="A294" s="483">
        <v>12012025</v>
      </c>
      <c r="B294" t="s">
        <v>614</v>
      </c>
      <c r="C294" s="803">
        <v>45669</v>
      </c>
      <c r="D294" s="102"/>
      <c r="E294" s="102"/>
      <c r="F294" s="726" t="s">
        <v>563</v>
      </c>
      <c r="G294" s="102" t="s">
        <v>5568</v>
      </c>
      <c r="H294" s="102"/>
      <c r="I294" s="1590"/>
      <c r="J294" s="810">
        <v>33228.800000000003</v>
      </c>
      <c r="K294" s="1025">
        <f t="shared" si="9"/>
        <v>29241.800000000003</v>
      </c>
      <c r="L294" s="362" t="s">
        <v>17</v>
      </c>
      <c r="M294" s="803">
        <v>45715</v>
      </c>
      <c r="U294" t="s">
        <v>4138</v>
      </c>
      <c r="V294" s="360">
        <v>0.41319444444444442</v>
      </c>
      <c r="W294" s="360">
        <v>0.62638888888888888</v>
      </c>
    </row>
    <row r="295" spans="1:23" hidden="1" x14ac:dyDescent="0.25">
      <c r="A295" s="483">
        <v>14012025</v>
      </c>
      <c r="B295" t="s">
        <v>614</v>
      </c>
      <c r="C295" s="803">
        <v>45671</v>
      </c>
      <c r="D295" s="102"/>
      <c r="E295" s="102"/>
      <c r="F295" s="726" t="s">
        <v>68</v>
      </c>
      <c r="G295" s="362" t="s">
        <v>5569</v>
      </c>
      <c r="H295" s="102"/>
      <c r="I295" s="1590"/>
      <c r="J295" s="1394">
        <v>49843.199999999997</v>
      </c>
      <c r="K295" s="1025">
        <f t="shared" si="9"/>
        <v>43862.2</v>
      </c>
      <c r="L295" s="362" t="s">
        <v>17</v>
      </c>
      <c r="M295" s="803">
        <v>45715</v>
      </c>
      <c r="V295" s="360"/>
      <c r="W295" s="360"/>
    </row>
    <row r="296" spans="1:23" hidden="1" x14ac:dyDescent="0.25">
      <c r="A296" s="483">
        <v>15012025</v>
      </c>
      <c r="B296" t="s">
        <v>614</v>
      </c>
      <c r="C296" s="803">
        <v>45672</v>
      </c>
      <c r="D296" s="102"/>
      <c r="E296" s="102"/>
      <c r="F296" s="726" t="s">
        <v>143</v>
      </c>
      <c r="G296" s="102" t="s">
        <v>5593</v>
      </c>
      <c r="H296" s="102"/>
      <c r="I296" s="1590" t="s">
        <v>5638</v>
      </c>
      <c r="J296" s="810">
        <v>43612.800000000003</v>
      </c>
      <c r="K296" s="1025">
        <f t="shared" si="9"/>
        <v>38378.800000000003</v>
      </c>
      <c r="L296" s="362" t="s">
        <v>17</v>
      </c>
      <c r="M296" s="803">
        <v>45708</v>
      </c>
      <c r="U296" t="s">
        <v>5393</v>
      </c>
      <c r="V296" s="360">
        <v>0.43124999999999997</v>
      </c>
      <c r="W296" s="360">
        <v>0.6333333333333333</v>
      </c>
    </row>
    <row r="297" spans="1:23" hidden="1" x14ac:dyDescent="0.25">
      <c r="A297" s="483">
        <v>18012025</v>
      </c>
      <c r="B297" t="s">
        <v>614</v>
      </c>
      <c r="C297" s="803">
        <v>45675</v>
      </c>
      <c r="D297" s="102"/>
      <c r="E297" s="102"/>
      <c r="F297" s="726" t="s">
        <v>207</v>
      </c>
      <c r="G297" s="102" t="s">
        <v>5594</v>
      </c>
      <c r="H297" s="102"/>
      <c r="I297" s="1590"/>
      <c r="J297" s="810">
        <v>41536</v>
      </c>
      <c r="K297" s="1025">
        <f t="shared" si="9"/>
        <v>36552</v>
      </c>
      <c r="L297" s="362" t="s">
        <v>17</v>
      </c>
      <c r="M297" s="803">
        <v>45708</v>
      </c>
      <c r="U297" t="s">
        <v>4138</v>
      </c>
      <c r="V297" s="360">
        <v>0.5395833333333333</v>
      </c>
      <c r="W297" s="360">
        <v>0.72430555555555554</v>
      </c>
    </row>
    <row r="298" spans="1:23" hidden="1" x14ac:dyDescent="0.25">
      <c r="A298" s="483">
        <v>24012025</v>
      </c>
      <c r="B298" t="s">
        <v>614</v>
      </c>
      <c r="C298" s="803">
        <v>45681</v>
      </c>
      <c r="D298" s="102"/>
      <c r="E298" s="102"/>
      <c r="F298" s="726" t="s">
        <v>285</v>
      </c>
      <c r="G298" s="102" t="s">
        <v>5595</v>
      </c>
      <c r="H298" s="102"/>
      <c r="I298" s="1590"/>
      <c r="J298" s="805">
        <v>51920</v>
      </c>
      <c r="K298" s="1025">
        <f t="shared" si="9"/>
        <v>45690</v>
      </c>
      <c r="L298" s="362" t="s">
        <v>17</v>
      </c>
      <c r="M298" s="803">
        <v>45708</v>
      </c>
      <c r="U298" t="s">
        <v>4140</v>
      </c>
      <c r="V298" s="360">
        <v>0.34791666666666665</v>
      </c>
      <c r="W298" s="30"/>
    </row>
    <row r="299" spans="1:23" hidden="1" x14ac:dyDescent="0.25">
      <c r="A299" s="483">
        <v>25012025</v>
      </c>
      <c r="B299" t="s">
        <v>614</v>
      </c>
      <c r="C299" s="803">
        <v>45682</v>
      </c>
      <c r="D299" s="102"/>
      <c r="E299" s="102"/>
      <c r="F299" s="726" t="s">
        <v>425</v>
      </c>
      <c r="G299" s="102" t="s">
        <v>5596</v>
      </c>
      <c r="H299" s="102"/>
      <c r="I299" s="1590"/>
      <c r="J299" s="805">
        <v>39459.199999999997</v>
      </c>
      <c r="K299" s="1025">
        <f t="shared" si="9"/>
        <v>34724.199999999997</v>
      </c>
      <c r="L299" s="362" t="s">
        <v>17</v>
      </c>
      <c r="M299" s="803">
        <v>45708</v>
      </c>
      <c r="U299" t="s">
        <v>5004</v>
      </c>
      <c r="V299" s="360">
        <v>0.71666666666666667</v>
      </c>
      <c r="W299" s="360">
        <v>0.91319444444444453</v>
      </c>
    </row>
    <row r="300" spans="1:23" hidden="1" x14ac:dyDescent="0.25">
      <c r="A300" s="483">
        <v>29012025</v>
      </c>
      <c r="B300" t="s">
        <v>614</v>
      </c>
      <c r="C300" s="803">
        <v>45686</v>
      </c>
      <c r="D300" s="102"/>
      <c r="E300" s="102"/>
      <c r="F300" s="726" t="s">
        <v>3413</v>
      </c>
      <c r="G300" s="102" t="s">
        <v>5828</v>
      </c>
      <c r="H300" s="102"/>
      <c r="I300" s="1590"/>
      <c r="J300" s="805">
        <v>31152</v>
      </c>
      <c r="K300" s="1025">
        <f t="shared" si="9"/>
        <v>27414</v>
      </c>
      <c r="L300" s="362" t="s">
        <v>17</v>
      </c>
      <c r="M300" s="803">
        <v>45708</v>
      </c>
      <c r="U300" t="s">
        <v>5021</v>
      </c>
      <c r="V300" s="360">
        <v>0.34375</v>
      </c>
      <c r="W300" s="30"/>
    </row>
    <row r="301" spans="1:23" hidden="1" x14ac:dyDescent="0.25">
      <c r="A301" s="483">
        <v>30012025</v>
      </c>
      <c r="B301" t="s">
        <v>614</v>
      </c>
      <c r="C301" s="803">
        <v>45687</v>
      </c>
      <c r="D301" s="102"/>
      <c r="E301" s="102"/>
      <c r="F301" s="726" t="s">
        <v>113</v>
      </c>
      <c r="G301" s="102" t="s">
        <v>5829</v>
      </c>
      <c r="H301" s="102"/>
      <c r="I301" s="1590"/>
      <c r="J301" s="805">
        <v>44651.199999999997</v>
      </c>
      <c r="K301" s="1025">
        <f t="shared" si="9"/>
        <v>39293.199999999997</v>
      </c>
      <c r="L301" s="362" t="s">
        <v>17</v>
      </c>
      <c r="M301" s="803">
        <v>45708</v>
      </c>
      <c r="U301" t="s">
        <v>4138</v>
      </c>
      <c r="V301" s="360">
        <v>0.46111111111111108</v>
      </c>
      <c r="W301" s="360">
        <v>0.64861111111111114</v>
      </c>
    </row>
    <row r="302" spans="1:23" hidden="1" x14ac:dyDescent="0.25">
      <c r="A302" s="483">
        <v>30012025</v>
      </c>
      <c r="B302" t="s">
        <v>614</v>
      </c>
      <c r="C302" s="803">
        <v>45687</v>
      </c>
      <c r="D302" s="102"/>
      <c r="E302" s="102"/>
      <c r="F302" s="726" t="s">
        <v>5830</v>
      </c>
      <c r="G302" s="102" t="s">
        <v>5831</v>
      </c>
      <c r="H302" s="102"/>
      <c r="I302" s="1590"/>
      <c r="J302" s="805">
        <v>62304</v>
      </c>
      <c r="K302" s="1025">
        <f t="shared" si="9"/>
        <v>54828</v>
      </c>
      <c r="L302" s="362" t="s">
        <v>17</v>
      </c>
      <c r="M302" s="803">
        <v>45708</v>
      </c>
      <c r="U302" t="s">
        <v>5026</v>
      </c>
      <c r="V302" s="360">
        <v>0.62430555555555556</v>
      </c>
      <c r="W302" s="360">
        <v>0.94374999999999998</v>
      </c>
    </row>
    <row r="303" spans="1:23" hidden="1" x14ac:dyDescent="0.25">
      <c r="A303" s="483">
        <v>31012025</v>
      </c>
      <c r="B303" t="s">
        <v>614</v>
      </c>
      <c r="C303" s="803">
        <v>45688</v>
      </c>
      <c r="D303" s="102"/>
      <c r="E303" s="102"/>
      <c r="F303" s="726" t="s">
        <v>872</v>
      </c>
      <c r="G303" s="362" t="s">
        <v>5832</v>
      </c>
      <c r="H303" s="102"/>
      <c r="I303" s="1590"/>
      <c r="J303" s="805">
        <v>44651.199999999997</v>
      </c>
      <c r="K303" s="1025">
        <f t="shared" si="9"/>
        <v>39293.199999999997</v>
      </c>
      <c r="L303" s="362" t="s">
        <v>17</v>
      </c>
      <c r="M303" s="803">
        <v>45708</v>
      </c>
      <c r="U303" t="s">
        <v>5020</v>
      </c>
      <c r="V303" s="360">
        <v>0.35833333333333334</v>
      </c>
      <c r="W303" s="30"/>
    </row>
    <row r="304" spans="1:23" hidden="1" x14ac:dyDescent="0.25">
      <c r="A304" s="483">
        <v>31012025</v>
      </c>
      <c r="B304" t="s">
        <v>614</v>
      </c>
      <c r="C304" s="803">
        <v>45688</v>
      </c>
      <c r="D304" s="102"/>
      <c r="E304" s="102"/>
      <c r="F304" s="726" t="s">
        <v>2253</v>
      </c>
      <c r="G304" s="362" t="s">
        <v>5833</v>
      </c>
      <c r="H304" s="102"/>
      <c r="I304" s="1590"/>
      <c r="J304" s="805">
        <v>62304</v>
      </c>
      <c r="K304" s="1025">
        <f t="shared" si="9"/>
        <v>54828</v>
      </c>
      <c r="L304" s="362" t="s">
        <v>17</v>
      </c>
      <c r="M304" s="803">
        <v>45708</v>
      </c>
      <c r="V304" s="30"/>
      <c r="W304" s="30"/>
    </row>
    <row r="305" spans="1:23" hidden="1" x14ac:dyDescent="0.25">
      <c r="A305" s="483" t="s">
        <v>5604</v>
      </c>
      <c r="B305" t="s">
        <v>614</v>
      </c>
      <c r="C305" s="834">
        <v>45690</v>
      </c>
      <c r="D305" s="145"/>
      <c r="E305" s="145"/>
      <c r="F305" s="1018" t="s">
        <v>106</v>
      </c>
      <c r="G305" s="376" t="s">
        <v>5835</v>
      </c>
      <c r="H305" s="102"/>
      <c r="I305" s="1590"/>
      <c r="J305" s="810">
        <v>31152</v>
      </c>
      <c r="K305" s="1025">
        <f t="shared" si="9"/>
        <v>27414</v>
      </c>
      <c r="L305" s="362" t="s">
        <v>17</v>
      </c>
      <c r="M305" s="803">
        <v>45708</v>
      </c>
      <c r="U305" t="s">
        <v>5131</v>
      </c>
      <c r="V305" s="360">
        <v>0.42569444444444443</v>
      </c>
      <c r="W305" s="360">
        <v>0.58472222222222225</v>
      </c>
    </row>
    <row r="306" spans="1:23" hidden="1" x14ac:dyDescent="0.25">
      <c r="A306" s="483" t="s">
        <v>5606</v>
      </c>
      <c r="B306" t="s">
        <v>614</v>
      </c>
      <c r="C306" s="803">
        <v>45691</v>
      </c>
      <c r="D306" s="102"/>
      <c r="E306" s="102"/>
      <c r="F306" s="726" t="s">
        <v>126</v>
      </c>
      <c r="G306" s="362" t="s">
        <v>5218</v>
      </c>
      <c r="H306" s="1047"/>
      <c r="I306" s="1590"/>
      <c r="J306" s="805">
        <v>43612.800000000003</v>
      </c>
      <c r="K306" s="1025">
        <f t="shared" si="9"/>
        <v>38378.800000000003</v>
      </c>
      <c r="L306" s="362" t="s">
        <v>17</v>
      </c>
      <c r="M306" s="803">
        <v>45708</v>
      </c>
      <c r="U306" t="s">
        <v>4911</v>
      </c>
      <c r="V306" s="360"/>
      <c r="W306" s="360"/>
    </row>
    <row r="307" spans="1:23" x14ac:dyDescent="0.25">
      <c r="A307" s="483"/>
      <c r="B307"/>
      <c r="C307" s="233"/>
      <c r="G307" s="30"/>
      <c r="H307"/>
      <c r="J307" s="798"/>
      <c r="K307" s="3"/>
      <c r="M307" s="798"/>
      <c r="V307" s="360"/>
      <c r="W307" s="360"/>
    </row>
    <row r="308" spans="1:23" x14ac:dyDescent="0.25">
      <c r="A308" s="483"/>
      <c r="B308"/>
      <c r="C308" s="233"/>
      <c r="D308" s="233"/>
      <c r="E308" s="233"/>
      <c r="F308" s="30"/>
      <c r="G308" s="149"/>
      <c r="H308"/>
      <c r="J308" s="478"/>
      <c r="K308" s="3"/>
      <c r="L308" s="971"/>
      <c r="M308" s="798"/>
      <c r="N308" s="812">
        <v>36</v>
      </c>
      <c r="V308" s="360"/>
      <c r="W308" s="360"/>
    </row>
    <row r="309" spans="1:23" x14ac:dyDescent="0.25">
      <c r="B309"/>
      <c r="C309" s="1591" t="s">
        <v>6573</v>
      </c>
      <c r="D309" s="1558"/>
      <c r="E309" s="1558"/>
      <c r="F309" s="1558"/>
      <c r="G309" s="1558"/>
      <c r="H309" s="1558"/>
      <c r="I309" s="1592"/>
      <c r="J309" s="1045">
        <f>SUBTOTAL(9,J272:J308)</f>
        <v>0</v>
      </c>
      <c r="K309" s="1046"/>
      <c r="L309" s="1361"/>
      <c r="N309" s="32">
        <v>1567984</v>
      </c>
    </row>
    <row r="310" spans="1:23" x14ac:dyDescent="0.25">
      <c r="C310" s="110"/>
      <c r="D310" s="102"/>
      <c r="E310" s="102"/>
      <c r="F310" s="726"/>
      <c r="G310" s="102"/>
      <c r="H310" s="726"/>
      <c r="I310" s="102"/>
      <c r="J310" s="102"/>
      <c r="K310" s="1606" t="s">
        <v>5543</v>
      </c>
      <c r="L310" s="1606"/>
      <c r="M310" s="1606"/>
      <c r="N310" s="28" t="s">
        <v>2468</v>
      </c>
    </row>
    <row r="311" spans="1:23" s="1" customFormat="1" x14ac:dyDescent="0.25">
      <c r="B311" s="25"/>
      <c r="C311" s="1041"/>
      <c r="D311" s="791"/>
      <c r="E311" s="791"/>
      <c r="F311" s="724"/>
      <c r="G311" s="791"/>
      <c r="H311" s="724"/>
      <c r="I311" s="791"/>
      <c r="J311" s="791"/>
      <c r="K311" s="790" t="s">
        <v>5541</v>
      </c>
      <c r="L311" s="1362" t="s">
        <v>5542</v>
      </c>
      <c r="M311" s="724" t="s">
        <v>5540</v>
      </c>
      <c r="N311" s="25"/>
    </row>
    <row r="312" spans="1:23" x14ac:dyDescent="0.25">
      <c r="C312" s="110"/>
      <c r="D312" s="102"/>
      <c r="E312" s="102"/>
      <c r="F312" s="726"/>
      <c r="G312" s="102"/>
      <c r="H312" s="726"/>
      <c r="I312" s="102"/>
      <c r="J312" s="102"/>
      <c r="K312" s="792" t="s">
        <v>219</v>
      </c>
      <c r="L312" s="1363">
        <f>1576810.4+L269</f>
        <v>1582002.3999999962</v>
      </c>
      <c r="M312" s="726"/>
      <c r="N312" s="122">
        <v>45702</v>
      </c>
    </row>
    <row r="313" spans="1:23" x14ac:dyDescent="0.25">
      <c r="B313"/>
      <c r="C313" s="102"/>
      <c r="D313" s="102"/>
      <c r="E313" s="102"/>
      <c r="F313" s="726"/>
      <c r="G313" s="102"/>
      <c r="H313" s="726"/>
      <c r="I313" s="102"/>
      <c r="J313" s="726"/>
      <c r="K313" s="792" t="s">
        <v>2048</v>
      </c>
      <c r="L313" s="1364">
        <f>+N309</f>
        <v>1567984</v>
      </c>
      <c r="M313" s="726">
        <f>+N308</f>
        <v>36</v>
      </c>
      <c r="N313" s="122">
        <f>+N312</f>
        <v>45702</v>
      </c>
    </row>
    <row r="314" spans="1:23" x14ac:dyDescent="0.25">
      <c r="B314"/>
      <c r="C314" s="102"/>
      <c r="D314" s="102"/>
      <c r="E314" s="102"/>
      <c r="F314" s="726"/>
      <c r="G314" s="102"/>
      <c r="H314" s="726"/>
      <c r="I314" s="102"/>
      <c r="J314" s="726"/>
      <c r="K314" s="794" t="s">
        <v>2128</v>
      </c>
      <c r="L314" s="1365">
        <f>+L312-L313</f>
        <v>14018.399999996182</v>
      </c>
      <c r="M314" s="795"/>
    </row>
    <row r="315" spans="1:23" ht="15.75" thickBot="1" x14ac:dyDescent="0.3">
      <c r="B315"/>
      <c r="C315" s="145"/>
      <c r="D315" s="102"/>
      <c r="E315" s="145"/>
      <c r="F315" s="1018"/>
      <c r="G315" s="145"/>
      <c r="H315" s="726"/>
      <c r="I315" s="145"/>
      <c r="J315" s="1018"/>
      <c r="K315" s="1042"/>
      <c r="L315" s="1366">
        <f>1576810.4</f>
        <v>1576810.4</v>
      </c>
      <c r="M315" s="1043">
        <f>+L315-L313</f>
        <v>8826.3999999999069</v>
      </c>
    </row>
    <row r="316" spans="1:23" ht="15.75" thickBot="1" x14ac:dyDescent="0.3">
      <c r="B316" s="1487" t="s">
        <v>5842</v>
      </c>
      <c r="C316" s="1489"/>
      <c r="D316" s="1593"/>
      <c r="E316" s="1480"/>
      <c r="F316" s="1487"/>
      <c r="G316" s="1489"/>
      <c r="H316" s="1593"/>
      <c r="I316" s="1487"/>
      <c r="J316" s="1489"/>
      <c r="K316" s="1069"/>
      <c r="L316" s="1367"/>
      <c r="M316" s="1044"/>
    </row>
    <row r="317" spans="1:23" x14ac:dyDescent="0.25">
      <c r="C317" s="1070" t="s">
        <v>437</v>
      </c>
      <c r="D317" s="791"/>
      <c r="E317" s="1070"/>
      <c r="F317" s="1070" t="s">
        <v>3</v>
      </c>
      <c r="G317" s="1070" t="s">
        <v>4</v>
      </c>
      <c r="H317" s="791"/>
      <c r="I317" s="1036" t="s">
        <v>2044</v>
      </c>
      <c r="J317" s="1036" t="s">
        <v>5542</v>
      </c>
      <c r="K317" s="1042"/>
      <c r="L317" s="1367"/>
      <c r="M317" s="1044"/>
    </row>
    <row r="318" spans="1:23" hidden="1" x14ac:dyDescent="0.25">
      <c r="A318" s="483">
        <v>14032025</v>
      </c>
      <c r="B318" t="s">
        <v>614</v>
      </c>
      <c r="C318" s="1052">
        <v>45730</v>
      </c>
      <c r="D318" s="102"/>
      <c r="E318" s="102"/>
      <c r="F318" s="1053" t="s">
        <v>2036</v>
      </c>
      <c r="G318" s="1054" t="s">
        <v>5847</v>
      </c>
      <c r="H318" s="102"/>
      <c r="I318" s="1590" t="s">
        <v>6596</v>
      </c>
      <c r="J318" s="1049">
        <v>31152</v>
      </c>
      <c r="K318" s="1050">
        <f t="shared" ref="K318:K361" si="10">+J318-ROUND(J318*0.12,0)</f>
        <v>27414</v>
      </c>
      <c r="L318" s="1054" t="s">
        <v>17</v>
      </c>
      <c r="M318" s="803">
        <v>45856</v>
      </c>
      <c r="U318" t="s">
        <v>5776</v>
      </c>
      <c r="V318" s="360">
        <v>0.6020833333333333</v>
      </c>
      <c r="W318" s="30"/>
    </row>
    <row r="319" spans="1:23" hidden="1" x14ac:dyDescent="0.25">
      <c r="A319" s="483">
        <v>14032025</v>
      </c>
      <c r="B319" t="s">
        <v>614</v>
      </c>
      <c r="C319" s="1052">
        <v>45730</v>
      </c>
      <c r="D319" s="102"/>
      <c r="E319" s="102"/>
      <c r="F319" s="1053" t="s">
        <v>2036</v>
      </c>
      <c r="G319" s="1054" t="s">
        <v>5848</v>
      </c>
      <c r="H319" s="102"/>
      <c r="I319" s="1590"/>
      <c r="J319" s="1049">
        <v>31152</v>
      </c>
      <c r="K319" s="1050">
        <f t="shared" si="10"/>
        <v>27414</v>
      </c>
      <c r="L319" s="1054" t="s">
        <v>17</v>
      </c>
      <c r="M319" s="803">
        <v>45856</v>
      </c>
      <c r="U319" t="s">
        <v>5020</v>
      </c>
      <c r="V319" s="360">
        <v>0.62986111111111109</v>
      </c>
      <c r="W319" s="30"/>
    </row>
    <row r="320" spans="1:23" hidden="1" x14ac:dyDescent="0.25">
      <c r="A320" s="483">
        <v>16032025</v>
      </c>
      <c r="B320" t="s">
        <v>614</v>
      </c>
      <c r="C320" s="1052">
        <v>45732</v>
      </c>
      <c r="D320" s="102"/>
      <c r="E320" s="102"/>
      <c r="F320" s="1053" t="s">
        <v>2437</v>
      </c>
      <c r="G320" s="1051" t="s">
        <v>6015</v>
      </c>
      <c r="H320" s="102"/>
      <c r="I320" s="1590"/>
      <c r="J320" s="1049">
        <v>26998.400000000001</v>
      </c>
      <c r="K320" s="1050">
        <f t="shared" si="10"/>
        <v>23758.400000000001</v>
      </c>
      <c r="L320" s="1054" t="s">
        <v>17</v>
      </c>
      <c r="M320" s="803">
        <v>45856</v>
      </c>
      <c r="U320" t="s">
        <v>4417</v>
      </c>
      <c r="V320" s="360">
        <v>0.31388888888888888</v>
      </c>
      <c r="W320" s="360">
        <v>0.50972222222222219</v>
      </c>
    </row>
    <row r="321" spans="1:23" hidden="1" x14ac:dyDescent="0.25">
      <c r="A321" s="483">
        <v>20032025</v>
      </c>
      <c r="B321" t="s">
        <v>614</v>
      </c>
      <c r="C321" s="1060">
        <v>45736</v>
      </c>
      <c r="D321" s="102"/>
      <c r="E321" s="102"/>
      <c r="F321" s="1061" t="s">
        <v>113</v>
      </c>
      <c r="G321" s="1062" t="s">
        <v>6014</v>
      </c>
      <c r="H321" s="102"/>
      <c r="I321" s="1590"/>
      <c r="J321" s="1063">
        <v>44651.199999999997</v>
      </c>
      <c r="K321" s="1064">
        <f t="shared" si="10"/>
        <v>39293.199999999997</v>
      </c>
      <c r="L321" s="563" t="s">
        <v>17</v>
      </c>
      <c r="M321" s="803">
        <v>45869</v>
      </c>
      <c r="N321" s="122">
        <v>45869</v>
      </c>
      <c r="U321" t="s">
        <v>5078</v>
      </c>
      <c r="V321" s="30"/>
      <c r="W321" s="30"/>
    </row>
    <row r="322" spans="1:23" hidden="1" x14ac:dyDescent="0.25">
      <c r="A322" s="483">
        <v>20032025</v>
      </c>
      <c r="B322" t="s">
        <v>614</v>
      </c>
      <c r="C322" s="1052">
        <v>45736</v>
      </c>
      <c r="D322" s="102"/>
      <c r="E322" s="102"/>
      <c r="F322" s="1053" t="s">
        <v>2008</v>
      </c>
      <c r="G322" s="1051" t="s">
        <v>6016</v>
      </c>
      <c r="H322" s="102"/>
      <c r="I322" s="1590"/>
      <c r="J322" s="1049">
        <v>55035.199999999997</v>
      </c>
      <c r="K322" s="1050">
        <f t="shared" si="10"/>
        <v>48431.199999999997</v>
      </c>
      <c r="L322" s="563" t="s">
        <v>17</v>
      </c>
      <c r="M322" s="803">
        <v>45856</v>
      </c>
      <c r="N322" s="122"/>
      <c r="U322" t="s">
        <v>4853</v>
      </c>
      <c r="V322" s="360">
        <v>0.33819444444444446</v>
      </c>
      <c r="W322" s="30"/>
    </row>
    <row r="323" spans="1:23" hidden="1" x14ac:dyDescent="0.25">
      <c r="A323" s="483">
        <v>20032025</v>
      </c>
      <c r="B323" t="s">
        <v>614</v>
      </c>
      <c r="C323" s="1055">
        <v>45736</v>
      </c>
      <c r="D323" s="102"/>
      <c r="E323" s="102"/>
      <c r="F323" s="1056" t="s">
        <v>2029</v>
      </c>
      <c r="G323" s="1057" t="s">
        <v>6017</v>
      </c>
      <c r="H323" s="102"/>
      <c r="I323" s="1590"/>
      <c r="J323" s="1058">
        <v>31152</v>
      </c>
      <c r="K323" s="1059">
        <f t="shared" si="10"/>
        <v>27414</v>
      </c>
      <c r="L323" s="563" t="s">
        <v>17</v>
      </c>
      <c r="M323" s="803">
        <v>45863</v>
      </c>
      <c r="N323" s="122"/>
      <c r="U323" t="s">
        <v>4911</v>
      </c>
      <c r="V323" s="360">
        <v>0.36180555555555555</v>
      </c>
      <c r="W323" s="30"/>
    </row>
    <row r="324" spans="1:23" hidden="1" x14ac:dyDescent="0.25">
      <c r="A324" s="483">
        <v>20032025</v>
      </c>
      <c r="B324" t="s">
        <v>614</v>
      </c>
      <c r="C324" s="1055">
        <v>45736</v>
      </c>
      <c r="D324" s="102"/>
      <c r="E324" s="102"/>
      <c r="F324" s="1056" t="s">
        <v>545</v>
      </c>
      <c r="G324" s="1057" t="s">
        <v>6018</v>
      </c>
      <c r="H324" s="102"/>
      <c r="I324" s="1590"/>
      <c r="J324" s="1058">
        <v>37382.400000000001</v>
      </c>
      <c r="K324" s="1059">
        <f t="shared" si="10"/>
        <v>32896.400000000001</v>
      </c>
      <c r="L324" s="563" t="s">
        <v>17</v>
      </c>
      <c r="M324" s="803">
        <v>45863</v>
      </c>
      <c r="N324" s="122"/>
      <c r="V324" s="30"/>
      <c r="W324" s="30"/>
    </row>
    <row r="325" spans="1:23" hidden="1" x14ac:dyDescent="0.25">
      <c r="A325" s="483">
        <v>21032025</v>
      </c>
      <c r="B325" t="s">
        <v>614</v>
      </c>
      <c r="C325" s="1055">
        <v>45737</v>
      </c>
      <c r="D325" s="102"/>
      <c r="E325" s="102"/>
      <c r="F325" s="1056" t="s">
        <v>545</v>
      </c>
      <c r="G325" s="1057" t="s">
        <v>6019</v>
      </c>
      <c r="H325" s="102"/>
      <c r="I325" s="1590"/>
      <c r="J325" s="1058">
        <v>37382.400000000001</v>
      </c>
      <c r="K325" s="1059">
        <f t="shared" si="10"/>
        <v>32896.400000000001</v>
      </c>
      <c r="L325" s="563" t="s">
        <v>17</v>
      </c>
      <c r="M325" s="803">
        <v>45863</v>
      </c>
      <c r="N325" s="122"/>
      <c r="U325" t="s">
        <v>5026</v>
      </c>
      <c r="V325" s="360">
        <v>0.29652777777777778</v>
      </c>
      <c r="W325" s="30"/>
    </row>
    <row r="326" spans="1:23" hidden="1" x14ac:dyDescent="0.25">
      <c r="A326" s="483">
        <v>23032025</v>
      </c>
      <c r="B326" s="21" t="s">
        <v>614</v>
      </c>
      <c r="C326" s="1055">
        <v>45739</v>
      </c>
      <c r="D326" s="102"/>
      <c r="E326" s="102"/>
      <c r="F326" s="1056" t="s">
        <v>563</v>
      </c>
      <c r="G326" s="1057" t="s">
        <v>6020</v>
      </c>
      <c r="H326" s="102"/>
      <c r="I326" s="1590"/>
      <c r="J326" s="1058">
        <v>33228.199999999997</v>
      </c>
      <c r="K326" s="1059">
        <f t="shared" si="10"/>
        <v>29241.199999999997</v>
      </c>
      <c r="L326" s="563" t="s">
        <v>17</v>
      </c>
      <c r="M326" s="803">
        <v>45863</v>
      </c>
      <c r="N326" s="122"/>
      <c r="U326" t="s">
        <v>5131</v>
      </c>
      <c r="V326" s="360">
        <v>0.46597222222222223</v>
      </c>
      <c r="W326" s="360">
        <v>0.63958333333333328</v>
      </c>
    </row>
    <row r="327" spans="1:23" hidden="1" x14ac:dyDescent="0.25">
      <c r="A327" s="483">
        <v>26032025</v>
      </c>
      <c r="B327" s="21" t="s">
        <v>614</v>
      </c>
      <c r="C327" s="1055">
        <v>45742</v>
      </c>
      <c r="D327" s="102"/>
      <c r="E327" s="102"/>
      <c r="F327" s="1056" t="s">
        <v>2437</v>
      </c>
      <c r="G327" s="1057" t="s">
        <v>6021</v>
      </c>
      <c r="H327" s="102"/>
      <c r="I327" s="1590"/>
      <c r="J327" s="1058">
        <v>26998.400000000001</v>
      </c>
      <c r="K327" s="1059">
        <f t="shared" si="10"/>
        <v>23758.400000000001</v>
      </c>
      <c r="L327" s="563" t="s">
        <v>17</v>
      </c>
      <c r="M327" s="803">
        <v>45863</v>
      </c>
      <c r="N327" s="122"/>
      <c r="V327" s="30"/>
      <c r="W327" s="30"/>
    </row>
    <row r="328" spans="1:23" hidden="1" x14ac:dyDescent="0.25">
      <c r="A328" s="483">
        <v>27032025</v>
      </c>
      <c r="B328" t="s">
        <v>614</v>
      </c>
      <c r="C328" s="1060">
        <v>45743</v>
      </c>
      <c r="D328" s="102"/>
      <c r="E328" s="102"/>
      <c r="F328" s="1061" t="s">
        <v>317</v>
      </c>
      <c r="G328" s="1062" t="s">
        <v>6022</v>
      </c>
      <c r="H328" s="102"/>
      <c r="I328" s="1590"/>
      <c r="J328" s="1063">
        <v>53996.800000000003</v>
      </c>
      <c r="K328" s="1064">
        <f t="shared" si="10"/>
        <v>47516.800000000003</v>
      </c>
      <c r="L328" s="563" t="s">
        <v>17</v>
      </c>
      <c r="M328" s="803">
        <v>45869</v>
      </c>
      <c r="N328" s="122">
        <v>45869</v>
      </c>
      <c r="U328" t="s">
        <v>4853</v>
      </c>
      <c r="V328" s="360">
        <v>0.29791666666666666</v>
      </c>
      <c r="W328" s="30"/>
    </row>
    <row r="329" spans="1:23" hidden="1" x14ac:dyDescent="0.25">
      <c r="A329" s="483">
        <v>27032025</v>
      </c>
      <c r="B329" t="s">
        <v>614</v>
      </c>
      <c r="C329" s="1052">
        <v>45743</v>
      </c>
      <c r="D329" s="102"/>
      <c r="E329" s="102"/>
      <c r="F329" s="1053" t="s">
        <v>68</v>
      </c>
      <c r="G329" s="1051" t="s">
        <v>6023</v>
      </c>
      <c r="H329" s="102"/>
      <c r="I329" s="1590"/>
      <c r="J329" s="1049">
        <v>49843.199999999997</v>
      </c>
      <c r="K329" s="1050">
        <f t="shared" si="10"/>
        <v>43862.2</v>
      </c>
      <c r="L329" s="563" t="s">
        <v>17</v>
      </c>
      <c r="M329" s="803">
        <v>45856</v>
      </c>
      <c r="N329" s="122"/>
      <c r="U329" t="s">
        <v>5393</v>
      </c>
      <c r="V329" s="30"/>
      <c r="W329" s="30"/>
    </row>
    <row r="330" spans="1:23" hidden="1" x14ac:dyDescent="0.25">
      <c r="A330" s="483">
        <v>28032025</v>
      </c>
      <c r="B330" t="s">
        <v>614</v>
      </c>
      <c r="C330" s="1055">
        <v>45744</v>
      </c>
      <c r="D330" s="102"/>
      <c r="E330" s="102"/>
      <c r="F330" s="1056" t="s">
        <v>2036</v>
      </c>
      <c r="G330" s="1057" t="s">
        <v>6024</v>
      </c>
      <c r="H330" s="102"/>
      <c r="I330" s="1590"/>
      <c r="J330" s="1058">
        <v>31152</v>
      </c>
      <c r="K330" s="1059">
        <f t="shared" si="10"/>
        <v>27414</v>
      </c>
      <c r="L330" s="1071" t="s">
        <v>17</v>
      </c>
      <c r="M330" s="803">
        <v>45863</v>
      </c>
      <c r="N330" s="122"/>
      <c r="U330" t="s">
        <v>4139</v>
      </c>
      <c r="V330" s="360">
        <v>0.4381944444444445</v>
      </c>
      <c r="W330" s="360">
        <v>0.56388888888888888</v>
      </c>
    </row>
    <row r="331" spans="1:23" hidden="1" x14ac:dyDescent="0.25">
      <c r="A331" s="483" t="s">
        <v>5892</v>
      </c>
      <c r="B331" t="s">
        <v>614</v>
      </c>
      <c r="C331" s="1060">
        <v>45748</v>
      </c>
      <c r="D331" s="102"/>
      <c r="E331" s="102"/>
      <c r="F331" s="1061" t="s">
        <v>317</v>
      </c>
      <c r="G331" s="1062" t="s">
        <v>6025</v>
      </c>
      <c r="H331" s="102"/>
      <c r="I331" s="1590"/>
      <c r="J331" s="1063">
        <v>53996.800000000003</v>
      </c>
      <c r="K331" s="1064">
        <f t="shared" si="10"/>
        <v>47516.800000000003</v>
      </c>
      <c r="L331" s="563" t="s">
        <v>17</v>
      </c>
      <c r="M331" s="803">
        <v>45869</v>
      </c>
      <c r="N331" s="122">
        <v>45869</v>
      </c>
      <c r="U331" t="s">
        <v>5891</v>
      </c>
      <c r="V331" s="360">
        <v>0.30555555555555552</v>
      </c>
      <c r="W331" s="30"/>
    </row>
    <row r="332" spans="1:23" hidden="1" x14ac:dyDescent="0.25">
      <c r="A332" s="483" t="s">
        <v>5901</v>
      </c>
      <c r="B332" t="s">
        <v>614</v>
      </c>
      <c r="C332" s="803">
        <v>45751</v>
      </c>
      <c r="D332" s="102"/>
      <c r="E332" s="102"/>
      <c r="F332" s="726" t="s">
        <v>285</v>
      </c>
      <c r="G332" s="102" t="s">
        <v>6026</v>
      </c>
      <c r="H332" s="102"/>
      <c r="I332" s="1590"/>
      <c r="J332" s="805">
        <v>51920</v>
      </c>
      <c r="K332" s="1025">
        <f t="shared" si="10"/>
        <v>45690</v>
      </c>
      <c r="L332" s="804" t="s">
        <v>17</v>
      </c>
      <c r="M332" s="803">
        <v>45877</v>
      </c>
      <c r="N332" s="122"/>
      <c r="U332" t="s">
        <v>4365</v>
      </c>
      <c r="V332" s="360">
        <v>0.37708333333333333</v>
      </c>
      <c r="W332" s="360">
        <v>0.60416666666666663</v>
      </c>
    </row>
    <row r="333" spans="1:23" hidden="1" x14ac:dyDescent="0.25">
      <c r="A333" s="483" t="s">
        <v>5930</v>
      </c>
      <c r="B333" t="s">
        <v>614</v>
      </c>
      <c r="C333" s="803">
        <v>45753</v>
      </c>
      <c r="D333" s="102"/>
      <c r="E333" s="102"/>
      <c r="F333" s="726" t="s">
        <v>2036</v>
      </c>
      <c r="G333" s="102" t="s">
        <v>6028</v>
      </c>
      <c r="H333" s="102"/>
      <c r="I333" s="1590"/>
      <c r="J333" s="805">
        <v>31152</v>
      </c>
      <c r="K333" s="1025">
        <f t="shared" si="10"/>
        <v>27414</v>
      </c>
      <c r="L333" s="804" t="s">
        <v>17</v>
      </c>
      <c r="M333" s="803">
        <v>45877</v>
      </c>
      <c r="N333" s="122"/>
      <c r="U333" t="s">
        <v>4867</v>
      </c>
      <c r="V333" s="360">
        <v>0.38541666666666669</v>
      </c>
      <c r="W333" s="360">
        <v>0.5083333333333333</v>
      </c>
    </row>
    <row r="334" spans="1:23" hidden="1" x14ac:dyDescent="0.25">
      <c r="A334" s="483" t="s">
        <v>5933</v>
      </c>
      <c r="B334" t="s">
        <v>614</v>
      </c>
      <c r="C334" s="803">
        <v>45755</v>
      </c>
      <c r="D334" s="102"/>
      <c r="E334" s="102"/>
      <c r="F334" s="726" t="s">
        <v>113</v>
      </c>
      <c r="G334" s="102" t="s">
        <v>6029</v>
      </c>
      <c r="H334" s="102"/>
      <c r="I334" s="1590"/>
      <c r="J334" s="805">
        <v>44651.199999999997</v>
      </c>
      <c r="K334" s="1025">
        <f t="shared" si="10"/>
        <v>39293.199999999997</v>
      </c>
      <c r="L334" s="804" t="s">
        <v>17</v>
      </c>
      <c r="M334" s="803">
        <v>45877</v>
      </c>
      <c r="N334" s="122"/>
      <c r="V334" s="30"/>
      <c r="W334" s="30"/>
    </row>
    <row r="335" spans="1:23" hidden="1" x14ac:dyDescent="0.25">
      <c r="A335" s="483" t="s">
        <v>5971</v>
      </c>
      <c r="B335" t="s">
        <v>614</v>
      </c>
      <c r="C335" s="803">
        <v>45757</v>
      </c>
      <c r="D335" s="102"/>
      <c r="E335" s="102"/>
      <c r="F335" s="726" t="s">
        <v>106</v>
      </c>
      <c r="G335" s="102" t="s">
        <v>6031</v>
      </c>
      <c r="H335" s="102"/>
      <c r="I335" s="1590"/>
      <c r="J335" s="805">
        <v>31152</v>
      </c>
      <c r="K335" s="1025">
        <f t="shared" si="10"/>
        <v>27414</v>
      </c>
      <c r="L335" s="804" t="s">
        <v>17</v>
      </c>
      <c r="M335" s="803">
        <v>45877</v>
      </c>
      <c r="N335" s="122"/>
      <c r="U335" t="s">
        <v>4983</v>
      </c>
      <c r="V335" s="360">
        <v>0.30138888888888887</v>
      </c>
      <c r="W335" s="360">
        <v>0.45624999999999999</v>
      </c>
    </row>
    <row r="336" spans="1:23" hidden="1" x14ac:dyDescent="0.25">
      <c r="A336" s="483" t="s">
        <v>5973</v>
      </c>
      <c r="B336" t="s">
        <v>614</v>
      </c>
      <c r="C336" s="803">
        <v>45759</v>
      </c>
      <c r="D336" s="102"/>
      <c r="E336" s="102"/>
      <c r="F336" s="726" t="s">
        <v>545</v>
      </c>
      <c r="G336" s="102" t="s">
        <v>6030</v>
      </c>
      <c r="H336" s="102"/>
      <c r="I336" s="1590"/>
      <c r="J336" s="805">
        <v>37382.400000000001</v>
      </c>
      <c r="K336" s="1025">
        <f t="shared" si="10"/>
        <v>32896.400000000001</v>
      </c>
      <c r="L336" s="804" t="s">
        <v>17</v>
      </c>
      <c r="M336" s="803">
        <v>45877</v>
      </c>
      <c r="N336" s="122"/>
      <c r="U336" t="s">
        <v>5020</v>
      </c>
      <c r="V336" s="360">
        <v>0.30069444444444443</v>
      </c>
      <c r="W336" s="360">
        <v>0.49027777777777781</v>
      </c>
    </row>
    <row r="337" spans="1:23" hidden="1" x14ac:dyDescent="0.25">
      <c r="A337" s="483" t="s">
        <v>5973</v>
      </c>
      <c r="B337" t="s">
        <v>614</v>
      </c>
      <c r="C337" s="1060">
        <v>45759</v>
      </c>
      <c r="D337" s="102"/>
      <c r="E337" s="102"/>
      <c r="F337" s="1061" t="s">
        <v>113</v>
      </c>
      <c r="G337" s="1062" t="s">
        <v>3538</v>
      </c>
      <c r="H337" s="102"/>
      <c r="I337" s="1590"/>
      <c r="J337" s="1063">
        <v>44651.199999999997</v>
      </c>
      <c r="K337" s="1064">
        <f t="shared" si="10"/>
        <v>39293.199999999997</v>
      </c>
      <c r="L337" s="563" t="s">
        <v>17</v>
      </c>
      <c r="M337" s="803">
        <v>45869</v>
      </c>
      <c r="N337" s="122">
        <v>45869</v>
      </c>
      <c r="U337" t="s">
        <v>4297</v>
      </c>
      <c r="V337" s="360">
        <v>0.45208333333333334</v>
      </c>
      <c r="W337" s="360">
        <v>0.65069444444444446</v>
      </c>
    </row>
    <row r="338" spans="1:23" hidden="1" x14ac:dyDescent="0.25">
      <c r="A338" s="483" t="s">
        <v>5988</v>
      </c>
      <c r="B338" t="s">
        <v>614</v>
      </c>
      <c r="C338" s="803">
        <v>45762</v>
      </c>
      <c r="D338" s="102"/>
      <c r="E338" s="102"/>
      <c r="F338" s="726" t="s">
        <v>2029</v>
      </c>
      <c r="G338" s="102" t="s">
        <v>6032</v>
      </c>
      <c r="H338" s="102"/>
      <c r="I338" s="1590" t="s">
        <v>6320</v>
      </c>
      <c r="J338" s="805">
        <v>31152</v>
      </c>
      <c r="K338" s="1025">
        <f t="shared" si="10"/>
        <v>27414</v>
      </c>
      <c r="L338" s="362" t="s">
        <v>17</v>
      </c>
      <c r="M338" s="803">
        <v>45883</v>
      </c>
      <c r="U338" t="s">
        <v>5989</v>
      </c>
      <c r="V338" s="360">
        <v>0.33819444444444446</v>
      </c>
      <c r="W338" s="30"/>
    </row>
    <row r="339" spans="1:23" hidden="1" x14ac:dyDescent="0.25">
      <c r="A339" s="483">
        <v>22042025</v>
      </c>
      <c r="B339" t="s">
        <v>614</v>
      </c>
      <c r="C339" s="803">
        <v>45769</v>
      </c>
      <c r="D339" s="102"/>
      <c r="E339" s="102"/>
      <c r="F339" s="726" t="s">
        <v>2107</v>
      </c>
      <c r="G339" s="102" t="s">
        <v>6202</v>
      </c>
      <c r="H339" s="102"/>
      <c r="I339" s="1590"/>
      <c r="J339" s="805">
        <v>44651.199999999997</v>
      </c>
      <c r="K339" s="1025">
        <f t="shared" si="10"/>
        <v>39293.199999999997</v>
      </c>
      <c r="L339" s="362" t="s">
        <v>17</v>
      </c>
      <c r="M339" s="803">
        <v>45883</v>
      </c>
      <c r="U339" t="s">
        <v>4297</v>
      </c>
      <c r="V339" s="360">
        <v>0.65208333333333335</v>
      </c>
      <c r="W339" s="360">
        <v>0.78125</v>
      </c>
    </row>
    <row r="340" spans="1:23" hidden="1" x14ac:dyDescent="0.25">
      <c r="A340" s="483">
        <v>26042025</v>
      </c>
      <c r="B340" t="s">
        <v>614</v>
      </c>
      <c r="C340" s="1086">
        <v>45773</v>
      </c>
      <c r="D340" s="102"/>
      <c r="E340" s="102"/>
      <c r="F340" s="726" t="s">
        <v>1931</v>
      </c>
      <c r="G340" s="102" t="s">
        <v>6203</v>
      </c>
      <c r="H340" s="102"/>
      <c r="I340" s="1590"/>
      <c r="J340" s="805">
        <v>62304</v>
      </c>
      <c r="K340" s="1025">
        <f t="shared" si="10"/>
        <v>54828</v>
      </c>
      <c r="L340" s="362" t="s">
        <v>17</v>
      </c>
      <c r="M340" s="803">
        <v>45891</v>
      </c>
      <c r="U340" t="s">
        <v>5021</v>
      </c>
      <c r="V340" s="360">
        <v>0.61111111111111105</v>
      </c>
      <c r="W340" s="360">
        <v>0.90625</v>
      </c>
    </row>
    <row r="341" spans="1:23" hidden="1" x14ac:dyDescent="0.25">
      <c r="A341" s="483">
        <v>26042025</v>
      </c>
      <c r="B341" t="s">
        <v>614</v>
      </c>
      <c r="C341" s="803">
        <v>45773</v>
      </c>
      <c r="D341" s="102"/>
      <c r="E341" s="102"/>
      <c r="F341" s="726" t="s">
        <v>143</v>
      </c>
      <c r="G341" s="102" t="s">
        <v>6203</v>
      </c>
      <c r="H341" s="102"/>
      <c r="I341" s="1590"/>
      <c r="J341" s="805">
        <v>43612.800000000003</v>
      </c>
      <c r="K341" s="1025">
        <f t="shared" si="10"/>
        <v>38378.800000000003</v>
      </c>
      <c r="L341" s="362" t="s">
        <v>17</v>
      </c>
      <c r="M341" s="803">
        <v>45883</v>
      </c>
      <c r="U341" t="s">
        <v>5078</v>
      </c>
      <c r="V341" s="360">
        <v>0.26666666666666666</v>
      </c>
      <c r="W341" s="360">
        <v>0.52916666666666667</v>
      </c>
    </row>
    <row r="342" spans="1:23" hidden="1" x14ac:dyDescent="0.25">
      <c r="A342" s="483" t="s">
        <v>6103</v>
      </c>
      <c r="B342" t="s">
        <v>614</v>
      </c>
      <c r="C342" s="803">
        <v>45778</v>
      </c>
      <c r="D342" s="102"/>
      <c r="E342" s="102"/>
      <c r="F342" s="726" t="s">
        <v>68</v>
      </c>
      <c r="G342" s="102" t="s">
        <v>6204</v>
      </c>
      <c r="H342" s="102"/>
      <c r="I342" s="1590"/>
      <c r="J342" s="805">
        <v>49843.199999999997</v>
      </c>
      <c r="K342" s="1025">
        <f t="shared" si="10"/>
        <v>43862.2</v>
      </c>
      <c r="L342" s="362" t="s">
        <v>17</v>
      </c>
      <c r="M342" s="803">
        <v>45883</v>
      </c>
      <c r="U342" t="s">
        <v>4853</v>
      </c>
      <c r="V342" s="360">
        <v>0.35138888888888892</v>
      </c>
      <c r="W342" s="360">
        <v>0.5805555555555556</v>
      </c>
    </row>
    <row r="343" spans="1:23" hidden="1" x14ac:dyDescent="0.25">
      <c r="A343" s="483" t="s">
        <v>6105</v>
      </c>
      <c r="B343" t="s">
        <v>614</v>
      </c>
      <c r="C343" s="1086">
        <v>45779</v>
      </c>
      <c r="D343" s="102"/>
      <c r="E343" s="102"/>
      <c r="F343" s="726" t="s">
        <v>106</v>
      </c>
      <c r="G343" s="102" t="s">
        <v>6205</v>
      </c>
      <c r="H343" s="102"/>
      <c r="I343" s="1590"/>
      <c r="J343" s="805">
        <v>31152</v>
      </c>
      <c r="K343" s="1025">
        <f t="shared" si="10"/>
        <v>27414</v>
      </c>
      <c r="L343" s="362" t="s">
        <v>17</v>
      </c>
      <c r="M343" s="803">
        <v>45891</v>
      </c>
      <c r="U343" t="s">
        <v>5021</v>
      </c>
      <c r="V343" s="360">
        <v>0.25972222222222224</v>
      </c>
      <c r="W343" s="360">
        <v>0.48402777777777778</v>
      </c>
    </row>
    <row r="344" spans="1:23" hidden="1" x14ac:dyDescent="0.25">
      <c r="A344" s="483" t="s">
        <v>6105</v>
      </c>
      <c r="B344" t="s">
        <v>614</v>
      </c>
      <c r="C344" s="803">
        <v>45779</v>
      </c>
      <c r="D344" s="102"/>
      <c r="E344" s="102"/>
      <c r="F344" s="726" t="s">
        <v>2107</v>
      </c>
      <c r="G344" s="102" t="s">
        <v>6206</v>
      </c>
      <c r="H344" s="102"/>
      <c r="I344" s="1590"/>
      <c r="J344" s="805">
        <v>44651.199999999997</v>
      </c>
      <c r="K344" s="1025">
        <f t="shared" si="10"/>
        <v>39293.199999999997</v>
      </c>
      <c r="L344" s="362" t="s">
        <v>17</v>
      </c>
      <c r="M344" s="803">
        <v>45883</v>
      </c>
      <c r="U344" t="s">
        <v>6104</v>
      </c>
      <c r="V344" s="360">
        <v>0.55694444444444446</v>
      </c>
      <c r="W344" s="360">
        <v>0.69444444444444453</v>
      </c>
    </row>
    <row r="345" spans="1:23" hidden="1" x14ac:dyDescent="0.25">
      <c r="A345" s="483" t="s">
        <v>6108</v>
      </c>
      <c r="B345" t="s">
        <v>614</v>
      </c>
      <c r="C345" s="803">
        <v>45781</v>
      </c>
      <c r="D345" s="102"/>
      <c r="E345" s="102"/>
      <c r="F345" s="726" t="s">
        <v>285</v>
      </c>
      <c r="G345" s="102" t="s">
        <v>6207</v>
      </c>
      <c r="H345" s="102"/>
      <c r="I345" s="1590"/>
      <c r="J345" s="805">
        <v>51920</v>
      </c>
      <c r="K345" s="1025">
        <f t="shared" si="10"/>
        <v>45690</v>
      </c>
      <c r="L345" s="362" t="s">
        <v>17</v>
      </c>
      <c r="M345" s="803">
        <v>45901</v>
      </c>
      <c r="U345" t="s">
        <v>6107</v>
      </c>
      <c r="V345" s="360">
        <v>0.29444444444444445</v>
      </c>
      <c r="W345" s="360">
        <v>0.55347222222222225</v>
      </c>
    </row>
    <row r="346" spans="1:23" hidden="1" x14ac:dyDescent="0.25">
      <c r="A346" s="483" t="s">
        <v>6108</v>
      </c>
      <c r="B346" t="s">
        <v>614</v>
      </c>
      <c r="C346" s="1086">
        <v>45781</v>
      </c>
      <c r="D346" s="102"/>
      <c r="E346" s="102"/>
      <c r="F346" s="726" t="s">
        <v>106</v>
      </c>
      <c r="G346" s="102" t="s">
        <v>6208</v>
      </c>
      <c r="H346" s="102"/>
      <c r="I346" s="1590"/>
      <c r="J346" s="805">
        <v>31152</v>
      </c>
      <c r="K346" s="1025">
        <f t="shared" si="10"/>
        <v>27414</v>
      </c>
      <c r="L346" s="362" t="s">
        <v>17</v>
      </c>
      <c r="M346" s="803">
        <v>45891</v>
      </c>
      <c r="U346" t="s">
        <v>3765</v>
      </c>
      <c r="V346" s="360">
        <v>0.55069444444444449</v>
      </c>
      <c r="W346" s="360">
        <v>0.69166666666666676</v>
      </c>
    </row>
    <row r="347" spans="1:23" hidden="1" x14ac:dyDescent="0.25">
      <c r="A347" s="483" t="s">
        <v>6130</v>
      </c>
      <c r="B347" t="s">
        <v>614</v>
      </c>
      <c r="C347" s="803">
        <v>45784</v>
      </c>
      <c r="D347" s="102"/>
      <c r="E347" s="102"/>
      <c r="F347" s="726" t="s">
        <v>2008</v>
      </c>
      <c r="G347" s="102" t="s">
        <v>6209</v>
      </c>
      <c r="H347" s="102"/>
      <c r="I347" s="1590"/>
      <c r="J347" s="805">
        <v>55035.199999999997</v>
      </c>
      <c r="K347" s="1025">
        <f t="shared" si="10"/>
        <v>48431.199999999997</v>
      </c>
      <c r="L347" s="362" t="s">
        <v>17</v>
      </c>
      <c r="M347" s="803">
        <v>45901</v>
      </c>
      <c r="U347" t="s">
        <v>5891</v>
      </c>
      <c r="V347" s="360">
        <v>0.3215277777777778</v>
      </c>
      <c r="W347" s="360">
        <v>0.62361111111111112</v>
      </c>
    </row>
    <row r="348" spans="1:23" hidden="1" x14ac:dyDescent="0.25">
      <c r="A348" s="483" t="s">
        <v>6144</v>
      </c>
      <c r="B348" t="s">
        <v>614</v>
      </c>
      <c r="C348" s="803">
        <v>45785</v>
      </c>
      <c r="D348" s="102"/>
      <c r="E348" s="102"/>
      <c r="F348" s="726" t="s">
        <v>68</v>
      </c>
      <c r="G348" s="102" t="s">
        <v>6210</v>
      </c>
      <c r="H348" s="102"/>
      <c r="I348" s="1590"/>
      <c r="J348" s="805">
        <v>49843.199999999997</v>
      </c>
      <c r="K348" s="1025">
        <f t="shared" si="10"/>
        <v>43862.2</v>
      </c>
      <c r="L348" s="362" t="s">
        <v>17</v>
      </c>
      <c r="M348" s="803">
        <v>45901</v>
      </c>
      <c r="U348" t="s">
        <v>6145</v>
      </c>
      <c r="V348" s="30"/>
      <c r="W348" s="30"/>
    </row>
    <row r="349" spans="1:23" hidden="1" x14ac:dyDescent="0.25">
      <c r="A349" s="483" t="s">
        <v>6146</v>
      </c>
      <c r="B349" t="s">
        <v>614</v>
      </c>
      <c r="C349" s="1086">
        <v>45786</v>
      </c>
      <c r="D349" s="102"/>
      <c r="E349" s="102"/>
      <c r="F349" s="726" t="s">
        <v>68</v>
      </c>
      <c r="G349" s="102" t="s">
        <v>6211</v>
      </c>
      <c r="H349" s="102"/>
      <c r="I349" s="1590"/>
      <c r="J349" s="805">
        <v>49843.199999999997</v>
      </c>
      <c r="K349" s="1025">
        <f t="shared" si="10"/>
        <v>43862.2</v>
      </c>
      <c r="L349" s="362" t="s">
        <v>17</v>
      </c>
      <c r="M349" s="803">
        <v>45891</v>
      </c>
      <c r="U349" t="s">
        <v>6147</v>
      </c>
      <c r="V349" s="360">
        <v>0.6381944444444444</v>
      </c>
      <c r="W349" s="30"/>
    </row>
    <row r="350" spans="1:23" hidden="1" x14ac:dyDescent="0.25">
      <c r="A350" s="483" t="s">
        <v>6156</v>
      </c>
      <c r="B350" t="s">
        <v>614</v>
      </c>
      <c r="C350" s="803">
        <v>45787</v>
      </c>
      <c r="D350" s="102"/>
      <c r="E350" s="102"/>
      <c r="F350" s="726" t="s">
        <v>2595</v>
      </c>
      <c r="G350" s="102" t="s">
        <v>5832</v>
      </c>
      <c r="H350" s="102"/>
      <c r="I350" s="1590"/>
      <c r="J350" s="805">
        <v>44651.199999999997</v>
      </c>
      <c r="K350" s="1025">
        <f t="shared" si="10"/>
        <v>39293.199999999997</v>
      </c>
      <c r="L350" s="362" t="s">
        <v>17</v>
      </c>
      <c r="M350" s="803">
        <v>45901</v>
      </c>
      <c r="U350" t="s">
        <v>6151</v>
      </c>
      <c r="V350" s="360">
        <v>0.43541666666666662</v>
      </c>
      <c r="W350" s="360"/>
    </row>
    <row r="351" spans="1:23" hidden="1" x14ac:dyDescent="0.25">
      <c r="A351" s="483" t="s">
        <v>6158</v>
      </c>
      <c r="B351" t="s">
        <v>614</v>
      </c>
      <c r="C351" s="1086">
        <v>45789</v>
      </c>
      <c r="D351" s="102"/>
      <c r="E351" s="102"/>
      <c r="F351" s="726" t="s">
        <v>106</v>
      </c>
      <c r="G351" s="102" t="s">
        <v>6212</v>
      </c>
      <c r="H351" s="102"/>
      <c r="I351" s="1590"/>
      <c r="J351" s="805">
        <v>31152</v>
      </c>
      <c r="K351" s="1025">
        <f t="shared" si="10"/>
        <v>27414</v>
      </c>
      <c r="L351" s="362" t="s">
        <v>17</v>
      </c>
      <c r="M351" s="803">
        <v>45891</v>
      </c>
      <c r="U351" t="s">
        <v>4911</v>
      </c>
      <c r="V351" s="360">
        <v>0.28263888888888888</v>
      </c>
      <c r="W351" s="360">
        <v>0.42569444444444443</v>
      </c>
    </row>
    <row r="352" spans="1:23" hidden="1" x14ac:dyDescent="0.25">
      <c r="A352" s="483" t="s">
        <v>6213</v>
      </c>
      <c r="B352" t="s">
        <v>614</v>
      </c>
      <c r="C352" s="803">
        <v>45791</v>
      </c>
      <c r="D352" s="102"/>
      <c r="E352" s="102"/>
      <c r="F352" s="726" t="s">
        <v>207</v>
      </c>
      <c r="G352" s="102" t="s">
        <v>6232</v>
      </c>
      <c r="H352" s="102"/>
      <c r="I352" s="1590" t="s">
        <v>6521</v>
      </c>
      <c r="J352" s="805">
        <v>41536</v>
      </c>
      <c r="K352" s="1025">
        <f t="shared" si="10"/>
        <v>36552</v>
      </c>
      <c r="L352" s="362" t="s">
        <v>17</v>
      </c>
      <c r="M352" s="803">
        <v>45915</v>
      </c>
      <c r="U352" t="s">
        <v>5131</v>
      </c>
      <c r="V352" s="360">
        <v>0.52916666666666667</v>
      </c>
      <c r="W352" s="360">
        <v>0.71875</v>
      </c>
    </row>
    <row r="353" spans="1:23" hidden="1" x14ac:dyDescent="0.25">
      <c r="A353" s="483" t="s">
        <v>6239</v>
      </c>
      <c r="B353" t="s">
        <v>614</v>
      </c>
      <c r="C353" s="803">
        <v>45796</v>
      </c>
      <c r="D353" s="102"/>
      <c r="E353" s="102"/>
      <c r="F353" s="726" t="s">
        <v>68</v>
      </c>
      <c r="G353" s="102" t="s">
        <v>6402</v>
      </c>
      <c r="H353" s="102"/>
      <c r="I353" s="1590"/>
      <c r="J353" s="805">
        <v>49843.199999999997</v>
      </c>
      <c r="K353" s="1025">
        <f t="shared" si="10"/>
        <v>43862.2</v>
      </c>
      <c r="L353" s="362" t="s">
        <v>17</v>
      </c>
      <c r="M353" s="803">
        <v>45915</v>
      </c>
      <c r="U353" t="s">
        <v>5026</v>
      </c>
      <c r="V353" s="360">
        <v>0.76527777777777783</v>
      </c>
      <c r="W353" s="360">
        <v>1.2499999999999999E-2</v>
      </c>
    </row>
    <row r="354" spans="1:23" hidden="1" x14ac:dyDescent="0.25">
      <c r="A354" s="690">
        <v>21052025</v>
      </c>
      <c r="B354" t="s">
        <v>614</v>
      </c>
      <c r="C354" s="803">
        <v>45798</v>
      </c>
      <c r="D354" s="102"/>
      <c r="E354" s="102"/>
      <c r="F354" s="726" t="s">
        <v>5326</v>
      </c>
      <c r="G354" s="102" t="s">
        <v>6403</v>
      </c>
      <c r="H354" s="102"/>
      <c r="I354" s="1590"/>
      <c r="J354" s="805">
        <v>39459.199999999997</v>
      </c>
      <c r="K354" s="1025">
        <f t="shared" si="10"/>
        <v>34724.199999999997</v>
      </c>
      <c r="L354" s="362" t="s">
        <v>17</v>
      </c>
      <c r="M354" s="803">
        <v>45915</v>
      </c>
      <c r="U354" t="s">
        <v>6147</v>
      </c>
      <c r="V354" s="360">
        <v>0.25763888888888892</v>
      </c>
      <c r="W354" s="30"/>
    </row>
    <row r="355" spans="1:23" hidden="1" x14ac:dyDescent="0.25">
      <c r="A355" s="690">
        <v>21052025</v>
      </c>
      <c r="B355" t="s">
        <v>614</v>
      </c>
      <c r="C355" s="803">
        <v>45798</v>
      </c>
      <c r="D355" s="102"/>
      <c r="E355" s="102"/>
      <c r="F355" s="726" t="s">
        <v>294</v>
      </c>
      <c r="G355" s="102" t="s">
        <v>6404</v>
      </c>
      <c r="H355" s="102"/>
      <c r="I355" s="1590"/>
      <c r="J355" s="805">
        <v>62304</v>
      </c>
      <c r="K355" s="1025">
        <f t="shared" si="10"/>
        <v>54828</v>
      </c>
      <c r="L355" s="362" t="s">
        <v>17</v>
      </c>
      <c r="M355" s="803">
        <v>45915</v>
      </c>
      <c r="U355" t="s">
        <v>4140</v>
      </c>
      <c r="V355" s="360">
        <v>0.41041666666666665</v>
      </c>
      <c r="W355" s="30"/>
    </row>
    <row r="356" spans="1:23" hidden="1" x14ac:dyDescent="0.25">
      <c r="A356" s="483">
        <v>23052025</v>
      </c>
      <c r="B356" t="s">
        <v>614</v>
      </c>
      <c r="C356" s="803">
        <v>45800</v>
      </c>
      <c r="D356" s="102"/>
      <c r="E356" s="102"/>
      <c r="F356" s="726" t="s">
        <v>68</v>
      </c>
      <c r="G356" s="102" t="s">
        <v>6405</v>
      </c>
      <c r="H356" s="102"/>
      <c r="I356" s="1590"/>
      <c r="J356" s="805">
        <v>49843.199999999997</v>
      </c>
      <c r="K356" s="1025">
        <f t="shared" si="10"/>
        <v>43862.2</v>
      </c>
      <c r="L356" s="362" t="s">
        <v>17</v>
      </c>
      <c r="M356" s="803">
        <v>45915</v>
      </c>
      <c r="V356" s="30"/>
      <c r="W356" s="30"/>
    </row>
    <row r="357" spans="1:23" hidden="1" x14ac:dyDescent="0.25">
      <c r="A357" s="483">
        <v>24052025</v>
      </c>
      <c r="B357" t="s">
        <v>614</v>
      </c>
      <c r="C357" s="803">
        <v>45801</v>
      </c>
      <c r="D357" s="102"/>
      <c r="E357" s="102"/>
      <c r="F357" s="726" t="s">
        <v>2008</v>
      </c>
      <c r="G357" s="102" t="s">
        <v>6406</v>
      </c>
      <c r="H357" s="102"/>
      <c r="I357" s="1590"/>
      <c r="J357" s="805">
        <v>55035.199999999997</v>
      </c>
      <c r="K357" s="1025">
        <f t="shared" si="10"/>
        <v>48431.199999999997</v>
      </c>
      <c r="L357" s="30" t="s">
        <v>17</v>
      </c>
      <c r="M357" s="803">
        <v>45924</v>
      </c>
      <c r="U357" t="s">
        <v>5026</v>
      </c>
      <c r="V357" s="360">
        <v>0.54652777777777783</v>
      </c>
      <c r="W357" s="360">
        <v>0.78541666666666676</v>
      </c>
    </row>
    <row r="358" spans="1:23" hidden="1" x14ac:dyDescent="0.25">
      <c r="A358" s="483">
        <v>30052025</v>
      </c>
      <c r="B358" t="s">
        <v>614</v>
      </c>
      <c r="C358" s="803">
        <v>45807</v>
      </c>
      <c r="D358" s="102"/>
      <c r="E358" s="102"/>
      <c r="F358" s="726" t="s">
        <v>2036</v>
      </c>
      <c r="G358" s="102" t="s">
        <v>6407</v>
      </c>
      <c r="H358" s="102"/>
      <c r="I358" s="1590"/>
      <c r="J358" s="805">
        <v>31152</v>
      </c>
      <c r="K358" s="1025">
        <f t="shared" si="10"/>
        <v>27414</v>
      </c>
      <c r="L358" s="30" t="s">
        <v>17</v>
      </c>
      <c r="M358" s="803">
        <v>45924</v>
      </c>
      <c r="U358" t="s">
        <v>6307</v>
      </c>
      <c r="V358" s="360">
        <v>0.5756944444444444</v>
      </c>
      <c r="W358" s="360">
        <v>0.71180555555555547</v>
      </c>
    </row>
    <row r="359" spans="1:23" hidden="1" x14ac:dyDescent="0.25">
      <c r="A359" s="483" t="s">
        <v>6332</v>
      </c>
      <c r="B359" t="s">
        <v>614</v>
      </c>
      <c r="C359" s="803">
        <v>45811</v>
      </c>
      <c r="D359" s="102"/>
      <c r="E359" s="102"/>
      <c r="F359" s="726" t="s">
        <v>207</v>
      </c>
      <c r="G359" s="102" t="s">
        <v>6408</v>
      </c>
      <c r="H359" s="102"/>
      <c r="I359" s="1590"/>
      <c r="J359" s="805">
        <v>41536</v>
      </c>
      <c r="K359" s="1025">
        <f t="shared" si="10"/>
        <v>36552</v>
      </c>
      <c r="L359" s="30" t="s">
        <v>17</v>
      </c>
      <c r="M359" s="803">
        <v>45924</v>
      </c>
      <c r="U359" t="s">
        <v>4911</v>
      </c>
      <c r="V359" s="360">
        <v>0.31111111111111112</v>
      </c>
      <c r="W359" s="30"/>
    </row>
    <row r="360" spans="1:23" hidden="1" x14ac:dyDescent="0.25">
      <c r="A360" s="483" t="s">
        <v>6346</v>
      </c>
      <c r="B360" t="s">
        <v>614</v>
      </c>
      <c r="C360" s="803">
        <v>45813</v>
      </c>
      <c r="D360" s="102"/>
      <c r="E360" s="102"/>
      <c r="F360" s="726" t="s">
        <v>294</v>
      </c>
      <c r="G360" s="102" t="s">
        <v>6409</v>
      </c>
      <c r="H360" s="102"/>
      <c r="I360" s="1590"/>
      <c r="J360" s="805">
        <v>44651.199999999997</v>
      </c>
      <c r="K360" s="1025">
        <f t="shared" si="10"/>
        <v>39293.199999999997</v>
      </c>
      <c r="L360" s="30" t="s">
        <v>17</v>
      </c>
      <c r="M360" s="803">
        <v>45924</v>
      </c>
      <c r="U360" t="s">
        <v>6347</v>
      </c>
      <c r="V360" s="360">
        <v>0.29444444444444445</v>
      </c>
      <c r="W360" s="360">
        <v>0.49305555555555558</v>
      </c>
    </row>
    <row r="361" spans="1:23" hidden="1" x14ac:dyDescent="0.25">
      <c r="A361" s="483" t="s">
        <v>6351</v>
      </c>
      <c r="B361" t="s">
        <v>614</v>
      </c>
      <c r="C361" s="803">
        <v>45815</v>
      </c>
      <c r="D361" s="102"/>
      <c r="E361" s="102"/>
      <c r="F361" s="726" t="s">
        <v>285</v>
      </c>
      <c r="G361" s="102" t="s">
        <v>6410</v>
      </c>
      <c r="H361" s="102"/>
      <c r="I361" s="1590"/>
      <c r="J361" s="805">
        <v>51920</v>
      </c>
      <c r="K361" s="1025">
        <f t="shared" si="10"/>
        <v>45690</v>
      </c>
      <c r="L361" s="30" t="s">
        <v>17</v>
      </c>
      <c r="M361" s="803">
        <v>45924</v>
      </c>
      <c r="U361" t="s">
        <v>5021</v>
      </c>
      <c r="V361" s="360">
        <v>0.29375000000000001</v>
      </c>
      <c r="W361" s="360">
        <v>0.56111111111111112</v>
      </c>
    </row>
    <row r="362" spans="1:23" ht="15.75" thickBot="1" x14ac:dyDescent="0.3">
      <c r="B362"/>
      <c r="C362"/>
      <c r="J362" s="28"/>
      <c r="K362" s="1107"/>
      <c r="L362" s="1368"/>
      <c r="M362" s="350"/>
    </row>
    <row r="363" spans="1:23" ht="15.75" thickBot="1" x14ac:dyDescent="0.3">
      <c r="B363"/>
      <c r="C363"/>
      <c r="J363" s="415">
        <f>SUBTOTAL(9,J318:J362)</f>
        <v>0</v>
      </c>
      <c r="K363" s="1107"/>
      <c r="L363" s="1368"/>
      <c r="N363" s="149"/>
    </row>
    <row r="364" spans="1:23" x14ac:dyDescent="0.25">
      <c r="B364"/>
      <c r="C364"/>
      <c r="J364" s="471"/>
      <c r="K364" s="1107"/>
      <c r="L364" s="1368"/>
      <c r="N364" s="149"/>
    </row>
    <row r="365" spans="1:23" x14ac:dyDescent="0.25">
      <c r="B365"/>
      <c r="C365"/>
      <c r="J365" s="471"/>
      <c r="K365" s="1107"/>
      <c r="L365" s="1368"/>
      <c r="N365" s="149"/>
    </row>
    <row r="366" spans="1:23" x14ac:dyDescent="0.25">
      <c r="B366"/>
      <c r="C366"/>
      <c r="J366" s="471"/>
      <c r="K366" s="1107"/>
      <c r="L366" s="1368"/>
      <c r="N366" s="149"/>
    </row>
    <row r="367" spans="1:23" x14ac:dyDescent="0.25">
      <c r="B367" s="1607" t="s">
        <v>7882</v>
      </c>
      <c r="C367" s="1480"/>
      <c r="D367" s="1480"/>
      <c r="E367" s="1480"/>
      <c r="F367" s="1480"/>
      <c r="G367" s="1480"/>
      <c r="H367" s="1480"/>
      <c r="I367" s="1480"/>
      <c r="J367" s="1480"/>
      <c r="K367" s="1132"/>
      <c r="L367" s="1368"/>
      <c r="M367" s="350"/>
    </row>
    <row r="368" spans="1:23" hidden="1" x14ac:dyDescent="0.25">
      <c r="A368" s="483">
        <v>22112025</v>
      </c>
      <c r="B368" t="s">
        <v>614</v>
      </c>
      <c r="C368" s="233">
        <v>45983</v>
      </c>
      <c r="D368" s="233">
        <v>45983</v>
      </c>
      <c r="E368" s="6" t="s">
        <v>7571</v>
      </c>
      <c r="F368" s="28" t="s">
        <v>294</v>
      </c>
      <c r="G368" s="1067" t="s">
        <v>7331</v>
      </c>
      <c r="H368"/>
      <c r="I368" s="1496" t="s">
        <v>7382</v>
      </c>
      <c r="J368" s="935">
        <v>37984.199999999997</v>
      </c>
      <c r="K368" s="3">
        <f t="shared" ref="K368:K399" si="11">+J368-ROUND(J368*0.12,0)</f>
        <v>33426.199999999997</v>
      </c>
      <c r="L368" s="30" t="s">
        <v>17</v>
      </c>
      <c r="M368" s="233">
        <v>46125</v>
      </c>
      <c r="N368" s="88"/>
      <c r="S368" t="s">
        <v>7078</v>
      </c>
      <c r="T368" s="360">
        <v>0.52500000000000002</v>
      </c>
      <c r="U368" s="360">
        <v>0.75069444444444444</v>
      </c>
    </row>
    <row r="369" spans="1:23" hidden="1" x14ac:dyDescent="0.25">
      <c r="A369" s="483">
        <v>27112025</v>
      </c>
      <c r="B369" t="s">
        <v>614</v>
      </c>
      <c r="C369" s="233">
        <v>45988</v>
      </c>
      <c r="D369" s="233">
        <v>45988</v>
      </c>
      <c r="E369" s="6" t="s">
        <v>7568</v>
      </c>
      <c r="F369" s="28" t="s">
        <v>2437</v>
      </c>
      <c r="G369" s="1067" t="s">
        <v>7332</v>
      </c>
      <c r="H369"/>
      <c r="I369" s="1491"/>
      <c r="J369" s="935">
        <v>24886.2</v>
      </c>
      <c r="K369" s="3">
        <f t="shared" si="11"/>
        <v>21900.2</v>
      </c>
      <c r="L369" s="30" t="s">
        <v>17</v>
      </c>
      <c r="M369" s="233">
        <v>46125</v>
      </c>
      <c r="N369" s="88"/>
      <c r="S369" t="s">
        <v>4297</v>
      </c>
      <c r="T369" s="360">
        <v>0.37083333333333335</v>
      </c>
      <c r="U369" s="360"/>
    </row>
    <row r="370" spans="1:23" hidden="1" x14ac:dyDescent="0.25">
      <c r="A370" s="483" t="s">
        <v>7336</v>
      </c>
      <c r="B370" t="s">
        <v>614</v>
      </c>
      <c r="C370" s="233">
        <v>45992</v>
      </c>
      <c r="D370" s="233">
        <v>45992</v>
      </c>
      <c r="E370" s="6" t="s">
        <v>7558</v>
      </c>
      <c r="F370" s="233" t="s">
        <v>143</v>
      </c>
      <c r="G370" s="1067" t="s">
        <v>5218</v>
      </c>
      <c r="H370"/>
      <c r="I370" s="1491" t="s">
        <v>7512</v>
      </c>
      <c r="J370" s="240">
        <v>37111</v>
      </c>
      <c r="K370" s="3">
        <f t="shared" si="11"/>
        <v>32658</v>
      </c>
      <c r="L370" s="30" t="s">
        <v>17</v>
      </c>
      <c r="M370" s="233">
        <v>46175</v>
      </c>
      <c r="N370" s="88"/>
      <c r="S370" t="s">
        <v>7092</v>
      </c>
      <c r="T370" s="360">
        <v>0.84444444444444444</v>
      </c>
      <c r="U370" s="360">
        <v>6.5972222222222224E-2</v>
      </c>
    </row>
    <row r="371" spans="1:23" hidden="1" x14ac:dyDescent="0.25">
      <c r="A371" s="483" t="s">
        <v>7337</v>
      </c>
      <c r="B371" t="s">
        <v>614</v>
      </c>
      <c r="C371" s="233">
        <v>45993</v>
      </c>
      <c r="D371" s="233">
        <v>45993</v>
      </c>
      <c r="E371" s="6" t="s">
        <v>7563</v>
      </c>
      <c r="F371" s="28" t="s">
        <v>113</v>
      </c>
      <c r="G371" s="1067" t="s">
        <v>7385</v>
      </c>
      <c r="H371"/>
      <c r="I371" s="1491"/>
      <c r="J371" s="240">
        <v>37984.199999999997</v>
      </c>
      <c r="K371" s="3">
        <f t="shared" si="11"/>
        <v>33426.199999999997</v>
      </c>
      <c r="L371" s="30" t="s">
        <v>17</v>
      </c>
      <c r="M371" s="233">
        <v>46175</v>
      </c>
      <c r="N371" s="88"/>
      <c r="S371" t="s">
        <v>6503</v>
      </c>
      <c r="T371" s="360">
        <v>0.35138888888888892</v>
      </c>
      <c r="U371" s="360"/>
    </row>
    <row r="372" spans="1:23" hidden="1" x14ac:dyDescent="0.25">
      <c r="A372" s="483" t="s">
        <v>7361</v>
      </c>
      <c r="B372" t="s">
        <v>614</v>
      </c>
      <c r="C372" s="233">
        <v>45996</v>
      </c>
      <c r="D372" s="233">
        <v>45996</v>
      </c>
      <c r="E372" s="6" t="s">
        <v>7563</v>
      </c>
      <c r="F372" s="28" t="s">
        <v>113</v>
      </c>
      <c r="G372" s="1067" t="s">
        <v>7386</v>
      </c>
      <c r="H372"/>
      <c r="I372" s="1491"/>
      <c r="J372" s="240">
        <v>37984.199999999997</v>
      </c>
      <c r="K372" s="3">
        <f t="shared" si="11"/>
        <v>33426.199999999997</v>
      </c>
      <c r="L372" s="30" t="s">
        <v>17</v>
      </c>
      <c r="M372" s="233">
        <v>46175</v>
      </c>
      <c r="N372" s="88"/>
      <c r="U372" t="s">
        <v>7362</v>
      </c>
      <c r="V372" s="360">
        <v>0.32361111111111113</v>
      </c>
      <c r="W372" s="360"/>
    </row>
    <row r="373" spans="1:23" hidden="1" x14ac:dyDescent="0.25">
      <c r="A373" s="483" t="s">
        <v>7361</v>
      </c>
      <c r="B373" t="s">
        <v>614</v>
      </c>
      <c r="C373" s="233">
        <v>45996</v>
      </c>
      <c r="D373" s="494">
        <v>45996</v>
      </c>
      <c r="E373" s="6" t="s">
        <v>7559</v>
      </c>
      <c r="F373" s="28" t="s">
        <v>1931</v>
      </c>
      <c r="G373" s="1067" t="s">
        <v>7387</v>
      </c>
      <c r="H373"/>
      <c r="I373" s="1491"/>
      <c r="J373" s="240">
        <v>52828.6</v>
      </c>
      <c r="K373" s="3">
        <f t="shared" si="11"/>
        <v>46489.599999999999</v>
      </c>
      <c r="L373" s="30" t="s">
        <v>17</v>
      </c>
      <c r="M373" s="233">
        <v>46175</v>
      </c>
      <c r="N373" s="88"/>
      <c r="U373" t="s">
        <v>5131</v>
      </c>
      <c r="V373" s="360">
        <v>0.34097222222222223</v>
      </c>
      <c r="W373" s="360"/>
    </row>
    <row r="374" spans="1:23" hidden="1" x14ac:dyDescent="0.25">
      <c r="A374" s="483" t="s">
        <v>7365</v>
      </c>
      <c r="B374" t="s">
        <v>614</v>
      </c>
      <c r="C374" s="233">
        <v>45997</v>
      </c>
      <c r="D374" s="233">
        <v>45997</v>
      </c>
      <c r="E374" s="6" t="s">
        <v>7571</v>
      </c>
      <c r="F374" s="28" t="s">
        <v>872</v>
      </c>
      <c r="G374" s="1067" t="s">
        <v>7388</v>
      </c>
      <c r="H374"/>
      <c r="I374" s="1491"/>
      <c r="J374" s="240">
        <v>37984.199999999997</v>
      </c>
      <c r="K374" s="3">
        <f t="shared" si="11"/>
        <v>33426.199999999997</v>
      </c>
      <c r="L374" s="30" t="s">
        <v>17</v>
      </c>
      <c r="M374" s="233">
        <v>46175</v>
      </c>
      <c r="N374" s="88"/>
      <c r="U374" t="s">
        <v>4867</v>
      </c>
      <c r="V374" s="360">
        <v>0.43472222222222223</v>
      </c>
      <c r="W374" s="360">
        <v>0.6694444444444444</v>
      </c>
    </row>
    <row r="375" spans="1:23" hidden="1" x14ac:dyDescent="0.25">
      <c r="A375" s="483" t="s">
        <v>7367</v>
      </c>
      <c r="B375" t="s">
        <v>614</v>
      </c>
      <c r="C375" s="233">
        <v>46000</v>
      </c>
      <c r="D375" s="233">
        <v>46000</v>
      </c>
      <c r="E375" s="6" t="s">
        <v>7563</v>
      </c>
      <c r="F375" s="28" t="s">
        <v>113</v>
      </c>
      <c r="G375" s="1067" t="s">
        <v>7389</v>
      </c>
      <c r="H375"/>
      <c r="I375" s="1491"/>
      <c r="J375" s="240">
        <v>37984.199999999997</v>
      </c>
      <c r="K375" s="3">
        <f t="shared" si="11"/>
        <v>33426.199999999997</v>
      </c>
      <c r="L375" s="30" t="s">
        <v>17</v>
      </c>
      <c r="M375" s="233">
        <v>46175</v>
      </c>
      <c r="N375" s="88"/>
      <c r="U375" t="s">
        <v>6150</v>
      </c>
      <c r="V375" s="360">
        <v>0.34166666666666662</v>
      </c>
      <c r="W375" s="360">
        <v>0.52847222222222223</v>
      </c>
    </row>
    <row r="376" spans="1:23" hidden="1" x14ac:dyDescent="0.25">
      <c r="A376" s="483" t="s">
        <v>7367</v>
      </c>
      <c r="B376" t="s">
        <v>614</v>
      </c>
      <c r="C376" s="233">
        <v>46000</v>
      </c>
      <c r="D376" s="233">
        <v>46000</v>
      </c>
      <c r="E376" s="6" t="s">
        <v>7560</v>
      </c>
      <c r="F376" s="28" t="s">
        <v>236</v>
      </c>
      <c r="G376" s="1067" t="s">
        <v>7390</v>
      </c>
      <c r="H376"/>
      <c r="I376" s="1491"/>
      <c r="J376" s="240">
        <v>52828.6</v>
      </c>
      <c r="K376" s="3">
        <f t="shared" si="11"/>
        <v>46489.599999999999</v>
      </c>
      <c r="L376" s="30" t="s">
        <v>17</v>
      </c>
      <c r="M376" s="233">
        <v>46175</v>
      </c>
      <c r="N376" s="88"/>
      <c r="U376" t="s">
        <v>4983</v>
      </c>
      <c r="V376" s="360">
        <v>0.63611111111111118</v>
      </c>
      <c r="W376" s="360">
        <v>0.91111111111111109</v>
      </c>
    </row>
    <row r="377" spans="1:23" hidden="1" x14ac:dyDescent="0.25">
      <c r="A377" s="483" t="s">
        <v>7378</v>
      </c>
      <c r="B377" t="s">
        <v>614</v>
      </c>
      <c r="C377" s="233">
        <v>46003</v>
      </c>
      <c r="D377" s="233">
        <v>46003</v>
      </c>
      <c r="E377" s="6" t="s">
        <v>7565</v>
      </c>
      <c r="F377" s="28" t="s">
        <v>106</v>
      </c>
      <c r="G377" s="1067" t="s">
        <v>7391</v>
      </c>
      <c r="H377"/>
      <c r="I377" s="1491"/>
      <c r="J377" s="240">
        <v>26632.6</v>
      </c>
      <c r="K377" s="3">
        <f t="shared" si="11"/>
        <v>23436.6</v>
      </c>
      <c r="L377" s="30" t="s">
        <v>17</v>
      </c>
      <c r="M377" s="233">
        <v>46175</v>
      </c>
      <c r="N377" s="88"/>
      <c r="U377" t="s">
        <v>6349</v>
      </c>
      <c r="V377" s="360">
        <v>0.62083333333333335</v>
      </c>
      <c r="W377" s="360"/>
    </row>
    <row r="378" spans="1:23" hidden="1" x14ac:dyDescent="0.25">
      <c r="A378" s="483">
        <v>16122025</v>
      </c>
      <c r="B378" t="s">
        <v>614</v>
      </c>
      <c r="C378" s="233">
        <v>46007</v>
      </c>
      <c r="D378" s="233">
        <v>46007</v>
      </c>
      <c r="E378" s="6" t="s">
        <v>7571</v>
      </c>
      <c r="F378" s="28" t="s">
        <v>2107</v>
      </c>
      <c r="G378" s="1067" t="s">
        <v>7523</v>
      </c>
      <c r="H378"/>
      <c r="I378" s="1491"/>
      <c r="J378" s="240">
        <v>37984.199999999997</v>
      </c>
      <c r="K378" s="3">
        <f t="shared" si="11"/>
        <v>33426.199999999997</v>
      </c>
      <c r="L378" s="30" t="s">
        <v>17</v>
      </c>
      <c r="M378" s="233">
        <v>46175</v>
      </c>
      <c r="N378" s="88"/>
      <c r="U378" s="5" t="s">
        <v>7406</v>
      </c>
      <c r="V378" s="360"/>
      <c r="W378" s="360"/>
    </row>
    <row r="379" spans="1:23" hidden="1" x14ac:dyDescent="0.25">
      <c r="A379" s="483">
        <v>20122025</v>
      </c>
      <c r="B379" t="s">
        <v>614</v>
      </c>
      <c r="C379" s="233">
        <v>46011</v>
      </c>
      <c r="D379" s="233">
        <v>46011</v>
      </c>
      <c r="E379" s="6" t="s">
        <v>7565</v>
      </c>
      <c r="F379" s="28" t="s">
        <v>106</v>
      </c>
      <c r="G379" s="1067" t="s">
        <v>7524</v>
      </c>
      <c r="H379"/>
      <c r="I379" s="1491"/>
      <c r="J379" s="240">
        <v>26632.6</v>
      </c>
      <c r="K379" s="3">
        <f t="shared" si="11"/>
        <v>23436.6</v>
      </c>
      <c r="L379" s="30" t="s">
        <v>17</v>
      </c>
      <c r="M379" s="233">
        <v>46175</v>
      </c>
      <c r="N379" s="88"/>
      <c r="U379" s="5" t="s">
        <v>4867</v>
      </c>
      <c r="V379" s="360">
        <v>0.27708333333333335</v>
      </c>
      <c r="W379" s="360">
        <v>0.44166666666666665</v>
      </c>
    </row>
    <row r="380" spans="1:23" hidden="1" x14ac:dyDescent="0.25">
      <c r="A380" s="483">
        <v>21122025</v>
      </c>
      <c r="B380" t="s">
        <v>614</v>
      </c>
      <c r="C380" s="233">
        <v>46012</v>
      </c>
      <c r="D380" s="233">
        <v>46012</v>
      </c>
      <c r="E380" s="6" t="s">
        <v>7563</v>
      </c>
      <c r="F380" s="28" t="s">
        <v>113</v>
      </c>
      <c r="G380" s="1067" t="s">
        <v>7525</v>
      </c>
      <c r="H380"/>
      <c r="I380" s="1491"/>
      <c r="J380" s="240">
        <v>37984.199999999997</v>
      </c>
      <c r="K380" s="3">
        <f t="shared" si="11"/>
        <v>33426.199999999997</v>
      </c>
      <c r="L380" s="30" t="s">
        <v>17</v>
      </c>
      <c r="M380" s="233">
        <v>46175</v>
      </c>
      <c r="N380" s="88"/>
      <c r="U380" s="5" t="s">
        <v>5393</v>
      </c>
      <c r="V380" s="360">
        <v>0.33333333333333331</v>
      </c>
      <c r="W380" s="360">
        <v>0.53333333333333333</v>
      </c>
    </row>
    <row r="381" spans="1:23" hidden="1" x14ac:dyDescent="0.25">
      <c r="A381" s="483">
        <v>22122025</v>
      </c>
      <c r="B381" t="s">
        <v>614</v>
      </c>
      <c r="C381" s="233">
        <v>46012</v>
      </c>
      <c r="D381" s="233">
        <v>46013</v>
      </c>
      <c r="E381" s="6" t="s">
        <v>7558</v>
      </c>
      <c r="F381" s="28" t="s">
        <v>143</v>
      </c>
      <c r="G381" s="1067" t="s">
        <v>7526</v>
      </c>
      <c r="H381"/>
      <c r="I381" s="1491"/>
      <c r="J381" s="240">
        <v>37111</v>
      </c>
      <c r="K381" s="3">
        <f t="shared" si="11"/>
        <v>32658</v>
      </c>
      <c r="L381" s="30" t="s">
        <v>17</v>
      </c>
      <c r="M381" s="233">
        <v>46175</v>
      </c>
      <c r="N381" s="88"/>
      <c r="U381" s="5" t="s">
        <v>6067</v>
      </c>
      <c r="V381" s="360">
        <v>0.85416666666666663</v>
      </c>
      <c r="W381" s="360">
        <v>7.2916666666666671E-2</v>
      </c>
    </row>
    <row r="382" spans="1:23" hidden="1" x14ac:dyDescent="0.25">
      <c r="A382" s="483">
        <v>23122025</v>
      </c>
      <c r="B382" t="s">
        <v>614</v>
      </c>
      <c r="C382" s="233">
        <v>46014</v>
      </c>
      <c r="D382" s="233">
        <v>46014</v>
      </c>
      <c r="E382" s="6" t="s">
        <v>7556</v>
      </c>
      <c r="F382" s="28" t="s">
        <v>285</v>
      </c>
      <c r="G382" s="1067" t="s">
        <v>7527</v>
      </c>
      <c r="H382"/>
      <c r="I382" s="1491"/>
      <c r="J382" s="240">
        <v>44096.6</v>
      </c>
      <c r="K382" s="3">
        <f t="shared" si="11"/>
        <v>38804.6</v>
      </c>
      <c r="L382" s="30" t="s">
        <v>17</v>
      </c>
      <c r="M382" s="233">
        <v>46175</v>
      </c>
      <c r="N382" s="88"/>
      <c r="U382" s="5" t="s">
        <v>6067</v>
      </c>
      <c r="V382" s="360">
        <v>0.7416666666666667</v>
      </c>
      <c r="W382" s="360">
        <v>0.97222222222222221</v>
      </c>
    </row>
    <row r="383" spans="1:23" hidden="1" x14ac:dyDescent="0.25">
      <c r="A383" s="483">
        <v>28122025</v>
      </c>
      <c r="B383" t="s">
        <v>614</v>
      </c>
      <c r="C383" s="233">
        <v>46019</v>
      </c>
      <c r="D383" s="233">
        <v>46019</v>
      </c>
      <c r="E383" s="6" t="s">
        <v>7564</v>
      </c>
      <c r="F383" s="28" t="s">
        <v>68</v>
      </c>
      <c r="G383" s="1067" t="s">
        <v>7528</v>
      </c>
      <c r="H383"/>
      <c r="I383" s="1491"/>
      <c r="J383" s="240">
        <v>44096.6</v>
      </c>
      <c r="K383" s="3">
        <f t="shared" si="11"/>
        <v>38804.6</v>
      </c>
      <c r="L383" s="30" t="s">
        <v>17</v>
      </c>
      <c r="M383" s="233">
        <v>46175</v>
      </c>
      <c r="N383" s="88"/>
      <c r="U383" s="5" t="s">
        <v>5393</v>
      </c>
      <c r="V383" s="360">
        <v>0.29236111111111113</v>
      </c>
      <c r="W383" s="360">
        <v>0.54513888888888895</v>
      </c>
    </row>
    <row r="384" spans="1:23" ht="14.45" hidden="1" customHeight="1" x14ac:dyDescent="0.25">
      <c r="A384" s="483" t="s">
        <v>7441</v>
      </c>
      <c r="B384" t="s">
        <v>614</v>
      </c>
      <c r="C384" s="233">
        <v>46023</v>
      </c>
      <c r="D384" s="233">
        <v>46023</v>
      </c>
      <c r="E384" s="6" t="s">
        <v>7567</v>
      </c>
      <c r="F384" s="28" t="s">
        <v>2029</v>
      </c>
      <c r="G384" t="s">
        <v>7531</v>
      </c>
      <c r="H384"/>
      <c r="I384" s="1608" t="s">
        <v>8060</v>
      </c>
      <c r="J384" s="88">
        <v>26632.6</v>
      </c>
      <c r="K384" s="3">
        <f t="shared" si="11"/>
        <v>23436.6</v>
      </c>
      <c r="L384" s="30" t="s">
        <v>17</v>
      </c>
      <c r="M384" s="233">
        <v>46181</v>
      </c>
      <c r="U384" t="s">
        <v>4867</v>
      </c>
      <c r="V384" s="360">
        <v>0.34583333333333338</v>
      </c>
      <c r="W384" s="360">
        <v>0.55625000000000002</v>
      </c>
    </row>
    <row r="385" spans="1:23" hidden="1" x14ac:dyDescent="0.25">
      <c r="A385" s="483" t="s">
        <v>7441</v>
      </c>
      <c r="B385" t="s">
        <v>614</v>
      </c>
      <c r="C385" s="233">
        <v>46023</v>
      </c>
      <c r="D385" s="233">
        <v>46023</v>
      </c>
      <c r="E385" s="6" t="s">
        <v>7556</v>
      </c>
      <c r="F385" s="28" t="s">
        <v>285</v>
      </c>
      <c r="G385" t="s">
        <v>7532</v>
      </c>
      <c r="H385"/>
      <c r="I385" s="1608"/>
      <c r="J385" s="88">
        <v>44096.6</v>
      </c>
      <c r="K385" s="3">
        <f t="shared" si="11"/>
        <v>38804.6</v>
      </c>
      <c r="L385" s="30" t="s">
        <v>17</v>
      </c>
      <c r="M385" s="233">
        <v>46181</v>
      </c>
      <c r="U385" t="s">
        <v>3765</v>
      </c>
      <c r="V385" s="360">
        <v>0.6020833333333333</v>
      </c>
      <c r="W385" s="360">
        <v>0.84722222222222221</v>
      </c>
    </row>
    <row r="386" spans="1:23" hidden="1" x14ac:dyDescent="0.25">
      <c r="A386" s="483" t="s">
        <v>7444</v>
      </c>
      <c r="B386" t="s">
        <v>614</v>
      </c>
      <c r="C386" s="233">
        <v>46024</v>
      </c>
      <c r="D386" s="233">
        <v>46024</v>
      </c>
      <c r="E386" s="6" t="s">
        <v>7557</v>
      </c>
      <c r="F386" s="28" t="s">
        <v>207</v>
      </c>
      <c r="G386" t="s">
        <v>7533</v>
      </c>
      <c r="H386"/>
      <c r="I386" s="1608"/>
      <c r="J386" s="88">
        <v>35364.6</v>
      </c>
      <c r="K386" s="3">
        <f t="shared" si="11"/>
        <v>31120.6</v>
      </c>
      <c r="L386" s="30" t="s">
        <v>17</v>
      </c>
      <c r="M386" s="233">
        <v>46181</v>
      </c>
      <c r="U386" t="s">
        <v>5989</v>
      </c>
      <c r="V386" s="360">
        <v>0.28958333333333336</v>
      </c>
      <c r="W386" s="360">
        <v>0.50347222222222221</v>
      </c>
    </row>
    <row r="387" spans="1:23" hidden="1" x14ac:dyDescent="0.25">
      <c r="A387" s="483" t="s">
        <v>7444</v>
      </c>
      <c r="B387" t="s">
        <v>614</v>
      </c>
      <c r="C387" s="233">
        <v>46024</v>
      </c>
      <c r="D387" s="233">
        <v>46024</v>
      </c>
      <c r="E387" s="6" t="s">
        <v>7559</v>
      </c>
      <c r="F387" s="28" t="s">
        <v>1931</v>
      </c>
      <c r="G387" t="s">
        <v>7534</v>
      </c>
      <c r="H387"/>
      <c r="I387" s="1608"/>
      <c r="J387" s="88">
        <v>52828.6</v>
      </c>
      <c r="K387" s="3">
        <f t="shared" si="11"/>
        <v>46489.599999999999</v>
      </c>
      <c r="L387" s="30" t="s">
        <v>17</v>
      </c>
      <c r="M387" s="233">
        <v>46181</v>
      </c>
      <c r="U387" t="s">
        <v>7078</v>
      </c>
      <c r="V387" s="360">
        <v>0.54861111111111105</v>
      </c>
      <c r="W387" s="360">
        <v>0.8534722222222223</v>
      </c>
    </row>
    <row r="388" spans="1:23" hidden="1" x14ac:dyDescent="0.25">
      <c r="A388" s="483" t="s">
        <v>7442</v>
      </c>
      <c r="B388" t="s">
        <v>614</v>
      </c>
      <c r="C388" s="233">
        <v>46026</v>
      </c>
      <c r="D388" s="233">
        <v>46026</v>
      </c>
      <c r="E388" s="6" t="s">
        <v>7560</v>
      </c>
      <c r="F388" s="28" t="s">
        <v>236</v>
      </c>
      <c r="G388" t="s">
        <v>7535</v>
      </c>
      <c r="H388"/>
      <c r="I388" s="1608"/>
      <c r="J388" s="88">
        <v>52828.6</v>
      </c>
      <c r="K388" s="3">
        <f t="shared" si="11"/>
        <v>46489.599999999999</v>
      </c>
      <c r="L388" s="30" t="s">
        <v>17</v>
      </c>
      <c r="M388" s="233">
        <v>46181</v>
      </c>
      <c r="U388" t="s">
        <v>5989</v>
      </c>
      <c r="V388" s="360">
        <v>0.28055555555555556</v>
      </c>
      <c r="W388" s="360">
        <v>0.55833333333333335</v>
      </c>
    </row>
    <row r="389" spans="1:23" hidden="1" x14ac:dyDescent="0.25">
      <c r="A389" s="483" t="s">
        <v>7516</v>
      </c>
      <c r="B389" t="s">
        <v>614</v>
      </c>
      <c r="C389" s="233">
        <v>46032</v>
      </c>
      <c r="D389" s="233">
        <v>46032</v>
      </c>
      <c r="E389" s="6" t="s">
        <v>7568</v>
      </c>
      <c r="F389" s="28" t="s">
        <v>3676</v>
      </c>
      <c r="G389" s="1067" t="s">
        <v>7536</v>
      </c>
      <c r="H389"/>
      <c r="I389" s="1608"/>
      <c r="J389" s="240">
        <v>24886.2</v>
      </c>
      <c r="K389" s="3">
        <f t="shared" si="11"/>
        <v>21900.2</v>
      </c>
      <c r="L389" s="30" t="s">
        <v>17</v>
      </c>
      <c r="M389" s="233">
        <v>46181</v>
      </c>
      <c r="N389" s="88"/>
      <c r="U389" t="s">
        <v>7092</v>
      </c>
      <c r="V389" s="360">
        <v>0.56944444444444442</v>
      </c>
      <c r="W389" s="360">
        <v>0.70416666666666661</v>
      </c>
    </row>
    <row r="390" spans="1:23" hidden="1" x14ac:dyDescent="0.25">
      <c r="A390" s="483" t="s">
        <v>7549</v>
      </c>
      <c r="B390" t="s">
        <v>614</v>
      </c>
      <c r="C390" s="233">
        <v>46040</v>
      </c>
      <c r="D390" s="233">
        <v>46040</v>
      </c>
      <c r="E390" s="6" t="s">
        <v>7566</v>
      </c>
      <c r="F390" s="28" t="s">
        <v>425</v>
      </c>
      <c r="G390" s="30" t="s">
        <v>7580</v>
      </c>
      <c r="H390"/>
      <c r="I390" s="1608"/>
      <c r="J390" s="240">
        <v>33618.199999999997</v>
      </c>
      <c r="K390" s="3">
        <f t="shared" si="11"/>
        <v>29584.199999999997</v>
      </c>
      <c r="L390" s="30" t="s">
        <v>17</v>
      </c>
      <c r="M390" s="233">
        <v>46181</v>
      </c>
      <c r="N390" s="88"/>
      <c r="U390" t="s">
        <v>7078</v>
      </c>
      <c r="V390" s="360">
        <v>0.39583333333333331</v>
      </c>
      <c r="W390" s="360">
        <v>0.58333333333333337</v>
      </c>
    </row>
    <row r="391" spans="1:23" hidden="1" x14ac:dyDescent="0.25">
      <c r="A391" s="483" t="s">
        <v>7551</v>
      </c>
      <c r="B391" t="s">
        <v>614</v>
      </c>
      <c r="C391" s="233">
        <v>46041</v>
      </c>
      <c r="D391" s="233">
        <v>46041</v>
      </c>
      <c r="E391" s="6" t="s">
        <v>7567</v>
      </c>
      <c r="F391" s="28" t="s">
        <v>4622</v>
      </c>
      <c r="G391" s="30" t="s">
        <v>7581</v>
      </c>
      <c r="H391"/>
      <c r="I391" s="1608"/>
      <c r="J391" s="240">
        <v>26632.6</v>
      </c>
      <c r="K391" s="3">
        <f t="shared" si="11"/>
        <v>23436.6</v>
      </c>
      <c r="L391" s="30" t="s">
        <v>17</v>
      </c>
      <c r="M391" s="233">
        <v>46181</v>
      </c>
      <c r="N391" s="88"/>
      <c r="U391" t="s">
        <v>7552</v>
      </c>
      <c r="V391" s="360">
        <v>0.37638888888888888</v>
      </c>
      <c r="W391" s="360">
        <v>0.56388888888888888</v>
      </c>
    </row>
    <row r="392" spans="1:23" hidden="1" x14ac:dyDescent="0.25">
      <c r="A392" s="483" t="s">
        <v>7582</v>
      </c>
      <c r="B392" t="s">
        <v>614</v>
      </c>
      <c r="C392" s="233">
        <v>46043</v>
      </c>
      <c r="D392" s="233">
        <v>46043</v>
      </c>
      <c r="E392" s="30" t="s">
        <v>7556</v>
      </c>
      <c r="F392" s="28" t="s">
        <v>285</v>
      </c>
      <c r="G392" s="30" t="s">
        <v>7700</v>
      </c>
      <c r="H392" s="1067" t="s">
        <v>279</v>
      </c>
      <c r="I392" s="1608"/>
      <c r="J392" s="313">
        <v>44096.6</v>
      </c>
      <c r="K392" s="3">
        <f t="shared" si="11"/>
        <v>38804.6</v>
      </c>
      <c r="L392" s="30" t="s">
        <v>17</v>
      </c>
      <c r="M392" s="233">
        <v>46181</v>
      </c>
      <c r="T392" t="s">
        <v>5393</v>
      </c>
      <c r="U392" s="360">
        <v>0.44375000000000003</v>
      </c>
      <c r="V392" s="360"/>
    </row>
    <row r="393" spans="1:23" hidden="1" x14ac:dyDescent="0.25">
      <c r="A393" s="483" t="s">
        <v>7582</v>
      </c>
      <c r="B393" t="s">
        <v>614</v>
      </c>
      <c r="C393" s="233">
        <v>46043</v>
      </c>
      <c r="D393" s="233">
        <v>46043</v>
      </c>
      <c r="E393" s="30" t="s">
        <v>7583</v>
      </c>
      <c r="F393" s="28" t="s">
        <v>5326</v>
      </c>
      <c r="G393" s="30" t="s">
        <v>7701</v>
      </c>
      <c r="H393" s="1067" t="s">
        <v>279</v>
      </c>
      <c r="I393" s="1608"/>
      <c r="J393" s="313">
        <v>35364.6</v>
      </c>
      <c r="K393" s="3">
        <f t="shared" si="11"/>
        <v>31120.6</v>
      </c>
      <c r="L393" s="30" t="s">
        <v>17</v>
      </c>
      <c r="M393" s="233">
        <v>46181</v>
      </c>
      <c r="T393" t="s">
        <v>4140</v>
      </c>
      <c r="U393" s="360">
        <v>0.53888888888888886</v>
      </c>
      <c r="V393" s="360"/>
    </row>
    <row r="394" spans="1:23" hidden="1" x14ac:dyDescent="0.25">
      <c r="A394" s="483" t="s">
        <v>7592</v>
      </c>
      <c r="B394" t="s">
        <v>614</v>
      </c>
      <c r="C394" s="233">
        <v>46045</v>
      </c>
      <c r="D394" s="233">
        <v>46045</v>
      </c>
      <c r="E394" s="30" t="s">
        <v>7583</v>
      </c>
      <c r="F394" s="28" t="s">
        <v>5326</v>
      </c>
      <c r="G394" s="30" t="s">
        <v>7702</v>
      </c>
      <c r="H394" s="1067" t="s">
        <v>279</v>
      </c>
      <c r="I394" s="1608"/>
      <c r="J394" s="313">
        <v>35364.6</v>
      </c>
      <c r="K394" s="3">
        <f t="shared" si="11"/>
        <v>31120.6</v>
      </c>
      <c r="L394" s="30" t="s">
        <v>17</v>
      </c>
      <c r="M394" s="233">
        <v>46181</v>
      </c>
      <c r="T394" t="s">
        <v>7548</v>
      </c>
      <c r="U394" s="360">
        <v>0.53541666666666665</v>
      </c>
      <c r="V394" s="360">
        <v>0.74375000000000002</v>
      </c>
    </row>
    <row r="395" spans="1:23" hidden="1" x14ac:dyDescent="0.25">
      <c r="A395" s="483" t="s">
        <v>7593</v>
      </c>
      <c r="B395" t="s">
        <v>614</v>
      </c>
      <c r="C395" s="233">
        <v>46046</v>
      </c>
      <c r="D395" s="233">
        <v>46046</v>
      </c>
      <c r="E395" s="6" t="s">
        <v>7571</v>
      </c>
      <c r="F395" s="28" t="s">
        <v>294</v>
      </c>
      <c r="G395" s="30" t="s">
        <v>7703</v>
      </c>
      <c r="H395" s="1067" t="s">
        <v>279</v>
      </c>
      <c r="I395" s="1608"/>
      <c r="J395" s="313">
        <v>37984.199999999997</v>
      </c>
      <c r="K395" s="3">
        <f t="shared" si="11"/>
        <v>33426.199999999997</v>
      </c>
      <c r="L395" s="30" t="s">
        <v>17</v>
      </c>
      <c r="M395" s="233">
        <v>46181</v>
      </c>
      <c r="T395" s="33" t="s">
        <v>6898</v>
      </c>
      <c r="U395" s="360">
        <v>0.36736111111111108</v>
      </c>
      <c r="V395" s="360">
        <v>0.57708333333333328</v>
      </c>
    </row>
    <row r="396" spans="1:23" hidden="1" x14ac:dyDescent="0.25">
      <c r="A396" s="483" t="s">
        <v>7618</v>
      </c>
      <c r="B396" t="s">
        <v>614</v>
      </c>
      <c r="C396" s="233">
        <v>46052</v>
      </c>
      <c r="D396" s="233">
        <v>46052</v>
      </c>
      <c r="E396" s="30" t="s">
        <v>7566</v>
      </c>
      <c r="F396" s="28" t="s">
        <v>425</v>
      </c>
      <c r="G396" s="30" t="s">
        <v>7704</v>
      </c>
      <c r="H396" s="1075" t="s">
        <v>279</v>
      </c>
      <c r="I396" s="1608"/>
      <c r="J396" s="313">
        <v>33618.199999999997</v>
      </c>
      <c r="K396" s="3">
        <f t="shared" si="11"/>
        <v>29584.199999999997</v>
      </c>
      <c r="L396" s="30" t="s">
        <v>17</v>
      </c>
      <c r="M396" s="233">
        <v>46181</v>
      </c>
      <c r="T396" t="s">
        <v>4140</v>
      </c>
      <c r="U396" s="360">
        <v>0.57847222222222217</v>
      </c>
      <c r="V396" s="360"/>
    </row>
    <row r="397" spans="1:23" hidden="1" x14ac:dyDescent="0.25">
      <c r="A397" s="483" t="s">
        <v>7627</v>
      </c>
      <c r="B397" t="s">
        <v>614</v>
      </c>
      <c r="C397" s="233">
        <v>46058</v>
      </c>
      <c r="D397" s="233">
        <v>46058</v>
      </c>
      <c r="E397" s="30" t="s">
        <v>7557</v>
      </c>
      <c r="F397" s="28" t="s">
        <v>207</v>
      </c>
      <c r="G397" s="30" t="s">
        <v>7705</v>
      </c>
      <c r="H397" s="1067" t="s">
        <v>279</v>
      </c>
      <c r="I397" s="1491" t="s">
        <v>7781</v>
      </c>
      <c r="J397" s="313">
        <v>35364.6</v>
      </c>
      <c r="K397" s="3">
        <f t="shared" si="11"/>
        <v>31120.6</v>
      </c>
      <c r="L397" s="30" t="s">
        <v>17</v>
      </c>
      <c r="M397" s="233">
        <v>46156</v>
      </c>
      <c r="T397" t="s">
        <v>5989</v>
      </c>
      <c r="U397" s="360">
        <v>0.27013888888888887</v>
      </c>
      <c r="V397" s="360">
        <v>0.49236111111111108</v>
      </c>
    </row>
    <row r="398" spans="1:23" hidden="1" x14ac:dyDescent="0.25">
      <c r="A398" s="483" t="s">
        <v>7643</v>
      </c>
      <c r="B398" t="s">
        <v>614</v>
      </c>
      <c r="C398" s="233">
        <v>46059</v>
      </c>
      <c r="D398" s="233">
        <v>46059</v>
      </c>
      <c r="E398" s="30" t="s">
        <v>7562</v>
      </c>
      <c r="F398" s="28" t="s">
        <v>2253</v>
      </c>
      <c r="G398" s="30" t="s">
        <v>7706</v>
      </c>
      <c r="H398" s="1067" t="s">
        <v>279</v>
      </c>
      <c r="I398" s="1491"/>
      <c r="J398" s="313">
        <v>52828.6</v>
      </c>
      <c r="K398" s="3">
        <f t="shared" si="11"/>
        <v>46489.599999999999</v>
      </c>
      <c r="L398" s="30" t="s">
        <v>17</v>
      </c>
      <c r="M398" s="233">
        <v>46156</v>
      </c>
      <c r="T398" t="s">
        <v>4983</v>
      </c>
      <c r="U398" s="360">
        <v>0.65972222222222221</v>
      </c>
      <c r="V398" s="360">
        <v>0.99930555555555556</v>
      </c>
    </row>
    <row r="399" spans="1:23" hidden="1" x14ac:dyDescent="0.25">
      <c r="A399" s="483" t="s">
        <v>7645</v>
      </c>
      <c r="B399" t="s">
        <v>614</v>
      </c>
      <c r="C399" s="233">
        <v>46061</v>
      </c>
      <c r="D399" s="233">
        <v>46061</v>
      </c>
      <c r="E399" s="30" t="s">
        <v>7556</v>
      </c>
      <c r="F399" s="28" t="s">
        <v>285</v>
      </c>
      <c r="G399" s="30" t="s">
        <v>7707</v>
      </c>
      <c r="H399" s="1067" t="s">
        <v>279</v>
      </c>
      <c r="I399" s="1491"/>
      <c r="J399" s="313">
        <v>44096.6</v>
      </c>
      <c r="K399" s="3">
        <f t="shared" si="11"/>
        <v>38804.6</v>
      </c>
      <c r="L399" s="30" t="s">
        <v>17</v>
      </c>
      <c r="M399" s="233">
        <v>46156</v>
      </c>
      <c r="T399" t="s">
        <v>4983</v>
      </c>
      <c r="U399" s="360">
        <v>0.68194444444444446</v>
      </c>
      <c r="V399" s="360">
        <v>0.92013888888888884</v>
      </c>
    </row>
    <row r="400" spans="1:23" hidden="1" x14ac:dyDescent="0.25">
      <c r="A400" s="483" t="s">
        <v>7648</v>
      </c>
      <c r="B400" t="s">
        <v>614</v>
      </c>
      <c r="C400" s="233">
        <v>46063</v>
      </c>
      <c r="D400" s="233">
        <v>46063</v>
      </c>
      <c r="E400" s="30" t="s">
        <v>7553</v>
      </c>
      <c r="F400" s="28" t="s">
        <v>2036</v>
      </c>
      <c r="G400" s="30" t="s">
        <v>7708</v>
      </c>
      <c r="H400" s="1067" t="s">
        <v>279</v>
      </c>
      <c r="I400" s="1491"/>
      <c r="J400" s="313">
        <v>26632.6</v>
      </c>
      <c r="K400" s="3">
        <f t="shared" ref="K400:K431" si="12">+J400-ROUND(J400*0.12,0)</f>
        <v>23436.6</v>
      </c>
      <c r="L400" s="30" t="s">
        <v>17</v>
      </c>
      <c r="M400" s="233">
        <v>46156</v>
      </c>
      <c r="T400" t="s">
        <v>4983</v>
      </c>
      <c r="U400" s="360">
        <v>0.59375</v>
      </c>
      <c r="V400" s="360">
        <v>0.61527777777777781</v>
      </c>
    </row>
    <row r="401" spans="1:22" hidden="1" x14ac:dyDescent="0.25">
      <c r="A401" s="483" t="s">
        <v>7647</v>
      </c>
      <c r="B401" t="s">
        <v>614</v>
      </c>
      <c r="C401" s="233">
        <v>46065</v>
      </c>
      <c r="D401" s="233">
        <v>46065</v>
      </c>
      <c r="E401" s="30" t="s">
        <v>7553</v>
      </c>
      <c r="F401" s="28" t="s">
        <v>2036</v>
      </c>
      <c r="G401" s="30" t="s">
        <v>7709</v>
      </c>
      <c r="H401" s="1067" t="s">
        <v>279</v>
      </c>
      <c r="I401" s="1491"/>
      <c r="J401" s="313">
        <v>26632.6</v>
      </c>
      <c r="K401" s="3">
        <f t="shared" si="12"/>
        <v>23436.6</v>
      </c>
      <c r="L401" s="30" t="s">
        <v>17</v>
      </c>
      <c r="M401" s="233">
        <v>46156</v>
      </c>
      <c r="T401" t="s">
        <v>5393</v>
      </c>
      <c r="U401" s="360">
        <v>0.26805555555555555</v>
      </c>
      <c r="V401" s="360"/>
    </row>
    <row r="402" spans="1:22" hidden="1" x14ac:dyDescent="0.25">
      <c r="A402" s="690" t="s">
        <v>7651</v>
      </c>
      <c r="B402" s="19" t="s">
        <v>614</v>
      </c>
      <c r="C402" s="233">
        <v>46066</v>
      </c>
      <c r="D402" s="691">
        <v>46066</v>
      </c>
      <c r="E402" s="30" t="s">
        <v>7564</v>
      </c>
      <c r="F402" s="28" t="s">
        <v>68</v>
      </c>
      <c r="G402" s="30" t="s">
        <v>7713</v>
      </c>
      <c r="H402" s="1067" t="s">
        <v>279</v>
      </c>
      <c r="I402" s="1491"/>
      <c r="J402" s="313">
        <v>44096.6</v>
      </c>
      <c r="K402" s="3">
        <f t="shared" si="12"/>
        <v>38804.6</v>
      </c>
      <c r="L402" s="30" t="s">
        <v>17</v>
      </c>
      <c r="M402" s="233">
        <v>46156</v>
      </c>
      <c r="U402" s="693"/>
      <c r="V402" s="360"/>
    </row>
    <row r="403" spans="1:22" hidden="1" x14ac:dyDescent="0.25">
      <c r="A403" s="690" t="s">
        <v>7654</v>
      </c>
      <c r="B403" s="19" t="s">
        <v>614</v>
      </c>
      <c r="C403" s="233">
        <v>46069</v>
      </c>
      <c r="D403" s="691">
        <v>46069</v>
      </c>
      <c r="E403" s="30" t="s">
        <v>7556</v>
      </c>
      <c r="F403" s="472" t="s">
        <v>285</v>
      </c>
      <c r="G403" s="30" t="s">
        <v>7710</v>
      </c>
      <c r="H403" s="1084" t="s">
        <v>279</v>
      </c>
      <c r="I403" s="1491"/>
      <c r="J403" s="1101">
        <v>44096.6</v>
      </c>
      <c r="K403" s="3">
        <f t="shared" si="12"/>
        <v>38804.6</v>
      </c>
      <c r="L403" s="30" t="s">
        <v>17</v>
      </c>
      <c r="M403" s="233">
        <v>46156</v>
      </c>
      <c r="U403" s="693"/>
      <c r="V403" s="360"/>
    </row>
    <row r="404" spans="1:22" hidden="1" x14ac:dyDescent="0.25">
      <c r="A404" s="690" t="s">
        <v>7654</v>
      </c>
      <c r="B404" s="19" t="s">
        <v>614</v>
      </c>
      <c r="C404" s="233">
        <v>46069</v>
      </c>
      <c r="D404" s="691">
        <v>46069</v>
      </c>
      <c r="E404" s="30" t="s">
        <v>7556</v>
      </c>
      <c r="F404" s="472" t="s">
        <v>285</v>
      </c>
      <c r="G404" s="30" t="s">
        <v>7711</v>
      </c>
      <c r="H404" s="1084" t="s">
        <v>279</v>
      </c>
      <c r="I404" s="1491"/>
      <c r="J404" s="1101">
        <v>44096.6</v>
      </c>
      <c r="K404" s="3">
        <f t="shared" si="12"/>
        <v>38804.6</v>
      </c>
      <c r="L404" s="30" t="s">
        <v>17</v>
      </c>
      <c r="M404" s="233">
        <v>46156</v>
      </c>
      <c r="U404" s="693"/>
      <c r="V404" s="360"/>
    </row>
    <row r="405" spans="1:22" hidden="1" x14ac:dyDescent="0.25">
      <c r="A405" s="483">
        <v>18022026</v>
      </c>
      <c r="B405" t="s">
        <v>614</v>
      </c>
      <c r="C405" s="233">
        <v>46071</v>
      </c>
      <c r="D405" s="233">
        <v>46071</v>
      </c>
      <c r="E405" s="30" t="s">
        <v>7567</v>
      </c>
      <c r="F405" s="28" t="s">
        <v>4622</v>
      </c>
      <c r="G405" s="30" t="s">
        <v>7712</v>
      </c>
      <c r="H405" s="1067" t="s">
        <v>279</v>
      </c>
      <c r="I405" s="1491"/>
      <c r="J405" s="915">
        <v>26632.6</v>
      </c>
      <c r="K405" s="3">
        <f t="shared" si="12"/>
        <v>23436.6</v>
      </c>
      <c r="L405" s="30" t="s">
        <v>17</v>
      </c>
      <c r="M405" s="233">
        <v>46156</v>
      </c>
      <c r="T405" t="s">
        <v>5131</v>
      </c>
      <c r="U405" s="360"/>
      <c r="V405" s="360"/>
    </row>
    <row r="406" spans="1:22" hidden="1" x14ac:dyDescent="0.25">
      <c r="A406" s="483">
        <v>24022026</v>
      </c>
      <c r="B406" t="s">
        <v>614</v>
      </c>
      <c r="C406" s="233">
        <v>46077</v>
      </c>
      <c r="D406" s="233">
        <v>46077</v>
      </c>
      <c r="E406" s="6" t="s">
        <v>7571</v>
      </c>
      <c r="F406" s="28" t="s">
        <v>294</v>
      </c>
      <c r="G406" s="30" t="s">
        <v>7755</v>
      </c>
      <c r="H406" s="1067" t="s">
        <v>279</v>
      </c>
      <c r="I406" s="1491"/>
      <c r="J406" s="798">
        <v>37984.199999999997</v>
      </c>
      <c r="K406" s="3">
        <f t="shared" si="12"/>
        <v>33426.199999999997</v>
      </c>
      <c r="L406" s="30" t="s">
        <v>17</v>
      </c>
      <c r="M406" s="233">
        <v>46156</v>
      </c>
      <c r="T406" t="s">
        <v>5989</v>
      </c>
      <c r="U406" s="360"/>
      <c r="V406" s="360"/>
    </row>
    <row r="407" spans="1:22" hidden="1" x14ac:dyDescent="0.25">
      <c r="A407" s="483">
        <v>25022026</v>
      </c>
      <c r="B407" t="s">
        <v>614</v>
      </c>
      <c r="C407" s="233">
        <v>46078</v>
      </c>
      <c r="D407" s="233">
        <v>46078</v>
      </c>
      <c r="E407" s="30" t="s">
        <v>7569</v>
      </c>
      <c r="F407" s="28" t="s">
        <v>563</v>
      </c>
      <c r="G407" s="30" t="s">
        <v>7769</v>
      </c>
      <c r="H407" s="1067" t="s">
        <v>279</v>
      </c>
      <c r="I407" s="1491"/>
      <c r="J407" s="1384">
        <v>28379</v>
      </c>
      <c r="K407" s="3">
        <f t="shared" si="12"/>
        <v>24974</v>
      </c>
      <c r="L407" s="30" t="s">
        <v>17</v>
      </c>
      <c r="M407" s="233">
        <v>46156</v>
      </c>
      <c r="T407" t="s">
        <v>7092</v>
      </c>
      <c r="U407" s="360">
        <v>0.30902777777777779</v>
      </c>
      <c r="V407" s="360"/>
    </row>
    <row r="408" spans="1:22" hidden="1" x14ac:dyDescent="0.25">
      <c r="A408" s="483">
        <v>28022026</v>
      </c>
      <c r="B408" t="s">
        <v>614</v>
      </c>
      <c r="C408" s="233">
        <v>46081</v>
      </c>
      <c r="D408" s="494">
        <v>46081</v>
      </c>
      <c r="E408" s="6" t="s">
        <v>7571</v>
      </c>
      <c r="F408" s="28" t="s">
        <v>872</v>
      </c>
      <c r="G408" s="30" t="s">
        <v>7770</v>
      </c>
      <c r="H408" s="1073" t="s">
        <v>279</v>
      </c>
      <c r="I408" s="1491"/>
      <c r="J408" s="915">
        <v>37984.199999999997</v>
      </c>
      <c r="K408" s="3">
        <f t="shared" si="12"/>
        <v>33426.199999999997</v>
      </c>
      <c r="L408" s="30" t="s">
        <v>17</v>
      </c>
      <c r="M408" s="233">
        <v>46156</v>
      </c>
      <c r="T408" s="926" t="s">
        <v>7763</v>
      </c>
      <c r="U408" s="360">
        <v>0.53263888888888888</v>
      </c>
      <c r="V408" s="360">
        <v>0.72013888888888899</v>
      </c>
    </row>
    <row r="409" spans="1:22" hidden="1" x14ac:dyDescent="0.25">
      <c r="A409" s="483" t="s">
        <v>7764</v>
      </c>
      <c r="B409" t="s">
        <v>614</v>
      </c>
      <c r="C409" s="233">
        <v>46082</v>
      </c>
      <c r="D409" s="233"/>
      <c r="E409" s="30" t="s">
        <v>7558</v>
      </c>
      <c r="F409" s="28" t="s">
        <v>143</v>
      </c>
      <c r="G409" s="30" t="s">
        <v>7771</v>
      </c>
      <c r="H409" s="1073" t="s">
        <v>279</v>
      </c>
      <c r="I409" s="1491" t="s">
        <v>7993</v>
      </c>
      <c r="J409" s="915">
        <v>37111</v>
      </c>
      <c r="K409" s="3">
        <f t="shared" si="12"/>
        <v>32658</v>
      </c>
      <c r="L409" s="1354" t="s">
        <v>17</v>
      </c>
      <c r="M409" s="233">
        <v>46238</v>
      </c>
      <c r="T409" t="s">
        <v>4297</v>
      </c>
      <c r="U409" s="360">
        <v>0.41250000000000003</v>
      </c>
      <c r="V409" s="360">
        <v>0.6069444444444444</v>
      </c>
    </row>
    <row r="410" spans="1:22" hidden="1" x14ac:dyDescent="0.25">
      <c r="A410" s="483" t="s">
        <v>7764</v>
      </c>
      <c r="B410" t="s">
        <v>614</v>
      </c>
      <c r="C410" s="233">
        <v>46082</v>
      </c>
      <c r="D410" s="233"/>
      <c r="E410" s="30" t="s">
        <v>7563</v>
      </c>
      <c r="F410" s="28" t="s">
        <v>143</v>
      </c>
      <c r="G410" s="30" t="s">
        <v>7772</v>
      </c>
      <c r="H410" s="1073" t="s">
        <v>279</v>
      </c>
      <c r="I410" s="1491"/>
      <c r="J410" s="915">
        <v>37984.199999999997</v>
      </c>
      <c r="K410" s="3">
        <f t="shared" si="12"/>
        <v>33426.199999999997</v>
      </c>
      <c r="L410" s="1354" t="s">
        <v>17</v>
      </c>
      <c r="M410" s="233">
        <v>46238</v>
      </c>
      <c r="T410" t="s">
        <v>7763</v>
      </c>
      <c r="U410" s="360">
        <v>0.70138888888888884</v>
      </c>
      <c r="V410" s="360">
        <v>0.85833333333333339</v>
      </c>
    </row>
    <row r="411" spans="1:22" hidden="1" x14ac:dyDescent="0.25">
      <c r="A411" s="483" t="s">
        <v>7767</v>
      </c>
      <c r="B411" t="s">
        <v>614</v>
      </c>
      <c r="C411" s="233">
        <v>46083</v>
      </c>
      <c r="D411" s="233">
        <v>46083</v>
      </c>
      <c r="E411" s="30" t="s">
        <v>7559</v>
      </c>
      <c r="F411" s="28" t="s">
        <v>1931</v>
      </c>
      <c r="G411" s="30" t="s">
        <v>7773</v>
      </c>
      <c r="H411" s="1067" t="s">
        <v>279</v>
      </c>
      <c r="I411" s="1491"/>
      <c r="J411" s="915">
        <v>52828.6</v>
      </c>
      <c r="K411" s="3">
        <f t="shared" si="12"/>
        <v>46489.599999999999</v>
      </c>
      <c r="L411" s="1354" t="s">
        <v>17</v>
      </c>
      <c r="M411" s="233">
        <v>46238</v>
      </c>
      <c r="T411" t="s">
        <v>4983</v>
      </c>
      <c r="U411" s="360">
        <v>0.61875000000000002</v>
      </c>
      <c r="V411" s="360"/>
    </row>
    <row r="412" spans="1:22" hidden="1" x14ac:dyDescent="0.25">
      <c r="A412" s="483" t="s">
        <v>7778</v>
      </c>
      <c r="B412" t="s">
        <v>614</v>
      </c>
      <c r="C412" s="233">
        <v>46084</v>
      </c>
      <c r="D412" s="233">
        <v>46084</v>
      </c>
      <c r="E412" s="6" t="s">
        <v>7558</v>
      </c>
      <c r="F412" s="28" t="s">
        <v>143</v>
      </c>
      <c r="G412" t="s">
        <v>7809</v>
      </c>
      <c r="H412" s="1067" t="s">
        <v>279</v>
      </c>
      <c r="I412" s="1491"/>
      <c r="J412" s="915">
        <v>37111</v>
      </c>
      <c r="K412" s="3">
        <f t="shared" si="12"/>
        <v>32658</v>
      </c>
      <c r="L412" s="1354" t="s">
        <v>17</v>
      </c>
      <c r="M412" s="233">
        <v>46238</v>
      </c>
      <c r="T412" t="s">
        <v>4983</v>
      </c>
      <c r="U412" s="360">
        <v>0.71597222222222223</v>
      </c>
      <c r="V412" s="360"/>
    </row>
    <row r="413" spans="1:22" hidden="1" x14ac:dyDescent="0.25">
      <c r="A413" s="483" t="s">
        <v>7785</v>
      </c>
      <c r="B413" t="s">
        <v>614</v>
      </c>
      <c r="C413" s="233">
        <v>46086</v>
      </c>
      <c r="D413" s="233">
        <v>46086</v>
      </c>
      <c r="E413" s="6" t="s">
        <v>7554</v>
      </c>
      <c r="F413" s="28" t="s">
        <v>317</v>
      </c>
      <c r="G413" t="s">
        <v>7810</v>
      </c>
      <c r="H413" s="1175" t="s">
        <v>279</v>
      </c>
      <c r="I413" s="1491"/>
      <c r="J413" s="915">
        <v>45843</v>
      </c>
      <c r="K413" s="3">
        <f t="shared" si="12"/>
        <v>40342</v>
      </c>
      <c r="L413" s="1354" t="s">
        <v>17</v>
      </c>
      <c r="M413" s="233">
        <v>46238</v>
      </c>
      <c r="S413" s="360"/>
      <c r="T413" s="360"/>
    </row>
    <row r="414" spans="1:22" hidden="1" x14ac:dyDescent="0.25">
      <c r="A414" s="483" t="s">
        <v>7785</v>
      </c>
      <c r="B414" t="s">
        <v>614</v>
      </c>
      <c r="C414" s="233">
        <v>46086</v>
      </c>
      <c r="D414" s="233">
        <v>46086</v>
      </c>
      <c r="E414" s="6" t="s">
        <v>7556</v>
      </c>
      <c r="F414" s="28" t="s">
        <v>285</v>
      </c>
      <c r="G414" t="s">
        <v>7811</v>
      </c>
      <c r="H414" s="1175" t="s">
        <v>279</v>
      </c>
      <c r="I414" s="1491"/>
      <c r="J414" s="915">
        <v>44096.6</v>
      </c>
      <c r="K414" s="3">
        <f t="shared" si="12"/>
        <v>38804.6</v>
      </c>
      <c r="L414" s="1354" t="s">
        <v>17</v>
      </c>
      <c r="M414" s="233">
        <v>46238</v>
      </c>
      <c r="S414" s="360"/>
      <c r="T414" s="360"/>
    </row>
    <row r="415" spans="1:22" hidden="1" x14ac:dyDescent="0.25">
      <c r="A415" s="483" t="s">
        <v>7798</v>
      </c>
      <c r="B415" t="s">
        <v>614</v>
      </c>
      <c r="C415" s="233">
        <v>46087</v>
      </c>
      <c r="D415" s="233">
        <v>46087</v>
      </c>
      <c r="E415" s="6" t="s">
        <v>7568</v>
      </c>
      <c r="F415" s="28" t="s">
        <v>2948</v>
      </c>
      <c r="G415" t="s">
        <v>7812</v>
      </c>
      <c r="H415" s="1175" t="s">
        <v>279</v>
      </c>
      <c r="I415" s="1491"/>
      <c r="J415" s="915">
        <v>24886.2</v>
      </c>
      <c r="K415" s="3">
        <f t="shared" si="12"/>
        <v>21900.2</v>
      </c>
      <c r="L415" s="1354" t="s">
        <v>17</v>
      </c>
      <c r="M415" s="233">
        <v>46238</v>
      </c>
      <c r="T415" t="s">
        <v>7548</v>
      </c>
      <c r="U415" s="360">
        <v>0.41250000000000003</v>
      </c>
      <c r="V415" s="360">
        <v>0.5756944444444444</v>
      </c>
    </row>
    <row r="416" spans="1:22" hidden="1" x14ac:dyDescent="0.25">
      <c r="A416" s="483" t="s">
        <v>7798</v>
      </c>
      <c r="B416" t="s">
        <v>614</v>
      </c>
      <c r="C416" s="233">
        <v>46087</v>
      </c>
      <c r="D416" s="233">
        <v>46087</v>
      </c>
      <c r="E416" s="6" t="s">
        <v>7558</v>
      </c>
      <c r="F416" s="28" t="s">
        <v>143</v>
      </c>
      <c r="G416" t="s">
        <v>7813</v>
      </c>
      <c r="H416" s="1175" t="s">
        <v>279</v>
      </c>
      <c r="I416" s="1491"/>
      <c r="J416" s="915">
        <v>37111</v>
      </c>
      <c r="K416" s="3">
        <f t="shared" si="12"/>
        <v>32658</v>
      </c>
      <c r="L416" s="1354" t="s">
        <v>17</v>
      </c>
      <c r="M416" s="233">
        <v>46238</v>
      </c>
      <c r="T416" t="s">
        <v>7092</v>
      </c>
      <c r="U416" s="360">
        <v>0.57291666666666663</v>
      </c>
      <c r="V416" s="360"/>
    </row>
    <row r="417" spans="1:16382" hidden="1" x14ac:dyDescent="0.25">
      <c r="A417" s="483" t="s">
        <v>7800</v>
      </c>
      <c r="B417" t="s">
        <v>614</v>
      </c>
      <c r="C417" s="233">
        <v>46088</v>
      </c>
      <c r="D417" s="233">
        <v>46088</v>
      </c>
      <c r="E417" s="6" t="s">
        <v>7566</v>
      </c>
      <c r="F417" s="28" t="s">
        <v>425</v>
      </c>
      <c r="G417" t="s">
        <v>7814</v>
      </c>
      <c r="H417" s="1175" t="s">
        <v>279</v>
      </c>
      <c r="I417" s="1491"/>
      <c r="J417" s="915">
        <v>33618.199999999997</v>
      </c>
      <c r="K417" s="3">
        <f t="shared" si="12"/>
        <v>29584.199999999997</v>
      </c>
      <c r="L417" s="1354" t="s">
        <v>17</v>
      </c>
      <c r="M417" s="233">
        <v>46238</v>
      </c>
      <c r="T417" t="s">
        <v>7335</v>
      </c>
      <c r="U417" s="360">
        <v>0.57708333333333328</v>
      </c>
      <c r="V417" s="360">
        <v>0.76527777777777783</v>
      </c>
    </row>
    <row r="418" spans="1:16382" hidden="1" x14ac:dyDescent="0.25">
      <c r="A418" s="483" t="s">
        <v>7801</v>
      </c>
      <c r="B418" t="s">
        <v>614</v>
      </c>
      <c r="C418" s="233">
        <v>46089</v>
      </c>
      <c r="D418" s="233">
        <v>46089</v>
      </c>
      <c r="E418" s="6" t="s">
        <v>7564</v>
      </c>
      <c r="F418" s="28" t="s">
        <v>68</v>
      </c>
      <c r="G418" t="s">
        <v>7815</v>
      </c>
      <c r="H418" s="1175" t="s">
        <v>279</v>
      </c>
      <c r="I418" s="1491"/>
      <c r="J418" s="915">
        <v>44096.6</v>
      </c>
      <c r="K418" s="3">
        <f t="shared" si="12"/>
        <v>38804.6</v>
      </c>
      <c r="L418" s="1354" t="s">
        <v>17</v>
      </c>
      <c r="M418" s="233">
        <v>46238</v>
      </c>
      <c r="T418" t="s">
        <v>7763</v>
      </c>
      <c r="U418" s="360">
        <v>0.44930555555555557</v>
      </c>
      <c r="V418" s="360">
        <v>0.7006944444444444</v>
      </c>
    </row>
    <row r="419" spans="1:16382" hidden="1" x14ac:dyDescent="0.25">
      <c r="A419" s="483" t="s">
        <v>7807</v>
      </c>
      <c r="B419" t="s">
        <v>614</v>
      </c>
      <c r="C419" s="233">
        <v>46092</v>
      </c>
      <c r="D419" s="233">
        <v>46092</v>
      </c>
      <c r="E419" s="6" t="s">
        <v>7553</v>
      </c>
      <c r="F419" s="28" t="s">
        <v>2036</v>
      </c>
      <c r="G419" t="s">
        <v>7816</v>
      </c>
      <c r="H419" s="1067" t="s">
        <v>279</v>
      </c>
      <c r="I419" s="1491"/>
      <c r="J419" s="915">
        <v>26632.6</v>
      </c>
      <c r="K419" s="3">
        <f t="shared" si="12"/>
        <v>23436.6</v>
      </c>
      <c r="L419" s="1354" t="s">
        <v>17</v>
      </c>
      <c r="M419" s="233">
        <v>46238</v>
      </c>
      <c r="T419" t="s">
        <v>4867</v>
      </c>
      <c r="U419" s="360">
        <v>0.375</v>
      </c>
      <c r="V419" s="360"/>
    </row>
    <row r="420" spans="1:16382" hidden="1" x14ac:dyDescent="0.25">
      <c r="A420" s="483" t="s">
        <v>7807</v>
      </c>
      <c r="B420" t="s">
        <v>614</v>
      </c>
      <c r="C420" s="233">
        <v>46092</v>
      </c>
      <c r="D420" s="233">
        <v>46092</v>
      </c>
      <c r="E420" s="6" t="s">
        <v>7564</v>
      </c>
      <c r="F420" s="28" t="s">
        <v>68</v>
      </c>
      <c r="G420" t="s">
        <v>7817</v>
      </c>
      <c r="H420" s="1067" t="s">
        <v>279</v>
      </c>
      <c r="I420" s="1491"/>
      <c r="J420" s="915">
        <v>44096.6</v>
      </c>
      <c r="K420" s="3">
        <f t="shared" si="12"/>
        <v>38804.6</v>
      </c>
      <c r="L420" s="1354" t="s">
        <v>17</v>
      </c>
      <c r="M420" s="233">
        <v>46238</v>
      </c>
      <c r="T420" t="s">
        <v>7092</v>
      </c>
      <c r="U420" s="360">
        <v>0.29236111111111113</v>
      </c>
      <c r="V420" s="360"/>
    </row>
    <row r="421" spans="1:16382" s="21" customFormat="1" hidden="1" x14ac:dyDescent="0.25">
      <c r="A421" s="509" t="s">
        <v>7820</v>
      </c>
      <c r="B421" s="21" t="s">
        <v>614</v>
      </c>
      <c r="C421" s="233">
        <v>46093</v>
      </c>
      <c r="D421" s="510">
        <v>46093</v>
      </c>
      <c r="E421" s="6" t="s">
        <v>7561</v>
      </c>
      <c r="F421" s="177" t="s">
        <v>2008</v>
      </c>
      <c r="G421" t="s">
        <v>7821</v>
      </c>
      <c r="H421" s="1175" t="s">
        <v>279</v>
      </c>
      <c r="I421" s="1491"/>
      <c r="J421" s="911">
        <v>46716.2</v>
      </c>
      <c r="K421" s="3">
        <f t="shared" si="12"/>
        <v>41110.199999999997</v>
      </c>
      <c r="L421" s="1354" t="s">
        <v>17</v>
      </c>
      <c r="M421" s="233">
        <v>46238</v>
      </c>
      <c r="U421" s="488"/>
      <c r="V421" s="488"/>
    </row>
    <row r="422" spans="1:16382" s="21" customFormat="1" ht="15.95" hidden="1" customHeight="1" x14ac:dyDescent="0.25">
      <c r="A422" s="509" t="s">
        <v>7823</v>
      </c>
      <c r="B422" s="21" t="s">
        <v>614</v>
      </c>
      <c r="C422" s="233">
        <v>46094</v>
      </c>
      <c r="D422" s="510">
        <v>46094</v>
      </c>
      <c r="E422" s="169" t="s">
        <v>7565</v>
      </c>
      <c r="F422" s="177" t="s">
        <v>106</v>
      </c>
      <c r="G422" t="s">
        <v>7898</v>
      </c>
      <c r="H422" s="1175" t="s">
        <v>279</v>
      </c>
      <c r="I422" s="1491"/>
      <c r="J422" s="1293">
        <v>26632.6</v>
      </c>
      <c r="K422" s="3">
        <f t="shared" si="12"/>
        <v>23436.6</v>
      </c>
      <c r="L422" s="1354" t="s">
        <v>17</v>
      </c>
      <c r="M422" s="233">
        <v>46238</v>
      </c>
      <c r="T422" s="21" t="s">
        <v>5393</v>
      </c>
      <c r="U422" s="488">
        <v>0.27708333333333335</v>
      </c>
    </row>
    <row r="423" spans="1:16382" hidden="1" x14ac:dyDescent="0.25">
      <c r="A423" s="483" t="s">
        <v>7860</v>
      </c>
      <c r="B423" s="21" t="s">
        <v>614</v>
      </c>
      <c r="C423" s="233">
        <v>46101</v>
      </c>
      <c r="D423" s="233">
        <v>46101</v>
      </c>
      <c r="E423" s="6" t="s">
        <v>7553</v>
      </c>
      <c r="F423" s="28" t="s">
        <v>2036</v>
      </c>
      <c r="G423" t="s">
        <v>7899</v>
      </c>
      <c r="H423" s="1175" t="s">
        <v>279</v>
      </c>
      <c r="I423" s="1491"/>
      <c r="J423" s="88">
        <v>26632.6</v>
      </c>
      <c r="K423" s="3">
        <f t="shared" si="12"/>
        <v>23436.6</v>
      </c>
      <c r="L423" s="1354" t="s">
        <v>17</v>
      </c>
      <c r="M423" s="233">
        <v>46238</v>
      </c>
      <c r="N423" s="88"/>
      <c r="V423" s="360"/>
      <c r="W423" s="360"/>
    </row>
    <row r="424" spans="1:16382" hidden="1" x14ac:dyDescent="0.25">
      <c r="A424" s="509" t="s">
        <v>7870</v>
      </c>
      <c r="B424" s="21" t="s">
        <v>614</v>
      </c>
      <c r="C424" s="233">
        <v>46104</v>
      </c>
      <c r="D424" s="233">
        <v>46104</v>
      </c>
      <c r="E424" s="30" t="s">
        <v>7569</v>
      </c>
      <c r="F424" s="28" t="s">
        <v>563</v>
      </c>
      <c r="G424" t="s">
        <v>7900</v>
      </c>
      <c r="H424" s="1175" t="s">
        <v>279</v>
      </c>
      <c r="I424" s="1491"/>
      <c r="J424" s="915">
        <v>28379</v>
      </c>
      <c r="K424" s="3">
        <f t="shared" si="12"/>
        <v>24974</v>
      </c>
      <c r="L424" s="1354" t="s">
        <v>17</v>
      </c>
      <c r="M424" s="233">
        <v>46238</v>
      </c>
      <c r="N424" s="88"/>
      <c r="U424" t="s">
        <v>7060</v>
      </c>
      <c r="V424" s="360">
        <v>0.36319444444444443</v>
      </c>
      <c r="W424" s="360">
        <v>0.55069444444444449</v>
      </c>
    </row>
    <row r="425" spans="1:16382" hidden="1" x14ac:dyDescent="0.25">
      <c r="A425" s="483" t="s">
        <v>7883</v>
      </c>
      <c r="B425" s="21" t="s">
        <v>614</v>
      </c>
      <c r="C425" s="233">
        <v>46109</v>
      </c>
      <c r="D425" s="233">
        <v>46109</v>
      </c>
      <c r="E425" s="30" t="s">
        <v>7556</v>
      </c>
      <c r="F425" s="28" t="s">
        <v>285</v>
      </c>
      <c r="G425" t="s">
        <v>7901</v>
      </c>
      <c r="H425" s="1175" t="s">
        <v>279</v>
      </c>
      <c r="I425" s="1491"/>
      <c r="J425" s="915">
        <v>44096.6</v>
      </c>
      <c r="K425" s="3">
        <f t="shared" si="12"/>
        <v>38804.6</v>
      </c>
      <c r="L425" s="1354" t="s">
        <v>17</v>
      </c>
      <c r="M425" s="233">
        <v>46238</v>
      </c>
      <c r="N425" s="88"/>
      <c r="U425" t="s">
        <v>4983</v>
      </c>
      <c r="V425" s="360">
        <v>0.44444444444444442</v>
      </c>
      <c r="W425" s="360">
        <v>0.69374999999999998</v>
      </c>
    </row>
    <row r="426" spans="1:16382" hidden="1" x14ac:dyDescent="0.25">
      <c r="A426" s="483" t="s">
        <v>7885</v>
      </c>
      <c r="B426" s="21" t="s">
        <v>614</v>
      </c>
      <c r="C426" s="233">
        <v>46111</v>
      </c>
      <c r="D426" s="233">
        <v>46111</v>
      </c>
      <c r="E426" s="30" t="s">
        <v>7571</v>
      </c>
      <c r="F426" s="28" t="s">
        <v>872</v>
      </c>
      <c r="G426" t="s">
        <v>7902</v>
      </c>
      <c r="H426" s="1175" t="s">
        <v>279</v>
      </c>
      <c r="I426" s="1491"/>
      <c r="J426" s="915">
        <v>37984.199999999997</v>
      </c>
      <c r="K426" s="3">
        <f t="shared" si="12"/>
        <v>33426.199999999997</v>
      </c>
      <c r="L426" s="1354" t="s">
        <v>17</v>
      </c>
      <c r="M426" s="233">
        <v>46238</v>
      </c>
      <c r="N426" s="88"/>
      <c r="U426" t="s">
        <v>7552</v>
      </c>
      <c r="V426" s="360">
        <v>0.39444444444444443</v>
      </c>
      <c r="W426" s="360"/>
    </row>
    <row r="427" spans="1:16382" hidden="1" x14ac:dyDescent="0.25">
      <c r="A427" s="483" t="s">
        <v>7886</v>
      </c>
      <c r="B427" s="21" t="s">
        <v>614</v>
      </c>
      <c r="C427" s="233">
        <v>46112</v>
      </c>
      <c r="D427" s="233">
        <v>46112</v>
      </c>
      <c r="E427" s="30" t="s">
        <v>7583</v>
      </c>
      <c r="F427" s="28" t="s">
        <v>5326</v>
      </c>
      <c r="G427" s="73" t="s">
        <v>7903</v>
      </c>
      <c r="H427" s="1175" t="s">
        <v>279</v>
      </c>
      <c r="I427" s="1491"/>
      <c r="J427" s="915">
        <v>35364.6</v>
      </c>
      <c r="K427" s="3">
        <f t="shared" si="12"/>
        <v>31120.6</v>
      </c>
      <c r="L427" s="1354" t="s">
        <v>17</v>
      </c>
      <c r="M427" s="233">
        <v>46238</v>
      </c>
      <c r="N427" s="88"/>
      <c r="S427" t="s">
        <v>5131</v>
      </c>
      <c r="T427" s="360">
        <v>0.59861111111111109</v>
      </c>
      <c r="U427" s="360">
        <v>0.78055555555555556</v>
      </c>
    </row>
    <row r="428" spans="1:16382" hidden="1" x14ac:dyDescent="0.25">
      <c r="A428" s="483" t="s">
        <v>7913</v>
      </c>
      <c r="B428" t="s">
        <v>614</v>
      </c>
      <c r="C428" s="233">
        <v>46118</v>
      </c>
      <c r="D428" s="233"/>
      <c r="E428" s="6" t="s">
        <v>7553</v>
      </c>
      <c r="F428" s="28" t="s">
        <v>2036</v>
      </c>
      <c r="G428" s="357" t="s">
        <v>8078</v>
      </c>
      <c r="H428" s="1175"/>
      <c r="I428" s="1491" t="s">
        <v>8072</v>
      </c>
      <c r="J428" s="915">
        <v>26632.6</v>
      </c>
      <c r="K428" s="3">
        <f t="shared" si="12"/>
        <v>23436.6</v>
      </c>
      <c r="L428" s="30" t="s">
        <v>17</v>
      </c>
      <c r="M428" s="233">
        <v>46209</v>
      </c>
      <c r="N428" s="88"/>
      <c r="T428" s="360"/>
      <c r="U428" s="360"/>
    </row>
    <row r="429" spans="1:16382" hidden="1" x14ac:dyDescent="0.25">
      <c r="A429" s="483" t="s">
        <v>7941</v>
      </c>
      <c r="B429" t="s">
        <v>614</v>
      </c>
      <c r="C429" s="233">
        <v>46120</v>
      </c>
      <c r="D429" s="233"/>
      <c r="E429" s="30" t="s">
        <v>7566</v>
      </c>
      <c r="F429" s="28" t="s">
        <v>425</v>
      </c>
      <c r="G429" s="357" t="s">
        <v>8079</v>
      </c>
      <c r="H429" s="1175"/>
      <c r="I429" s="1491"/>
      <c r="J429" s="798">
        <v>33618.199999999997</v>
      </c>
      <c r="K429" s="3">
        <f t="shared" si="12"/>
        <v>29584.199999999997</v>
      </c>
      <c r="L429" s="30" t="s">
        <v>17</v>
      </c>
      <c r="M429" s="233">
        <v>46209</v>
      </c>
      <c r="N429" s="88"/>
      <c r="T429" s="360"/>
      <c r="U429" s="360"/>
    </row>
    <row r="430" spans="1:16382" hidden="1" x14ac:dyDescent="0.25">
      <c r="A430" s="483" t="s">
        <v>7965</v>
      </c>
      <c r="B430" t="s">
        <v>614</v>
      </c>
      <c r="C430" s="233">
        <v>46123</v>
      </c>
      <c r="D430" s="233"/>
      <c r="E430" s="30" t="s">
        <v>7571</v>
      </c>
      <c r="F430" s="28" t="s">
        <v>7824</v>
      </c>
      <c r="G430" s="357" t="s">
        <v>8080</v>
      </c>
      <c r="H430" s="1175"/>
      <c r="I430" s="1491"/>
      <c r="J430" s="798">
        <v>37984.199999999997</v>
      </c>
      <c r="K430" s="3">
        <f t="shared" si="12"/>
        <v>33426.199999999997</v>
      </c>
      <c r="L430" s="30" t="s">
        <v>17</v>
      </c>
      <c r="M430" s="233">
        <v>46209</v>
      </c>
      <c r="N430" s="88"/>
      <c r="T430" s="360"/>
      <c r="U430" s="360"/>
    </row>
    <row r="431" spans="1:16382" s="21" customFormat="1" ht="14.1" hidden="1" customHeight="1" x14ac:dyDescent="0.25">
      <c r="A431" s="483" t="s">
        <v>7978</v>
      </c>
      <c r="B431" t="s">
        <v>614</v>
      </c>
      <c r="C431" s="233">
        <v>46128</v>
      </c>
      <c r="D431" s="233">
        <v>46118</v>
      </c>
      <c r="E431" s="30" t="s">
        <v>7571</v>
      </c>
      <c r="F431" s="28" t="s">
        <v>294</v>
      </c>
      <c r="G431" s="368" t="s">
        <v>8081</v>
      </c>
      <c r="H431" s="1276" t="s">
        <v>279</v>
      </c>
      <c r="I431" s="1491"/>
      <c r="J431" s="798">
        <v>37984.199999999997</v>
      </c>
      <c r="K431" s="3">
        <f t="shared" si="12"/>
        <v>33426.199999999997</v>
      </c>
      <c r="L431" s="30" t="s">
        <v>17</v>
      </c>
      <c r="M431" s="233">
        <v>46209</v>
      </c>
      <c r="N431" s="88"/>
      <c r="O431"/>
      <c r="P431"/>
      <c r="Q431"/>
      <c r="R431"/>
      <c r="S431" t="s">
        <v>6150</v>
      </c>
      <c r="T431" s="360">
        <v>0.37013888888888885</v>
      </c>
      <c r="U431" s="360">
        <v>0.49861111111111112</v>
      </c>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c r="KT431"/>
      <c r="KU431"/>
      <c r="KV431"/>
      <c r="KW431"/>
      <c r="KX431"/>
      <c r="KY431"/>
      <c r="KZ431"/>
      <c r="LA431"/>
      <c r="LB431"/>
      <c r="LC431"/>
      <c r="LD431"/>
      <c r="LE431"/>
      <c r="LF431"/>
      <c r="LG431"/>
      <c r="LH431"/>
      <c r="LI431"/>
      <c r="LJ431"/>
      <c r="LK431"/>
      <c r="LL431"/>
      <c r="LM431"/>
      <c r="LN431"/>
      <c r="LO431"/>
      <c r="LP431"/>
      <c r="LQ431"/>
      <c r="LR431"/>
      <c r="LS431"/>
      <c r="LT431"/>
      <c r="LU431"/>
      <c r="LV431"/>
      <c r="LW431"/>
      <c r="LX431"/>
      <c r="LY431"/>
      <c r="LZ431"/>
      <c r="MA431"/>
      <c r="MB431"/>
      <c r="MC431"/>
      <c r="MD431"/>
      <c r="ME431"/>
      <c r="MF431"/>
      <c r="MG431"/>
      <c r="MH431"/>
      <c r="MI431"/>
      <c r="MJ431"/>
      <c r="MK431"/>
      <c r="ML431"/>
      <c r="MM431"/>
      <c r="MN431"/>
      <c r="MO431"/>
      <c r="MP431"/>
      <c r="MQ431"/>
      <c r="MR431"/>
      <c r="MS431"/>
      <c r="MT431"/>
      <c r="MU431"/>
      <c r="MV431"/>
      <c r="MW431"/>
      <c r="MX431"/>
      <c r="MY431"/>
      <c r="MZ431"/>
      <c r="NA431"/>
      <c r="NB431"/>
      <c r="NC431"/>
      <c r="ND431"/>
      <c r="NE431"/>
      <c r="NF431"/>
      <c r="NG431"/>
      <c r="NH431"/>
      <c r="NI431"/>
      <c r="NJ431"/>
      <c r="NK431"/>
      <c r="NL431"/>
      <c r="NM431"/>
      <c r="NN431"/>
      <c r="NO431"/>
      <c r="NP431"/>
      <c r="NQ431"/>
      <c r="NR431"/>
      <c r="NS431"/>
      <c r="NT431"/>
      <c r="NU431"/>
      <c r="NV431"/>
      <c r="NW431"/>
      <c r="NX431"/>
      <c r="NY431"/>
      <c r="NZ431"/>
      <c r="OA431"/>
      <c r="OB431"/>
      <c r="OC431"/>
      <c r="OD431"/>
      <c r="OE431"/>
      <c r="OF431"/>
      <c r="OG431"/>
      <c r="OH431"/>
      <c r="OI431"/>
      <c r="OJ431"/>
      <c r="OK431"/>
      <c r="OL431"/>
      <c r="OM431"/>
      <c r="ON431"/>
      <c r="OO431"/>
      <c r="OP431"/>
      <c r="OQ431"/>
      <c r="OR431"/>
      <c r="OS431"/>
      <c r="OT431"/>
      <c r="OU431"/>
      <c r="OV431"/>
      <c r="OW431"/>
      <c r="OX431"/>
      <c r="OY431"/>
      <c r="OZ431"/>
      <c r="PA431"/>
      <c r="PB431"/>
      <c r="PC431"/>
      <c r="PD431"/>
      <c r="PE431"/>
      <c r="PF431"/>
      <c r="PG431"/>
      <c r="PH431"/>
      <c r="PI431"/>
      <c r="PJ431"/>
      <c r="PK431"/>
      <c r="PL431"/>
      <c r="PM431"/>
      <c r="PN431"/>
      <c r="PO431"/>
      <c r="PP431"/>
      <c r="PQ431"/>
      <c r="PR431"/>
      <c r="PS431"/>
      <c r="PT431"/>
      <c r="PU431"/>
      <c r="PV431"/>
      <c r="PW431"/>
      <c r="PX431"/>
      <c r="PY431"/>
      <c r="PZ431"/>
      <c r="QA431"/>
      <c r="QB431"/>
      <c r="QC431"/>
      <c r="QD431"/>
      <c r="QE431"/>
      <c r="QF431"/>
      <c r="QG431"/>
      <c r="QH431"/>
      <c r="QI431"/>
      <c r="QJ431"/>
      <c r="QK431"/>
      <c r="QL431"/>
      <c r="QM431"/>
      <c r="QN431"/>
      <c r="QO431"/>
      <c r="QP431"/>
      <c r="QQ431"/>
      <c r="QR431"/>
      <c r="QS431"/>
      <c r="QT431"/>
      <c r="QU431"/>
      <c r="QV431"/>
      <c r="QW431"/>
      <c r="QX431"/>
      <c r="QY431"/>
      <c r="QZ431"/>
      <c r="RA431"/>
      <c r="RB431"/>
      <c r="RC431"/>
      <c r="RD431"/>
      <c r="RE431"/>
      <c r="RF431"/>
      <c r="RG431"/>
      <c r="RH431"/>
      <c r="RI431"/>
      <c r="RJ431"/>
      <c r="RK431"/>
      <c r="RL431"/>
      <c r="RM431"/>
      <c r="RN431"/>
      <c r="RO431"/>
      <c r="RP431"/>
      <c r="RQ431"/>
      <c r="RR431"/>
      <c r="RS431"/>
      <c r="RT431"/>
      <c r="RU431"/>
      <c r="RV431"/>
      <c r="RW431"/>
      <c r="RX431"/>
      <c r="RY431"/>
      <c r="RZ431"/>
      <c r="SA431"/>
      <c r="SB431"/>
      <c r="SC431"/>
      <c r="SD431"/>
      <c r="SE431"/>
      <c r="SF431"/>
      <c r="SG431"/>
      <c r="SH431"/>
      <c r="SI431"/>
      <c r="SJ431"/>
      <c r="SK431"/>
      <c r="SL431"/>
      <c r="SM431"/>
      <c r="SN431"/>
      <c r="SO431"/>
      <c r="SP431"/>
      <c r="SQ431"/>
      <c r="SR431"/>
      <c r="SS431"/>
      <c r="ST431"/>
      <c r="SU431"/>
      <c r="SV431"/>
      <c r="SW431"/>
      <c r="SX431"/>
      <c r="SY431"/>
      <c r="SZ431"/>
      <c r="TA431"/>
      <c r="TB431"/>
      <c r="TC431"/>
      <c r="TD431"/>
      <c r="TE431"/>
      <c r="TF431"/>
      <c r="TG431"/>
      <c r="TH431"/>
      <c r="TI431"/>
      <c r="TJ431"/>
      <c r="TK431"/>
      <c r="TL431"/>
      <c r="TM431"/>
      <c r="TN431"/>
      <c r="TO431"/>
      <c r="TP431"/>
      <c r="TQ431"/>
      <c r="TR431"/>
      <c r="TS431"/>
      <c r="TT431"/>
      <c r="TU431"/>
      <c r="TV431"/>
      <c r="TW431"/>
      <c r="TX431"/>
      <c r="TY431"/>
      <c r="TZ431"/>
      <c r="UA431"/>
      <c r="UB431"/>
      <c r="UC431"/>
      <c r="UD431"/>
      <c r="UE431"/>
      <c r="UF431"/>
      <c r="UG431"/>
      <c r="UH431"/>
      <c r="UI431"/>
      <c r="UJ431"/>
      <c r="UK431"/>
      <c r="UL431"/>
      <c r="UM431"/>
      <c r="UN431"/>
      <c r="UO431"/>
      <c r="UP431"/>
      <c r="UQ431"/>
      <c r="UR431"/>
      <c r="US431"/>
      <c r="UT431"/>
      <c r="UU431"/>
      <c r="UV431"/>
      <c r="UW431"/>
      <c r="UX431"/>
      <c r="UY431"/>
      <c r="UZ431"/>
      <c r="VA431"/>
      <c r="VB431"/>
      <c r="VC431"/>
      <c r="VD431"/>
      <c r="VE431"/>
      <c r="VF431"/>
      <c r="VG431"/>
      <c r="VH431"/>
      <c r="VI431"/>
      <c r="VJ431"/>
      <c r="VK431"/>
      <c r="VL431"/>
      <c r="VM431"/>
      <c r="VN431"/>
      <c r="VO431"/>
      <c r="VP431"/>
      <c r="VQ431"/>
      <c r="VR431"/>
      <c r="VS431"/>
      <c r="VT431"/>
      <c r="VU431"/>
      <c r="VV431"/>
      <c r="VW431"/>
      <c r="VX431"/>
      <c r="VY431"/>
      <c r="VZ431"/>
      <c r="WA431"/>
      <c r="WB431"/>
      <c r="WC431"/>
      <c r="WD431"/>
      <c r="WE431"/>
      <c r="WF431"/>
      <c r="WG431"/>
      <c r="WH431"/>
      <c r="WI431"/>
      <c r="WJ431"/>
      <c r="WK431"/>
      <c r="WL431"/>
      <c r="WM431"/>
      <c r="WN431"/>
      <c r="WO431"/>
      <c r="WP431"/>
      <c r="WQ431"/>
      <c r="WR431"/>
      <c r="WS431"/>
      <c r="WT431"/>
      <c r="WU431"/>
      <c r="WV431"/>
      <c r="WW431"/>
      <c r="WX431"/>
      <c r="WY431"/>
      <c r="WZ431"/>
      <c r="XA431"/>
      <c r="XB431"/>
      <c r="XC431"/>
      <c r="XD431"/>
      <c r="XE431"/>
      <c r="XF431"/>
      <c r="XG431"/>
      <c r="XH431"/>
      <c r="XI431"/>
      <c r="XJ431"/>
      <c r="XK431"/>
      <c r="XL431"/>
      <c r="XM431"/>
      <c r="XN431"/>
      <c r="XO431"/>
      <c r="XP431"/>
      <c r="XQ431"/>
      <c r="XR431"/>
      <c r="XS431"/>
      <c r="XT431"/>
      <c r="XU431"/>
      <c r="XV431"/>
      <c r="XW431"/>
      <c r="XX431"/>
      <c r="XY431"/>
      <c r="XZ431"/>
      <c r="YA431"/>
      <c r="YB431"/>
      <c r="YC431"/>
      <c r="YD431"/>
      <c r="YE431"/>
      <c r="YF431"/>
      <c r="YG431"/>
      <c r="YH431"/>
      <c r="YI431"/>
      <c r="YJ431"/>
      <c r="YK431"/>
      <c r="YL431"/>
      <c r="YM431"/>
      <c r="YN431"/>
      <c r="YO431"/>
      <c r="YP431"/>
      <c r="YQ431"/>
      <c r="YR431"/>
      <c r="YS431"/>
      <c r="YT431"/>
      <c r="YU431"/>
      <c r="YV431"/>
      <c r="YW431"/>
      <c r="YX431"/>
      <c r="YY431"/>
      <c r="YZ431"/>
      <c r="ZA431"/>
      <c r="ZB431"/>
      <c r="ZC431"/>
      <c r="ZD431"/>
      <c r="ZE431"/>
      <c r="ZF431"/>
      <c r="ZG431"/>
      <c r="ZH431"/>
      <c r="ZI431"/>
      <c r="ZJ431"/>
      <c r="ZK431"/>
      <c r="ZL431"/>
      <c r="ZM431"/>
      <c r="ZN431"/>
      <c r="ZO431"/>
      <c r="ZP431"/>
      <c r="ZQ431"/>
      <c r="ZR431"/>
      <c r="ZS431"/>
      <c r="ZT431"/>
      <c r="ZU431"/>
      <c r="ZV431"/>
      <c r="ZW431"/>
      <c r="ZX431"/>
      <c r="ZY431"/>
      <c r="ZZ431"/>
      <c r="AAA431"/>
      <c r="AAB431"/>
      <c r="AAC431"/>
      <c r="AAD431"/>
      <c r="AAE431"/>
      <c r="AAF431"/>
      <c r="AAG431"/>
      <c r="AAH431"/>
      <c r="AAI431"/>
      <c r="AAJ431"/>
      <c r="AAK431"/>
      <c r="AAL431"/>
      <c r="AAM431"/>
      <c r="AAN431"/>
      <c r="AAO431"/>
      <c r="AAP431"/>
      <c r="AAQ431"/>
      <c r="AAR431"/>
      <c r="AAS431"/>
      <c r="AAT431"/>
      <c r="AAU431"/>
      <c r="AAV431"/>
      <c r="AAW431"/>
      <c r="AAX431"/>
      <c r="AAY431"/>
      <c r="AAZ431"/>
      <c r="ABA431"/>
      <c r="ABB431"/>
      <c r="ABC431"/>
      <c r="ABD431"/>
      <c r="ABE431"/>
      <c r="ABF431"/>
      <c r="ABG431"/>
      <c r="ABH431"/>
      <c r="ABI431"/>
      <c r="ABJ431"/>
      <c r="ABK431"/>
      <c r="ABL431"/>
      <c r="ABM431"/>
      <c r="ABN431"/>
      <c r="ABO431"/>
      <c r="ABP431"/>
      <c r="ABQ431"/>
      <c r="ABR431"/>
      <c r="ABS431"/>
      <c r="ABT431"/>
      <c r="ABU431"/>
      <c r="ABV431"/>
      <c r="ABW431"/>
      <c r="ABX431"/>
      <c r="ABY431"/>
      <c r="ABZ431"/>
      <c r="ACA431"/>
      <c r="ACB431"/>
      <c r="ACC431"/>
      <c r="ACD431"/>
      <c r="ACE431"/>
      <c r="ACF431"/>
      <c r="ACG431"/>
      <c r="ACH431"/>
      <c r="ACI431"/>
      <c r="ACJ431"/>
      <c r="ACK431"/>
      <c r="ACL431"/>
      <c r="ACM431"/>
      <c r="ACN431"/>
      <c r="ACO431"/>
      <c r="ACP431"/>
      <c r="ACQ431"/>
      <c r="ACR431"/>
      <c r="ACS431"/>
      <c r="ACT431"/>
      <c r="ACU431"/>
      <c r="ACV431"/>
      <c r="ACW431"/>
      <c r="ACX431"/>
      <c r="ACY431"/>
      <c r="ACZ431"/>
      <c r="ADA431"/>
      <c r="ADB431"/>
      <c r="ADC431"/>
      <c r="ADD431"/>
      <c r="ADE431"/>
      <c r="ADF431"/>
      <c r="ADG431"/>
      <c r="ADH431"/>
      <c r="ADI431"/>
      <c r="ADJ431"/>
      <c r="ADK431"/>
      <c r="ADL431"/>
      <c r="ADM431"/>
      <c r="ADN431"/>
      <c r="ADO431"/>
      <c r="ADP431"/>
      <c r="ADQ431"/>
      <c r="ADR431"/>
      <c r="ADS431"/>
      <c r="ADT431"/>
      <c r="ADU431"/>
      <c r="ADV431"/>
      <c r="ADW431"/>
      <c r="ADX431"/>
      <c r="ADY431"/>
      <c r="ADZ431"/>
      <c r="AEA431"/>
      <c r="AEB431"/>
      <c r="AEC431"/>
      <c r="AED431"/>
      <c r="AEE431"/>
      <c r="AEF431"/>
      <c r="AEG431"/>
      <c r="AEH431"/>
      <c r="AEI431"/>
      <c r="AEJ431"/>
      <c r="AEK431"/>
      <c r="AEL431"/>
      <c r="AEM431"/>
      <c r="AEN431"/>
      <c r="AEO431"/>
      <c r="AEP431"/>
      <c r="AEQ431"/>
      <c r="AER431"/>
      <c r="AES431"/>
      <c r="AET431"/>
      <c r="AEU431"/>
      <c r="AEV431"/>
      <c r="AEW431"/>
      <c r="AEX431"/>
      <c r="AEY431"/>
      <c r="AEZ431"/>
      <c r="AFA431"/>
      <c r="AFB431"/>
      <c r="AFC431"/>
      <c r="AFD431"/>
      <c r="AFE431"/>
      <c r="AFF431"/>
      <c r="AFG431"/>
      <c r="AFH431"/>
      <c r="AFI431"/>
      <c r="AFJ431"/>
      <c r="AFK431"/>
      <c r="AFL431"/>
      <c r="AFM431"/>
      <c r="AFN431"/>
      <c r="AFO431"/>
      <c r="AFP431"/>
      <c r="AFQ431"/>
      <c r="AFR431"/>
      <c r="AFS431"/>
      <c r="AFT431"/>
      <c r="AFU431"/>
      <c r="AFV431"/>
      <c r="AFW431"/>
      <c r="AFX431"/>
      <c r="AFY431"/>
      <c r="AFZ431"/>
      <c r="AGA431"/>
      <c r="AGB431"/>
      <c r="AGC431"/>
      <c r="AGD431"/>
      <c r="AGE431"/>
      <c r="AGF431"/>
      <c r="AGG431"/>
      <c r="AGH431"/>
      <c r="AGI431"/>
      <c r="AGJ431"/>
      <c r="AGK431"/>
      <c r="AGL431"/>
      <c r="AGM431"/>
      <c r="AGN431"/>
      <c r="AGO431"/>
      <c r="AGP431"/>
      <c r="AGQ431"/>
      <c r="AGR431"/>
      <c r="AGS431"/>
      <c r="AGT431"/>
      <c r="AGU431"/>
      <c r="AGV431"/>
      <c r="AGW431"/>
      <c r="AGX431"/>
      <c r="AGY431"/>
      <c r="AGZ431"/>
      <c r="AHA431"/>
      <c r="AHB431"/>
      <c r="AHC431"/>
      <c r="AHD431"/>
      <c r="AHE431"/>
      <c r="AHF431"/>
      <c r="AHG431"/>
      <c r="AHH431"/>
      <c r="AHI431"/>
      <c r="AHJ431"/>
      <c r="AHK431"/>
      <c r="AHL431"/>
      <c r="AHM431"/>
      <c r="AHN431"/>
      <c r="AHO431"/>
      <c r="AHP431"/>
      <c r="AHQ431"/>
      <c r="AHR431"/>
      <c r="AHS431"/>
      <c r="AHT431"/>
      <c r="AHU431"/>
      <c r="AHV431"/>
      <c r="AHW431"/>
      <c r="AHX431"/>
      <c r="AHY431"/>
      <c r="AHZ431"/>
      <c r="AIA431"/>
      <c r="AIB431"/>
      <c r="AIC431"/>
      <c r="AID431"/>
      <c r="AIE431"/>
      <c r="AIF431"/>
      <c r="AIG431"/>
      <c r="AIH431"/>
      <c r="AII431"/>
      <c r="AIJ431"/>
      <c r="AIK431"/>
      <c r="AIL431"/>
      <c r="AIM431"/>
      <c r="AIN431"/>
      <c r="AIO431"/>
      <c r="AIP431"/>
      <c r="AIQ431"/>
      <c r="AIR431"/>
      <c r="AIS431"/>
      <c r="AIT431"/>
      <c r="AIU431"/>
      <c r="AIV431"/>
      <c r="AIW431"/>
      <c r="AIX431"/>
      <c r="AIY431"/>
      <c r="AIZ431"/>
      <c r="AJA431"/>
      <c r="AJB431"/>
      <c r="AJC431"/>
      <c r="AJD431"/>
      <c r="AJE431"/>
      <c r="AJF431"/>
      <c r="AJG431"/>
      <c r="AJH431"/>
      <c r="AJI431"/>
      <c r="AJJ431"/>
      <c r="AJK431"/>
      <c r="AJL431"/>
      <c r="AJM431"/>
      <c r="AJN431"/>
      <c r="AJO431"/>
      <c r="AJP431"/>
      <c r="AJQ431"/>
      <c r="AJR431"/>
      <c r="AJS431"/>
      <c r="AJT431"/>
      <c r="AJU431"/>
      <c r="AJV431"/>
      <c r="AJW431"/>
      <c r="AJX431"/>
      <c r="AJY431"/>
      <c r="AJZ431"/>
      <c r="AKA431"/>
      <c r="AKB431"/>
      <c r="AKC431"/>
      <c r="AKD431"/>
      <c r="AKE431"/>
      <c r="AKF431"/>
      <c r="AKG431"/>
      <c r="AKH431"/>
      <c r="AKI431"/>
      <c r="AKJ431"/>
      <c r="AKK431"/>
      <c r="AKL431"/>
      <c r="AKM431"/>
      <c r="AKN431"/>
      <c r="AKO431"/>
      <c r="AKP431"/>
      <c r="AKQ431"/>
      <c r="AKR431"/>
      <c r="AKS431"/>
      <c r="AKT431"/>
      <c r="AKU431"/>
      <c r="AKV431"/>
      <c r="AKW431"/>
      <c r="AKX431"/>
      <c r="AKY431"/>
      <c r="AKZ431"/>
      <c r="ALA431"/>
      <c r="ALB431"/>
      <c r="ALC431"/>
      <c r="ALD431"/>
      <c r="ALE431"/>
      <c r="ALF431"/>
      <c r="ALG431"/>
      <c r="ALH431"/>
      <c r="ALI431"/>
      <c r="ALJ431"/>
      <c r="ALK431"/>
      <c r="ALL431"/>
      <c r="ALM431"/>
      <c r="ALN431"/>
      <c r="ALO431"/>
      <c r="ALP431"/>
      <c r="ALQ431"/>
      <c r="ALR431"/>
      <c r="ALS431"/>
      <c r="ALT431"/>
      <c r="ALU431"/>
      <c r="ALV431"/>
      <c r="ALW431"/>
      <c r="ALX431"/>
      <c r="ALY431"/>
      <c r="ALZ431"/>
      <c r="AMA431"/>
      <c r="AMB431"/>
      <c r="AMC431"/>
      <c r="AMD431"/>
      <c r="AME431"/>
      <c r="AMF431"/>
      <c r="AMG431"/>
      <c r="AMH431"/>
      <c r="AMI431"/>
      <c r="AMJ431"/>
      <c r="AMK431"/>
      <c r="AML431"/>
      <c r="AMM431"/>
      <c r="AMN431"/>
      <c r="AMO431"/>
      <c r="AMP431"/>
      <c r="AMQ431"/>
      <c r="AMR431"/>
      <c r="AMS431"/>
      <c r="AMT431"/>
      <c r="AMU431"/>
      <c r="AMV431"/>
      <c r="AMW431"/>
      <c r="AMX431"/>
      <c r="AMY431"/>
      <c r="AMZ431"/>
      <c r="ANA431"/>
      <c r="ANB431"/>
      <c r="ANC431"/>
      <c r="AND431"/>
      <c r="ANE431"/>
      <c r="ANF431"/>
      <c r="ANG431"/>
      <c r="ANH431"/>
      <c r="ANI431"/>
      <c r="ANJ431"/>
      <c r="ANK431"/>
      <c r="ANL431"/>
      <c r="ANM431"/>
      <c r="ANN431"/>
      <c r="ANO431"/>
      <c r="ANP431"/>
      <c r="ANQ431"/>
      <c r="ANR431"/>
      <c r="ANS431"/>
      <c r="ANT431"/>
      <c r="ANU431"/>
      <c r="ANV431"/>
      <c r="ANW431"/>
      <c r="ANX431"/>
      <c r="ANY431"/>
      <c r="ANZ431"/>
      <c r="AOA431"/>
      <c r="AOB431"/>
      <c r="AOC431"/>
      <c r="AOD431"/>
      <c r="AOE431"/>
      <c r="AOF431"/>
      <c r="AOG431"/>
      <c r="AOH431"/>
      <c r="AOI431"/>
      <c r="AOJ431"/>
      <c r="AOK431"/>
      <c r="AOL431"/>
      <c r="AOM431"/>
      <c r="AON431"/>
      <c r="AOO431"/>
      <c r="AOP431"/>
      <c r="AOQ431"/>
      <c r="AOR431"/>
      <c r="AOS431"/>
      <c r="AOT431"/>
      <c r="AOU431"/>
      <c r="AOV431"/>
      <c r="AOW431"/>
      <c r="AOX431"/>
      <c r="AOY431"/>
      <c r="AOZ431"/>
      <c r="APA431"/>
      <c r="APB431"/>
      <c r="APC431"/>
      <c r="APD431"/>
      <c r="APE431"/>
      <c r="APF431"/>
      <c r="APG431"/>
      <c r="APH431"/>
      <c r="API431"/>
      <c r="APJ431"/>
      <c r="APK431"/>
      <c r="APL431"/>
      <c r="APM431"/>
      <c r="APN431"/>
      <c r="APO431"/>
      <c r="APP431"/>
      <c r="APQ431"/>
      <c r="APR431"/>
      <c r="APS431"/>
      <c r="APT431"/>
      <c r="APU431"/>
      <c r="APV431"/>
      <c r="APW431"/>
      <c r="APX431"/>
      <c r="APY431"/>
      <c r="APZ431"/>
      <c r="AQA431"/>
      <c r="AQB431"/>
      <c r="AQC431"/>
      <c r="AQD431"/>
      <c r="AQE431"/>
      <c r="AQF431"/>
      <c r="AQG431"/>
      <c r="AQH431"/>
      <c r="AQI431"/>
      <c r="AQJ431"/>
      <c r="AQK431"/>
      <c r="AQL431"/>
      <c r="AQM431"/>
      <c r="AQN431"/>
      <c r="AQO431"/>
      <c r="AQP431"/>
      <c r="AQQ431"/>
      <c r="AQR431"/>
      <c r="AQS431"/>
      <c r="AQT431"/>
      <c r="AQU431"/>
      <c r="AQV431"/>
      <c r="AQW431"/>
      <c r="AQX431"/>
      <c r="AQY431"/>
      <c r="AQZ431"/>
      <c r="ARA431"/>
      <c r="ARB431"/>
      <c r="ARC431"/>
      <c r="ARD431"/>
      <c r="ARE431"/>
      <c r="ARF431"/>
      <c r="ARG431"/>
      <c r="ARH431"/>
      <c r="ARI431"/>
      <c r="ARJ431"/>
      <c r="ARK431"/>
      <c r="ARL431"/>
      <c r="ARM431"/>
      <c r="ARN431"/>
      <c r="ARO431"/>
      <c r="ARP431"/>
      <c r="ARQ431"/>
      <c r="ARR431"/>
      <c r="ARS431"/>
      <c r="ART431"/>
      <c r="ARU431"/>
      <c r="ARV431"/>
      <c r="ARW431"/>
      <c r="ARX431"/>
      <c r="ARY431"/>
      <c r="ARZ431"/>
      <c r="ASA431"/>
      <c r="ASB431"/>
      <c r="ASC431"/>
      <c r="ASD431"/>
      <c r="ASE431"/>
      <c r="ASF431"/>
      <c r="ASG431"/>
      <c r="ASH431"/>
      <c r="ASI431"/>
      <c r="ASJ431"/>
      <c r="ASK431"/>
      <c r="ASL431"/>
      <c r="ASM431"/>
      <c r="ASN431"/>
      <c r="ASO431"/>
      <c r="ASP431"/>
      <c r="ASQ431"/>
      <c r="ASR431"/>
      <c r="ASS431"/>
      <c r="AST431"/>
      <c r="ASU431"/>
      <c r="ASV431"/>
      <c r="ASW431"/>
      <c r="ASX431"/>
      <c r="ASY431"/>
      <c r="ASZ431"/>
      <c r="ATA431"/>
      <c r="ATB431"/>
      <c r="ATC431"/>
      <c r="ATD431"/>
      <c r="ATE431"/>
      <c r="ATF431"/>
      <c r="ATG431"/>
      <c r="ATH431"/>
      <c r="ATI431"/>
      <c r="ATJ431"/>
      <c r="ATK431"/>
      <c r="ATL431"/>
      <c r="ATM431"/>
      <c r="ATN431"/>
      <c r="ATO431"/>
      <c r="ATP431"/>
      <c r="ATQ431"/>
      <c r="ATR431"/>
      <c r="ATS431"/>
      <c r="ATT431"/>
      <c r="ATU431"/>
      <c r="ATV431"/>
      <c r="ATW431"/>
      <c r="ATX431"/>
      <c r="ATY431"/>
      <c r="ATZ431"/>
      <c r="AUA431"/>
      <c r="AUB431"/>
      <c r="AUC431"/>
      <c r="AUD431"/>
      <c r="AUE431"/>
      <c r="AUF431"/>
      <c r="AUG431"/>
      <c r="AUH431"/>
      <c r="AUI431"/>
      <c r="AUJ431"/>
      <c r="AUK431"/>
      <c r="AUL431"/>
      <c r="AUM431"/>
      <c r="AUN431"/>
      <c r="AUO431"/>
      <c r="AUP431"/>
      <c r="AUQ431"/>
      <c r="AUR431"/>
      <c r="AUS431"/>
      <c r="AUT431"/>
      <c r="AUU431"/>
      <c r="AUV431"/>
      <c r="AUW431"/>
      <c r="AUX431"/>
      <c r="AUY431"/>
      <c r="AUZ431"/>
      <c r="AVA431"/>
      <c r="AVB431"/>
      <c r="AVC431"/>
      <c r="AVD431"/>
      <c r="AVE431"/>
      <c r="AVF431"/>
      <c r="AVG431"/>
      <c r="AVH431"/>
      <c r="AVI431"/>
      <c r="AVJ431"/>
      <c r="AVK431"/>
      <c r="AVL431"/>
      <c r="AVM431"/>
      <c r="AVN431"/>
      <c r="AVO431"/>
      <c r="AVP431"/>
      <c r="AVQ431"/>
      <c r="AVR431"/>
      <c r="AVS431"/>
      <c r="AVT431"/>
      <c r="AVU431"/>
      <c r="AVV431"/>
      <c r="AVW431"/>
      <c r="AVX431"/>
      <c r="AVY431"/>
      <c r="AVZ431"/>
      <c r="AWA431"/>
      <c r="AWB431"/>
      <c r="AWC431"/>
      <c r="AWD431"/>
      <c r="AWE431"/>
      <c r="AWF431"/>
      <c r="AWG431"/>
      <c r="AWH431"/>
      <c r="AWI431"/>
      <c r="AWJ431"/>
      <c r="AWK431"/>
      <c r="AWL431"/>
      <c r="AWM431"/>
      <c r="AWN431"/>
      <c r="AWO431"/>
      <c r="AWP431"/>
      <c r="AWQ431"/>
      <c r="AWR431"/>
      <c r="AWS431"/>
      <c r="AWT431"/>
      <c r="AWU431"/>
      <c r="AWV431"/>
      <c r="AWW431"/>
      <c r="AWX431"/>
      <c r="AWY431"/>
      <c r="AWZ431"/>
      <c r="AXA431"/>
      <c r="AXB431"/>
      <c r="AXC431"/>
      <c r="AXD431"/>
      <c r="AXE431"/>
      <c r="AXF431"/>
      <c r="AXG431"/>
      <c r="AXH431"/>
      <c r="AXI431"/>
      <c r="AXJ431"/>
      <c r="AXK431"/>
      <c r="AXL431"/>
      <c r="AXM431"/>
      <c r="AXN431"/>
      <c r="AXO431"/>
      <c r="AXP431"/>
      <c r="AXQ431"/>
      <c r="AXR431"/>
      <c r="AXS431"/>
      <c r="AXT431"/>
      <c r="AXU431"/>
      <c r="AXV431"/>
      <c r="AXW431"/>
      <c r="AXX431"/>
      <c r="AXY431"/>
      <c r="AXZ431"/>
      <c r="AYA431"/>
      <c r="AYB431"/>
      <c r="AYC431"/>
      <c r="AYD431"/>
      <c r="AYE431"/>
      <c r="AYF431"/>
      <c r="AYG431"/>
      <c r="AYH431"/>
      <c r="AYI431"/>
      <c r="AYJ431"/>
      <c r="AYK431"/>
      <c r="AYL431"/>
      <c r="AYM431"/>
      <c r="AYN431"/>
      <c r="AYO431"/>
      <c r="AYP431"/>
      <c r="AYQ431"/>
      <c r="AYR431"/>
      <c r="AYS431"/>
      <c r="AYT431"/>
      <c r="AYU431"/>
      <c r="AYV431"/>
      <c r="AYW431"/>
      <c r="AYX431"/>
      <c r="AYY431"/>
      <c r="AYZ431"/>
      <c r="AZA431"/>
      <c r="AZB431"/>
      <c r="AZC431"/>
      <c r="AZD431"/>
      <c r="AZE431"/>
      <c r="AZF431"/>
      <c r="AZG431"/>
      <c r="AZH431"/>
      <c r="AZI431"/>
      <c r="AZJ431"/>
      <c r="AZK431"/>
      <c r="AZL431"/>
      <c r="AZM431"/>
      <c r="AZN431"/>
      <c r="AZO431"/>
      <c r="AZP431"/>
      <c r="AZQ431"/>
      <c r="AZR431"/>
      <c r="AZS431"/>
      <c r="AZT431"/>
      <c r="AZU431"/>
      <c r="AZV431"/>
      <c r="AZW431"/>
      <c r="AZX431"/>
      <c r="AZY431"/>
      <c r="AZZ431"/>
      <c r="BAA431"/>
      <c r="BAB431"/>
      <c r="BAC431"/>
      <c r="BAD431"/>
      <c r="BAE431"/>
      <c r="BAF431"/>
      <c r="BAG431"/>
      <c r="BAH431"/>
      <c r="BAI431"/>
      <c r="BAJ431"/>
      <c r="BAK431"/>
      <c r="BAL431"/>
      <c r="BAM431"/>
      <c r="BAN431"/>
      <c r="BAO431"/>
      <c r="BAP431"/>
      <c r="BAQ431"/>
      <c r="BAR431"/>
      <c r="BAS431"/>
      <c r="BAT431"/>
      <c r="BAU431"/>
      <c r="BAV431"/>
      <c r="BAW431"/>
      <c r="BAX431"/>
      <c r="BAY431"/>
      <c r="BAZ431"/>
      <c r="BBA431"/>
      <c r="BBB431"/>
      <c r="BBC431"/>
      <c r="BBD431"/>
      <c r="BBE431"/>
      <c r="BBF431"/>
      <c r="BBG431"/>
      <c r="BBH431"/>
      <c r="BBI431"/>
      <c r="BBJ431"/>
      <c r="BBK431"/>
      <c r="BBL431"/>
      <c r="BBM431"/>
      <c r="BBN431"/>
      <c r="BBO431"/>
      <c r="BBP431"/>
      <c r="BBQ431"/>
      <c r="BBR431"/>
      <c r="BBS431"/>
      <c r="BBT431"/>
      <c r="BBU431"/>
      <c r="BBV431"/>
      <c r="BBW431"/>
      <c r="BBX431"/>
      <c r="BBY431"/>
      <c r="BBZ431"/>
      <c r="BCA431"/>
      <c r="BCB431"/>
      <c r="BCC431"/>
      <c r="BCD431"/>
      <c r="BCE431"/>
      <c r="BCF431"/>
      <c r="BCG431"/>
      <c r="BCH431"/>
      <c r="BCI431"/>
      <c r="BCJ431"/>
      <c r="BCK431"/>
      <c r="BCL431"/>
      <c r="BCM431"/>
      <c r="BCN431"/>
      <c r="BCO431"/>
      <c r="BCP431"/>
      <c r="BCQ431"/>
      <c r="BCR431"/>
      <c r="BCS431"/>
      <c r="BCT431"/>
      <c r="BCU431"/>
      <c r="BCV431"/>
      <c r="BCW431"/>
      <c r="BCX431"/>
      <c r="BCY431"/>
      <c r="BCZ431"/>
      <c r="BDA431"/>
      <c r="BDB431"/>
      <c r="BDC431"/>
      <c r="BDD431"/>
      <c r="BDE431"/>
      <c r="BDF431"/>
      <c r="BDG431"/>
      <c r="BDH431"/>
      <c r="BDI431"/>
      <c r="BDJ431"/>
      <c r="BDK431"/>
      <c r="BDL431"/>
      <c r="BDM431"/>
      <c r="BDN431"/>
      <c r="BDO431"/>
      <c r="BDP431"/>
      <c r="BDQ431"/>
      <c r="BDR431"/>
      <c r="BDS431"/>
      <c r="BDT431"/>
      <c r="BDU431"/>
      <c r="BDV431"/>
      <c r="BDW431"/>
      <c r="BDX431"/>
      <c r="BDY431"/>
      <c r="BDZ431"/>
      <c r="BEA431"/>
      <c r="BEB431"/>
      <c r="BEC431"/>
      <c r="BED431"/>
      <c r="BEE431"/>
      <c r="BEF431"/>
      <c r="BEG431"/>
      <c r="BEH431"/>
      <c r="BEI431"/>
      <c r="BEJ431"/>
      <c r="BEK431"/>
      <c r="BEL431"/>
      <c r="BEM431"/>
      <c r="BEN431"/>
      <c r="BEO431"/>
      <c r="BEP431"/>
      <c r="BEQ431"/>
      <c r="BER431"/>
      <c r="BES431"/>
      <c r="BET431"/>
      <c r="BEU431"/>
      <c r="BEV431"/>
      <c r="BEW431"/>
      <c r="BEX431"/>
      <c r="BEY431"/>
      <c r="BEZ431"/>
      <c r="BFA431"/>
      <c r="BFB431"/>
      <c r="BFC431"/>
      <c r="BFD431"/>
      <c r="BFE431"/>
      <c r="BFF431"/>
      <c r="BFG431"/>
      <c r="BFH431"/>
      <c r="BFI431"/>
      <c r="BFJ431"/>
      <c r="BFK431"/>
      <c r="BFL431"/>
      <c r="BFM431"/>
      <c r="BFN431"/>
      <c r="BFO431"/>
      <c r="BFP431"/>
      <c r="BFQ431"/>
      <c r="BFR431"/>
      <c r="BFS431"/>
      <c r="BFT431"/>
      <c r="BFU431"/>
      <c r="BFV431"/>
      <c r="BFW431"/>
      <c r="BFX431"/>
      <c r="BFY431"/>
      <c r="BFZ431"/>
      <c r="BGA431"/>
      <c r="BGB431"/>
      <c r="BGC431"/>
      <c r="BGD431"/>
      <c r="BGE431"/>
      <c r="BGF431"/>
      <c r="BGG431"/>
      <c r="BGH431"/>
      <c r="BGI431"/>
      <c r="BGJ431"/>
      <c r="BGK431"/>
      <c r="BGL431"/>
      <c r="BGM431"/>
      <c r="BGN431"/>
      <c r="BGO431"/>
      <c r="BGP431"/>
      <c r="BGQ431"/>
      <c r="BGR431"/>
      <c r="BGS431"/>
      <c r="BGT431"/>
      <c r="BGU431"/>
      <c r="BGV431"/>
      <c r="BGW431"/>
      <c r="BGX431"/>
      <c r="BGY431"/>
      <c r="BGZ431"/>
      <c r="BHA431"/>
      <c r="BHB431"/>
      <c r="BHC431"/>
      <c r="BHD431"/>
      <c r="BHE431"/>
      <c r="BHF431"/>
      <c r="BHG431"/>
      <c r="BHH431"/>
      <c r="BHI431"/>
      <c r="BHJ431"/>
      <c r="BHK431"/>
      <c r="BHL431"/>
      <c r="BHM431"/>
      <c r="BHN431"/>
      <c r="BHO431"/>
      <c r="BHP431"/>
      <c r="BHQ431"/>
      <c r="BHR431"/>
      <c r="BHS431"/>
      <c r="BHT431"/>
      <c r="BHU431"/>
      <c r="BHV431"/>
      <c r="BHW431"/>
      <c r="BHX431"/>
      <c r="BHY431"/>
      <c r="BHZ431"/>
      <c r="BIA431"/>
      <c r="BIB431"/>
      <c r="BIC431"/>
      <c r="BID431"/>
      <c r="BIE431"/>
      <c r="BIF431"/>
      <c r="BIG431"/>
      <c r="BIH431"/>
      <c r="BII431"/>
      <c r="BIJ431"/>
      <c r="BIK431"/>
      <c r="BIL431"/>
      <c r="BIM431"/>
      <c r="BIN431"/>
      <c r="BIO431"/>
      <c r="BIP431"/>
      <c r="BIQ431"/>
      <c r="BIR431"/>
      <c r="BIS431"/>
      <c r="BIT431"/>
      <c r="BIU431"/>
      <c r="BIV431"/>
      <c r="BIW431"/>
      <c r="BIX431"/>
      <c r="BIY431"/>
      <c r="BIZ431"/>
      <c r="BJA431"/>
      <c r="BJB431"/>
      <c r="BJC431"/>
      <c r="BJD431"/>
      <c r="BJE431"/>
      <c r="BJF431"/>
      <c r="BJG431"/>
      <c r="BJH431"/>
      <c r="BJI431"/>
      <c r="BJJ431"/>
      <c r="BJK431"/>
      <c r="BJL431"/>
      <c r="BJM431"/>
      <c r="BJN431"/>
      <c r="BJO431"/>
      <c r="BJP431"/>
      <c r="BJQ431"/>
      <c r="BJR431"/>
      <c r="BJS431"/>
      <c r="BJT431"/>
      <c r="BJU431"/>
      <c r="BJV431"/>
      <c r="BJW431"/>
      <c r="BJX431"/>
      <c r="BJY431"/>
      <c r="BJZ431"/>
      <c r="BKA431"/>
      <c r="BKB431"/>
      <c r="BKC431"/>
      <c r="BKD431"/>
      <c r="BKE431"/>
      <c r="BKF431"/>
      <c r="BKG431"/>
      <c r="BKH431"/>
      <c r="BKI431"/>
      <c r="BKJ431"/>
      <c r="BKK431"/>
      <c r="BKL431"/>
      <c r="BKM431"/>
      <c r="BKN431"/>
      <c r="BKO431"/>
      <c r="BKP431"/>
      <c r="BKQ431"/>
      <c r="BKR431"/>
      <c r="BKS431"/>
      <c r="BKT431"/>
      <c r="BKU431"/>
      <c r="BKV431"/>
      <c r="BKW431"/>
      <c r="BKX431"/>
      <c r="BKY431"/>
      <c r="BKZ431"/>
      <c r="BLA431"/>
      <c r="BLB431"/>
      <c r="BLC431"/>
      <c r="BLD431"/>
      <c r="BLE431"/>
      <c r="BLF431"/>
      <c r="BLG431"/>
      <c r="BLH431"/>
      <c r="BLI431"/>
      <c r="BLJ431"/>
      <c r="BLK431"/>
      <c r="BLL431"/>
      <c r="BLM431"/>
      <c r="BLN431"/>
      <c r="BLO431"/>
      <c r="BLP431"/>
      <c r="BLQ431"/>
      <c r="BLR431"/>
      <c r="BLS431"/>
      <c r="BLT431"/>
      <c r="BLU431"/>
      <c r="BLV431"/>
      <c r="BLW431"/>
      <c r="BLX431"/>
      <c r="BLY431"/>
      <c r="BLZ431"/>
      <c r="BMA431"/>
      <c r="BMB431"/>
      <c r="BMC431"/>
      <c r="BMD431"/>
      <c r="BME431"/>
      <c r="BMF431"/>
      <c r="BMG431"/>
      <c r="BMH431"/>
      <c r="BMI431"/>
      <c r="BMJ431"/>
      <c r="BMK431"/>
      <c r="BML431"/>
      <c r="BMM431"/>
      <c r="BMN431"/>
      <c r="BMO431"/>
      <c r="BMP431"/>
      <c r="BMQ431"/>
      <c r="BMR431"/>
      <c r="BMS431"/>
      <c r="BMT431"/>
      <c r="BMU431"/>
      <c r="BMV431"/>
      <c r="BMW431"/>
      <c r="BMX431"/>
      <c r="BMY431"/>
      <c r="BMZ431"/>
      <c r="BNA431"/>
      <c r="BNB431"/>
      <c r="BNC431"/>
      <c r="BND431"/>
      <c r="BNE431"/>
      <c r="BNF431"/>
      <c r="BNG431"/>
      <c r="BNH431"/>
      <c r="BNI431"/>
      <c r="BNJ431"/>
      <c r="BNK431"/>
      <c r="BNL431"/>
      <c r="BNM431"/>
      <c r="BNN431"/>
      <c r="BNO431"/>
      <c r="BNP431"/>
      <c r="BNQ431"/>
      <c r="BNR431"/>
      <c r="BNS431"/>
      <c r="BNT431"/>
      <c r="BNU431"/>
      <c r="BNV431"/>
      <c r="BNW431"/>
      <c r="BNX431"/>
      <c r="BNY431"/>
      <c r="BNZ431"/>
      <c r="BOA431"/>
      <c r="BOB431"/>
      <c r="BOC431"/>
      <c r="BOD431"/>
      <c r="BOE431"/>
      <c r="BOF431"/>
      <c r="BOG431"/>
      <c r="BOH431"/>
      <c r="BOI431"/>
      <c r="BOJ431"/>
      <c r="BOK431"/>
      <c r="BOL431"/>
      <c r="BOM431"/>
      <c r="BON431"/>
      <c r="BOO431"/>
      <c r="BOP431"/>
      <c r="BOQ431"/>
      <c r="BOR431"/>
      <c r="BOS431"/>
      <c r="BOT431"/>
      <c r="BOU431"/>
      <c r="BOV431"/>
      <c r="BOW431"/>
      <c r="BOX431"/>
      <c r="BOY431"/>
      <c r="BOZ431"/>
      <c r="BPA431"/>
      <c r="BPB431"/>
      <c r="BPC431"/>
      <c r="BPD431"/>
      <c r="BPE431"/>
      <c r="BPF431"/>
      <c r="BPG431"/>
      <c r="BPH431"/>
      <c r="BPI431"/>
      <c r="BPJ431"/>
      <c r="BPK431"/>
      <c r="BPL431"/>
      <c r="BPM431"/>
      <c r="BPN431"/>
      <c r="BPO431"/>
      <c r="BPP431"/>
      <c r="BPQ431"/>
      <c r="BPR431"/>
      <c r="BPS431"/>
      <c r="BPT431"/>
      <c r="BPU431"/>
      <c r="BPV431"/>
      <c r="BPW431"/>
      <c r="BPX431"/>
      <c r="BPY431"/>
      <c r="BPZ431"/>
      <c r="BQA431"/>
      <c r="BQB431"/>
      <c r="BQC431"/>
      <c r="BQD431"/>
      <c r="BQE431"/>
      <c r="BQF431"/>
      <c r="BQG431"/>
      <c r="BQH431"/>
      <c r="BQI431"/>
      <c r="BQJ431"/>
      <c r="BQK431"/>
      <c r="BQL431"/>
      <c r="BQM431"/>
      <c r="BQN431"/>
      <c r="BQO431"/>
      <c r="BQP431"/>
      <c r="BQQ431"/>
      <c r="BQR431"/>
      <c r="BQS431"/>
      <c r="BQT431"/>
      <c r="BQU431"/>
      <c r="BQV431"/>
      <c r="BQW431"/>
      <c r="BQX431"/>
      <c r="BQY431"/>
      <c r="BQZ431"/>
      <c r="BRA431"/>
      <c r="BRB431"/>
      <c r="BRC431"/>
      <c r="BRD431"/>
      <c r="BRE431"/>
      <c r="BRF431"/>
      <c r="BRG431"/>
      <c r="BRH431"/>
      <c r="BRI431"/>
      <c r="BRJ431"/>
      <c r="BRK431"/>
      <c r="BRL431"/>
      <c r="BRM431"/>
      <c r="BRN431"/>
      <c r="BRO431"/>
      <c r="BRP431"/>
      <c r="BRQ431"/>
      <c r="BRR431"/>
      <c r="BRS431"/>
      <c r="BRT431"/>
      <c r="BRU431"/>
      <c r="BRV431"/>
      <c r="BRW431"/>
      <c r="BRX431"/>
      <c r="BRY431"/>
      <c r="BRZ431"/>
      <c r="BSA431"/>
      <c r="BSB431"/>
      <c r="BSC431"/>
      <c r="BSD431"/>
      <c r="BSE431"/>
      <c r="BSF431"/>
      <c r="BSG431"/>
      <c r="BSH431"/>
      <c r="BSI431"/>
      <c r="BSJ431"/>
      <c r="BSK431"/>
      <c r="BSL431"/>
      <c r="BSM431"/>
      <c r="BSN431"/>
      <c r="BSO431"/>
      <c r="BSP431"/>
      <c r="BSQ431"/>
      <c r="BSR431"/>
      <c r="BSS431"/>
      <c r="BST431"/>
      <c r="BSU431"/>
      <c r="BSV431"/>
      <c r="BSW431"/>
      <c r="BSX431"/>
      <c r="BSY431"/>
      <c r="BSZ431"/>
      <c r="BTA431"/>
      <c r="BTB431"/>
      <c r="BTC431"/>
      <c r="BTD431"/>
      <c r="BTE431"/>
      <c r="BTF431"/>
      <c r="BTG431"/>
      <c r="BTH431"/>
      <c r="BTI431"/>
      <c r="BTJ431"/>
      <c r="BTK431"/>
      <c r="BTL431"/>
      <c r="BTM431"/>
      <c r="BTN431"/>
      <c r="BTO431"/>
      <c r="BTP431"/>
      <c r="BTQ431"/>
      <c r="BTR431"/>
      <c r="BTS431"/>
      <c r="BTT431"/>
      <c r="BTU431"/>
      <c r="BTV431"/>
      <c r="BTW431"/>
      <c r="BTX431"/>
      <c r="BTY431"/>
      <c r="BTZ431"/>
      <c r="BUA431"/>
      <c r="BUB431"/>
      <c r="BUC431"/>
      <c r="BUD431"/>
      <c r="BUE431"/>
      <c r="BUF431"/>
      <c r="BUG431"/>
      <c r="BUH431"/>
      <c r="BUI431"/>
      <c r="BUJ431"/>
      <c r="BUK431"/>
      <c r="BUL431"/>
      <c r="BUM431"/>
      <c r="BUN431"/>
      <c r="BUO431"/>
      <c r="BUP431"/>
      <c r="BUQ431"/>
      <c r="BUR431"/>
      <c r="BUS431"/>
      <c r="BUT431"/>
      <c r="BUU431"/>
      <c r="BUV431"/>
      <c r="BUW431"/>
      <c r="BUX431"/>
      <c r="BUY431"/>
      <c r="BUZ431"/>
      <c r="BVA431"/>
      <c r="BVB431"/>
      <c r="BVC431"/>
      <c r="BVD431"/>
      <c r="BVE431"/>
      <c r="BVF431"/>
      <c r="BVG431"/>
      <c r="BVH431"/>
      <c r="BVI431"/>
      <c r="BVJ431"/>
      <c r="BVK431"/>
      <c r="BVL431"/>
      <c r="BVM431"/>
      <c r="BVN431"/>
      <c r="BVO431"/>
      <c r="BVP431"/>
      <c r="BVQ431"/>
      <c r="BVR431"/>
      <c r="BVS431"/>
      <c r="BVT431"/>
      <c r="BVU431"/>
      <c r="BVV431"/>
      <c r="BVW431"/>
      <c r="BVX431"/>
      <c r="BVY431"/>
      <c r="BVZ431"/>
      <c r="BWA431"/>
      <c r="BWB431"/>
      <c r="BWC431"/>
      <c r="BWD431"/>
      <c r="BWE431"/>
      <c r="BWF431"/>
      <c r="BWG431"/>
      <c r="BWH431"/>
      <c r="BWI431"/>
      <c r="BWJ431"/>
      <c r="BWK431"/>
      <c r="BWL431"/>
      <c r="BWM431"/>
      <c r="BWN431"/>
      <c r="BWO431"/>
      <c r="BWP431"/>
      <c r="BWQ431"/>
      <c r="BWR431"/>
      <c r="BWS431"/>
      <c r="BWT431"/>
      <c r="BWU431"/>
      <c r="BWV431"/>
      <c r="BWW431"/>
      <c r="BWX431"/>
      <c r="BWY431"/>
      <c r="BWZ431"/>
      <c r="BXA431"/>
      <c r="BXB431"/>
      <c r="BXC431"/>
      <c r="BXD431"/>
      <c r="BXE431"/>
      <c r="BXF431"/>
      <c r="BXG431"/>
      <c r="BXH431"/>
      <c r="BXI431"/>
      <c r="BXJ431"/>
      <c r="BXK431"/>
      <c r="BXL431"/>
      <c r="BXM431"/>
      <c r="BXN431"/>
      <c r="BXO431"/>
      <c r="BXP431"/>
      <c r="BXQ431"/>
      <c r="BXR431"/>
      <c r="BXS431"/>
      <c r="BXT431"/>
      <c r="BXU431"/>
      <c r="BXV431"/>
      <c r="BXW431"/>
      <c r="BXX431"/>
      <c r="BXY431"/>
      <c r="BXZ431"/>
      <c r="BYA431"/>
      <c r="BYB431"/>
      <c r="BYC431"/>
      <c r="BYD431"/>
      <c r="BYE431"/>
      <c r="BYF431"/>
      <c r="BYG431"/>
      <c r="BYH431"/>
      <c r="BYI431"/>
      <c r="BYJ431"/>
      <c r="BYK431"/>
      <c r="BYL431"/>
      <c r="BYM431"/>
      <c r="BYN431"/>
      <c r="BYO431"/>
      <c r="BYP431"/>
      <c r="BYQ431"/>
      <c r="BYR431"/>
      <c r="BYS431"/>
      <c r="BYT431"/>
      <c r="BYU431"/>
      <c r="BYV431"/>
      <c r="BYW431"/>
      <c r="BYX431"/>
      <c r="BYY431"/>
      <c r="BYZ431"/>
      <c r="BZA431"/>
      <c r="BZB431"/>
      <c r="BZC431"/>
      <c r="BZD431"/>
      <c r="BZE431"/>
      <c r="BZF431"/>
      <c r="BZG431"/>
      <c r="BZH431"/>
      <c r="BZI431"/>
      <c r="BZJ431"/>
      <c r="BZK431"/>
      <c r="BZL431"/>
      <c r="BZM431"/>
      <c r="BZN431"/>
      <c r="BZO431"/>
      <c r="BZP431"/>
      <c r="BZQ431"/>
      <c r="BZR431"/>
      <c r="BZS431"/>
      <c r="BZT431"/>
      <c r="BZU431"/>
      <c r="BZV431"/>
      <c r="BZW431"/>
      <c r="BZX431"/>
      <c r="BZY431"/>
      <c r="BZZ431"/>
      <c r="CAA431"/>
      <c r="CAB431"/>
      <c r="CAC431"/>
      <c r="CAD431"/>
      <c r="CAE431"/>
      <c r="CAF431"/>
      <c r="CAG431"/>
      <c r="CAH431"/>
      <c r="CAI431"/>
      <c r="CAJ431"/>
      <c r="CAK431"/>
      <c r="CAL431"/>
      <c r="CAM431"/>
      <c r="CAN431"/>
      <c r="CAO431"/>
      <c r="CAP431"/>
      <c r="CAQ431"/>
      <c r="CAR431"/>
      <c r="CAS431"/>
      <c r="CAT431"/>
      <c r="CAU431"/>
      <c r="CAV431"/>
      <c r="CAW431"/>
      <c r="CAX431"/>
      <c r="CAY431"/>
      <c r="CAZ431"/>
      <c r="CBA431"/>
      <c r="CBB431"/>
      <c r="CBC431"/>
      <c r="CBD431"/>
      <c r="CBE431"/>
      <c r="CBF431"/>
      <c r="CBG431"/>
      <c r="CBH431"/>
      <c r="CBI431"/>
      <c r="CBJ431"/>
      <c r="CBK431"/>
      <c r="CBL431"/>
      <c r="CBM431"/>
      <c r="CBN431"/>
      <c r="CBO431"/>
      <c r="CBP431"/>
      <c r="CBQ431"/>
      <c r="CBR431"/>
      <c r="CBS431"/>
      <c r="CBT431"/>
      <c r="CBU431"/>
      <c r="CBV431"/>
      <c r="CBW431"/>
      <c r="CBX431"/>
      <c r="CBY431"/>
      <c r="CBZ431"/>
      <c r="CCA431"/>
      <c r="CCB431"/>
      <c r="CCC431"/>
      <c r="CCD431"/>
      <c r="CCE431"/>
      <c r="CCF431"/>
      <c r="CCG431"/>
      <c r="CCH431"/>
      <c r="CCI431"/>
      <c r="CCJ431"/>
      <c r="CCK431"/>
      <c r="CCL431"/>
      <c r="CCM431"/>
      <c r="CCN431"/>
      <c r="CCO431"/>
      <c r="CCP431"/>
      <c r="CCQ431"/>
      <c r="CCR431"/>
      <c r="CCS431"/>
      <c r="CCT431"/>
      <c r="CCU431"/>
      <c r="CCV431"/>
      <c r="CCW431"/>
      <c r="CCX431"/>
      <c r="CCY431"/>
      <c r="CCZ431"/>
      <c r="CDA431"/>
      <c r="CDB431"/>
      <c r="CDC431"/>
      <c r="CDD431"/>
      <c r="CDE431"/>
      <c r="CDF431"/>
      <c r="CDG431"/>
      <c r="CDH431"/>
      <c r="CDI431"/>
      <c r="CDJ431"/>
      <c r="CDK431"/>
      <c r="CDL431"/>
      <c r="CDM431"/>
      <c r="CDN431"/>
      <c r="CDO431"/>
      <c r="CDP431"/>
      <c r="CDQ431"/>
      <c r="CDR431"/>
      <c r="CDS431"/>
      <c r="CDT431"/>
      <c r="CDU431"/>
      <c r="CDV431"/>
      <c r="CDW431"/>
      <c r="CDX431"/>
      <c r="CDY431"/>
      <c r="CDZ431"/>
      <c r="CEA431"/>
      <c r="CEB431"/>
      <c r="CEC431"/>
      <c r="CED431"/>
      <c r="CEE431"/>
      <c r="CEF431"/>
      <c r="CEG431"/>
      <c r="CEH431"/>
      <c r="CEI431"/>
      <c r="CEJ431"/>
      <c r="CEK431"/>
      <c r="CEL431"/>
      <c r="CEM431"/>
      <c r="CEN431"/>
      <c r="CEO431"/>
      <c r="CEP431"/>
      <c r="CEQ431"/>
      <c r="CER431"/>
      <c r="CES431"/>
      <c r="CET431"/>
      <c r="CEU431"/>
      <c r="CEV431"/>
      <c r="CEW431"/>
      <c r="CEX431"/>
      <c r="CEY431"/>
      <c r="CEZ431"/>
      <c r="CFA431"/>
      <c r="CFB431"/>
      <c r="CFC431"/>
      <c r="CFD431"/>
      <c r="CFE431"/>
      <c r="CFF431"/>
      <c r="CFG431"/>
      <c r="CFH431"/>
      <c r="CFI431"/>
      <c r="CFJ431"/>
      <c r="CFK431"/>
      <c r="CFL431"/>
      <c r="CFM431"/>
      <c r="CFN431"/>
      <c r="CFO431"/>
      <c r="CFP431"/>
      <c r="CFQ431"/>
      <c r="CFR431"/>
      <c r="CFS431"/>
      <c r="CFT431"/>
      <c r="CFU431"/>
      <c r="CFV431"/>
      <c r="CFW431"/>
      <c r="CFX431"/>
      <c r="CFY431"/>
      <c r="CFZ431"/>
      <c r="CGA431"/>
      <c r="CGB431"/>
      <c r="CGC431"/>
      <c r="CGD431"/>
      <c r="CGE431"/>
      <c r="CGF431"/>
      <c r="CGG431"/>
      <c r="CGH431"/>
      <c r="CGI431"/>
      <c r="CGJ431"/>
      <c r="CGK431"/>
      <c r="CGL431"/>
      <c r="CGM431"/>
      <c r="CGN431"/>
      <c r="CGO431"/>
      <c r="CGP431"/>
      <c r="CGQ431"/>
      <c r="CGR431"/>
      <c r="CGS431"/>
      <c r="CGT431"/>
      <c r="CGU431"/>
      <c r="CGV431"/>
      <c r="CGW431"/>
      <c r="CGX431"/>
      <c r="CGY431"/>
      <c r="CGZ431"/>
      <c r="CHA431"/>
      <c r="CHB431"/>
      <c r="CHC431"/>
      <c r="CHD431"/>
      <c r="CHE431"/>
      <c r="CHF431"/>
      <c r="CHG431"/>
      <c r="CHH431"/>
      <c r="CHI431"/>
      <c r="CHJ431"/>
      <c r="CHK431"/>
      <c r="CHL431"/>
      <c r="CHM431"/>
      <c r="CHN431"/>
      <c r="CHO431"/>
      <c r="CHP431"/>
      <c r="CHQ431"/>
      <c r="CHR431"/>
      <c r="CHS431"/>
      <c r="CHT431"/>
      <c r="CHU431"/>
      <c r="CHV431"/>
      <c r="CHW431"/>
      <c r="CHX431"/>
      <c r="CHY431"/>
      <c r="CHZ431"/>
      <c r="CIA431"/>
      <c r="CIB431"/>
      <c r="CIC431"/>
      <c r="CID431"/>
      <c r="CIE431"/>
      <c r="CIF431"/>
      <c r="CIG431"/>
      <c r="CIH431"/>
      <c r="CII431"/>
      <c r="CIJ431"/>
      <c r="CIK431"/>
      <c r="CIL431"/>
      <c r="CIM431"/>
      <c r="CIN431"/>
      <c r="CIO431"/>
      <c r="CIP431"/>
      <c r="CIQ431"/>
      <c r="CIR431"/>
      <c r="CIS431"/>
      <c r="CIT431"/>
      <c r="CIU431"/>
      <c r="CIV431"/>
      <c r="CIW431"/>
      <c r="CIX431"/>
      <c r="CIY431"/>
      <c r="CIZ431"/>
      <c r="CJA431"/>
      <c r="CJB431"/>
      <c r="CJC431"/>
      <c r="CJD431"/>
      <c r="CJE431"/>
      <c r="CJF431"/>
      <c r="CJG431"/>
      <c r="CJH431"/>
      <c r="CJI431"/>
      <c r="CJJ431"/>
      <c r="CJK431"/>
      <c r="CJL431"/>
      <c r="CJM431"/>
      <c r="CJN431"/>
      <c r="CJO431"/>
      <c r="CJP431"/>
      <c r="CJQ431"/>
      <c r="CJR431"/>
      <c r="CJS431"/>
      <c r="CJT431"/>
      <c r="CJU431"/>
      <c r="CJV431"/>
      <c r="CJW431"/>
      <c r="CJX431"/>
      <c r="CJY431"/>
      <c r="CJZ431"/>
      <c r="CKA431"/>
      <c r="CKB431"/>
      <c r="CKC431"/>
      <c r="CKD431"/>
      <c r="CKE431"/>
      <c r="CKF431"/>
      <c r="CKG431"/>
      <c r="CKH431"/>
      <c r="CKI431"/>
      <c r="CKJ431"/>
      <c r="CKK431"/>
      <c r="CKL431"/>
      <c r="CKM431"/>
      <c r="CKN431"/>
      <c r="CKO431"/>
      <c r="CKP431"/>
      <c r="CKQ431"/>
      <c r="CKR431"/>
      <c r="CKS431"/>
      <c r="CKT431"/>
      <c r="CKU431"/>
      <c r="CKV431"/>
      <c r="CKW431"/>
      <c r="CKX431"/>
      <c r="CKY431"/>
      <c r="CKZ431"/>
      <c r="CLA431"/>
      <c r="CLB431"/>
      <c r="CLC431"/>
      <c r="CLD431"/>
      <c r="CLE431"/>
      <c r="CLF431"/>
      <c r="CLG431"/>
      <c r="CLH431"/>
      <c r="CLI431"/>
      <c r="CLJ431"/>
      <c r="CLK431"/>
      <c r="CLL431"/>
      <c r="CLM431"/>
      <c r="CLN431"/>
      <c r="CLO431"/>
      <c r="CLP431"/>
      <c r="CLQ431"/>
      <c r="CLR431"/>
      <c r="CLS431"/>
      <c r="CLT431"/>
      <c r="CLU431"/>
      <c r="CLV431"/>
      <c r="CLW431"/>
      <c r="CLX431"/>
      <c r="CLY431"/>
      <c r="CLZ431"/>
      <c r="CMA431"/>
      <c r="CMB431"/>
      <c r="CMC431"/>
      <c r="CMD431"/>
      <c r="CME431"/>
      <c r="CMF431"/>
      <c r="CMG431"/>
      <c r="CMH431"/>
      <c r="CMI431"/>
      <c r="CMJ431"/>
      <c r="CMK431"/>
      <c r="CML431"/>
      <c r="CMM431"/>
      <c r="CMN431"/>
      <c r="CMO431"/>
      <c r="CMP431"/>
      <c r="CMQ431"/>
      <c r="CMR431"/>
      <c r="CMS431"/>
      <c r="CMT431"/>
      <c r="CMU431"/>
      <c r="CMV431"/>
      <c r="CMW431"/>
      <c r="CMX431"/>
      <c r="CMY431"/>
      <c r="CMZ431"/>
      <c r="CNA431"/>
      <c r="CNB431"/>
      <c r="CNC431"/>
      <c r="CND431"/>
      <c r="CNE431"/>
      <c r="CNF431"/>
      <c r="CNG431"/>
      <c r="CNH431"/>
      <c r="CNI431"/>
      <c r="CNJ431"/>
      <c r="CNK431"/>
      <c r="CNL431"/>
      <c r="CNM431"/>
      <c r="CNN431"/>
      <c r="CNO431"/>
      <c r="CNP431"/>
      <c r="CNQ431"/>
      <c r="CNR431"/>
      <c r="CNS431"/>
      <c r="CNT431"/>
      <c r="CNU431"/>
      <c r="CNV431"/>
      <c r="CNW431"/>
      <c r="CNX431"/>
      <c r="CNY431"/>
      <c r="CNZ431"/>
      <c r="COA431"/>
      <c r="COB431"/>
      <c r="COC431"/>
      <c r="COD431"/>
      <c r="COE431"/>
      <c r="COF431"/>
      <c r="COG431"/>
      <c r="COH431"/>
      <c r="COI431"/>
      <c r="COJ431"/>
      <c r="COK431"/>
      <c r="COL431"/>
      <c r="COM431"/>
      <c r="CON431"/>
      <c r="COO431"/>
      <c r="COP431"/>
      <c r="COQ431"/>
      <c r="COR431"/>
      <c r="COS431"/>
      <c r="COT431"/>
      <c r="COU431"/>
      <c r="COV431"/>
      <c r="COW431"/>
      <c r="COX431"/>
      <c r="COY431"/>
      <c r="COZ431"/>
      <c r="CPA431"/>
      <c r="CPB431"/>
      <c r="CPC431"/>
      <c r="CPD431"/>
      <c r="CPE431"/>
      <c r="CPF431"/>
      <c r="CPG431"/>
      <c r="CPH431"/>
      <c r="CPI431"/>
      <c r="CPJ431"/>
      <c r="CPK431"/>
      <c r="CPL431"/>
      <c r="CPM431"/>
      <c r="CPN431"/>
      <c r="CPO431"/>
      <c r="CPP431"/>
      <c r="CPQ431"/>
      <c r="CPR431"/>
      <c r="CPS431"/>
      <c r="CPT431"/>
      <c r="CPU431"/>
      <c r="CPV431"/>
      <c r="CPW431"/>
      <c r="CPX431"/>
      <c r="CPY431"/>
      <c r="CPZ431"/>
      <c r="CQA431"/>
      <c r="CQB431"/>
      <c r="CQC431"/>
      <c r="CQD431"/>
      <c r="CQE431"/>
      <c r="CQF431"/>
      <c r="CQG431"/>
      <c r="CQH431"/>
      <c r="CQI431"/>
      <c r="CQJ431"/>
      <c r="CQK431"/>
      <c r="CQL431"/>
      <c r="CQM431"/>
      <c r="CQN431"/>
      <c r="CQO431"/>
      <c r="CQP431"/>
      <c r="CQQ431"/>
      <c r="CQR431"/>
      <c r="CQS431"/>
      <c r="CQT431"/>
      <c r="CQU431"/>
      <c r="CQV431"/>
      <c r="CQW431"/>
      <c r="CQX431"/>
      <c r="CQY431"/>
      <c r="CQZ431"/>
      <c r="CRA431"/>
      <c r="CRB431"/>
      <c r="CRC431"/>
      <c r="CRD431"/>
      <c r="CRE431"/>
      <c r="CRF431"/>
      <c r="CRG431"/>
      <c r="CRH431"/>
      <c r="CRI431"/>
      <c r="CRJ431"/>
      <c r="CRK431"/>
      <c r="CRL431"/>
      <c r="CRM431"/>
      <c r="CRN431"/>
      <c r="CRO431"/>
      <c r="CRP431"/>
      <c r="CRQ431"/>
      <c r="CRR431"/>
      <c r="CRS431"/>
      <c r="CRT431"/>
      <c r="CRU431"/>
      <c r="CRV431"/>
      <c r="CRW431"/>
      <c r="CRX431"/>
      <c r="CRY431"/>
      <c r="CRZ431"/>
      <c r="CSA431"/>
      <c r="CSB431"/>
      <c r="CSC431"/>
      <c r="CSD431"/>
      <c r="CSE431"/>
      <c r="CSF431"/>
      <c r="CSG431"/>
      <c r="CSH431"/>
      <c r="CSI431"/>
      <c r="CSJ431"/>
      <c r="CSK431"/>
      <c r="CSL431"/>
      <c r="CSM431"/>
      <c r="CSN431"/>
      <c r="CSO431"/>
      <c r="CSP431"/>
      <c r="CSQ431"/>
      <c r="CSR431"/>
      <c r="CSS431"/>
      <c r="CST431"/>
      <c r="CSU431"/>
      <c r="CSV431"/>
      <c r="CSW431"/>
      <c r="CSX431"/>
      <c r="CSY431"/>
      <c r="CSZ431"/>
      <c r="CTA431"/>
      <c r="CTB431"/>
      <c r="CTC431"/>
      <c r="CTD431"/>
      <c r="CTE431"/>
      <c r="CTF431"/>
      <c r="CTG431"/>
      <c r="CTH431"/>
      <c r="CTI431"/>
      <c r="CTJ431"/>
      <c r="CTK431"/>
      <c r="CTL431"/>
      <c r="CTM431"/>
      <c r="CTN431"/>
      <c r="CTO431"/>
      <c r="CTP431"/>
      <c r="CTQ431"/>
      <c r="CTR431"/>
      <c r="CTS431"/>
      <c r="CTT431"/>
      <c r="CTU431"/>
      <c r="CTV431"/>
      <c r="CTW431"/>
      <c r="CTX431"/>
      <c r="CTY431"/>
      <c r="CTZ431"/>
      <c r="CUA431"/>
      <c r="CUB431"/>
      <c r="CUC431"/>
      <c r="CUD431"/>
      <c r="CUE431"/>
      <c r="CUF431"/>
      <c r="CUG431"/>
      <c r="CUH431"/>
      <c r="CUI431"/>
      <c r="CUJ431"/>
      <c r="CUK431"/>
      <c r="CUL431"/>
      <c r="CUM431"/>
      <c r="CUN431"/>
      <c r="CUO431"/>
      <c r="CUP431"/>
      <c r="CUQ431"/>
      <c r="CUR431"/>
      <c r="CUS431"/>
      <c r="CUT431"/>
      <c r="CUU431"/>
      <c r="CUV431"/>
      <c r="CUW431"/>
      <c r="CUX431"/>
      <c r="CUY431"/>
      <c r="CUZ431"/>
      <c r="CVA431"/>
      <c r="CVB431"/>
      <c r="CVC431"/>
      <c r="CVD431"/>
      <c r="CVE431"/>
      <c r="CVF431"/>
      <c r="CVG431"/>
      <c r="CVH431"/>
      <c r="CVI431"/>
      <c r="CVJ431"/>
      <c r="CVK431"/>
      <c r="CVL431"/>
      <c r="CVM431"/>
      <c r="CVN431"/>
      <c r="CVO431"/>
      <c r="CVP431"/>
      <c r="CVQ431"/>
      <c r="CVR431"/>
      <c r="CVS431"/>
      <c r="CVT431"/>
      <c r="CVU431"/>
      <c r="CVV431"/>
      <c r="CVW431"/>
      <c r="CVX431"/>
      <c r="CVY431"/>
      <c r="CVZ431"/>
      <c r="CWA431"/>
      <c r="CWB431"/>
      <c r="CWC431"/>
      <c r="CWD431"/>
      <c r="CWE431"/>
      <c r="CWF431"/>
      <c r="CWG431"/>
      <c r="CWH431"/>
      <c r="CWI431"/>
      <c r="CWJ431"/>
      <c r="CWK431"/>
      <c r="CWL431"/>
      <c r="CWM431"/>
      <c r="CWN431"/>
      <c r="CWO431"/>
      <c r="CWP431"/>
      <c r="CWQ431"/>
      <c r="CWR431"/>
      <c r="CWS431"/>
      <c r="CWT431"/>
      <c r="CWU431"/>
      <c r="CWV431"/>
      <c r="CWW431"/>
      <c r="CWX431"/>
      <c r="CWY431"/>
      <c r="CWZ431"/>
      <c r="CXA431"/>
      <c r="CXB431"/>
      <c r="CXC431"/>
      <c r="CXD431"/>
      <c r="CXE431"/>
      <c r="CXF431"/>
      <c r="CXG431"/>
      <c r="CXH431"/>
      <c r="CXI431"/>
      <c r="CXJ431"/>
      <c r="CXK431"/>
      <c r="CXL431"/>
      <c r="CXM431"/>
      <c r="CXN431"/>
      <c r="CXO431"/>
      <c r="CXP431"/>
      <c r="CXQ431"/>
      <c r="CXR431"/>
      <c r="CXS431"/>
      <c r="CXT431"/>
      <c r="CXU431"/>
      <c r="CXV431"/>
      <c r="CXW431"/>
      <c r="CXX431"/>
      <c r="CXY431"/>
      <c r="CXZ431"/>
      <c r="CYA431"/>
      <c r="CYB431"/>
      <c r="CYC431"/>
      <c r="CYD431"/>
      <c r="CYE431"/>
      <c r="CYF431"/>
      <c r="CYG431"/>
      <c r="CYH431"/>
      <c r="CYI431"/>
      <c r="CYJ431"/>
      <c r="CYK431"/>
      <c r="CYL431"/>
      <c r="CYM431"/>
      <c r="CYN431"/>
      <c r="CYO431"/>
      <c r="CYP431"/>
      <c r="CYQ431"/>
      <c r="CYR431"/>
      <c r="CYS431"/>
      <c r="CYT431"/>
      <c r="CYU431"/>
      <c r="CYV431"/>
      <c r="CYW431"/>
      <c r="CYX431"/>
      <c r="CYY431"/>
      <c r="CYZ431"/>
      <c r="CZA431"/>
      <c r="CZB431"/>
      <c r="CZC431"/>
      <c r="CZD431"/>
      <c r="CZE431"/>
      <c r="CZF431"/>
      <c r="CZG431"/>
      <c r="CZH431"/>
      <c r="CZI431"/>
      <c r="CZJ431"/>
      <c r="CZK431"/>
      <c r="CZL431"/>
      <c r="CZM431"/>
      <c r="CZN431"/>
      <c r="CZO431"/>
      <c r="CZP431"/>
      <c r="CZQ431"/>
      <c r="CZR431"/>
      <c r="CZS431"/>
      <c r="CZT431"/>
      <c r="CZU431"/>
      <c r="CZV431"/>
      <c r="CZW431"/>
      <c r="CZX431"/>
      <c r="CZY431"/>
      <c r="CZZ431"/>
      <c r="DAA431"/>
      <c r="DAB431"/>
      <c r="DAC431"/>
      <c r="DAD431"/>
      <c r="DAE431"/>
      <c r="DAF431"/>
      <c r="DAG431"/>
      <c r="DAH431"/>
      <c r="DAI431"/>
      <c r="DAJ431"/>
      <c r="DAK431"/>
      <c r="DAL431"/>
      <c r="DAM431"/>
      <c r="DAN431"/>
      <c r="DAO431"/>
      <c r="DAP431"/>
      <c r="DAQ431"/>
      <c r="DAR431"/>
      <c r="DAS431"/>
      <c r="DAT431"/>
      <c r="DAU431"/>
      <c r="DAV431"/>
      <c r="DAW431"/>
      <c r="DAX431"/>
      <c r="DAY431"/>
      <c r="DAZ431"/>
      <c r="DBA431"/>
      <c r="DBB431"/>
      <c r="DBC431"/>
      <c r="DBD431"/>
      <c r="DBE431"/>
      <c r="DBF431"/>
      <c r="DBG431"/>
      <c r="DBH431"/>
      <c r="DBI431"/>
      <c r="DBJ431"/>
      <c r="DBK431"/>
      <c r="DBL431"/>
      <c r="DBM431"/>
      <c r="DBN431"/>
      <c r="DBO431"/>
      <c r="DBP431"/>
      <c r="DBQ431"/>
      <c r="DBR431"/>
      <c r="DBS431"/>
      <c r="DBT431"/>
      <c r="DBU431"/>
      <c r="DBV431"/>
      <c r="DBW431"/>
      <c r="DBX431"/>
      <c r="DBY431"/>
      <c r="DBZ431"/>
      <c r="DCA431"/>
      <c r="DCB431"/>
      <c r="DCC431"/>
      <c r="DCD431"/>
      <c r="DCE431"/>
      <c r="DCF431"/>
      <c r="DCG431"/>
      <c r="DCH431"/>
      <c r="DCI431"/>
      <c r="DCJ431"/>
      <c r="DCK431"/>
      <c r="DCL431"/>
      <c r="DCM431"/>
      <c r="DCN431"/>
      <c r="DCO431"/>
      <c r="DCP431"/>
      <c r="DCQ431"/>
      <c r="DCR431"/>
      <c r="DCS431"/>
      <c r="DCT431"/>
      <c r="DCU431"/>
      <c r="DCV431"/>
      <c r="DCW431"/>
      <c r="DCX431"/>
      <c r="DCY431"/>
      <c r="DCZ431"/>
      <c r="DDA431"/>
      <c r="DDB431"/>
      <c r="DDC431"/>
      <c r="DDD431"/>
      <c r="DDE431"/>
      <c r="DDF431"/>
      <c r="DDG431"/>
      <c r="DDH431"/>
      <c r="DDI431"/>
      <c r="DDJ431"/>
      <c r="DDK431"/>
      <c r="DDL431"/>
      <c r="DDM431"/>
      <c r="DDN431"/>
      <c r="DDO431"/>
      <c r="DDP431"/>
      <c r="DDQ431"/>
      <c r="DDR431"/>
      <c r="DDS431"/>
      <c r="DDT431"/>
      <c r="DDU431"/>
      <c r="DDV431"/>
      <c r="DDW431"/>
      <c r="DDX431"/>
      <c r="DDY431"/>
      <c r="DDZ431"/>
      <c r="DEA431"/>
      <c r="DEB431"/>
      <c r="DEC431"/>
      <c r="DED431"/>
      <c r="DEE431"/>
      <c r="DEF431"/>
      <c r="DEG431"/>
      <c r="DEH431"/>
      <c r="DEI431"/>
      <c r="DEJ431"/>
      <c r="DEK431"/>
      <c r="DEL431"/>
      <c r="DEM431"/>
      <c r="DEN431"/>
      <c r="DEO431"/>
      <c r="DEP431"/>
      <c r="DEQ431"/>
      <c r="DER431"/>
      <c r="DES431"/>
      <c r="DET431"/>
      <c r="DEU431"/>
      <c r="DEV431"/>
      <c r="DEW431"/>
      <c r="DEX431"/>
      <c r="DEY431"/>
      <c r="DEZ431"/>
      <c r="DFA431"/>
      <c r="DFB431"/>
      <c r="DFC431"/>
      <c r="DFD431"/>
      <c r="DFE431"/>
      <c r="DFF431"/>
      <c r="DFG431"/>
      <c r="DFH431"/>
      <c r="DFI431"/>
      <c r="DFJ431"/>
      <c r="DFK431"/>
      <c r="DFL431"/>
      <c r="DFM431"/>
      <c r="DFN431"/>
      <c r="DFO431"/>
      <c r="DFP431"/>
      <c r="DFQ431"/>
      <c r="DFR431"/>
      <c r="DFS431"/>
      <c r="DFT431"/>
      <c r="DFU431"/>
      <c r="DFV431"/>
      <c r="DFW431"/>
      <c r="DFX431"/>
      <c r="DFY431"/>
      <c r="DFZ431"/>
      <c r="DGA431"/>
      <c r="DGB431"/>
      <c r="DGC431"/>
      <c r="DGD431"/>
      <c r="DGE431"/>
      <c r="DGF431"/>
      <c r="DGG431"/>
      <c r="DGH431"/>
      <c r="DGI431"/>
      <c r="DGJ431"/>
      <c r="DGK431"/>
      <c r="DGL431"/>
      <c r="DGM431"/>
      <c r="DGN431"/>
      <c r="DGO431"/>
      <c r="DGP431"/>
      <c r="DGQ431"/>
      <c r="DGR431"/>
      <c r="DGS431"/>
      <c r="DGT431"/>
      <c r="DGU431"/>
      <c r="DGV431"/>
      <c r="DGW431"/>
      <c r="DGX431"/>
      <c r="DGY431"/>
      <c r="DGZ431"/>
      <c r="DHA431"/>
      <c r="DHB431"/>
      <c r="DHC431"/>
      <c r="DHD431"/>
      <c r="DHE431"/>
      <c r="DHF431"/>
      <c r="DHG431"/>
      <c r="DHH431"/>
      <c r="DHI431"/>
      <c r="DHJ431"/>
      <c r="DHK431"/>
      <c r="DHL431"/>
      <c r="DHM431"/>
      <c r="DHN431"/>
      <c r="DHO431"/>
      <c r="DHP431"/>
      <c r="DHQ431"/>
      <c r="DHR431"/>
      <c r="DHS431"/>
      <c r="DHT431"/>
      <c r="DHU431"/>
      <c r="DHV431"/>
      <c r="DHW431"/>
      <c r="DHX431"/>
      <c r="DHY431"/>
      <c r="DHZ431"/>
      <c r="DIA431"/>
      <c r="DIB431"/>
      <c r="DIC431"/>
      <c r="DID431"/>
      <c r="DIE431"/>
      <c r="DIF431"/>
      <c r="DIG431"/>
      <c r="DIH431"/>
      <c r="DII431"/>
      <c r="DIJ431"/>
      <c r="DIK431"/>
      <c r="DIL431"/>
      <c r="DIM431"/>
      <c r="DIN431"/>
      <c r="DIO431"/>
      <c r="DIP431"/>
      <c r="DIQ431"/>
      <c r="DIR431"/>
      <c r="DIS431"/>
      <c r="DIT431"/>
      <c r="DIU431"/>
      <c r="DIV431"/>
      <c r="DIW431"/>
      <c r="DIX431"/>
      <c r="DIY431"/>
      <c r="DIZ431"/>
      <c r="DJA431"/>
      <c r="DJB431"/>
      <c r="DJC431"/>
      <c r="DJD431"/>
      <c r="DJE431"/>
      <c r="DJF431"/>
      <c r="DJG431"/>
      <c r="DJH431"/>
      <c r="DJI431"/>
      <c r="DJJ431"/>
      <c r="DJK431"/>
      <c r="DJL431"/>
      <c r="DJM431"/>
      <c r="DJN431"/>
      <c r="DJO431"/>
      <c r="DJP431"/>
      <c r="DJQ431"/>
      <c r="DJR431"/>
      <c r="DJS431"/>
      <c r="DJT431"/>
      <c r="DJU431"/>
      <c r="DJV431"/>
      <c r="DJW431"/>
      <c r="DJX431"/>
      <c r="DJY431"/>
      <c r="DJZ431"/>
      <c r="DKA431"/>
      <c r="DKB431"/>
      <c r="DKC431"/>
      <c r="DKD431"/>
      <c r="DKE431"/>
      <c r="DKF431"/>
      <c r="DKG431"/>
      <c r="DKH431"/>
      <c r="DKI431"/>
      <c r="DKJ431"/>
      <c r="DKK431"/>
      <c r="DKL431"/>
      <c r="DKM431"/>
      <c r="DKN431"/>
      <c r="DKO431"/>
      <c r="DKP431"/>
      <c r="DKQ431"/>
      <c r="DKR431"/>
      <c r="DKS431"/>
      <c r="DKT431"/>
      <c r="DKU431"/>
      <c r="DKV431"/>
      <c r="DKW431"/>
      <c r="DKX431"/>
      <c r="DKY431"/>
      <c r="DKZ431"/>
      <c r="DLA431"/>
      <c r="DLB431"/>
      <c r="DLC431"/>
      <c r="DLD431"/>
      <c r="DLE431"/>
      <c r="DLF431"/>
      <c r="DLG431"/>
      <c r="DLH431"/>
      <c r="DLI431"/>
      <c r="DLJ431"/>
      <c r="DLK431"/>
      <c r="DLL431"/>
      <c r="DLM431"/>
      <c r="DLN431"/>
      <c r="DLO431"/>
      <c r="DLP431"/>
      <c r="DLQ431"/>
      <c r="DLR431"/>
      <c r="DLS431"/>
      <c r="DLT431"/>
      <c r="DLU431"/>
      <c r="DLV431"/>
      <c r="DLW431"/>
      <c r="DLX431"/>
      <c r="DLY431"/>
      <c r="DLZ431"/>
      <c r="DMA431"/>
      <c r="DMB431"/>
      <c r="DMC431"/>
      <c r="DMD431"/>
      <c r="DME431"/>
      <c r="DMF431"/>
      <c r="DMG431"/>
      <c r="DMH431"/>
      <c r="DMI431"/>
      <c r="DMJ431"/>
      <c r="DMK431"/>
      <c r="DML431"/>
      <c r="DMM431"/>
      <c r="DMN431"/>
      <c r="DMO431"/>
      <c r="DMP431"/>
      <c r="DMQ431"/>
      <c r="DMR431"/>
      <c r="DMS431"/>
      <c r="DMT431"/>
      <c r="DMU431"/>
      <c r="DMV431"/>
      <c r="DMW431"/>
      <c r="DMX431"/>
      <c r="DMY431"/>
      <c r="DMZ431"/>
      <c r="DNA431"/>
      <c r="DNB431"/>
      <c r="DNC431"/>
      <c r="DND431"/>
      <c r="DNE431"/>
      <c r="DNF431"/>
      <c r="DNG431"/>
      <c r="DNH431"/>
      <c r="DNI431"/>
      <c r="DNJ431"/>
      <c r="DNK431"/>
      <c r="DNL431"/>
      <c r="DNM431"/>
      <c r="DNN431"/>
      <c r="DNO431"/>
      <c r="DNP431"/>
      <c r="DNQ431"/>
      <c r="DNR431"/>
      <c r="DNS431"/>
      <c r="DNT431"/>
      <c r="DNU431"/>
      <c r="DNV431"/>
      <c r="DNW431"/>
      <c r="DNX431"/>
      <c r="DNY431"/>
      <c r="DNZ431"/>
      <c r="DOA431"/>
      <c r="DOB431"/>
      <c r="DOC431"/>
      <c r="DOD431"/>
      <c r="DOE431"/>
      <c r="DOF431"/>
      <c r="DOG431"/>
      <c r="DOH431"/>
      <c r="DOI431"/>
      <c r="DOJ431"/>
      <c r="DOK431"/>
      <c r="DOL431"/>
      <c r="DOM431"/>
      <c r="DON431"/>
      <c r="DOO431"/>
      <c r="DOP431"/>
      <c r="DOQ431"/>
      <c r="DOR431"/>
      <c r="DOS431"/>
      <c r="DOT431"/>
      <c r="DOU431"/>
      <c r="DOV431"/>
      <c r="DOW431"/>
      <c r="DOX431"/>
      <c r="DOY431"/>
      <c r="DOZ431"/>
      <c r="DPA431"/>
      <c r="DPB431"/>
      <c r="DPC431"/>
      <c r="DPD431"/>
      <c r="DPE431"/>
      <c r="DPF431"/>
      <c r="DPG431"/>
      <c r="DPH431"/>
      <c r="DPI431"/>
      <c r="DPJ431"/>
      <c r="DPK431"/>
      <c r="DPL431"/>
      <c r="DPM431"/>
      <c r="DPN431"/>
      <c r="DPO431"/>
      <c r="DPP431"/>
      <c r="DPQ431"/>
      <c r="DPR431"/>
      <c r="DPS431"/>
      <c r="DPT431"/>
      <c r="DPU431"/>
      <c r="DPV431"/>
      <c r="DPW431"/>
      <c r="DPX431"/>
      <c r="DPY431"/>
      <c r="DPZ431"/>
      <c r="DQA431"/>
      <c r="DQB431"/>
      <c r="DQC431"/>
      <c r="DQD431"/>
      <c r="DQE431"/>
      <c r="DQF431"/>
      <c r="DQG431"/>
      <c r="DQH431"/>
      <c r="DQI431"/>
      <c r="DQJ431"/>
      <c r="DQK431"/>
      <c r="DQL431"/>
      <c r="DQM431"/>
      <c r="DQN431"/>
      <c r="DQO431"/>
      <c r="DQP431"/>
      <c r="DQQ431"/>
      <c r="DQR431"/>
      <c r="DQS431"/>
      <c r="DQT431"/>
      <c r="DQU431"/>
      <c r="DQV431"/>
      <c r="DQW431"/>
      <c r="DQX431"/>
      <c r="DQY431"/>
      <c r="DQZ431"/>
      <c r="DRA431"/>
      <c r="DRB431"/>
      <c r="DRC431"/>
      <c r="DRD431"/>
      <c r="DRE431"/>
      <c r="DRF431"/>
      <c r="DRG431"/>
      <c r="DRH431"/>
      <c r="DRI431"/>
      <c r="DRJ431"/>
      <c r="DRK431"/>
      <c r="DRL431"/>
      <c r="DRM431"/>
      <c r="DRN431"/>
      <c r="DRO431"/>
      <c r="DRP431"/>
      <c r="DRQ431"/>
      <c r="DRR431"/>
      <c r="DRS431"/>
      <c r="DRT431"/>
      <c r="DRU431"/>
      <c r="DRV431"/>
      <c r="DRW431"/>
      <c r="DRX431"/>
      <c r="DRY431"/>
      <c r="DRZ431"/>
      <c r="DSA431"/>
      <c r="DSB431"/>
      <c r="DSC431"/>
      <c r="DSD431"/>
      <c r="DSE431"/>
      <c r="DSF431"/>
      <c r="DSG431"/>
      <c r="DSH431"/>
      <c r="DSI431"/>
      <c r="DSJ431"/>
      <c r="DSK431"/>
      <c r="DSL431"/>
      <c r="DSM431"/>
      <c r="DSN431"/>
      <c r="DSO431"/>
      <c r="DSP431"/>
      <c r="DSQ431"/>
      <c r="DSR431"/>
      <c r="DSS431"/>
      <c r="DST431"/>
      <c r="DSU431"/>
      <c r="DSV431"/>
      <c r="DSW431"/>
      <c r="DSX431"/>
      <c r="DSY431"/>
      <c r="DSZ431"/>
      <c r="DTA431"/>
      <c r="DTB431"/>
      <c r="DTC431"/>
      <c r="DTD431"/>
      <c r="DTE431"/>
      <c r="DTF431"/>
      <c r="DTG431"/>
      <c r="DTH431"/>
      <c r="DTI431"/>
      <c r="DTJ431"/>
      <c r="DTK431"/>
      <c r="DTL431"/>
      <c r="DTM431"/>
      <c r="DTN431"/>
      <c r="DTO431"/>
      <c r="DTP431"/>
      <c r="DTQ431"/>
      <c r="DTR431"/>
      <c r="DTS431"/>
      <c r="DTT431"/>
      <c r="DTU431"/>
      <c r="DTV431"/>
      <c r="DTW431"/>
      <c r="DTX431"/>
      <c r="DTY431"/>
      <c r="DTZ431"/>
      <c r="DUA431"/>
      <c r="DUB431"/>
      <c r="DUC431"/>
      <c r="DUD431"/>
      <c r="DUE431"/>
      <c r="DUF431"/>
      <c r="DUG431"/>
      <c r="DUH431"/>
      <c r="DUI431"/>
      <c r="DUJ431"/>
      <c r="DUK431"/>
      <c r="DUL431"/>
      <c r="DUM431"/>
      <c r="DUN431"/>
      <c r="DUO431"/>
      <c r="DUP431"/>
      <c r="DUQ431"/>
      <c r="DUR431"/>
      <c r="DUS431"/>
      <c r="DUT431"/>
      <c r="DUU431"/>
      <c r="DUV431"/>
      <c r="DUW431"/>
      <c r="DUX431"/>
      <c r="DUY431"/>
      <c r="DUZ431"/>
      <c r="DVA431"/>
      <c r="DVB431"/>
      <c r="DVC431"/>
      <c r="DVD431"/>
      <c r="DVE431"/>
      <c r="DVF431"/>
      <c r="DVG431"/>
      <c r="DVH431"/>
      <c r="DVI431"/>
      <c r="DVJ431"/>
      <c r="DVK431"/>
      <c r="DVL431"/>
      <c r="DVM431"/>
      <c r="DVN431"/>
      <c r="DVO431"/>
      <c r="DVP431"/>
      <c r="DVQ431"/>
      <c r="DVR431"/>
      <c r="DVS431"/>
      <c r="DVT431"/>
      <c r="DVU431"/>
      <c r="DVV431"/>
      <c r="DVW431"/>
      <c r="DVX431"/>
      <c r="DVY431"/>
      <c r="DVZ431"/>
      <c r="DWA431"/>
      <c r="DWB431"/>
      <c r="DWC431"/>
      <c r="DWD431"/>
      <c r="DWE431"/>
      <c r="DWF431"/>
      <c r="DWG431"/>
      <c r="DWH431"/>
      <c r="DWI431"/>
      <c r="DWJ431"/>
      <c r="DWK431"/>
      <c r="DWL431"/>
      <c r="DWM431"/>
      <c r="DWN431"/>
      <c r="DWO431"/>
      <c r="DWP431"/>
      <c r="DWQ431"/>
      <c r="DWR431"/>
      <c r="DWS431"/>
      <c r="DWT431"/>
      <c r="DWU431"/>
      <c r="DWV431"/>
      <c r="DWW431"/>
      <c r="DWX431"/>
      <c r="DWY431"/>
      <c r="DWZ431"/>
      <c r="DXA431"/>
      <c r="DXB431"/>
      <c r="DXC431"/>
      <c r="DXD431"/>
      <c r="DXE431"/>
      <c r="DXF431"/>
      <c r="DXG431"/>
      <c r="DXH431"/>
      <c r="DXI431"/>
      <c r="DXJ431"/>
      <c r="DXK431"/>
      <c r="DXL431"/>
      <c r="DXM431"/>
      <c r="DXN431"/>
      <c r="DXO431"/>
      <c r="DXP431"/>
      <c r="DXQ431"/>
      <c r="DXR431"/>
      <c r="DXS431"/>
      <c r="DXT431"/>
      <c r="DXU431"/>
      <c r="DXV431"/>
      <c r="DXW431"/>
      <c r="DXX431"/>
      <c r="DXY431"/>
      <c r="DXZ431"/>
      <c r="DYA431"/>
      <c r="DYB431"/>
      <c r="DYC431"/>
      <c r="DYD431"/>
      <c r="DYE431"/>
      <c r="DYF431"/>
      <c r="DYG431"/>
      <c r="DYH431"/>
      <c r="DYI431"/>
      <c r="DYJ431"/>
      <c r="DYK431"/>
      <c r="DYL431"/>
      <c r="DYM431"/>
      <c r="DYN431"/>
      <c r="DYO431"/>
      <c r="DYP431"/>
      <c r="DYQ431"/>
      <c r="DYR431"/>
      <c r="DYS431"/>
      <c r="DYT431"/>
      <c r="DYU431"/>
      <c r="DYV431"/>
      <c r="DYW431"/>
      <c r="DYX431"/>
      <c r="DYY431"/>
      <c r="DYZ431"/>
      <c r="DZA431"/>
      <c r="DZB431"/>
      <c r="DZC431"/>
      <c r="DZD431"/>
      <c r="DZE431"/>
      <c r="DZF431"/>
      <c r="DZG431"/>
      <c r="DZH431"/>
      <c r="DZI431"/>
      <c r="DZJ431"/>
      <c r="DZK431"/>
      <c r="DZL431"/>
      <c r="DZM431"/>
      <c r="DZN431"/>
      <c r="DZO431"/>
      <c r="DZP431"/>
      <c r="DZQ431"/>
      <c r="DZR431"/>
      <c r="DZS431"/>
      <c r="DZT431"/>
      <c r="DZU431"/>
      <c r="DZV431"/>
      <c r="DZW431"/>
      <c r="DZX431"/>
      <c r="DZY431"/>
      <c r="DZZ431"/>
      <c r="EAA431"/>
      <c r="EAB431"/>
      <c r="EAC431"/>
      <c r="EAD431"/>
      <c r="EAE431"/>
      <c r="EAF431"/>
      <c r="EAG431"/>
      <c r="EAH431"/>
      <c r="EAI431"/>
      <c r="EAJ431"/>
      <c r="EAK431"/>
      <c r="EAL431"/>
      <c r="EAM431"/>
      <c r="EAN431"/>
      <c r="EAO431"/>
      <c r="EAP431"/>
      <c r="EAQ431"/>
      <c r="EAR431"/>
      <c r="EAS431"/>
      <c r="EAT431"/>
      <c r="EAU431"/>
      <c r="EAV431"/>
      <c r="EAW431"/>
      <c r="EAX431"/>
      <c r="EAY431"/>
      <c r="EAZ431"/>
      <c r="EBA431"/>
      <c r="EBB431"/>
      <c r="EBC431"/>
      <c r="EBD431"/>
      <c r="EBE431"/>
      <c r="EBF431"/>
      <c r="EBG431"/>
      <c r="EBH431"/>
      <c r="EBI431"/>
      <c r="EBJ431"/>
      <c r="EBK431"/>
      <c r="EBL431"/>
      <c r="EBM431"/>
      <c r="EBN431"/>
      <c r="EBO431"/>
      <c r="EBP431"/>
      <c r="EBQ431"/>
      <c r="EBR431"/>
      <c r="EBS431"/>
      <c r="EBT431"/>
      <c r="EBU431"/>
      <c r="EBV431"/>
      <c r="EBW431"/>
      <c r="EBX431"/>
      <c r="EBY431"/>
      <c r="EBZ431"/>
      <c r="ECA431"/>
      <c r="ECB431"/>
      <c r="ECC431"/>
      <c r="ECD431"/>
      <c r="ECE431"/>
      <c r="ECF431"/>
      <c r="ECG431"/>
      <c r="ECH431"/>
      <c r="ECI431"/>
      <c r="ECJ431"/>
      <c r="ECK431"/>
      <c r="ECL431"/>
      <c r="ECM431"/>
      <c r="ECN431"/>
      <c r="ECO431"/>
      <c r="ECP431"/>
      <c r="ECQ431"/>
      <c r="ECR431"/>
      <c r="ECS431"/>
      <c r="ECT431"/>
      <c r="ECU431"/>
      <c r="ECV431"/>
      <c r="ECW431"/>
      <c r="ECX431"/>
      <c r="ECY431"/>
      <c r="ECZ431"/>
      <c r="EDA431"/>
      <c r="EDB431"/>
      <c r="EDC431"/>
      <c r="EDD431"/>
      <c r="EDE431"/>
      <c r="EDF431"/>
      <c r="EDG431"/>
      <c r="EDH431"/>
      <c r="EDI431"/>
      <c r="EDJ431"/>
      <c r="EDK431"/>
      <c r="EDL431"/>
      <c r="EDM431"/>
      <c r="EDN431"/>
      <c r="EDO431"/>
      <c r="EDP431"/>
      <c r="EDQ431"/>
      <c r="EDR431"/>
      <c r="EDS431"/>
      <c r="EDT431"/>
      <c r="EDU431"/>
      <c r="EDV431"/>
      <c r="EDW431"/>
      <c r="EDX431"/>
      <c r="EDY431"/>
      <c r="EDZ431"/>
      <c r="EEA431"/>
      <c r="EEB431"/>
      <c r="EEC431"/>
      <c r="EED431"/>
      <c r="EEE431"/>
      <c r="EEF431"/>
      <c r="EEG431"/>
      <c r="EEH431"/>
      <c r="EEI431"/>
      <c r="EEJ431"/>
      <c r="EEK431"/>
      <c r="EEL431"/>
      <c r="EEM431"/>
      <c r="EEN431"/>
      <c r="EEO431"/>
      <c r="EEP431"/>
      <c r="EEQ431"/>
      <c r="EER431"/>
      <c r="EES431"/>
      <c r="EET431"/>
      <c r="EEU431"/>
      <c r="EEV431"/>
      <c r="EEW431"/>
      <c r="EEX431"/>
      <c r="EEY431"/>
      <c r="EEZ431"/>
      <c r="EFA431"/>
      <c r="EFB431"/>
      <c r="EFC431"/>
      <c r="EFD431"/>
      <c r="EFE431"/>
      <c r="EFF431"/>
      <c r="EFG431"/>
      <c r="EFH431"/>
      <c r="EFI431"/>
      <c r="EFJ431"/>
      <c r="EFK431"/>
      <c r="EFL431"/>
      <c r="EFM431"/>
      <c r="EFN431"/>
      <c r="EFO431"/>
      <c r="EFP431"/>
      <c r="EFQ431"/>
      <c r="EFR431"/>
      <c r="EFS431"/>
      <c r="EFT431"/>
      <c r="EFU431"/>
      <c r="EFV431"/>
      <c r="EFW431"/>
      <c r="EFX431"/>
      <c r="EFY431"/>
      <c r="EFZ431"/>
      <c r="EGA431"/>
      <c r="EGB431"/>
      <c r="EGC431"/>
      <c r="EGD431"/>
      <c r="EGE431"/>
      <c r="EGF431"/>
      <c r="EGG431"/>
      <c r="EGH431"/>
      <c r="EGI431"/>
      <c r="EGJ431"/>
      <c r="EGK431"/>
      <c r="EGL431"/>
      <c r="EGM431"/>
      <c r="EGN431"/>
      <c r="EGO431"/>
      <c r="EGP431"/>
      <c r="EGQ431"/>
      <c r="EGR431"/>
      <c r="EGS431"/>
      <c r="EGT431"/>
      <c r="EGU431"/>
      <c r="EGV431"/>
      <c r="EGW431"/>
      <c r="EGX431"/>
      <c r="EGY431"/>
      <c r="EGZ431"/>
      <c r="EHA431"/>
      <c r="EHB431"/>
      <c r="EHC431"/>
      <c r="EHD431"/>
      <c r="EHE431"/>
      <c r="EHF431"/>
      <c r="EHG431"/>
      <c r="EHH431"/>
      <c r="EHI431"/>
      <c r="EHJ431"/>
      <c r="EHK431"/>
      <c r="EHL431"/>
      <c r="EHM431"/>
      <c r="EHN431"/>
      <c r="EHO431"/>
      <c r="EHP431"/>
      <c r="EHQ431"/>
      <c r="EHR431"/>
      <c r="EHS431"/>
      <c r="EHT431"/>
      <c r="EHU431"/>
      <c r="EHV431"/>
      <c r="EHW431"/>
      <c r="EHX431"/>
      <c r="EHY431"/>
      <c r="EHZ431"/>
      <c r="EIA431"/>
      <c r="EIB431"/>
      <c r="EIC431"/>
      <c r="EID431"/>
      <c r="EIE431"/>
      <c r="EIF431"/>
      <c r="EIG431"/>
      <c r="EIH431"/>
      <c r="EII431"/>
      <c r="EIJ431"/>
      <c r="EIK431"/>
      <c r="EIL431"/>
      <c r="EIM431"/>
      <c r="EIN431"/>
      <c r="EIO431"/>
      <c r="EIP431"/>
      <c r="EIQ431"/>
      <c r="EIR431"/>
      <c r="EIS431"/>
      <c r="EIT431"/>
      <c r="EIU431"/>
      <c r="EIV431"/>
      <c r="EIW431"/>
      <c r="EIX431"/>
      <c r="EIY431"/>
      <c r="EIZ431"/>
      <c r="EJA431"/>
      <c r="EJB431"/>
      <c r="EJC431"/>
      <c r="EJD431"/>
      <c r="EJE431"/>
      <c r="EJF431"/>
      <c r="EJG431"/>
      <c r="EJH431"/>
      <c r="EJI431"/>
      <c r="EJJ431"/>
      <c r="EJK431"/>
      <c r="EJL431"/>
      <c r="EJM431"/>
      <c r="EJN431"/>
      <c r="EJO431"/>
      <c r="EJP431"/>
      <c r="EJQ431"/>
      <c r="EJR431"/>
      <c r="EJS431"/>
      <c r="EJT431"/>
      <c r="EJU431"/>
      <c r="EJV431"/>
      <c r="EJW431"/>
      <c r="EJX431"/>
      <c r="EJY431"/>
      <c r="EJZ431"/>
      <c r="EKA431"/>
      <c r="EKB431"/>
      <c r="EKC431"/>
      <c r="EKD431"/>
      <c r="EKE431"/>
      <c r="EKF431"/>
      <c r="EKG431"/>
      <c r="EKH431"/>
      <c r="EKI431"/>
      <c r="EKJ431"/>
      <c r="EKK431"/>
      <c r="EKL431"/>
      <c r="EKM431"/>
      <c r="EKN431"/>
      <c r="EKO431"/>
      <c r="EKP431"/>
      <c r="EKQ431"/>
      <c r="EKR431"/>
      <c r="EKS431"/>
      <c r="EKT431"/>
      <c r="EKU431"/>
      <c r="EKV431"/>
      <c r="EKW431"/>
      <c r="EKX431"/>
      <c r="EKY431"/>
      <c r="EKZ431"/>
      <c r="ELA431"/>
      <c r="ELB431"/>
      <c r="ELC431"/>
      <c r="ELD431"/>
      <c r="ELE431"/>
      <c r="ELF431"/>
      <c r="ELG431"/>
      <c r="ELH431"/>
      <c r="ELI431"/>
      <c r="ELJ431"/>
      <c r="ELK431"/>
      <c r="ELL431"/>
      <c r="ELM431"/>
      <c r="ELN431"/>
      <c r="ELO431"/>
      <c r="ELP431"/>
      <c r="ELQ431"/>
      <c r="ELR431"/>
      <c r="ELS431"/>
      <c r="ELT431"/>
      <c r="ELU431"/>
      <c r="ELV431"/>
      <c r="ELW431"/>
      <c r="ELX431"/>
      <c r="ELY431"/>
      <c r="ELZ431"/>
      <c r="EMA431"/>
      <c r="EMB431"/>
      <c r="EMC431"/>
      <c r="EMD431"/>
      <c r="EME431"/>
      <c r="EMF431"/>
      <c r="EMG431"/>
      <c r="EMH431"/>
      <c r="EMI431"/>
      <c r="EMJ431"/>
      <c r="EMK431"/>
      <c r="EML431"/>
      <c r="EMM431"/>
      <c r="EMN431"/>
      <c r="EMO431"/>
      <c r="EMP431"/>
      <c r="EMQ431"/>
      <c r="EMR431"/>
      <c r="EMS431"/>
      <c r="EMT431"/>
      <c r="EMU431"/>
      <c r="EMV431"/>
      <c r="EMW431"/>
      <c r="EMX431"/>
      <c r="EMY431"/>
      <c r="EMZ431"/>
      <c r="ENA431"/>
      <c r="ENB431"/>
      <c r="ENC431"/>
      <c r="END431"/>
      <c r="ENE431"/>
      <c r="ENF431"/>
      <c r="ENG431"/>
      <c r="ENH431"/>
      <c r="ENI431"/>
      <c r="ENJ431"/>
      <c r="ENK431"/>
      <c r="ENL431"/>
      <c r="ENM431"/>
      <c r="ENN431"/>
      <c r="ENO431"/>
      <c r="ENP431"/>
      <c r="ENQ431"/>
      <c r="ENR431"/>
      <c r="ENS431"/>
      <c r="ENT431"/>
      <c r="ENU431"/>
      <c r="ENV431"/>
      <c r="ENW431"/>
      <c r="ENX431"/>
      <c r="ENY431"/>
      <c r="ENZ431"/>
      <c r="EOA431"/>
      <c r="EOB431"/>
      <c r="EOC431"/>
      <c r="EOD431"/>
      <c r="EOE431"/>
      <c r="EOF431"/>
      <c r="EOG431"/>
      <c r="EOH431"/>
      <c r="EOI431"/>
      <c r="EOJ431"/>
      <c r="EOK431"/>
      <c r="EOL431"/>
      <c r="EOM431"/>
      <c r="EON431"/>
      <c r="EOO431"/>
      <c r="EOP431"/>
      <c r="EOQ431"/>
      <c r="EOR431"/>
      <c r="EOS431"/>
      <c r="EOT431"/>
      <c r="EOU431"/>
      <c r="EOV431"/>
      <c r="EOW431"/>
      <c r="EOX431"/>
      <c r="EOY431"/>
      <c r="EOZ431"/>
      <c r="EPA431"/>
      <c r="EPB431"/>
      <c r="EPC431"/>
      <c r="EPD431"/>
      <c r="EPE431"/>
      <c r="EPF431"/>
      <c r="EPG431"/>
      <c r="EPH431"/>
      <c r="EPI431"/>
      <c r="EPJ431"/>
      <c r="EPK431"/>
      <c r="EPL431"/>
      <c r="EPM431"/>
      <c r="EPN431"/>
      <c r="EPO431"/>
      <c r="EPP431"/>
      <c r="EPQ431"/>
      <c r="EPR431"/>
      <c r="EPS431"/>
      <c r="EPT431"/>
      <c r="EPU431"/>
      <c r="EPV431"/>
      <c r="EPW431"/>
      <c r="EPX431"/>
      <c r="EPY431"/>
      <c r="EPZ431"/>
      <c r="EQA431"/>
      <c r="EQB431"/>
      <c r="EQC431"/>
      <c r="EQD431"/>
      <c r="EQE431"/>
      <c r="EQF431"/>
      <c r="EQG431"/>
      <c r="EQH431"/>
      <c r="EQI431"/>
      <c r="EQJ431"/>
      <c r="EQK431"/>
      <c r="EQL431"/>
      <c r="EQM431"/>
      <c r="EQN431"/>
      <c r="EQO431"/>
      <c r="EQP431"/>
      <c r="EQQ431"/>
      <c r="EQR431"/>
      <c r="EQS431"/>
      <c r="EQT431"/>
      <c r="EQU431"/>
      <c r="EQV431"/>
      <c r="EQW431"/>
      <c r="EQX431"/>
      <c r="EQY431"/>
      <c r="EQZ431"/>
      <c r="ERA431"/>
      <c r="ERB431"/>
      <c r="ERC431"/>
      <c r="ERD431"/>
      <c r="ERE431"/>
      <c r="ERF431"/>
      <c r="ERG431"/>
      <c r="ERH431"/>
      <c r="ERI431"/>
      <c r="ERJ431"/>
      <c r="ERK431"/>
      <c r="ERL431"/>
      <c r="ERM431"/>
      <c r="ERN431"/>
      <c r="ERO431"/>
      <c r="ERP431"/>
      <c r="ERQ431"/>
      <c r="ERR431"/>
      <c r="ERS431"/>
      <c r="ERT431"/>
      <c r="ERU431"/>
      <c r="ERV431"/>
      <c r="ERW431"/>
      <c r="ERX431"/>
      <c r="ERY431"/>
      <c r="ERZ431"/>
      <c r="ESA431"/>
      <c r="ESB431"/>
      <c r="ESC431"/>
      <c r="ESD431"/>
      <c r="ESE431"/>
      <c r="ESF431"/>
      <c r="ESG431"/>
      <c r="ESH431"/>
      <c r="ESI431"/>
      <c r="ESJ431"/>
      <c r="ESK431"/>
      <c r="ESL431"/>
      <c r="ESM431"/>
      <c r="ESN431"/>
      <c r="ESO431"/>
      <c r="ESP431"/>
      <c r="ESQ431"/>
      <c r="ESR431"/>
      <c r="ESS431"/>
      <c r="EST431"/>
      <c r="ESU431"/>
      <c r="ESV431"/>
      <c r="ESW431"/>
      <c r="ESX431"/>
      <c r="ESY431"/>
      <c r="ESZ431"/>
      <c r="ETA431"/>
      <c r="ETB431"/>
      <c r="ETC431"/>
      <c r="ETD431"/>
      <c r="ETE431"/>
      <c r="ETF431"/>
      <c r="ETG431"/>
      <c r="ETH431"/>
      <c r="ETI431"/>
      <c r="ETJ431"/>
      <c r="ETK431"/>
      <c r="ETL431"/>
      <c r="ETM431"/>
      <c r="ETN431"/>
      <c r="ETO431"/>
      <c r="ETP431"/>
      <c r="ETQ431"/>
      <c r="ETR431"/>
      <c r="ETS431"/>
      <c r="ETT431"/>
      <c r="ETU431"/>
      <c r="ETV431"/>
      <c r="ETW431"/>
      <c r="ETX431"/>
      <c r="ETY431"/>
      <c r="ETZ431"/>
      <c r="EUA431"/>
      <c r="EUB431"/>
      <c r="EUC431"/>
      <c r="EUD431"/>
      <c r="EUE431"/>
      <c r="EUF431"/>
      <c r="EUG431"/>
      <c r="EUH431"/>
      <c r="EUI431"/>
      <c r="EUJ431"/>
      <c r="EUK431"/>
      <c r="EUL431"/>
      <c r="EUM431"/>
      <c r="EUN431"/>
      <c r="EUO431"/>
      <c r="EUP431"/>
      <c r="EUQ431"/>
      <c r="EUR431"/>
      <c r="EUS431"/>
      <c r="EUT431"/>
      <c r="EUU431"/>
      <c r="EUV431"/>
      <c r="EUW431"/>
      <c r="EUX431"/>
      <c r="EUY431"/>
      <c r="EUZ431"/>
      <c r="EVA431"/>
      <c r="EVB431"/>
      <c r="EVC431"/>
      <c r="EVD431"/>
      <c r="EVE431"/>
      <c r="EVF431"/>
      <c r="EVG431"/>
      <c r="EVH431"/>
      <c r="EVI431"/>
      <c r="EVJ431"/>
      <c r="EVK431"/>
      <c r="EVL431"/>
      <c r="EVM431"/>
      <c r="EVN431"/>
      <c r="EVO431"/>
      <c r="EVP431"/>
      <c r="EVQ431"/>
      <c r="EVR431"/>
      <c r="EVS431"/>
      <c r="EVT431"/>
      <c r="EVU431"/>
      <c r="EVV431"/>
      <c r="EVW431"/>
      <c r="EVX431"/>
      <c r="EVY431"/>
      <c r="EVZ431"/>
      <c r="EWA431"/>
      <c r="EWB431"/>
      <c r="EWC431"/>
      <c r="EWD431"/>
      <c r="EWE431"/>
      <c r="EWF431"/>
      <c r="EWG431"/>
      <c r="EWH431"/>
      <c r="EWI431"/>
      <c r="EWJ431"/>
      <c r="EWK431"/>
      <c r="EWL431"/>
      <c r="EWM431"/>
      <c r="EWN431"/>
      <c r="EWO431"/>
      <c r="EWP431"/>
      <c r="EWQ431"/>
      <c r="EWR431"/>
      <c r="EWS431"/>
      <c r="EWT431"/>
      <c r="EWU431"/>
      <c r="EWV431"/>
      <c r="EWW431"/>
      <c r="EWX431"/>
      <c r="EWY431"/>
      <c r="EWZ431"/>
      <c r="EXA431"/>
      <c r="EXB431"/>
      <c r="EXC431"/>
      <c r="EXD431"/>
      <c r="EXE431"/>
      <c r="EXF431"/>
      <c r="EXG431"/>
      <c r="EXH431"/>
      <c r="EXI431"/>
      <c r="EXJ431"/>
      <c r="EXK431"/>
      <c r="EXL431"/>
      <c r="EXM431"/>
      <c r="EXN431"/>
      <c r="EXO431"/>
      <c r="EXP431"/>
      <c r="EXQ431"/>
      <c r="EXR431"/>
      <c r="EXS431"/>
      <c r="EXT431"/>
      <c r="EXU431"/>
      <c r="EXV431"/>
      <c r="EXW431"/>
      <c r="EXX431"/>
      <c r="EXY431"/>
      <c r="EXZ431"/>
      <c r="EYA431"/>
      <c r="EYB431"/>
      <c r="EYC431"/>
      <c r="EYD431"/>
      <c r="EYE431"/>
      <c r="EYF431"/>
      <c r="EYG431"/>
      <c r="EYH431"/>
      <c r="EYI431"/>
      <c r="EYJ431"/>
      <c r="EYK431"/>
      <c r="EYL431"/>
      <c r="EYM431"/>
      <c r="EYN431"/>
      <c r="EYO431"/>
      <c r="EYP431"/>
      <c r="EYQ431"/>
      <c r="EYR431"/>
      <c r="EYS431"/>
      <c r="EYT431"/>
      <c r="EYU431"/>
      <c r="EYV431"/>
      <c r="EYW431"/>
      <c r="EYX431"/>
      <c r="EYY431"/>
      <c r="EYZ431"/>
      <c r="EZA431"/>
      <c r="EZB431"/>
      <c r="EZC431"/>
      <c r="EZD431"/>
      <c r="EZE431"/>
      <c r="EZF431"/>
      <c r="EZG431"/>
      <c r="EZH431"/>
      <c r="EZI431"/>
      <c r="EZJ431"/>
      <c r="EZK431"/>
      <c r="EZL431"/>
      <c r="EZM431"/>
      <c r="EZN431"/>
      <c r="EZO431"/>
      <c r="EZP431"/>
      <c r="EZQ431"/>
      <c r="EZR431"/>
      <c r="EZS431"/>
      <c r="EZT431"/>
      <c r="EZU431"/>
      <c r="EZV431"/>
      <c r="EZW431"/>
      <c r="EZX431"/>
      <c r="EZY431"/>
      <c r="EZZ431"/>
      <c r="FAA431"/>
      <c r="FAB431"/>
      <c r="FAC431"/>
      <c r="FAD431"/>
      <c r="FAE431"/>
      <c r="FAF431"/>
      <c r="FAG431"/>
      <c r="FAH431"/>
      <c r="FAI431"/>
      <c r="FAJ431"/>
      <c r="FAK431"/>
      <c r="FAL431"/>
      <c r="FAM431"/>
      <c r="FAN431"/>
      <c r="FAO431"/>
      <c r="FAP431"/>
      <c r="FAQ431"/>
      <c r="FAR431"/>
      <c r="FAS431"/>
      <c r="FAT431"/>
      <c r="FAU431"/>
      <c r="FAV431"/>
      <c r="FAW431"/>
      <c r="FAX431"/>
      <c r="FAY431"/>
      <c r="FAZ431"/>
      <c r="FBA431"/>
      <c r="FBB431"/>
      <c r="FBC431"/>
      <c r="FBD431"/>
      <c r="FBE431"/>
      <c r="FBF431"/>
      <c r="FBG431"/>
      <c r="FBH431"/>
      <c r="FBI431"/>
      <c r="FBJ431"/>
      <c r="FBK431"/>
      <c r="FBL431"/>
      <c r="FBM431"/>
      <c r="FBN431"/>
      <c r="FBO431"/>
      <c r="FBP431"/>
      <c r="FBQ431"/>
      <c r="FBR431"/>
      <c r="FBS431"/>
      <c r="FBT431"/>
      <c r="FBU431"/>
      <c r="FBV431"/>
      <c r="FBW431"/>
      <c r="FBX431"/>
      <c r="FBY431"/>
      <c r="FBZ431"/>
      <c r="FCA431"/>
      <c r="FCB431"/>
      <c r="FCC431"/>
      <c r="FCD431"/>
      <c r="FCE431"/>
      <c r="FCF431"/>
      <c r="FCG431"/>
      <c r="FCH431"/>
      <c r="FCI431"/>
      <c r="FCJ431"/>
      <c r="FCK431"/>
      <c r="FCL431"/>
      <c r="FCM431"/>
      <c r="FCN431"/>
      <c r="FCO431"/>
      <c r="FCP431"/>
      <c r="FCQ431"/>
      <c r="FCR431"/>
      <c r="FCS431"/>
      <c r="FCT431"/>
      <c r="FCU431"/>
      <c r="FCV431"/>
      <c r="FCW431"/>
      <c r="FCX431"/>
      <c r="FCY431"/>
      <c r="FCZ431"/>
      <c r="FDA431"/>
      <c r="FDB431"/>
      <c r="FDC431"/>
      <c r="FDD431"/>
      <c r="FDE431"/>
      <c r="FDF431"/>
      <c r="FDG431"/>
      <c r="FDH431"/>
      <c r="FDI431"/>
      <c r="FDJ431"/>
      <c r="FDK431"/>
      <c r="FDL431"/>
      <c r="FDM431"/>
      <c r="FDN431"/>
      <c r="FDO431"/>
      <c r="FDP431"/>
      <c r="FDQ431"/>
      <c r="FDR431"/>
      <c r="FDS431"/>
      <c r="FDT431"/>
      <c r="FDU431"/>
      <c r="FDV431"/>
      <c r="FDW431"/>
      <c r="FDX431"/>
      <c r="FDY431"/>
      <c r="FDZ431"/>
      <c r="FEA431"/>
      <c r="FEB431"/>
      <c r="FEC431"/>
      <c r="FED431"/>
      <c r="FEE431"/>
      <c r="FEF431"/>
      <c r="FEG431"/>
      <c r="FEH431"/>
      <c r="FEI431"/>
      <c r="FEJ431"/>
      <c r="FEK431"/>
      <c r="FEL431"/>
      <c r="FEM431"/>
      <c r="FEN431"/>
      <c r="FEO431"/>
      <c r="FEP431"/>
      <c r="FEQ431"/>
      <c r="FER431"/>
      <c r="FES431"/>
      <c r="FET431"/>
      <c r="FEU431"/>
      <c r="FEV431"/>
      <c r="FEW431"/>
      <c r="FEX431"/>
      <c r="FEY431"/>
      <c r="FEZ431"/>
      <c r="FFA431"/>
      <c r="FFB431"/>
      <c r="FFC431"/>
      <c r="FFD431"/>
      <c r="FFE431"/>
      <c r="FFF431"/>
      <c r="FFG431"/>
      <c r="FFH431"/>
      <c r="FFI431"/>
      <c r="FFJ431"/>
      <c r="FFK431"/>
      <c r="FFL431"/>
      <c r="FFM431"/>
      <c r="FFN431"/>
      <c r="FFO431"/>
      <c r="FFP431"/>
      <c r="FFQ431"/>
      <c r="FFR431"/>
      <c r="FFS431"/>
      <c r="FFT431"/>
      <c r="FFU431"/>
      <c r="FFV431"/>
      <c r="FFW431"/>
      <c r="FFX431"/>
      <c r="FFY431"/>
      <c r="FFZ431"/>
      <c r="FGA431"/>
      <c r="FGB431"/>
      <c r="FGC431"/>
      <c r="FGD431"/>
      <c r="FGE431"/>
      <c r="FGF431"/>
      <c r="FGG431"/>
      <c r="FGH431"/>
      <c r="FGI431"/>
      <c r="FGJ431"/>
      <c r="FGK431"/>
      <c r="FGL431"/>
      <c r="FGM431"/>
      <c r="FGN431"/>
      <c r="FGO431"/>
      <c r="FGP431"/>
      <c r="FGQ431"/>
      <c r="FGR431"/>
      <c r="FGS431"/>
      <c r="FGT431"/>
      <c r="FGU431"/>
      <c r="FGV431"/>
      <c r="FGW431"/>
      <c r="FGX431"/>
      <c r="FGY431"/>
      <c r="FGZ431"/>
      <c r="FHA431"/>
      <c r="FHB431"/>
      <c r="FHC431"/>
      <c r="FHD431"/>
      <c r="FHE431"/>
      <c r="FHF431"/>
      <c r="FHG431"/>
      <c r="FHH431"/>
      <c r="FHI431"/>
      <c r="FHJ431"/>
      <c r="FHK431"/>
      <c r="FHL431"/>
      <c r="FHM431"/>
      <c r="FHN431"/>
      <c r="FHO431"/>
      <c r="FHP431"/>
      <c r="FHQ431"/>
      <c r="FHR431"/>
      <c r="FHS431"/>
      <c r="FHT431"/>
      <c r="FHU431"/>
      <c r="FHV431"/>
      <c r="FHW431"/>
      <c r="FHX431"/>
      <c r="FHY431"/>
      <c r="FHZ431"/>
      <c r="FIA431"/>
      <c r="FIB431"/>
      <c r="FIC431"/>
      <c r="FID431"/>
      <c r="FIE431"/>
      <c r="FIF431"/>
      <c r="FIG431"/>
      <c r="FIH431"/>
      <c r="FII431"/>
      <c r="FIJ431"/>
      <c r="FIK431"/>
      <c r="FIL431"/>
      <c r="FIM431"/>
      <c r="FIN431"/>
      <c r="FIO431"/>
      <c r="FIP431"/>
      <c r="FIQ431"/>
      <c r="FIR431"/>
      <c r="FIS431"/>
      <c r="FIT431"/>
      <c r="FIU431"/>
      <c r="FIV431"/>
      <c r="FIW431"/>
      <c r="FIX431"/>
      <c r="FIY431"/>
      <c r="FIZ431"/>
      <c r="FJA431"/>
      <c r="FJB431"/>
      <c r="FJC431"/>
      <c r="FJD431"/>
      <c r="FJE431"/>
      <c r="FJF431"/>
      <c r="FJG431"/>
      <c r="FJH431"/>
      <c r="FJI431"/>
      <c r="FJJ431"/>
      <c r="FJK431"/>
      <c r="FJL431"/>
      <c r="FJM431"/>
      <c r="FJN431"/>
      <c r="FJO431"/>
      <c r="FJP431"/>
      <c r="FJQ431"/>
      <c r="FJR431"/>
      <c r="FJS431"/>
      <c r="FJT431"/>
      <c r="FJU431"/>
      <c r="FJV431"/>
      <c r="FJW431"/>
      <c r="FJX431"/>
      <c r="FJY431"/>
      <c r="FJZ431"/>
      <c r="FKA431"/>
      <c r="FKB431"/>
      <c r="FKC431"/>
      <c r="FKD431"/>
      <c r="FKE431"/>
      <c r="FKF431"/>
      <c r="FKG431"/>
      <c r="FKH431"/>
      <c r="FKI431"/>
      <c r="FKJ431"/>
      <c r="FKK431"/>
      <c r="FKL431"/>
      <c r="FKM431"/>
      <c r="FKN431"/>
      <c r="FKO431"/>
      <c r="FKP431"/>
      <c r="FKQ431"/>
      <c r="FKR431"/>
      <c r="FKS431"/>
      <c r="FKT431"/>
      <c r="FKU431"/>
      <c r="FKV431"/>
      <c r="FKW431"/>
      <c r="FKX431"/>
      <c r="FKY431"/>
      <c r="FKZ431"/>
      <c r="FLA431"/>
      <c r="FLB431"/>
      <c r="FLC431"/>
      <c r="FLD431"/>
      <c r="FLE431"/>
      <c r="FLF431"/>
      <c r="FLG431"/>
      <c r="FLH431"/>
      <c r="FLI431"/>
      <c r="FLJ431"/>
      <c r="FLK431"/>
      <c r="FLL431"/>
      <c r="FLM431"/>
      <c r="FLN431"/>
      <c r="FLO431"/>
      <c r="FLP431"/>
      <c r="FLQ431"/>
      <c r="FLR431"/>
      <c r="FLS431"/>
      <c r="FLT431"/>
      <c r="FLU431"/>
      <c r="FLV431"/>
      <c r="FLW431"/>
      <c r="FLX431"/>
      <c r="FLY431"/>
      <c r="FLZ431"/>
      <c r="FMA431"/>
      <c r="FMB431"/>
      <c r="FMC431"/>
      <c r="FMD431"/>
      <c r="FME431"/>
      <c r="FMF431"/>
      <c r="FMG431"/>
      <c r="FMH431"/>
      <c r="FMI431"/>
      <c r="FMJ431"/>
      <c r="FMK431"/>
      <c r="FML431"/>
      <c r="FMM431"/>
      <c r="FMN431"/>
      <c r="FMO431"/>
      <c r="FMP431"/>
      <c r="FMQ431"/>
      <c r="FMR431"/>
      <c r="FMS431"/>
      <c r="FMT431"/>
      <c r="FMU431"/>
      <c r="FMV431"/>
      <c r="FMW431"/>
      <c r="FMX431"/>
      <c r="FMY431"/>
      <c r="FMZ431"/>
      <c r="FNA431"/>
      <c r="FNB431"/>
      <c r="FNC431"/>
      <c r="FND431"/>
      <c r="FNE431"/>
      <c r="FNF431"/>
      <c r="FNG431"/>
      <c r="FNH431"/>
      <c r="FNI431"/>
      <c r="FNJ431"/>
      <c r="FNK431"/>
      <c r="FNL431"/>
      <c r="FNM431"/>
      <c r="FNN431"/>
      <c r="FNO431"/>
      <c r="FNP431"/>
      <c r="FNQ431"/>
      <c r="FNR431"/>
      <c r="FNS431"/>
      <c r="FNT431"/>
      <c r="FNU431"/>
      <c r="FNV431"/>
      <c r="FNW431"/>
      <c r="FNX431"/>
      <c r="FNY431"/>
      <c r="FNZ431"/>
      <c r="FOA431"/>
      <c r="FOB431"/>
      <c r="FOC431"/>
      <c r="FOD431"/>
      <c r="FOE431"/>
      <c r="FOF431"/>
      <c r="FOG431"/>
      <c r="FOH431"/>
      <c r="FOI431"/>
      <c r="FOJ431"/>
      <c r="FOK431"/>
      <c r="FOL431"/>
      <c r="FOM431"/>
      <c r="FON431"/>
      <c r="FOO431"/>
      <c r="FOP431"/>
      <c r="FOQ431"/>
      <c r="FOR431"/>
      <c r="FOS431"/>
      <c r="FOT431"/>
      <c r="FOU431"/>
      <c r="FOV431"/>
      <c r="FOW431"/>
      <c r="FOX431"/>
      <c r="FOY431"/>
      <c r="FOZ431"/>
      <c r="FPA431"/>
      <c r="FPB431"/>
      <c r="FPC431"/>
      <c r="FPD431"/>
      <c r="FPE431"/>
      <c r="FPF431"/>
      <c r="FPG431"/>
      <c r="FPH431"/>
      <c r="FPI431"/>
      <c r="FPJ431"/>
      <c r="FPK431"/>
      <c r="FPL431"/>
      <c r="FPM431"/>
      <c r="FPN431"/>
      <c r="FPO431"/>
      <c r="FPP431"/>
      <c r="FPQ431"/>
      <c r="FPR431"/>
      <c r="FPS431"/>
      <c r="FPT431"/>
      <c r="FPU431"/>
      <c r="FPV431"/>
      <c r="FPW431"/>
      <c r="FPX431"/>
      <c r="FPY431"/>
      <c r="FPZ431"/>
      <c r="FQA431"/>
      <c r="FQB431"/>
      <c r="FQC431"/>
      <c r="FQD431"/>
      <c r="FQE431"/>
      <c r="FQF431"/>
      <c r="FQG431"/>
      <c r="FQH431"/>
      <c r="FQI431"/>
      <c r="FQJ431"/>
      <c r="FQK431"/>
      <c r="FQL431"/>
      <c r="FQM431"/>
      <c r="FQN431"/>
      <c r="FQO431"/>
      <c r="FQP431"/>
      <c r="FQQ431"/>
      <c r="FQR431"/>
      <c r="FQS431"/>
      <c r="FQT431"/>
      <c r="FQU431"/>
      <c r="FQV431"/>
      <c r="FQW431"/>
      <c r="FQX431"/>
      <c r="FQY431"/>
      <c r="FQZ431"/>
      <c r="FRA431"/>
      <c r="FRB431"/>
      <c r="FRC431"/>
      <c r="FRD431"/>
      <c r="FRE431"/>
      <c r="FRF431"/>
      <c r="FRG431"/>
      <c r="FRH431"/>
      <c r="FRI431"/>
      <c r="FRJ431"/>
      <c r="FRK431"/>
      <c r="FRL431"/>
      <c r="FRM431"/>
      <c r="FRN431"/>
      <c r="FRO431"/>
      <c r="FRP431"/>
      <c r="FRQ431"/>
      <c r="FRR431"/>
      <c r="FRS431"/>
      <c r="FRT431"/>
      <c r="FRU431"/>
      <c r="FRV431"/>
      <c r="FRW431"/>
      <c r="FRX431"/>
      <c r="FRY431"/>
      <c r="FRZ431"/>
      <c r="FSA431"/>
      <c r="FSB431"/>
      <c r="FSC431"/>
      <c r="FSD431"/>
      <c r="FSE431"/>
      <c r="FSF431"/>
      <c r="FSG431"/>
      <c r="FSH431"/>
      <c r="FSI431"/>
      <c r="FSJ431"/>
      <c r="FSK431"/>
      <c r="FSL431"/>
      <c r="FSM431"/>
      <c r="FSN431"/>
      <c r="FSO431"/>
      <c r="FSP431"/>
      <c r="FSQ431"/>
      <c r="FSR431"/>
      <c r="FSS431"/>
      <c r="FST431"/>
      <c r="FSU431"/>
      <c r="FSV431"/>
      <c r="FSW431"/>
      <c r="FSX431"/>
      <c r="FSY431"/>
      <c r="FSZ431"/>
      <c r="FTA431"/>
      <c r="FTB431"/>
      <c r="FTC431"/>
      <c r="FTD431"/>
      <c r="FTE431"/>
      <c r="FTF431"/>
      <c r="FTG431"/>
      <c r="FTH431"/>
      <c r="FTI431"/>
      <c r="FTJ431"/>
      <c r="FTK431"/>
      <c r="FTL431"/>
      <c r="FTM431"/>
      <c r="FTN431"/>
      <c r="FTO431"/>
      <c r="FTP431"/>
      <c r="FTQ431"/>
      <c r="FTR431"/>
      <c r="FTS431"/>
      <c r="FTT431"/>
      <c r="FTU431"/>
      <c r="FTV431"/>
      <c r="FTW431"/>
      <c r="FTX431"/>
      <c r="FTY431"/>
      <c r="FTZ431"/>
      <c r="FUA431"/>
      <c r="FUB431"/>
      <c r="FUC431"/>
      <c r="FUD431"/>
      <c r="FUE431"/>
      <c r="FUF431"/>
      <c r="FUG431"/>
      <c r="FUH431"/>
      <c r="FUI431"/>
      <c r="FUJ431"/>
      <c r="FUK431"/>
      <c r="FUL431"/>
      <c r="FUM431"/>
      <c r="FUN431"/>
      <c r="FUO431"/>
      <c r="FUP431"/>
      <c r="FUQ431"/>
      <c r="FUR431"/>
      <c r="FUS431"/>
      <c r="FUT431"/>
      <c r="FUU431"/>
      <c r="FUV431"/>
      <c r="FUW431"/>
      <c r="FUX431"/>
      <c r="FUY431"/>
      <c r="FUZ431"/>
      <c r="FVA431"/>
      <c r="FVB431"/>
      <c r="FVC431"/>
      <c r="FVD431"/>
      <c r="FVE431"/>
      <c r="FVF431"/>
      <c r="FVG431"/>
      <c r="FVH431"/>
      <c r="FVI431"/>
      <c r="FVJ431"/>
      <c r="FVK431"/>
      <c r="FVL431"/>
      <c r="FVM431"/>
      <c r="FVN431"/>
      <c r="FVO431"/>
      <c r="FVP431"/>
      <c r="FVQ431"/>
      <c r="FVR431"/>
      <c r="FVS431"/>
      <c r="FVT431"/>
      <c r="FVU431"/>
      <c r="FVV431"/>
      <c r="FVW431"/>
      <c r="FVX431"/>
      <c r="FVY431"/>
      <c r="FVZ431"/>
      <c r="FWA431"/>
      <c r="FWB431"/>
      <c r="FWC431"/>
      <c r="FWD431"/>
      <c r="FWE431"/>
      <c r="FWF431"/>
      <c r="FWG431"/>
      <c r="FWH431"/>
      <c r="FWI431"/>
      <c r="FWJ431"/>
      <c r="FWK431"/>
      <c r="FWL431"/>
      <c r="FWM431"/>
      <c r="FWN431"/>
      <c r="FWO431"/>
      <c r="FWP431"/>
      <c r="FWQ431"/>
      <c r="FWR431"/>
      <c r="FWS431"/>
      <c r="FWT431"/>
      <c r="FWU431"/>
      <c r="FWV431"/>
      <c r="FWW431"/>
      <c r="FWX431"/>
      <c r="FWY431"/>
      <c r="FWZ431"/>
      <c r="FXA431"/>
      <c r="FXB431"/>
      <c r="FXC431"/>
      <c r="FXD431"/>
      <c r="FXE431"/>
      <c r="FXF431"/>
      <c r="FXG431"/>
      <c r="FXH431"/>
      <c r="FXI431"/>
      <c r="FXJ431"/>
      <c r="FXK431"/>
      <c r="FXL431"/>
      <c r="FXM431"/>
      <c r="FXN431"/>
      <c r="FXO431"/>
      <c r="FXP431"/>
      <c r="FXQ431"/>
      <c r="FXR431"/>
      <c r="FXS431"/>
      <c r="FXT431"/>
      <c r="FXU431"/>
      <c r="FXV431"/>
      <c r="FXW431"/>
      <c r="FXX431"/>
      <c r="FXY431"/>
      <c r="FXZ431"/>
      <c r="FYA431"/>
      <c r="FYB431"/>
      <c r="FYC431"/>
      <c r="FYD431"/>
      <c r="FYE431"/>
      <c r="FYF431"/>
      <c r="FYG431"/>
      <c r="FYH431"/>
      <c r="FYI431"/>
      <c r="FYJ431"/>
      <c r="FYK431"/>
      <c r="FYL431"/>
      <c r="FYM431"/>
      <c r="FYN431"/>
      <c r="FYO431"/>
      <c r="FYP431"/>
      <c r="FYQ431"/>
      <c r="FYR431"/>
      <c r="FYS431"/>
      <c r="FYT431"/>
      <c r="FYU431"/>
      <c r="FYV431"/>
      <c r="FYW431"/>
      <c r="FYX431"/>
      <c r="FYY431"/>
      <c r="FYZ431"/>
      <c r="FZA431"/>
      <c r="FZB431"/>
      <c r="FZC431"/>
      <c r="FZD431"/>
      <c r="FZE431"/>
      <c r="FZF431"/>
      <c r="FZG431"/>
      <c r="FZH431"/>
      <c r="FZI431"/>
      <c r="FZJ431"/>
      <c r="FZK431"/>
      <c r="FZL431"/>
      <c r="FZM431"/>
      <c r="FZN431"/>
      <c r="FZO431"/>
      <c r="FZP431"/>
      <c r="FZQ431"/>
      <c r="FZR431"/>
      <c r="FZS431"/>
      <c r="FZT431"/>
      <c r="FZU431"/>
      <c r="FZV431"/>
      <c r="FZW431"/>
      <c r="FZX431"/>
      <c r="FZY431"/>
      <c r="FZZ431"/>
      <c r="GAA431"/>
      <c r="GAB431"/>
      <c r="GAC431"/>
      <c r="GAD431"/>
      <c r="GAE431"/>
      <c r="GAF431"/>
      <c r="GAG431"/>
      <c r="GAH431"/>
      <c r="GAI431"/>
      <c r="GAJ431"/>
      <c r="GAK431"/>
      <c r="GAL431"/>
      <c r="GAM431"/>
      <c r="GAN431"/>
      <c r="GAO431"/>
      <c r="GAP431"/>
      <c r="GAQ431"/>
      <c r="GAR431"/>
      <c r="GAS431"/>
      <c r="GAT431"/>
      <c r="GAU431"/>
      <c r="GAV431"/>
      <c r="GAW431"/>
      <c r="GAX431"/>
      <c r="GAY431"/>
      <c r="GAZ431"/>
      <c r="GBA431"/>
      <c r="GBB431"/>
      <c r="GBC431"/>
      <c r="GBD431"/>
      <c r="GBE431"/>
      <c r="GBF431"/>
      <c r="GBG431"/>
      <c r="GBH431"/>
      <c r="GBI431"/>
      <c r="GBJ431"/>
      <c r="GBK431"/>
      <c r="GBL431"/>
      <c r="GBM431"/>
      <c r="GBN431"/>
      <c r="GBO431"/>
      <c r="GBP431"/>
      <c r="GBQ431"/>
      <c r="GBR431"/>
      <c r="GBS431"/>
      <c r="GBT431"/>
      <c r="GBU431"/>
      <c r="GBV431"/>
      <c r="GBW431"/>
      <c r="GBX431"/>
      <c r="GBY431"/>
      <c r="GBZ431"/>
      <c r="GCA431"/>
      <c r="GCB431"/>
      <c r="GCC431"/>
      <c r="GCD431"/>
      <c r="GCE431"/>
      <c r="GCF431"/>
      <c r="GCG431"/>
      <c r="GCH431"/>
      <c r="GCI431"/>
      <c r="GCJ431"/>
      <c r="GCK431"/>
      <c r="GCL431"/>
      <c r="GCM431"/>
      <c r="GCN431"/>
      <c r="GCO431"/>
      <c r="GCP431"/>
      <c r="GCQ431"/>
      <c r="GCR431"/>
      <c r="GCS431"/>
      <c r="GCT431"/>
      <c r="GCU431"/>
      <c r="GCV431"/>
      <c r="GCW431"/>
      <c r="GCX431"/>
      <c r="GCY431"/>
      <c r="GCZ431"/>
      <c r="GDA431"/>
      <c r="GDB431"/>
      <c r="GDC431"/>
      <c r="GDD431"/>
      <c r="GDE431"/>
      <c r="GDF431"/>
      <c r="GDG431"/>
      <c r="GDH431"/>
      <c r="GDI431"/>
      <c r="GDJ431"/>
      <c r="GDK431"/>
      <c r="GDL431"/>
      <c r="GDM431"/>
      <c r="GDN431"/>
      <c r="GDO431"/>
      <c r="GDP431"/>
      <c r="GDQ431"/>
      <c r="GDR431"/>
      <c r="GDS431"/>
      <c r="GDT431"/>
      <c r="GDU431"/>
      <c r="GDV431"/>
      <c r="GDW431"/>
      <c r="GDX431"/>
      <c r="GDY431"/>
      <c r="GDZ431"/>
      <c r="GEA431"/>
      <c r="GEB431"/>
      <c r="GEC431"/>
      <c r="GED431"/>
      <c r="GEE431"/>
      <c r="GEF431"/>
      <c r="GEG431"/>
      <c r="GEH431"/>
      <c r="GEI431"/>
      <c r="GEJ431"/>
      <c r="GEK431"/>
      <c r="GEL431"/>
      <c r="GEM431"/>
      <c r="GEN431"/>
      <c r="GEO431"/>
      <c r="GEP431"/>
      <c r="GEQ431"/>
      <c r="GER431"/>
      <c r="GES431"/>
      <c r="GET431"/>
      <c r="GEU431"/>
      <c r="GEV431"/>
      <c r="GEW431"/>
      <c r="GEX431"/>
      <c r="GEY431"/>
      <c r="GEZ431"/>
      <c r="GFA431"/>
      <c r="GFB431"/>
      <c r="GFC431"/>
      <c r="GFD431"/>
      <c r="GFE431"/>
      <c r="GFF431"/>
      <c r="GFG431"/>
      <c r="GFH431"/>
      <c r="GFI431"/>
      <c r="GFJ431"/>
      <c r="GFK431"/>
      <c r="GFL431"/>
      <c r="GFM431"/>
      <c r="GFN431"/>
      <c r="GFO431"/>
      <c r="GFP431"/>
      <c r="GFQ431"/>
      <c r="GFR431"/>
      <c r="GFS431"/>
      <c r="GFT431"/>
      <c r="GFU431"/>
      <c r="GFV431"/>
      <c r="GFW431"/>
      <c r="GFX431"/>
      <c r="GFY431"/>
      <c r="GFZ431"/>
      <c r="GGA431"/>
      <c r="GGB431"/>
      <c r="GGC431"/>
      <c r="GGD431"/>
      <c r="GGE431"/>
      <c r="GGF431"/>
      <c r="GGG431"/>
      <c r="GGH431"/>
      <c r="GGI431"/>
      <c r="GGJ431"/>
      <c r="GGK431"/>
      <c r="GGL431"/>
      <c r="GGM431"/>
      <c r="GGN431"/>
      <c r="GGO431"/>
      <c r="GGP431"/>
      <c r="GGQ431"/>
      <c r="GGR431"/>
      <c r="GGS431"/>
      <c r="GGT431"/>
      <c r="GGU431"/>
      <c r="GGV431"/>
      <c r="GGW431"/>
      <c r="GGX431"/>
      <c r="GGY431"/>
      <c r="GGZ431"/>
      <c r="GHA431"/>
      <c r="GHB431"/>
      <c r="GHC431"/>
      <c r="GHD431"/>
      <c r="GHE431"/>
      <c r="GHF431"/>
      <c r="GHG431"/>
      <c r="GHH431"/>
      <c r="GHI431"/>
      <c r="GHJ431"/>
      <c r="GHK431"/>
      <c r="GHL431"/>
      <c r="GHM431"/>
      <c r="GHN431"/>
      <c r="GHO431"/>
      <c r="GHP431"/>
      <c r="GHQ431"/>
      <c r="GHR431"/>
      <c r="GHS431"/>
      <c r="GHT431"/>
      <c r="GHU431"/>
      <c r="GHV431"/>
      <c r="GHW431"/>
      <c r="GHX431"/>
      <c r="GHY431"/>
      <c r="GHZ431"/>
      <c r="GIA431"/>
      <c r="GIB431"/>
      <c r="GIC431"/>
      <c r="GID431"/>
      <c r="GIE431"/>
      <c r="GIF431"/>
      <c r="GIG431"/>
      <c r="GIH431"/>
      <c r="GII431"/>
      <c r="GIJ431"/>
      <c r="GIK431"/>
      <c r="GIL431"/>
      <c r="GIM431"/>
      <c r="GIN431"/>
      <c r="GIO431"/>
      <c r="GIP431"/>
      <c r="GIQ431"/>
      <c r="GIR431"/>
      <c r="GIS431"/>
      <c r="GIT431"/>
      <c r="GIU431"/>
      <c r="GIV431"/>
      <c r="GIW431"/>
      <c r="GIX431"/>
      <c r="GIY431"/>
      <c r="GIZ431"/>
      <c r="GJA431"/>
      <c r="GJB431"/>
      <c r="GJC431"/>
      <c r="GJD431"/>
      <c r="GJE431"/>
      <c r="GJF431"/>
      <c r="GJG431"/>
      <c r="GJH431"/>
      <c r="GJI431"/>
      <c r="GJJ431"/>
      <c r="GJK431"/>
      <c r="GJL431"/>
      <c r="GJM431"/>
      <c r="GJN431"/>
      <c r="GJO431"/>
      <c r="GJP431"/>
      <c r="GJQ431"/>
      <c r="GJR431"/>
      <c r="GJS431"/>
      <c r="GJT431"/>
      <c r="GJU431"/>
      <c r="GJV431"/>
      <c r="GJW431"/>
      <c r="GJX431"/>
      <c r="GJY431"/>
      <c r="GJZ431"/>
      <c r="GKA431"/>
      <c r="GKB431"/>
      <c r="GKC431"/>
      <c r="GKD431"/>
      <c r="GKE431"/>
      <c r="GKF431"/>
      <c r="GKG431"/>
      <c r="GKH431"/>
      <c r="GKI431"/>
      <c r="GKJ431"/>
      <c r="GKK431"/>
      <c r="GKL431"/>
      <c r="GKM431"/>
      <c r="GKN431"/>
      <c r="GKO431"/>
      <c r="GKP431"/>
      <c r="GKQ431"/>
      <c r="GKR431"/>
      <c r="GKS431"/>
      <c r="GKT431"/>
      <c r="GKU431"/>
      <c r="GKV431"/>
      <c r="GKW431"/>
      <c r="GKX431"/>
      <c r="GKY431"/>
      <c r="GKZ431"/>
      <c r="GLA431"/>
      <c r="GLB431"/>
      <c r="GLC431"/>
      <c r="GLD431"/>
      <c r="GLE431"/>
      <c r="GLF431"/>
      <c r="GLG431"/>
      <c r="GLH431"/>
      <c r="GLI431"/>
      <c r="GLJ431"/>
      <c r="GLK431"/>
      <c r="GLL431"/>
      <c r="GLM431"/>
      <c r="GLN431"/>
      <c r="GLO431"/>
      <c r="GLP431"/>
      <c r="GLQ431"/>
      <c r="GLR431"/>
      <c r="GLS431"/>
      <c r="GLT431"/>
      <c r="GLU431"/>
      <c r="GLV431"/>
      <c r="GLW431"/>
      <c r="GLX431"/>
      <c r="GLY431"/>
      <c r="GLZ431"/>
      <c r="GMA431"/>
      <c r="GMB431"/>
      <c r="GMC431"/>
      <c r="GMD431"/>
      <c r="GME431"/>
      <c r="GMF431"/>
      <c r="GMG431"/>
      <c r="GMH431"/>
      <c r="GMI431"/>
      <c r="GMJ431"/>
      <c r="GMK431"/>
      <c r="GML431"/>
      <c r="GMM431"/>
      <c r="GMN431"/>
      <c r="GMO431"/>
      <c r="GMP431"/>
      <c r="GMQ431"/>
      <c r="GMR431"/>
      <c r="GMS431"/>
      <c r="GMT431"/>
      <c r="GMU431"/>
      <c r="GMV431"/>
      <c r="GMW431"/>
      <c r="GMX431"/>
      <c r="GMY431"/>
      <c r="GMZ431"/>
      <c r="GNA431"/>
      <c r="GNB431"/>
      <c r="GNC431"/>
      <c r="GND431"/>
      <c r="GNE431"/>
      <c r="GNF431"/>
      <c r="GNG431"/>
      <c r="GNH431"/>
      <c r="GNI431"/>
      <c r="GNJ431"/>
      <c r="GNK431"/>
      <c r="GNL431"/>
      <c r="GNM431"/>
      <c r="GNN431"/>
      <c r="GNO431"/>
      <c r="GNP431"/>
      <c r="GNQ431"/>
      <c r="GNR431"/>
      <c r="GNS431"/>
      <c r="GNT431"/>
      <c r="GNU431"/>
      <c r="GNV431"/>
      <c r="GNW431"/>
      <c r="GNX431"/>
      <c r="GNY431"/>
      <c r="GNZ431"/>
      <c r="GOA431"/>
      <c r="GOB431"/>
      <c r="GOC431"/>
      <c r="GOD431"/>
      <c r="GOE431"/>
      <c r="GOF431"/>
      <c r="GOG431"/>
      <c r="GOH431"/>
      <c r="GOI431"/>
      <c r="GOJ431"/>
      <c r="GOK431"/>
      <c r="GOL431"/>
      <c r="GOM431"/>
      <c r="GON431"/>
      <c r="GOO431"/>
      <c r="GOP431"/>
      <c r="GOQ431"/>
      <c r="GOR431"/>
      <c r="GOS431"/>
      <c r="GOT431"/>
      <c r="GOU431"/>
      <c r="GOV431"/>
      <c r="GOW431"/>
      <c r="GOX431"/>
      <c r="GOY431"/>
      <c r="GOZ431"/>
      <c r="GPA431"/>
      <c r="GPB431"/>
      <c r="GPC431"/>
      <c r="GPD431"/>
      <c r="GPE431"/>
      <c r="GPF431"/>
      <c r="GPG431"/>
      <c r="GPH431"/>
      <c r="GPI431"/>
      <c r="GPJ431"/>
      <c r="GPK431"/>
      <c r="GPL431"/>
      <c r="GPM431"/>
      <c r="GPN431"/>
      <c r="GPO431"/>
      <c r="GPP431"/>
      <c r="GPQ431"/>
      <c r="GPR431"/>
      <c r="GPS431"/>
      <c r="GPT431"/>
      <c r="GPU431"/>
      <c r="GPV431"/>
      <c r="GPW431"/>
      <c r="GPX431"/>
      <c r="GPY431"/>
      <c r="GPZ431"/>
      <c r="GQA431"/>
      <c r="GQB431"/>
      <c r="GQC431"/>
      <c r="GQD431"/>
      <c r="GQE431"/>
      <c r="GQF431"/>
      <c r="GQG431"/>
      <c r="GQH431"/>
      <c r="GQI431"/>
      <c r="GQJ431"/>
      <c r="GQK431"/>
      <c r="GQL431"/>
      <c r="GQM431"/>
      <c r="GQN431"/>
      <c r="GQO431"/>
      <c r="GQP431"/>
      <c r="GQQ431"/>
      <c r="GQR431"/>
      <c r="GQS431"/>
      <c r="GQT431"/>
      <c r="GQU431"/>
      <c r="GQV431"/>
      <c r="GQW431"/>
      <c r="GQX431"/>
      <c r="GQY431"/>
      <c r="GQZ431"/>
      <c r="GRA431"/>
      <c r="GRB431"/>
      <c r="GRC431"/>
      <c r="GRD431"/>
      <c r="GRE431"/>
      <c r="GRF431"/>
      <c r="GRG431"/>
      <c r="GRH431"/>
      <c r="GRI431"/>
      <c r="GRJ431"/>
      <c r="GRK431"/>
      <c r="GRL431"/>
      <c r="GRM431"/>
      <c r="GRN431"/>
      <c r="GRO431"/>
      <c r="GRP431"/>
      <c r="GRQ431"/>
      <c r="GRR431"/>
      <c r="GRS431"/>
      <c r="GRT431"/>
      <c r="GRU431"/>
      <c r="GRV431"/>
      <c r="GRW431"/>
      <c r="GRX431"/>
      <c r="GRY431"/>
      <c r="GRZ431"/>
      <c r="GSA431"/>
      <c r="GSB431"/>
      <c r="GSC431"/>
      <c r="GSD431"/>
      <c r="GSE431"/>
      <c r="GSF431"/>
      <c r="GSG431"/>
      <c r="GSH431"/>
      <c r="GSI431"/>
      <c r="GSJ431"/>
      <c r="GSK431"/>
      <c r="GSL431"/>
      <c r="GSM431"/>
      <c r="GSN431"/>
      <c r="GSO431"/>
      <c r="GSP431"/>
      <c r="GSQ431"/>
      <c r="GSR431"/>
      <c r="GSS431"/>
      <c r="GST431"/>
      <c r="GSU431"/>
      <c r="GSV431"/>
      <c r="GSW431"/>
      <c r="GSX431"/>
      <c r="GSY431"/>
      <c r="GSZ431"/>
      <c r="GTA431"/>
      <c r="GTB431"/>
      <c r="GTC431"/>
      <c r="GTD431"/>
      <c r="GTE431"/>
      <c r="GTF431"/>
      <c r="GTG431"/>
      <c r="GTH431"/>
      <c r="GTI431"/>
      <c r="GTJ431"/>
      <c r="GTK431"/>
      <c r="GTL431"/>
      <c r="GTM431"/>
      <c r="GTN431"/>
      <c r="GTO431"/>
      <c r="GTP431"/>
      <c r="GTQ431"/>
      <c r="GTR431"/>
      <c r="GTS431"/>
      <c r="GTT431"/>
      <c r="GTU431"/>
      <c r="GTV431"/>
      <c r="GTW431"/>
      <c r="GTX431"/>
      <c r="GTY431"/>
      <c r="GTZ431"/>
      <c r="GUA431"/>
      <c r="GUB431"/>
      <c r="GUC431"/>
      <c r="GUD431"/>
      <c r="GUE431"/>
      <c r="GUF431"/>
      <c r="GUG431"/>
      <c r="GUH431"/>
      <c r="GUI431"/>
      <c r="GUJ431"/>
      <c r="GUK431"/>
      <c r="GUL431"/>
      <c r="GUM431"/>
      <c r="GUN431"/>
      <c r="GUO431"/>
      <c r="GUP431"/>
      <c r="GUQ431"/>
      <c r="GUR431"/>
      <c r="GUS431"/>
      <c r="GUT431"/>
      <c r="GUU431"/>
      <c r="GUV431"/>
      <c r="GUW431"/>
      <c r="GUX431"/>
      <c r="GUY431"/>
      <c r="GUZ431"/>
      <c r="GVA431"/>
      <c r="GVB431"/>
      <c r="GVC431"/>
      <c r="GVD431"/>
      <c r="GVE431"/>
      <c r="GVF431"/>
      <c r="GVG431"/>
      <c r="GVH431"/>
      <c r="GVI431"/>
      <c r="GVJ431"/>
      <c r="GVK431"/>
      <c r="GVL431"/>
      <c r="GVM431"/>
      <c r="GVN431"/>
      <c r="GVO431"/>
      <c r="GVP431"/>
      <c r="GVQ431"/>
      <c r="GVR431"/>
      <c r="GVS431"/>
      <c r="GVT431"/>
      <c r="GVU431"/>
      <c r="GVV431"/>
      <c r="GVW431"/>
      <c r="GVX431"/>
      <c r="GVY431"/>
      <c r="GVZ431"/>
      <c r="GWA431"/>
      <c r="GWB431"/>
      <c r="GWC431"/>
      <c r="GWD431"/>
      <c r="GWE431"/>
      <c r="GWF431"/>
      <c r="GWG431"/>
      <c r="GWH431"/>
      <c r="GWI431"/>
      <c r="GWJ431"/>
      <c r="GWK431"/>
      <c r="GWL431"/>
      <c r="GWM431"/>
      <c r="GWN431"/>
      <c r="GWO431"/>
      <c r="GWP431"/>
      <c r="GWQ431"/>
      <c r="GWR431"/>
      <c r="GWS431"/>
      <c r="GWT431"/>
      <c r="GWU431"/>
      <c r="GWV431"/>
      <c r="GWW431"/>
      <c r="GWX431"/>
      <c r="GWY431"/>
      <c r="GWZ431"/>
      <c r="GXA431"/>
      <c r="GXB431"/>
      <c r="GXC431"/>
      <c r="GXD431"/>
      <c r="GXE431"/>
      <c r="GXF431"/>
      <c r="GXG431"/>
      <c r="GXH431"/>
      <c r="GXI431"/>
      <c r="GXJ431"/>
      <c r="GXK431"/>
      <c r="GXL431"/>
      <c r="GXM431"/>
      <c r="GXN431"/>
      <c r="GXO431"/>
      <c r="GXP431"/>
      <c r="GXQ431"/>
      <c r="GXR431"/>
      <c r="GXS431"/>
      <c r="GXT431"/>
      <c r="GXU431"/>
      <c r="GXV431"/>
      <c r="GXW431"/>
      <c r="GXX431"/>
      <c r="GXY431"/>
      <c r="GXZ431"/>
      <c r="GYA431"/>
      <c r="GYB431"/>
      <c r="GYC431"/>
      <c r="GYD431"/>
      <c r="GYE431"/>
      <c r="GYF431"/>
      <c r="GYG431"/>
      <c r="GYH431"/>
      <c r="GYI431"/>
      <c r="GYJ431"/>
      <c r="GYK431"/>
      <c r="GYL431"/>
      <c r="GYM431"/>
      <c r="GYN431"/>
      <c r="GYO431"/>
      <c r="GYP431"/>
      <c r="GYQ431"/>
      <c r="GYR431"/>
      <c r="GYS431"/>
      <c r="GYT431"/>
      <c r="GYU431"/>
      <c r="GYV431"/>
      <c r="GYW431"/>
      <c r="GYX431"/>
      <c r="GYY431"/>
      <c r="GYZ431"/>
      <c r="GZA431"/>
      <c r="GZB431"/>
      <c r="GZC431"/>
      <c r="GZD431"/>
      <c r="GZE431"/>
      <c r="GZF431"/>
      <c r="GZG431"/>
      <c r="GZH431"/>
      <c r="GZI431"/>
      <c r="GZJ431"/>
      <c r="GZK431"/>
      <c r="GZL431"/>
      <c r="GZM431"/>
      <c r="GZN431"/>
      <c r="GZO431"/>
      <c r="GZP431"/>
      <c r="GZQ431"/>
      <c r="GZR431"/>
      <c r="GZS431"/>
      <c r="GZT431"/>
      <c r="GZU431"/>
      <c r="GZV431"/>
      <c r="GZW431"/>
      <c r="GZX431"/>
      <c r="GZY431"/>
      <c r="GZZ431"/>
      <c r="HAA431"/>
      <c r="HAB431"/>
      <c r="HAC431"/>
      <c r="HAD431"/>
      <c r="HAE431"/>
      <c r="HAF431"/>
      <c r="HAG431"/>
      <c r="HAH431"/>
      <c r="HAI431"/>
      <c r="HAJ431"/>
      <c r="HAK431"/>
      <c r="HAL431"/>
      <c r="HAM431"/>
      <c r="HAN431"/>
      <c r="HAO431"/>
      <c r="HAP431"/>
      <c r="HAQ431"/>
      <c r="HAR431"/>
      <c r="HAS431"/>
      <c r="HAT431"/>
      <c r="HAU431"/>
      <c r="HAV431"/>
      <c r="HAW431"/>
      <c r="HAX431"/>
      <c r="HAY431"/>
      <c r="HAZ431"/>
      <c r="HBA431"/>
      <c r="HBB431"/>
      <c r="HBC431"/>
      <c r="HBD431"/>
      <c r="HBE431"/>
      <c r="HBF431"/>
      <c r="HBG431"/>
      <c r="HBH431"/>
      <c r="HBI431"/>
      <c r="HBJ431"/>
      <c r="HBK431"/>
      <c r="HBL431"/>
      <c r="HBM431"/>
      <c r="HBN431"/>
      <c r="HBO431"/>
      <c r="HBP431"/>
      <c r="HBQ431"/>
      <c r="HBR431"/>
      <c r="HBS431"/>
      <c r="HBT431"/>
      <c r="HBU431"/>
      <c r="HBV431"/>
      <c r="HBW431"/>
      <c r="HBX431"/>
      <c r="HBY431"/>
      <c r="HBZ431"/>
      <c r="HCA431"/>
      <c r="HCB431"/>
      <c r="HCC431"/>
      <c r="HCD431"/>
      <c r="HCE431"/>
      <c r="HCF431"/>
      <c r="HCG431"/>
      <c r="HCH431"/>
      <c r="HCI431"/>
      <c r="HCJ431"/>
      <c r="HCK431"/>
      <c r="HCL431"/>
      <c r="HCM431"/>
      <c r="HCN431"/>
      <c r="HCO431"/>
      <c r="HCP431"/>
      <c r="HCQ431"/>
      <c r="HCR431"/>
      <c r="HCS431"/>
      <c r="HCT431"/>
      <c r="HCU431"/>
      <c r="HCV431"/>
      <c r="HCW431"/>
      <c r="HCX431"/>
      <c r="HCY431"/>
      <c r="HCZ431"/>
      <c r="HDA431"/>
      <c r="HDB431"/>
      <c r="HDC431"/>
      <c r="HDD431"/>
      <c r="HDE431"/>
      <c r="HDF431"/>
      <c r="HDG431"/>
      <c r="HDH431"/>
      <c r="HDI431"/>
      <c r="HDJ431"/>
      <c r="HDK431"/>
      <c r="HDL431"/>
      <c r="HDM431"/>
      <c r="HDN431"/>
      <c r="HDO431"/>
      <c r="HDP431"/>
      <c r="HDQ431"/>
      <c r="HDR431"/>
      <c r="HDS431"/>
      <c r="HDT431"/>
      <c r="HDU431"/>
      <c r="HDV431"/>
      <c r="HDW431"/>
      <c r="HDX431"/>
      <c r="HDY431"/>
      <c r="HDZ431"/>
      <c r="HEA431"/>
      <c r="HEB431"/>
      <c r="HEC431"/>
      <c r="HED431"/>
      <c r="HEE431"/>
      <c r="HEF431"/>
      <c r="HEG431"/>
      <c r="HEH431"/>
      <c r="HEI431"/>
      <c r="HEJ431"/>
      <c r="HEK431"/>
      <c r="HEL431"/>
      <c r="HEM431"/>
      <c r="HEN431"/>
      <c r="HEO431"/>
      <c r="HEP431"/>
      <c r="HEQ431"/>
      <c r="HER431"/>
      <c r="HES431"/>
      <c r="HET431"/>
      <c r="HEU431"/>
      <c r="HEV431"/>
      <c r="HEW431"/>
      <c r="HEX431"/>
      <c r="HEY431"/>
      <c r="HEZ431"/>
      <c r="HFA431"/>
      <c r="HFB431"/>
      <c r="HFC431"/>
      <c r="HFD431"/>
      <c r="HFE431"/>
      <c r="HFF431"/>
      <c r="HFG431"/>
      <c r="HFH431"/>
      <c r="HFI431"/>
      <c r="HFJ431"/>
      <c r="HFK431"/>
      <c r="HFL431"/>
      <c r="HFM431"/>
      <c r="HFN431"/>
      <c r="HFO431"/>
      <c r="HFP431"/>
      <c r="HFQ431"/>
      <c r="HFR431"/>
      <c r="HFS431"/>
      <c r="HFT431"/>
      <c r="HFU431"/>
      <c r="HFV431"/>
      <c r="HFW431"/>
      <c r="HFX431"/>
      <c r="HFY431"/>
      <c r="HFZ431"/>
      <c r="HGA431"/>
      <c r="HGB431"/>
      <c r="HGC431"/>
      <c r="HGD431"/>
      <c r="HGE431"/>
      <c r="HGF431"/>
      <c r="HGG431"/>
      <c r="HGH431"/>
      <c r="HGI431"/>
      <c r="HGJ431"/>
      <c r="HGK431"/>
      <c r="HGL431"/>
      <c r="HGM431"/>
      <c r="HGN431"/>
      <c r="HGO431"/>
      <c r="HGP431"/>
      <c r="HGQ431"/>
      <c r="HGR431"/>
      <c r="HGS431"/>
      <c r="HGT431"/>
      <c r="HGU431"/>
      <c r="HGV431"/>
      <c r="HGW431"/>
      <c r="HGX431"/>
      <c r="HGY431"/>
      <c r="HGZ431"/>
      <c r="HHA431"/>
      <c r="HHB431"/>
      <c r="HHC431"/>
      <c r="HHD431"/>
      <c r="HHE431"/>
      <c r="HHF431"/>
      <c r="HHG431"/>
      <c r="HHH431"/>
      <c r="HHI431"/>
      <c r="HHJ431"/>
      <c r="HHK431"/>
      <c r="HHL431"/>
      <c r="HHM431"/>
      <c r="HHN431"/>
      <c r="HHO431"/>
      <c r="HHP431"/>
      <c r="HHQ431"/>
      <c r="HHR431"/>
      <c r="HHS431"/>
      <c r="HHT431"/>
      <c r="HHU431"/>
      <c r="HHV431"/>
      <c r="HHW431"/>
      <c r="HHX431"/>
      <c r="HHY431"/>
      <c r="HHZ431"/>
      <c r="HIA431"/>
      <c r="HIB431"/>
      <c r="HIC431"/>
      <c r="HID431"/>
      <c r="HIE431"/>
      <c r="HIF431"/>
      <c r="HIG431"/>
      <c r="HIH431"/>
      <c r="HII431"/>
      <c r="HIJ431"/>
      <c r="HIK431"/>
      <c r="HIL431"/>
      <c r="HIM431"/>
      <c r="HIN431"/>
      <c r="HIO431"/>
      <c r="HIP431"/>
      <c r="HIQ431"/>
      <c r="HIR431"/>
      <c r="HIS431"/>
      <c r="HIT431"/>
      <c r="HIU431"/>
      <c r="HIV431"/>
      <c r="HIW431"/>
      <c r="HIX431"/>
      <c r="HIY431"/>
      <c r="HIZ431"/>
      <c r="HJA431"/>
      <c r="HJB431"/>
      <c r="HJC431"/>
      <c r="HJD431"/>
      <c r="HJE431"/>
      <c r="HJF431"/>
      <c r="HJG431"/>
      <c r="HJH431"/>
      <c r="HJI431"/>
      <c r="HJJ431"/>
      <c r="HJK431"/>
      <c r="HJL431"/>
      <c r="HJM431"/>
      <c r="HJN431"/>
      <c r="HJO431"/>
      <c r="HJP431"/>
      <c r="HJQ431"/>
      <c r="HJR431"/>
      <c r="HJS431"/>
      <c r="HJT431"/>
      <c r="HJU431"/>
      <c r="HJV431"/>
      <c r="HJW431"/>
      <c r="HJX431"/>
      <c r="HJY431"/>
      <c r="HJZ431"/>
      <c r="HKA431"/>
      <c r="HKB431"/>
      <c r="HKC431"/>
      <c r="HKD431"/>
      <c r="HKE431"/>
      <c r="HKF431"/>
      <c r="HKG431"/>
      <c r="HKH431"/>
      <c r="HKI431"/>
      <c r="HKJ431"/>
      <c r="HKK431"/>
      <c r="HKL431"/>
      <c r="HKM431"/>
      <c r="HKN431"/>
      <c r="HKO431"/>
      <c r="HKP431"/>
      <c r="HKQ431"/>
      <c r="HKR431"/>
      <c r="HKS431"/>
      <c r="HKT431"/>
      <c r="HKU431"/>
      <c r="HKV431"/>
      <c r="HKW431"/>
      <c r="HKX431"/>
      <c r="HKY431"/>
      <c r="HKZ431"/>
      <c r="HLA431"/>
      <c r="HLB431"/>
      <c r="HLC431"/>
      <c r="HLD431"/>
      <c r="HLE431"/>
      <c r="HLF431"/>
      <c r="HLG431"/>
      <c r="HLH431"/>
      <c r="HLI431"/>
      <c r="HLJ431"/>
      <c r="HLK431"/>
      <c r="HLL431"/>
      <c r="HLM431"/>
      <c r="HLN431"/>
      <c r="HLO431"/>
      <c r="HLP431"/>
      <c r="HLQ431"/>
      <c r="HLR431"/>
      <c r="HLS431"/>
      <c r="HLT431"/>
      <c r="HLU431"/>
      <c r="HLV431"/>
      <c r="HLW431"/>
      <c r="HLX431"/>
      <c r="HLY431"/>
      <c r="HLZ431"/>
      <c r="HMA431"/>
      <c r="HMB431"/>
      <c r="HMC431"/>
      <c r="HMD431"/>
      <c r="HME431"/>
      <c r="HMF431"/>
      <c r="HMG431"/>
      <c r="HMH431"/>
      <c r="HMI431"/>
      <c r="HMJ431"/>
      <c r="HMK431"/>
      <c r="HML431"/>
      <c r="HMM431"/>
      <c r="HMN431"/>
      <c r="HMO431"/>
      <c r="HMP431"/>
      <c r="HMQ431"/>
      <c r="HMR431"/>
      <c r="HMS431"/>
      <c r="HMT431"/>
      <c r="HMU431"/>
      <c r="HMV431"/>
      <c r="HMW431"/>
      <c r="HMX431"/>
      <c r="HMY431"/>
      <c r="HMZ431"/>
      <c r="HNA431"/>
      <c r="HNB431"/>
      <c r="HNC431"/>
      <c r="HND431"/>
      <c r="HNE431"/>
      <c r="HNF431"/>
      <c r="HNG431"/>
      <c r="HNH431"/>
      <c r="HNI431"/>
      <c r="HNJ431"/>
      <c r="HNK431"/>
      <c r="HNL431"/>
      <c r="HNM431"/>
      <c r="HNN431"/>
      <c r="HNO431"/>
      <c r="HNP431"/>
      <c r="HNQ431"/>
      <c r="HNR431"/>
      <c r="HNS431"/>
      <c r="HNT431"/>
      <c r="HNU431"/>
      <c r="HNV431"/>
      <c r="HNW431"/>
      <c r="HNX431"/>
      <c r="HNY431"/>
      <c r="HNZ431"/>
      <c r="HOA431"/>
      <c r="HOB431"/>
      <c r="HOC431"/>
      <c r="HOD431"/>
      <c r="HOE431"/>
      <c r="HOF431"/>
      <c r="HOG431"/>
      <c r="HOH431"/>
      <c r="HOI431"/>
      <c r="HOJ431"/>
      <c r="HOK431"/>
      <c r="HOL431"/>
      <c r="HOM431"/>
      <c r="HON431"/>
      <c r="HOO431"/>
      <c r="HOP431"/>
      <c r="HOQ431"/>
      <c r="HOR431"/>
      <c r="HOS431"/>
      <c r="HOT431"/>
      <c r="HOU431"/>
      <c r="HOV431"/>
      <c r="HOW431"/>
      <c r="HOX431"/>
      <c r="HOY431"/>
      <c r="HOZ431"/>
      <c r="HPA431"/>
      <c r="HPB431"/>
      <c r="HPC431"/>
      <c r="HPD431"/>
      <c r="HPE431"/>
      <c r="HPF431"/>
      <c r="HPG431"/>
      <c r="HPH431"/>
      <c r="HPI431"/>
      <c r="HPJ431"/>
      <c r="HPK431"/>
      <c r="HPL431"/>
      <c r="HPM431"/>
      <c r="HPN431"/>
      <c r="HPO431"/>
      <c r="HPP431"/>
      <c r="HPQ431"/>
      <c r="HPR431"/>
      <c r="HPS431"/>
      <c r="HPT431"/>
      <c r="HPU431"/>
      <c r="HPV431"/>
      <c r="HPW431"/>
      <c r="HPX431"/>
      <c r="HPY431"/>
      <c r="HPZ431"/>
      <c r="HQA431"/>
      <c r="HQB431"/>
      <c r="HQC431"/>
      <c r="HQD431"/>
      <c r="HQE431"/>
      <c r="HQF431"/>
      <c r="HQG431"/>
      <c r="HQH431"/>
      <c r="HQI431"/>
      <c r="HQJ431"/>
      <c r="HQK431"/>
      <c r="HQL431"/>
      <c r="HQM431"/>
      <c r="HQN431"/>
      <c r="HQO431"/>
      <c r="HQP431"/>
      <c r="HQQ431"/>
      <c r="HQR431"/>
      <c r="HQS431"/>
      <c r="HQT431"/>
      <c r="HQU431"/>
      <c r="HQV431"/>
      <c r="HQW431"/>
      <c r="HQX431"/>
      <c r="HQY431"/>
      <c r="HQZ431"/>
      <c r="HRA431"/>
      <c r="HRB431"/>
      <c r="HRC431"/>
      <c r="HRD431"/>
      <c r="HRE431"/>
      <c r="HRF431"/>
      <c r="HRG431"/>
      <c r="HRH431"/>
      <c r="HRI431"/>
      <c r="HRJ431"/>
      <c r="HRK431"/>
      <c r="HRL431"/>
      <c r="HRM431"/>
      <c r="HRN431"/>
      <c r="HRO431"/>
      <c r="HRP431"/>
      <c r="HRQ431"/>
      <c r="HRR431"/>
      <c r="HRS431"/>
      <c r="HRT431"/>
      <c r="HRU431"/>
      <c r="HRV431"/>
      <c r="HRW431"/>
      <c r="HRX431"/>
      <c r="HRY431"/>
      <c r="HRZ431"/>
      <c r="HSA431"/>
      <c r="HSB431"/>
      <c r="HSC431"/>
      <c r="HSD431"/>
      <c r="HSE431"/>
      <c r="HSF431"/>
      <c r="HSG431"/>
      <c r="HSH431"/>
      <c r="HSI431"/>
      <c r="HSJ431"/>
      <c r="HSK431"/>
      <c r="HSL431"/>
      <c r="HSM431"/>
      <c r="HSN431"/>
      <c r="HSO431"/>
      <c r="HSP431"/>
      <c r="HSQ431"/>
      <c r="HSR431"/>
      <c r="HSS431"/>
      <c r="HST431"/>
      <c r="HSU431"/>
      <c r="HSV431"/>
      <c r="HSW431"/>
      <c r="HSX431"/>
      <c r="HSY431"/>
      <c r="HSZ431"/>
      <c r="HTA431"/>
      <c r="HTB431"/>
      <c r="HTC431"/>
      <c r="HTD431"/>
      <c r="HTE431"/>
      <c r="HTF431"/>
      <c r="HTG431"/>
      <c r="HTH431"/>
      <c r="HTI431"/>
      <c r="HTJ431"/>
      <c r="HTK431"/>
      <c r="HTL431"/>
      <c r="HTM431"/>
      <c r="HTN431"/>
      <c r="HTO431"/>
      <c r="HTP431"/>
      <c r="HTQ431"/>
      <c r="HTR431"/>
      <c r="HTS431"/>
      <c r="HTT431"/>
      <c r="HTU431"/>
      <c r="HTV431"/>
      <c r="HTW431"/>
      <c r="HTX431"/>
      <c r="HTY431"/>
      <c r="HTZ431"/>
      <c r="HUA431"/>
      <c r="HUB431"/>
      <c r="HUC431"/>
      <c r="HUD431"/>
      <c r="HUE431"/>
      <c r="HUF431"/>
      <c r="HUG431"/>
      <c r="HUH431"/>
      <c r="HUI431"/>
      <c r="HUJ431"/>
      <c r="HUK431"/>
      <c r="HUL431"/>
      <c r="HUM431"/>
      <c r="HUN431"/>
      <c r="HUO431"/>
      <c r="HUP431"/>
      <c r="HUQ431"/>
      <c r="HUR431"/>
      <c r="HUS431"/>
      <c r="HUT431"/>
      <c r="HUU431"/>
      <c r="HUV431"/>
      <c r="HUW431"/>
      <c r="HUX431"/>
      <c r="HUY431"/>
      <c r="HUZ431"/>
      <c r="HVA431"/>
      <c r="HVB431"/>
      <c r="HVC431"/>
      <c r="HVD431"/>
      <c r="HVE431"/>
      <c r="HVF431"/>
      <c r="HVG431"/>
      <c r="HVH431"/>
      <c r="HVI431"/>
      <c r="HVJ431"/>
      <c r="HVK431"/>
      <c r="HVL431"/>
      <c r="HVM431"/>
      <c r="HVN431"/>
      <c r="HVO431"/>
      <c r="HVP431"/>
      <c r="HVQ431"/>
      <c r="HVR431"/>
      <c r="HVS431"/>
      <c r="HVT431"/>
      <c r="HVU431"/>
      <c r="HVV431"/>
      <c r="HVW431"/>
      <c r="HVX431"/>
      <c r="HVY431"/>
      <c r="HVZ431"/>
      <c r="HWA431"/>
      <c r="HWB431"/>
      <c r="HWC431"/>
      <c r="HWD431"/>
      <c r="HWE431"/>
      <c r="HWF431"/>
      <c r="HWG431"/>
      <c r="HWH431"/>
      <c r="HWI431"/>
      <c r="HWJ431"/>
      <c r="HWK431"/>
      <c r="HWL431"/>
      <c r="HWM431"/>
      <c r="HWN431"/>
      <c r="HWO431"/>
      <c r="HWP431"/>
      <c r="HWQ431"/>
      <c r="HWR431"/>
      <c r="HWS431"/>
      <c r="HWT431"/>
      <c r="HWU431"/>
      <c r="HWV431"/>
      <c r="HWW431"/>
      <c r="HWX431"/>
      <c r="HWY431"/>
      <c r="HWZ431"/>
      <c r="HXA431"/>
      <c r="HXB431"/>
      <c r="HXC431"/>
      <c r="HXD431"/>
      <c r="HXE431"/>
      <c r="HXF431"/>
      <c r="HXG431"/>
      <c r="HXH431"/>
      <c r="HXI431"/>
      <c r="HXJ431"/>
      <c r="HXK431"/>
      <c r="HXL431"/>
      <c r="HXM431"/>
      <c r="HXN431"/>
      <c r="HXO431"/>
      <c r="HXP431"/>
      <c r="HXQ431"/>
      <c r="HXR431"/>
      <c r="HXS431"/>
      <c r="HXT431"/>
      <c r="HXU431"/>
      <c r="HXV431"/>
      <c r="HXW431"/>
      <c r="HXX431"/>
      <c r="HXY431"/>
      <c r="HXZ431"/>
      <c r="HYA431"/>
      <c r="HYB431"/>
      <c r="HYC431"/>
      <c r="HYD431"/>
      <c r="HYE431"/>
      <c r="HYF431"/>
      <c r="HYG431"/>
      <c r="HYH431"/>
      <c r="HYI431"/>
      <c r="HYJ431"/>
      <c r="HYK431"/>
      <c r="HYL431"/>
      <c r="HYM431"/>
      <c r="HYN431"/>
      <c r="HYO431"/>
      <c r="HYP431"/>
      <c r="HYQ431"/>
      <c r="HYR431"/>
      <c r="HYS431"/>
      <c r="HYT431"/>
      <c r="HYU431"/>
      <c r="HYV431"/>
      <c r="HYW431"/>
      <c r="HYX431"/>
      <c r="HYY431"/>
      <c r="HYZ431"/>
      <c r="HZA431"/>
      <c r="HZB431"/>
      <c r="HZC431"/>
      <c r="HZD431"/>
      <c r="HZE431"/>
      <c r="HZF431"/>
      <c r="HZG431"/>
      <c r="HZH431"/>
      <c r="HZI431"/>
      <c r="HZJ431"/>
      <c r="HZK431"/>
      <c r="HZL431"/>
      <c r="HZM431"/>
      <c r="HZN431"/>
      <c r="HZO431"/>
      <c r="HZP431"/>
      <c r="HZQ431"/>
      <c r="HZR431"/>
      <c r="HZS431"/>
      <c r="HZT431"/>
      <c r="HZU431"/>
      <c r="HZV431"/>
      <c r="HZW431"/>
      <c r="HZX431"/>
      <c r="HZY431"/>
      <c r="HZZ431"/>
      <c r="IAA431"/>
      <c r="IAB431"/>
      <c r="IAC431"/>
      <c r="IAD431"/>
      <c r="IAE431"/>
      <c r="IAF431"/>
      <c r="IAG431"/>
      <c r="IAH431"/>
      <c r="IAI431"/>
      <c r="IAJ431"/>
      <c r="IAK431"/>
      <c r="IAL431"/>
      <c r="IAM431"/>
      <c r="IAN431"/>
      <c r="IAO431"/>
      <c r="IAP431"/>
      <c r="IAQ431"/>
      <c r="IAR431"/>
      <c r="IAS431"/>
      <c r="IAT431"/>
      <c r="IAU431"/>
      <c r="IAV431"/>
      <c r="IAW431"/>
      <c r="IAX431"/>
      <c r="IAY431"/>
      <c r="IAZ431"/>
      <c r="IBA431"/>
      <c r="IBB431"/>
      <c r="IBC431"/>
      <c r="IBD431"/>
      <c r="IBE431"/>
      <c r="IBF431"/>
      <c r="IBG431"/>
      <c r="IBH431"/>
      <c r="IBI431"/>
      <c r="IBJ431"/>
      <c r="IBK431"/>
      <c r="IBL431"/>
      <c r="IBM431"/>
      <c r="IBN431"/>
      <c r="IBO431"/>
      <c r="IBP431"/>
      <c r="IBQ431"/>
      <c r="IBR431"/>
      <c r="IBS431"/>
      <c r="IBT431"/>
      <c r="IBU431"/>
      <c r="IBV431"/>
      <c r="IBW431"/>
      <c r="IBX431"/>
      <c r="IBY431"/>
      <c r="IBZ431"/>
      <c r="ICA431"/>
      <c r="ICB431"/>
      <c r="ICC431"/>
      <c r="ICD431"/>
      <c r="ICE431"/>
      <c r="ICF431"/>
      <c r="ICG431"/>
      <c r="ICH431"/>
      <c r="ICI431"/>
      <c r="ICJ431"/>
      <c r="ICK431"/>
      <c r="ICL431"/>
      <c r="ICM431"/>
      <c r="ICN431"/>
      <c r="ICO431"/>
      <c r="ICP431"/>
      <c r="ICQ431"/>
      <c r="ICR431"/>
      <c r="ICS431"/>
      <c r="ICT431"/>
      <c r="ICU431"/>
      <c r="ICV431"/>
      <c r="ICW431"/>
      <c r="ICX431"/>
      <c r="ICY431"/>
      <c r="ICZ431"/>
      <c r="IDA431"/>
      <c r="IDB431"/>
      <c r="IDC431"/>
      <c r="IDD431"/>
      <c r="IDE431"/>
      <c r="IDF431"/>
      <c r="IDG431"/>
      <c r="IDH431"/>
      <c r="IDI431"/>
      <c r="IDJ431"/>
      <c r="IDK431"/>
      <c r="IDL431"/>
      <c r="IDM431"/>
      <c r="IDN431"/>
      <c r="IDO431"/>
      <c r="IDP431"/>
      <c r="IDQ431"/>
      <c r="IDR431"/>
      <c r="IDS431"/>
      <c r="IDT431"/>
      <c r="IDU431"/>
      <c r="IDV431"/>
      <c r="IDW431"/>
      <c r="IDX431"/>
      <c r="IDY431"/>
      <c r="IDZ431"/>
      <c r="IEA431"/>
      <c r="IEB431"/>
      <c r="IEC431"/>
      <c r="IED431"/>
      <c r="IEE431"/>
      <c r="IEF431"/>
      <c r="IEG431"/>
      <c r="IEH431"/>
      <c r="IEI431"/>
      <c r="IEJ431"/>
      <c r="IEK431"/>
      <c r="IEL431"/>
      <c r="IEM431"/>
      <c r="IEN431"/>
      <c r="IEO431"/>
      <c r="IEP431"/>
      <c r="IEQ431"/>
      <c r="IER431"/>
      <c r="IES431"/>
      <c r="IET431"/>
      <c r="IEU431"/>
      <c r="IEV431"/>
      <c r="IEW431"/>
      <c r="IEX431"/>
      <c r="IEY431"/>
      <c r="IEZ431"/>
      <c r="IFA431"/>
      <c r="IFB431"/>
      <c r="IFC431"/>
      <c r="IFD431"/>
      <c r="IFE431"/>
      <c r="IFF431"/>
      <c r="IFG431"/>
      <c r="IFH431"/>
      <c r="IFI431"/>
      <c r="IFJ431"/>
      <c r="IFK431"/>
      <c r="IFL431"/>
      <c r="IFM431"/>
      <c r="IFN431"/>
      <c r="IFO431"/>
      <c r="IFP431"/>
      <c r="IFQ431"/>
      <c r="IFR431"/>
      <c r="IFS431"/>
      <c r="IFT431"/>
      <c r="IFU431"/>
      <c r="IFV431"/>
      <c r="IFW431"/>
      <c r="IFX431"/>
      <c r="IFY431"/>
      <c r="IFZ431"/>
      <c r="IGA431"/>
      <c r="IGB431"/>
      <c r="IGC431"/>
      <c r="IGD431"/>
      <c r="IGE431"/>
      <c r="IGF431"/>
      <c r="IGG431"/>
      <c r="IGH431"/>
      <c r="IGI431"/>
      <c r="IGJ431"/>
      <c r="IGK431"/>
      <c r="IGL431"/>
      <c r="IGM431"/>
      <c r="IGN431"/>
      <c r="IGO431"/>
      <c r="IGP431"/>
      <c r="IGQ431"/>
      <c r="IGR431"/>
      <c r="IGS431"/>
      <c r="IGT431"/>
      <c r="IGU431"/>
      <c r="IGV431"/>
      <c r="IGW431"/>
      <c r="IGX431"/>
      <c r="IGY431"/>
      <c r="IGZ431"/>
      <c r="IHA431"/>
      <c r="IHB431"/>
      <c r="IHC431"/>
      <c r="IHD431"/>
      <c r="IHE431"/>
      <c r="IHF431"/>
      <c r="IHG431"/>
      <c r="IHH431"/>
      <c r="IHI431"/>
      <c r="IHJ431"/>
      <c r="IHK431"/>
      <c r="IHL431"/>
      <c r="IHM431"/>
      <c r="IHN431"/>
      <c r="IHO431"/>
      <c r="IHP431"/>
      <c r="IHQ431"/>
      <c r="IHR431"/>
      <c r="IHS431"/>
      <c r="IHT431"/>
      <c r="IHU431"/>
      <c r="IHV431"/>
      <c r="IHW431"/>
      <c r="IHX431"/>
      <c r="IHY431"/>
      <c r="IHZ431"/>
      <c r="IIA431"/>
      <c r="IIB431"/>
      <c r="IIC431"/>
      <c r="IID431"/>
      <c r="IIE431"/>
      <c r="IIF431"/>
      <c r="IIG431"/>
      <c r="IIH431"/>
      <c r="III431"/>
      <c r="IIJ431"/>
      <c r="IIK431"/>
      <c r="IIL431"/>
      <c r="IIM431"/>
      <c r="IIN431"/>
      <c r="IIO431"/>
      <c r="IIP431"/>
      <c r="IIQ431"/>
      <c r="IIR431"/>
      <c r="IIS431"/>
      <c r="IIT431"/>
      <c r="IIU431"/>
      <c r="IIV431"/>
      <c r="IIW431"/>
      <c r="IIX431"/>
      <c r="IIY431"/>
      <c r="IIZ431"/>
      <c r="IJA431"/>
      <c r="IJB431"/>
      <c r="IJC431"/>
      <c r="IJD431"/>
      <c r="IJE431"/>
      <c r="IJF431"/>
      <c r="IJG431"/>
      <c r="IJH431"/>
      <c r="IJI431"/>
      <c r="IJJ431"/>
      <c r="IJK431"/>
      <c r="IJL431"/>
      <c r="IJM431"/>
      <c r="IJN431"/>
      <c r="IJO431"/>
      <c r="IJP431"/>
      <c r="IJQ431"/>
      <c r="IJR431"/>
      <c r="IJS431"/>
      <c r="IJT431"/>
      <c r="IJU431"/>
      <c r="IJV431"/>
      <c r="IJW431"/>
      <c r="IJX431"/>
      <c r="IJY431"/>
      <c r="IJZ431"/>
      <c r="IKA431"/>
      <c r="IKB431"/>
      <c r="IKC431"/>
      <c r="IKD431"/>
      <c r="IKE431"/>
      <c r="IKF431"/>
      <c r="IKG431"/>
      <c r="IKH431"/>
      <c r="IKI431"/>
      <c r="IKJ431"/>
      <c r="IKK431"/>
      <c r="IKL431"/>
      <c r="IKM431"/>
      <c r="IKN431"/>
      <c r="IKO431"/>
      <c r="IKP431"/>
      <c r="IKQ431"/>
      <c r="IKR431"/>
      <c r="IKS431"/>
      <c r="IKT431"/>
      <c r="IKU431"/>
      <c r="IKV431"/>
      <c r="IKW431"/>
      <c r="IKX431"/>
      <c r="IKY431"/>
      <c r="IKZ431"/>
      <c r="ILA431"/>
      <c r="ILB431"/>
      <c r="ILC431"/>
      <c r="ILD431"/>
      <c r="ILE431"/>
      <c r="ILF431"/>
      <c r="ILG431"/>
      <c r="ILH431"/>
      <c r="ILI431"/>
      <c r="ILJ431"/>
      <c r="ILK431"/>
      <c r="ILL431"/>
      <c r="ILM431"/>
      <c r="ILN431"/>
      <c r="ILO431"/>
      <c r="ILP431"/>
      <c r="ILQ431"/>
      <c r="ILR431"/>
      <c r="ILS431"/>
      <c r="ILT431"/>
      <c r="ILU431"/>
      <c r="ILV431"/>
      <c r="ILW431"/>
      <c r="ILX431"/>
      <c r="ILY431"/>
      <c r="ILZ431"/>
      <c r="IMA431"/>
      <c r="IMB431"/>
      <c r="IMC431"/>
      <c r="IMD431"/>
      <c r="IME431"/>
      <c r="IMF431"/>
      <c r="IMG431"/>
      <c r="IMH431"/>
      <c r="IMI431"/>
      <c r="IMJ431"/>
      <c r="IMK431"/>
      <c r="IML431"/>
      <c r="IMM431"/>
      <c r="IMN431"/>
      <c r="IMO431"/>
      <c r="IMP431"/>
      <c r="IMQ431"/>
      <c r="IMR431"/>
      <c r="IMS431"/>
      <c r="IMT431"/>
      <c r="IMU431"/>
      <c r="IMV431"/>
      <c r="IMW431"/>
      <c r="IMX431"/>
      <c r="IMY431"/>
      <c r="IMZ431"/>
      <c r="INA431"/>
      <c r="INB431"/>
      <c r="INC431"/>
      <c r="IND431"/>
      <c r="INE431"/>
      <c r="INF431"/>
      <c r="ING431"/>
      <c r="INH431"/>
      <c r="INI431"/>
      <c r="INJ431"/>
      <c r="INK431"/>
      <c r="INL431"/>
      <c r="INM431"/>
      <c r="INN431"/>
      <c r="INO431"/>
      <c r="INP431"/>
      <c r="INQ431"/>
      <c r="INR431"/>
      <c r="INS431"/>
      <c r="INT431"/>
      <c r="INU431"/>
      <c r="INV431"/>
      <c r="INW431"/>
      <c r="INX431"/>
      <c r="INY431"/>
      <c r="INZ431"/>
      <c r="IOA431"/>
      <c r="IOB431"/>
      <c r="IOC431"/>
      <c r="IOD431"/>
      <c r="IOE431"/>
      <c r="IOF431"/>
      <c r="IOG431"/>
      <c r="IOH431"/>
      <c r="IOI431"/>
      <c r="IOJ431"/>
      <c r="IOK431"/>
      <c r="IOL431"/>
      <c r="IOM431"/>
      <c r="ION431"/>
      <c r="IOO431"/>
      <c r="IOP431"/>
      <c r="IOQ431"/>
      <c r="IOR431"/>
      <c r="IOS431"/>
      <c r="IOT431"/>
      <c r="IOU431"/>
      <c r="IOV431"/>
      <c r="IOW431"/>
      <c r="IOX431"/>
      <c r="IOY431"/>
      <c r="IOZ431"/>
      <c r="IPA431"/>
      <c r="IPB431"/>
      <c r="IPC431"/>
      <c r="IPD431"/>
      <c r="IPE431"/>
      <c r="IPF431"/>
      <c r="IPG431"/>
      <c r="IPH431"/>
      <c r="IPI431"/>
      <c r="IPJ431"/>
      <c r="IPK431"/>
      <c r="IPL431"/>
      <c r="IPM431"/>
      <c r="IPN431"/>
      <c r="IPO431"/>
      <c r="IPP431"/>
      <c r="IPQ431"/>
      <c r="IPR431"/>
      <c r="IPS431"/>
      <c r="IPT431"/>
      <c r="IPU431"/>
      <c r="IPV431"/>
      <c r="IPW431"/>
      <c r="IPX431"/>
      <c r="IPY431"/>
      <c r="IPZ431"/>
      <c r="IQA431"/>
      <c r="IQB431"/>
      <c r="IQC431"/>
      <c r="IQD431"/>
      <c r="IQE431"/>
      <c r="IQF431"/>
      <c r="IQG431"/>
      <c r="IQH431"/>
      <c r="IQI431"/>
      <c r="IQJ431"/>
      <c r="IQK431"/>
      <c r="IQL431"/>
      <c r="IQM431"/>
      <c r="IQN431"/>
      <c r="IQO431"/>
      <c r="IQP431"/>
      <c r="IQQ431"/>
      <c r="IQR431"/>
      <c r="IQS431"/>
      <c r="IQT431"/>
      <c r="IQU431"/>
      <c r="IQV431"/>
      <c r="IQW431"/>
      <c r="IQX431"/>
      <c r="IQY431"/>
      <c r="IQZ431"/>
      <c r="IRA431"/>
      <c r="IRB431"/>
      <c r="IRC431"/>
      <c r="IRD431"/>
      <c r="IRE431"/>
      <c r="IRF431"/>
      <c r="IRG431"/>
      <c r="IRH431"/>
      <c r="IRI431"/>
      <c r="IRJ431"/>
      <c r="IRK431"/>
      <c r="IRL431"/>
      <c r="IRM431"/>
      <c r="IRN431"/>
      <c r="IRO431"/>
      <c r="IRP431"/>
      <c r="IRQ431"/>
      <c r="IRR431"/>
      <c r="IRS431"/>
      <c r="IRT431"/>
      <c r="IRU431"/>
      <c r="IRV431"/>
      <c r="IRW431"/>
      <c r="IRX431"/>
      <c r="IRY431"/>
      <c r="IRZ431"/>
      <c r="ISA431"/>
      <c r="ISB431"/>
      <c r="ISC431"/>
      <c r="ISD431"/>
      <c r="ISE431"/>
      <c r="ISF431"/>
      <c r="ISG431"/>
      <c r="ISH431"/>
      <c r="ISI431"/>
      <c r="ISJ431"/>
      <c r="ISK431"/>
      <c r="ISL431"/>
      <c r="ISM431"/>
      <c r="ISN431"/>
      <c r="ISO431"/>
      <c r="ISP431"/>
      <c r="ISQ431"/>
      <c r="ISR431"/>
      <c r="ISS431"/>
      <c r="IST431"/>
      <c r="ISU431"/>
      <c r="ISV431"/>
      <c r="ISW431"/>
      <c r="ISX431"/>
      <c r="ISY431"/>
      <c r="ISZ431"/>
      <c r="ITA431"/>
      <c r="ITB431"/>
      <c r="ITC431"/>
      <c r="ITD431"/>
      <c r="ITE431"/>
      <c r="ITF431"/>
      <c r="ITG431"/>
      <c r="ITH431"/>
      <c r="ITI431"/>
      <c r="ITJ431"/>
      <c r="ITK431"/>
      <c r="ITL431"/>
      <c r="ITM431"/>
      <c r="ITN431"/>
      <c r="ITO431"/>
      <c r="ITP431"/>
      <c r="ITQ431"/>
      <c r="ITR431"/>
      <c r="ITS431"/>
      <c r="ITT431"/>
      <c r="ITU431"/>
      <c r="ITV431"/>
      <c r="ITW431"/>
      <c r="ITX431"/>
      <c r="ITY431"/>
      <c r="ITZ431"/>
      <c r="IUA431"/>
      <c r="IUB431"/>
      <c r="IUC431"/>
      <c r="IUD431"/>
      <c r="IUE431"/>
      <c r="IUF431"/>
      <c r="IUG431"/>
      <c r="IUH431"/>
      <c r="IUI431"/>
      <c r="IUJ431"/>
      <c r="IUK431"/>
      <c r="IUL431"/>
      <c r="IUM431"/>
      <c r="IUN431"/>
      <c r="IUO431"/>
      <c r="IUP431"/>
      <c r="IUQ431"/>
      <c r="IUR431"/>
      <c r="IUS431"/>
      <c r="IUT431"/>
      <c r="IUU431"/>
      <c r="IUV431"/>
      <c r="IUW431"/>
      <c r="IUX431"/>
      <c r="IUY431"/>
      <c r="IUZ431"/>
      <c r="IVA431"/>
      <c r="IVB431"/>
      <c r="IVC431"/>
      <c r="IVD431"/>
      <c r="IVE431"/>
      <c r="IVF431"/>
      <c r="IVG431"/>
      <c r="IVH431"/>
      <c r="IVI431"/>
      <c r="IVJ431"/>
      <c r="IVK431"/>
      <c r="IVL431"/>
      <c r="IVM431"/>
      <c r="IVN431"/>
      <c r="IVO431"/>
      <c r="IVP431"/>
      <c r="IVQ431"/>
      <c r="IVR431"/>
      <c r="IVS431"/>
      <c r="IVT431"/>
      <c r="IVU431"/>
      <c r="IVV431"/>
      <c r="IVW431"/>
      <c r="IVX431"/>
      <c r="IVY431"/>
      <c r="IVZ431"/>
      <c r="IWA431"/>
      <c r="IWB431"/>
      <c r="IWC431"/>
      <c r="IWD431"/>
      <c r="IWE431"/>
      <c r="IWF431"/>
      <c r="IWG431"/>
      <c r="IWH431"/>
      <c r="IWI431"/>
      <c r="IWJ431"/>
      <c r="IWK431"/>
      <c r="IWL431"/>
      <c r="IWM431"/>
      <c r="IWN431"/>
      <c r="IWO431"/>
      <c r="IWP431"/>
      <c r="IWQ431"/>
      <c r="IWR431"/>
      <c r="IWS431"/>
      <c r="IWT431"/>
      <c r="IWU431"/>
      <c r="IWV431"/>
      <c r="IWW431"/>
      <c r="IWX431"/>
      <c r="IWY431"/>
      <c r="IWZ431"/>
      <c r="IXA431"/>
      <c r="IXB431"/>
      <c r="IXC431"/>
      <c r="IXD431"/>
      <c r="IXE431"/>
      <c r="IXF431"/>
      <c r="IXG431"/>
      <c r="IXH431"/>
      <c r="IXI431"/>
      <c r="IXJ431"/>
      <c r="IXK431"/>
      <c r="IXL431"/>
      <c r="IXM431"/>
      <c r="IXN431"/>
      <c r="IXO431"/>
      <c r="IXP431"/>
      <c r="IXQ431"/>
      <c r="IXR431"/>
      <c r="IXS431"/>
      <c r="IXT431"/>
      <c r="IXU431"/>
      <c r="IXV431"/>
      <c r="IXW431"/>
      <c r="IXX431"/>
      <c r="IXY431"/>
      <c r="IXZ431"/>
      <c r="IYA431"/>
      <c r="IYB431"/>
      <c r="IYC431"/>
      <c r="IYD431"/>
      <c r="IYE431"/>
      <c r="IYF431"/>
      <c r="IYG431"/>
      <c r="IYH431"/>
      <c r="IYI431"/>
      <c r="IYJ431"/>
      <c r="IYK431"/>
      <c r="IYL431"/>
      <c r="IYM431"/>
      <c r="IYN431"/>
      <c r="IYO431"/>
      <c r="IYP431"/>
      <c r="IYQ431"/>
      <c r="IYR431"/>
      <c r="IYS431"/>
      <c r="IYT431"/>
      <c r="IYU431"/>
      <c r="IYV431"/>
      <c r="IYW431"/>
      <c r="IYX431"/>
      <c r="IYY431"/>
      <c r="IYZ431"/>
      <c r="IZA431"/>
      <c r="IZB431"/>
      <c r="IZC431"/>
      <c r="IZD431"/>
      <c r="IZE431"/>
      <c r="IZF431"/>
      <c r="IZG431"/>
      <c r="IZH431"/>
      <c r="IZI431"/>
      <c r="IZJ431"/>
      <c r="IZK431"/>
      <c r="IZL431"/>
      <c r="IZM431"/>
      <c r="IZN431"/>
      <c r="IZO431"/>
      <c r="IZP431"/>
      <c r="IZQ431"/>
      <c r="IZR431"/>
      <c r="IZS431"/>
      <c r="IZT431"/>
      <c r="IZU431"/>
      <c r="IZV431"/>
      <c r="IZW431"/>
      <c r="IZX431"/>
      <c r="IZY431"/>
      <c r="IZZ431"/>
      <c r="JAA431"/>
      <c r="JAB431"/>
      <c r="JAC431"/>
      <c r="JAD431"/>
      <c r="JAE431"/>
      <c r="JAF431"/>
      <c r="JAG431"/>
      <c r="JAH431"/>
      <c r="JAI431"/>
      <c r="JAJ431"/>
      <c r="JAK431"/>
      <c r="JAL431"/>
      <c r="JAM431"/>
      <c r="JAN431"/>
      <c r="JAO431"/>
      <c r="JAP431"/>
      <c r="JAQ431"/>
      <c r="JAR431"/>
      <c r="JAS431"/>
      <c r="JAT431"/>
      <c r="JAU431"/>
      <c r="JAV431"/>
      <c r="JAW431"/>
      <c r="JAX431"/>
      <c r="JAY431"/>
      <c r="JAZ431"/>
      <c r="JBA431"/>
      <c r="JBB431"/>
      <c r="JBC431"/>
      <c r="JBD431"/>
      <c r="JBE431"/>
      <c r="JBF431"/>
      <c r="JBG431"/>
      <c r="JBH431"/>
      <c r="JBI431"/>
      <c r="JBJ431"/>
      <c r="JBK431"/>
      <c r="JBL431"/>
      <c r="JBM431"/>
      <c r="JBN431"/>
      <c r="JBO431"/>
      <c r="JBP431"/>
      <c r="JBQ431"/>
      <c r="JBR431"/>
      <c r="JBS431"/>
      <c r="JBT431"/>
      <c r="JBU431"/>
      <c r="JBV431"/>
      <c r="JBW431"/>
      <c r="JBX431"/>
      <c r="JBY431"/>
      <c r="JBZ431"/>
      <c r="JCA431"/>
      <c r="JCB431"/>
      <c r="JCC431"/>
      <c r="JCD431"/>
      <c r="JCE431"/>
      <c r="JCF431"/>
      <c r="JCG431"/>
      <c r="JCH431"/>
      <c r="JCI431"/>
      <c r="JCJ431"/>
      <c r="JCK431"/>
      <c r="JCL431"/>
      <c r="JCM431"/>
      <c r="JCN431"/>
      <c r="JCO431"/>
      <c r="JCP431"/>
      <c r="JCQ431"/>
      <c r="JCR431"/>
      <c r="JCS431"/>
      <c r="JCT431"/>
      <c r="JCU431"/>
      <c r="JCV431"/>
      <c r="JCW431"/>
      <c r="JCX431"/>
      <c r="JCY431"/>
      <c r="JCZ431"/>
      <c r="JDA431"/>
      <c r="JDB431"/>
      <c r="JDC431"/>
      <c r="JDD431"/>
      <c r="JDE431"/>
      <c r="JDF431"/>
      <c r="JDG431"/>
      <c r="JDH431"/>
      <c r="JDI431"/>
      <c r="JDJ431"/>
      <c r="JDK431"/>
      <c r="JDL431"/>
      <c r="JDM431"/>
      <c r="JDN431"/>
      <c r="JDO431"/>
      <c r="JDP431"/>
      <c r="JDQ431"/>
      <c r="JDR431"/>
      <c r="JDS431"/>
      <c r="JDT431"/>
      <c r="JDU431"/>
      <c r="JDV431"/>
      <c r="JDW431"/>
      <c r="JDX431"/>
      <c r="JDY431"/>
      <c r="JDZ431"/>
      <c r="JEA431"/>
      <c r="JEB431"/>
      <c r="JEC431"/>
      <c r="JED431"/>
      <c r="JEE431"/>
      <c r="JEF431"/>
      <c r="JEG431"/>
      <c r="JEH431"/>
      <c r="JEI431"/>
      <c r="JEJ431"/>
      <c r="JEK431"/>
      <c r="JEL431"/>
      <c r="JEM431"/>
      <c r="JEN431"/>
      <c r="JEO431"/>
      <c r="JEP431"/>
      <c r="JEQ431"/>
      <c r="JER431"/>
      <c r="JES431"/>
      <c r="JET431"/>
      <c r="JEU431"/>
      <c r="JEV431"/>
      <c r="JEW431"/>
      <c r="JEX431"/>
      <c r="JEY431"/>
      <c r="JEZ431"/>
      <c r="JFA431"/>
      <c r="JFB431"/>
      <c r="JFC431"/>
      <c r="JFD431"/>
      <c r="JFE431"/>
      <c r="JFF431"/>
      <c r="JFG431"/>
      <c r="JFH431"/>
      <c r="JFI431"/>
      <c r="JFJ431"/>
      <c r="JFK431"/>
      <c r="JFL431"/>
      <c r="JFM431"/>
      <c r="JFN431"/>
      <c r="JFO431"/>
      <c r="JFP431"/>
      <c r="JFQ431"/>
      <c r="JFR431"/>
      <c r="JFS431"/>
      <c r="JFT431"/>
      <c r="JFU431"/>
      <c r="JFV431"/>
      <c r="JFW431"/>
      <c r="JFX431"/>
      <c r="JFY431"/>
      <c r="JFZ431"/>
      <c r="JGA431"/>
      <c r="JGB431"/>
      <c r="JGC431"/>
      <c r="JGD431"/>
      <c r="JGE431"/>
      <c r="JGF431"/>
      <c r="JGG431"/>
      <c r="JGH431"/>
      <c r="JGI431"/>
      <c r="JGJ431"/>
      <c r="JGK431"/>
      <c r="JGL431"/>
      <c r="JGM431"/>
      <c r="JGN431"/>
      <c r="JGO431"/>
      <c r="JGP431"/>
      <c r="JGQ431"/>
      <c r="JGR431"/>
      <c r="JGS431"/>
      <c r="JGT431"/>
      <c r="JGU431"/>
      <c r="JGV431"/>
      <c r="JGW431"/>
      <c r="JGX431"/>
      <c r="JGY431"/>
      <c r="JGZ431"/>
      <c r="JHA431"/>
      <c r="JHB431"/>
      <c r="JHC431"/>
      <c r="JHD431"/>
      <c r="JHE431"/>
      <c r="JHF431"/>
      <c r="JHG431"/>
      <c r="JHH431"/>
      <c r="JHI431"/>
      <c r="JHJ431"/>
      <c r="JHK431"/>
      <c r="JHL431"/>
      <c r="JHM431"/>
      <c r="JHN431"/>
      <c r="JHO431"/>
      <c r="JHP431"/>
      <c r="JHQ431"/>
      <c r="JHR431"/>
      <c r="JHS431"/>
      <c r="JHT431"/>
      <c r="JHU431"/>
      <c r="JHV431"/>
      <c r="JHW431"/>
      <c r="JHX431"/>
      <c r="JHY431"/>
      <c r="JHZ431"/>
      <c r="JIA431"/>
      <c r="JIB431"/>
      <c r="JIC431"/>
      <c r="JID431"/>
      <c r="JIE431"/>
      <c r="JIF431"/>
      <c r="JIG431"/>
      <c r="JIH431"/>
      <c r="JII431"/>
      <c r="JIJ431"/>
      <c r="JIK431"/>
      <c r="JIL431"/>
      <c r="JIM431"/>
      <c r="JIN431"/>
      <c r="JIO431"/>
      <c r="JIP431"/>
      <c r="JIQ431"/>
      <c r="JIR431"/>
      <c r="JIS431"/>
      <c r="JIT431"/>
      <c r="JIU431"/>
      <c r="JIV431"/>
      <c r="JIW431"/>
      <c r="JIX431"/>
      <c r="JIY431"/>
      <c r="JIZ431"/>
      <c r="JJA431"/>
      <c r="JJB431"/>
      <c r="JJC431"/>
      <c r="JJD431"/>
      <c r="JJE431"/>
      <c r="JJF431"/>
      <c r="JJG431"/>
      <c r="JJH431"/>
      <c r="JJI431"/>
      <c r="JJJ431"/>
      <c r="JJK431"/>
      <c r="JJL431"/>
      <c r="JJM431"/>
      <c r="JJN431"/>
      <c r="JJO431"/>
      <c r="JJP431"/>
      <c r="JJQ431"/>
      <c r="JJR431"/>
      <c r="JJS431"/>
      <c r="JJT431"/>
      <c r="JJU431"/>
      <c r="JJV431"/>
      <c r="JJW431"/>
      <c r="JJX431"/>
      <c r="JJY431"/>
      <c r="JJZ431"/>
      <c r="JKA431"/>
      <c r="JKB431"/>
      <c r="JKC431"/>
      <c r="JKD431"/>
      <c r="JKE431"/>
      <c r="JKF431"/>
      <c r="JKG431"/>
      <c r="JKH431"/>
      <c r="JKI431"/>
      <c r="JKJ431"/>
      <c r="JKK431"/>
      <c r="JKL431"/>
      <c r="JKM431"/>
      <c r="JKN431"/>
      <c r="JKO431"/>
      <c r="JKP431"/>
      <c r="JKQ431"/>
      <c r="JKR431"/>
      <c r="JKS431"/>
      <c r="JKT431"/>
      <c r="JKU431"/>
      <c r="JKV431"/>
      <c r="JKW431"/>
      <c r="JKX431"/>
      <c r="JKY431"/>
      <c r="JKZ431"/>
      <c r="JLA431"/>
      <c r="JLB431"/>
      <c r="JLC431"/>
      <c r="JLD431"/>
      <c r="JLE431"/>
      <c r="JLF431"/>
      <c r="JLG431"/>
      <c r="JLH431"/>
      <c r="JLI431"/>
      <c r="JLJ431"/>
      <c r="JLK431"/>
      <c r="JLL431"/>
      <c r="JLM431"/>
      <c r="JLN431"/>
      <c r="JLO431"/>
      <c r="JLP431"/>
      <c r="JLQ431"/>
      <c r="JLR431"/>
      <c r="JLS431"/>
      <c r="JLT431"/>
      <c r="JLU431"/>
      <c r="JLV431"/>
      <c r="JLW431"/>
      <c r="JLX431"/>
      <c r="JLY431"/>
      <c r="JLZ431"/>
      <c r="JMA431"/>
      <c r="JMB431"/>
      <c r="JMC431"/>
      <c r="JMD431"/>
      <c r="JME431"/>
      <c r="JMF431"/>
      <c r="JMG431"/>
      <c r="JMH431"/>
      <c r="JMI431"/>
      <c r="JMJ431"/>
      <c r="JMK431"/>
      <c r="JML431"/>
      <c r="JMM431"/>
      <c r="JMN431"/>
      <c r="JMO431"/>
      <c r="JMP431"/>
      <c r="JMQ431"/>
      <c r="JMR431"/>
      <c r="JMS431"/>
      <c r="JMT431"/>
      <c r="JMU431"/>
      <c r="JMV431"/>
      <c r="JMW431"/>
      <c r="JMX431"/>
      <c r="JMY431"/>
      <c r="JMZ431"/>
      <c r="JNA431"/>
      <c r="JNB431"/>
      <c r="JNC431"/>
      <c r="JND431"/>
      <c r="JNE431"/>
      <c r="JNF431"/>
      <c r="JNG431"/>
      <c r="JNH431"/>
      <c r="JNI431"/>
      <c r="JNJ431"/>
      <c r="JNK431"/>
      <c r="JNL431"/>
      <c r="JNM431"/>
      <c r="JNN431"/>
      <c r="JNO431"/>
      <c r="JNP431"/>
      <c r="JNQ431"/>
      <c r="JNR431"/>
      <c r="JNS431"/>
      <c r="JNT431"/>
      <c r="JNU431"/>
      <c r="JNV431"/>
      <c r="JNW431"/>
      <c r="JNX431"/>
      <c r="JNY431"/>
      <c r="JNZ431"/>
      <c r="JOA431"/>
      <c r="JOB431"/>
      <c r="JOC431"/>
      <c r="JOD431"/>
      <c r="JOE431"/>
      <c r="JOF431"/>
      <c r="JOG431"/>
      <c r="JOH431"/>
      <c r="JOI431"/>
      <c r="JOJ431"/>
      <c r="JOK431"/>
      <c r="JOL431"/>
      <c r="JOM431"/>
      <c r="JON431"/>
      <c r="JOO431"/>
      <c r="JOP431"/>
      <c r="JOQ431"/>
      <c r="JOR431"/>
      <c r="JOS431"/>
      <c r="JOT431"/>
      <c r="JOU431"/>
      <c r="JOV431"/>
      <c r="JOW431"/>
      <c r="JOX431"/>
      <c r="JOY431"/>
      <c r="JOZ431"/>
      <c r="JPA431"/>
      <c r="JPB431"/>
      <c r="JPC431"/>
      <c r="JPD431"/>
      <c r="JPE431"/>
      <c r="JPF431"/>
      <c r="JPG431"/>
      <c r="JPH431"/>
      <c r="JPI431"/>
      <c r="JPJ431"/>
      <c r="JPK431"/>
      <c r="JPL431"/>
      <c r="JPM431"/>
      <c r="JPN431"/>
      <c r="JPO431"/>
      <c r="JPP431"/>
      <c r="JPQ431"/>
      <c r="JPR431"/>
      <c r="JPS431"/>
      <c r="JPT431"/>
      <c r="JPU431"/>
      <c r="JPV431"/>
      <c r="JPW431"/>
      <c r="JPX431"/>
      <c r="JPY431"/>
      <c r="JPZ431"/>
      <c r="JQA431"/>
      <c r="JQB431"/>
      <c r="JQC431"/>
      <c r="JQD431"/>
      <c r="JQE431"/>
      <c r="JQF431"/>
      <c r="JQG431"/>
      <c r="JQH431"/>
      <c r="JQI431"/>
      <c r="JQJ431"/>
      <c r="JQK431"/>
      <c r="JQL431"/>
      <c r="JQM431"/>
      <c r="JQN431"/>
      <c r="JQO431"/>
      <c r="JQP431"/>
      <c r="JQQ431"/>
      <c r="JQR431"/>
      <c r="JQS431"/>
      <c r="JQT431"/>
      <c r="JQU431"/>
      <c r="JQV431"/>
      <c r="JQW431"/>
      <c r="JQX431"/>
      <c r="JQY431"/>
      <c r="JQZ431"/>
      <c r="JRA431"/>
      <c r="JRB431"/>
      <c r="JRC431"/>
      <c r="JRD431"/>
      <c r="JRE431"/>
      <c r="JRF431"/>
      <c r="JRG431"/>
      <c r="JRH431"/>
      <c r="JRI431"/>
      <c r="JRJ431"/>
      <c r="JRK431"/>
      <c r="JRL431"/>
      <c r="JRM431"/>
      <c r="JRN431"/>
      <c r="JRO431"/>
      <c r="JRP431"/>
      <c r="JRQ431"/>
      <c r="JRR431"/>
      <c r="JRS431"/>
      <c r="JRT431"/>
      <c r="JRU431"/>
      <c r="JRV431"/>
      <c r="JRW431"/>
      <c r="JRX431"/>
      <c r="JRY431"/>
      <c r="JRZ431"/>
      <c r="JSA431"/>
      <c r="JSB431"/>
      <c r="JSC431"/>
      <c r="JSD431"/>
      <c r="JSE431"/>
      <c r="JSF431"/>
      <c r="JSG431"/>
      <c r="JSH431"/>
      <c r="JSI431"/>
      <c r="JSJ431"/>
      <c r="JSK431"/>
      <c r="JSL431"/>
      <c r="JSM431"/>
      <c r="JSN431"/>
      <c r="JSO431"/>
      <c r="JSP431"/>
      <c r="JSQ431"/>
      <c r="JSR431"/>
      <c r="JSS431"/>
      <c r="JST431"/>
      <c r="JSU431"/>
      <c r="JSV431"/>
      <c r="JSW431"/>
      <c r="JSX431"/>
      <c r="JSY431"/>
      <c r="JSZ431"/>
      <c r="JTA431"/>
      <c r="JTB431"/>
      <c r="JTC431"/>
      <c r="JTD431"/>
      <c r="JTE431"/>
      <c r="JTF431"/>
      <c r="JTG431"/>
      <c r="JTH431"/>
      <c r="JTI431"/>
      <c r="JTJ431"/>
      <c r="JTK431"/>
      <c r="JTL431"/>
      <c r="JTM431"/>
      <c r="JTN431"/>
      <c r="JTO431"/>
      <c r="JTP431"/>
      <c r="JTQ431"/>
      <c r="JTR431"/>
      <c r="JTS431"/>
      <c r="JTT431"/>
      <c r="JTU431"/>
      <c r="JTV431"/>
      <c r="JTW431"/>
      <c r="JTX431"/>
      <c r="JTY431"/>
      <c r="JTZ431"/>
      <c r="JUA431"/>
      <c r="JUB431"/>
      <c r="JUC431"/>
      <c r="JUD431"/>
      <c r="JUE431"/>
      <c r="JUF431"/>
      <c r="JUG431"/>
      <c r="JUH431"/>
      <c r="JUI431"/>
      <c r="JUJ431"/>
      <c r="JUK431"/>
      <c r="JUL431"/>
      <c r="JUM431"/>
      <c r="JUN431"/>
      <c r="JUO431"/>
      <c r="JUP431"/>
      <c r="JUQ431"/>
      <c r="JUR431"/>
      <c r="JUS431"/>
      <c r="JUT431"/>
      <c r="JUU431"/>
      <c r="JUV431"/>
      <c r="JUW431"/>
      <c r="JUX431"/>
      <c r="JUY431"/>
      <c r="JUZ431"/>
      <c r="JVA431"/>
      <c r="JVB431"/>
      <c r="JVC431"/>
      <c r="JVD431"/>
      <c r="JVE431"/>
      <c r="JVF431"/>
      <c r="JVG431"/>
      <c r="JVH431"/>
      <c r="JVI431"/>
      <c r="JVJ431"/>
      <c r="JVK431"/>
      <c r="JVL431"/>
      <c r="JVM431"/>
      <c r="JVN431"/>
      <c r="JVO431"/>
      <c r="JVP431"/>
      <c r="JVQ431"/>
      <c r="JVR431"/>
      <c r="JVS431"/>
      <c r="JVT431"/>
      <c r="JVU431"/>
      <c r="JVV431"/>
      <c r="JVW431"/>
      <c r="JVX431"/>
      <c r="JVY431"/>
      <c r="JVZ431"/>
      <c r="JWA431"/>
      <c r="JWB431"/>
      <c r="JWC431"/>
      <c r="JWD431"/>
      <c r="JWE431"/>
      <c r="JWF431"/>
      <c r="JWG431"/>
      <c r="JWH431"/>
      <c r="JWI431"/>
      <c r="JWJ431"/>
      <c r="JWK431"/>
      <c r="JWL431"/>
      <c r="JWM431"/>
      <c r="JWN431"/>
      <c r="JWO431"/>
      <c r="JWP431"/>
      <c r="JWQ431"/>
      <c r="JWR431"/>
      <c r="JWS431"/>
      <c r="JWT431"/>
      <c r="JWU431"/>
      <c r="JWV431"/>
      <c r="JWW431"/>
      <c r="JWX431"/>
      <c r="JWY431"/>
      <c r="JWZ431"/>
      <c r="JXA431"/>
      <c r="JXB431"/>
      <c r="JXC431"/>
      <c r="JXD431"/>
      <c r="JXE431"/>
      <c r="JXF431"/>
      <c r="JXG431"/>
      <c r="JXH431"/>
      <c r="JXI431"/>
      <c r="JXJ431"/>
      <c r="JXK431"/>
      <c r="JXL431"/>
      <c r="JXM431"/>
      <c r="JXN431"/>
      <c r="JXO431"/>
      <c r="JXP431"/>
      <c r="JXQ431"/>
      <c r="JXR431"/>
      <c r="JXS431"/>
      <c r="JXT431"/>
      <c r="JXU431"/>
      <c r="JXV431"/>
      <c r="JXW431"/>
      <c r="JXX431"/>
      <c r="JXY431"/>
      <c r="JXZ431"/>
      <c r="JYA431"/>
      <c r="JYB431"/>
      <c r="JYC431"/>
      <c r="JYD431"/>
      <c r="JYE431"/>
      <c r="JYF431"/>
      <c r="JYG431"/>
      <c r="JYH431"/>
      <c r="JYI431"/>
      <c r="JYJ431"/>
      <c r="JYK431"/>
      <c r="JYL431"/>
      <c r="JYM431"/>
      <c r="JYN431"/>
      <c r="JYO431"/>
      <c r="JYP431"/>
      <c r="JYQ431"/>
      <c r="JYR431"/>
      <c r="JYS431"/>
      <c r="JYT431"/>
      <c r="JYU431"/>
      <c r="JYV431"/>
      <c r="JYW431"/>
      <c r="JYX431"/>
      <c r="JYY431"/>
      <c r="JYZ431"/>
      <c r="JZA431"/>
      <c r="JZB431"/>
      <c r="JZC431"/>
      <c r="JZD431"/>
      <c r="JZE431"/>
      <c r="JZF431"/>
      <c r="JZG431"/>
      <c r="JZH431"/>
      <c r="JZI431"/>
      <c r="JZJ431"/>
      <c r="JZK431"/>
      <c r="JZL431"/>
      <c r="JZM431"/>
      <c r="JZN431"/>
      <c r="JZO431"/>
      <c r="JZP431"/>
      <c r="JZQ431"/>
      <c r="JZR431"/>
      <c r="JZS431"/>
      <c r="JZT431"/>
      <c r="JZU431"/>
      <c r="JZV431"/>
      <c r="JZW431"/>
      <c r="JZX431"/>
      <c r="JZY431"/>
      <c r="JZZ431"/>
      <c r="KAA431"/>
      <c r="KAB431"/>
      <c r="KAC431"/>
      <c r="KAD431"/>
      <c r="KAE431"/>
      <c r="KAF431"/>
      <c r="KAG431"/>
      <c r="KAH431"/>
      <c r="KAI431"/>
      <c r="KAJ431"/>
      <c r="KAK431"/>
      <c r="KAL431"/>
      <c r="KAM431"/>
      <c r="KAN431"/>
      <c r="KAO431"/>
      <c r="KAP431"/>
      <c r="KAQ431"/>
      <c r="KAR431"/>
      <c r="KAS431"/>
      <c r="KAT431"/>
      <c r="KAU431"/>
      <c r="KAV431"/>
      <c r="KAW431"/>
      <c r="KAX431"/>
      <c r="KAY431"/>
      <c r="KAZ431"/>
      <c r="KBA431"/>
      <c r="KBB431"/>
      <c r="KBC431"/>
      <c r="KBD431"/>
      <c r="KBE431"/>
      <c r="KBF431"/>
      <c r="KBG431"/>
      <c r="KBH431"/>
      <c r="KBI431"/>
      <c r="KBJ431"/>
      <c r="KBK431"/>
      <c r="KBL431"/>
      <c r="KBM431"/>
      <c r="KBN431"/>
      <c r="KBO431"/>
      <c r="KBP431"/>
      <c r="KBQ431"/>
      <c r="KBR431"/>
      <c r="KBS431"/>
      <c r="KBT431"/>
      <c r="KBU431"/>
      <c r="KBV431"/>
      <c r="KBW431"/>
      <c r="KBX431"/>
      <c r="KBY431"/>
      <c r="KBZ431"/>
      <c r="KCA431"/>
      <c r="KCB431"/>
      <c r="KCC431"/>
      <c r="KCD431"/>
      <c r="KCE431"/>
      <c r="KCF431"/>
      <c r="KCG431"/>
      <c r="KCH431"/>
      <c r="KCI431"/>
      <c r="KCJ431"/>
      <c r="KCK431"/>
      <c r="KCL431"/>
      <c r="KCM431"/>
      <c r="KCN431"/>
      <c r="KCO431"/>
      <c r="KCP431"/>
      <c r="KCQ431"/>
      <c r="KCR431"/>
      <c r="KCS431"/>
      <c r="KCT431"/>
      <c r="KCU431"/>
      <c r="KCV431"/>
      <c r="KCW431"/>
      <c r="KCX431"/>
      <c r="KCY431"/>
      <c r="KCZ431"/>
      <c r="KDA431"/>
      <c r="KDB431"/>
      <c r="KDC431"/>
      <c r="KDD431"/>
      <c r="KDE431"/>
      <c r="KDF431"/>
      <c r="KDG431"/>
      <c r="KDH431"/>
      <c r="KDI431"/>
      <c r="KDJ431"/>
      <c r="KDK431"/>
      <c r="KDL431"/>
      <c r="KDM431"/>
      <c r="KDN431"/>
      <c r="KDO431"/>
      <c r="KDP431"/>
      <c r="KDQ431"/>
      <c r="KDR431"/>
      <c r="KDS431"/>
      <c r="KDT431"/>
      <c r="KDU431"/>
      <c r="KDV431"/>
      <c r="KDW431"/>
      <c r="KDX431"/>
      <c r="KDY431"/>
      <c r="KDZ431"/>
      <c r="KEA431"/>
      <c r="KEB431"/>
      <c r="KEC431"/>
      <c r="KED431"/>
      <c r="KEE431"/>
      <c r="KEF431"/>
      <c r="KEG431"/>
      <c r="KEH431"/>
      <c r="KEI431"/>
      <c r="KEJ431"/>
      <c r="KEK431"/>
      <c r="KEL431"/>
      <c r="KEM431"/>
      <c r="KEN431"/>
      <c r="KEO431"/>
      <c r="KEP431"/>
      <c r="KEQ431"/>
      <c r="KER431"/>
      <c r="KES431"/>
      <c r="KET431"/>
      <c r="KEU431"/>
      <c r="KEV431"/>
      <c r="KEW431"/>
      <c r="KEX431"/>
      <c r="KEY431"/>
      <c r="KEZ431"/>
      <c r="KFA431"/>
      <c r="KFB431"/>
      <c r="KFC431"/>
      <c r="KFD431"/>
      <c r="KFE431"/>
      <c r="KFF431"/>
      <c r="KFG431"/>
      <c r="KFH431"/>
      <c r="KFI431"/>
      <c r="KFJ431"/>
      <c r="KFK431"/>
      <c r="KFL431"/>
      <c r="KFM431"/>
      <c r="KFN431"/>
      <c r="KFO431"/>
      <c r="KFP431"/>
      <c r="KFQ431"/>
      <c r="KFR431"/>
      <c r="KFS431"/>
      <c r="KFT431"/>
      <c r="KFU431"/>
      <c r="KFV431"/>
      <c r="KFW431"/>
      <c r="KFX431"/>
      <c r="KFY431"/>
      <c r="KFZ431"/>
      <c r="KGA431"/>
      <c r="KGB431"/>
      <c r="KGC431"/>
      <c r="KGD431"/>
      <c r="KGE431"/>
      <c r="KGF431"/>
      <c r="KGG431"/>
      <c r="KGH431"/>
      <c r="KGI431"/>
      <c r="KGJ431"/>
      <c r="KGK431"/>
      <c r="KGL431"/>
      <c r="KGM431"/>
      <c r="KGN431"/>
      <c r="KGO431"/>
      <c r="KGP431"/>
      <c r="KGQ431"/>
      <c r="KGR431"/>
      <c r="KGS431"/>
      <c r="KGT431"/>
      <c r="KGU431"/>
      <c r="KGV431"/>
      <c r="KGW431"/>
      <c r="KGX431"/>
      <c r="KGY431"/>
      <c r="KGZ431"/>
      <c r="KHA431"/>
      <c r="KHB431"/>
      <c r="KHC431"/>
      <c r="KHD431"/>
      <c r="KHE431"/>
      <c r="KHF431"/>
      <c r="KHG431"/>
      <c r="KHH431"/>
      <c r="KHI431"/>
      <c r="KHJ431"/>
      <c r="KHK431"/>
      <c r="KHL431"/>
      <c r="KHM431"/>
      <c r="KHN431"/>
      <c r="KHO431"/>
      <c r="KHP431"/>
      <c r="KHQ431"/>
      <c r="KHR431"/>
      <c r="KHS431"/>
      <c r="KHT431"/>
      <c r="KHU431"/>
      <c r="KHV431"/>
      <c r="KHW431"/>
      <c r="KHX431"/>
      <c r="KHY431"/>
      <c r="KHZ431"/>
      <c r="KIA431"/>
      <c r="KIB431"/>
      <c r="KIC431"/>
      <c r="KID431"/>
      <c r="KIE431"/>
      <c r="KIF431"/>
      <c r="KIG431"/>
      <c r="KIH431"/>
      <c r="KII431"/>
      <c r="KIJ431"/>
      <c r="KIK431"/>
      <c r="KIL431"/>
      <c r="KIM431"/>
      <c r="KIN431"/>
      <c r="KIO431"/>
      <c r="KIP431"/>
      <c r="KIQ431"/>
      <c r="KIR431"/>
      <c r="KIS431"/>
      <c r="KIT431"/>
      <c r="KIU431"/>
      <c r="KIV431"/>
      <c r="KIW431"/>
      <c r="KIX431"/>
      <c r="KIY431"/>
      <c r="KIZ431"/>
      <c r="KJA431"/>
      <c r="KJB431"/>
      <c r="KJC431"/>
      <c r="KJD431"/>
      <c r="KJE431"/>
      <c r="KJF431"/>
      <c r="KJG431"/>
      <c r="KJH431"/>
      <c r="KJI431"/>
      <c r="KJJ431"/>
      <c r="KJK431"/>
      <c r="KJL431"/>
      <c r="KJM431"/>
      <c r="KJN431"/>
      <c r="KJO431"/>
      <c r="KJP431"/>
      <c r="KJQ431"/>
      <c r="KJR431"/>
      <c r="KJS431"/>
      <c r="KJT431"/>
      <c r="KJU431"/>
      <c r="KJV431"/>
      <c r="KJW431"/>
      <c r="KJX431"/>
      <c r="KJY431"/>
      <c r="KJZ431"/>
      <c r="KKA431"/>
      <c r="KKB431"/>
      <c r="KKC431"/>
      <c r="KKD431"/>
      <c r="KKE431"/>
      <c r="KKF431"/>
      <c r="KKG431"/>
      <c r="KKH431"/>
      <c r="KKI431"/>
      <c r="KKJ431"/>
      <c r="KKK431"/>
      <c r="KKL431"/>
      <c r="KKM431"/>
      <c r="KKN431"/>
      <c r="KKO431"/>
      <c r="KKP431"/>
      <c r="KKQ431"/>
      <c r="KKR431"/>
      <c r="KKS431"/>
      <c r="KKT431"/>
      <c r="KKU431"/>
      <c r="KKV431"/>
      <c r="KKW431"/>
      <c r="KKX431"/>
      <c r="KKY431"/>
      <c r="KKZ431"/>
      <c r="KLA431"/>
      <c r="KLB431"/>
      <c r="KLC431"/>
      <c r="KLD431"/>
      <c r="KLE431"/>
      <c r="KLF431"/>
      <c r="KLG431"/>
      <c r="KLH431"/>
      <c r="KLI431"/>
      <c r="KLJ431"/>
      <c r="KLK431"/>
      <c r="KLL431"/>
      <c r="KLM431"/>
      <c r="KLN431"/>
      <c r="KLO431"/>
      <c r="KLP431"/>
      <c r="KLQ431"/>
      <c r="KLR431"/>
      <c r="KLS431"/>
      <c r="KLT431"/>
      <c r="KLU431"/>
      <c r="KLV431"/>
      <c r="KLW431"/>
      <c r="KLX431"/>
      <c r="KLY431"/>
      <c r="KLZ431"/>
      <c r="KMA431"/>
      <c r="KMB431"/>
      <c r="KMC431"/>
      <c r="KMD431"/>
      <c r="KME431"/>
      <c r="KMF431"/>
      <c r="KMG431"/>
      <c r="KMH431"/>
      <c r="KMI431"/>
      <c r="KMJ431"/>
      <c r="KMK431"/>
      <c r="KML431"/>
      <c r="KMM431"/>
      <c r="KMN431"/>
      <c r="KMO431"/>
      <c r="KMP431"/>
      <c r="KMQ431"/>
      <c r="KMR431"/>
      <c r="KMS431"/>
      <c r="KMT431"/>
      <c r="KMU431"/>
      <c r="KMV431"/>
      <c r="KMW431"/>
      <c r="KMX431"/>
      <c r="KMY431"/>
      <c r="KMZ431"/>
      <c r="KNA431"/>
      <c r="KNB431"/>
      <c r="KNC431"/>
      <c r="KND431"/>
      <c r="KNE431"/>
      <c r="KNF431"/>
      <c r="KNG431"/>
      <c r="KNH431"/>
      <c r="KNI431"/>
      <c r="KNJ431"/>
      <c r="KNK431"/>
      <c r="KNL431"/>
      <c r="KNM431"/>
      <c r="KNN431"/>
      <c r="KNO431"/>
      <c r="KNP431"/>
      <c r="KNQ431"/>
      <c r="KNR431"/>
      <c r="KNS431"/>
      <c r="KNT431"/>
      <c r="KNU431"/>
      <c r="KNV431"/>
      <c r="KNW431"/>
      <c r="KNX431"/>
      <c r="KNY431"/>
      <c r="KNZ431"/>
      <c r="KOA431"/>
      <c r="KOB431"/>
      <c r="KOC431"/>
      <c r="KOD431"/>
      <c r="KOE431"/>
      <c r="KOF431"/>
      <c r="KOG431"/>
      <c r="KOH431"/>
      <c r="KOI431"/>
      <c r="KOJ431"/>
      <c r="KOK431"/>
      <c r="KOL431"/>
      <c r="KOM431"/>
      <c r="KON431"/>
      <c r="KOO431"/>
      <c r="KOP431"/>
      <c r="KOQ431"/>
      <c r="KOR431"/>
      <c r="KOS431"/>
      <c r="KOT431"/>
      <c r="KOU431"/>
      <c r="KOV431"/>
      <c r="KOW431"/>
      <c r="KOX431"/>
      <c r="KOY431"/>
      <c r="KOZ431"/>
      <c r="KPA431"/>
      <c r="KPB431"/>
      <c r="KPC431"/>
      <c r="KPD431"/>
      <c r="KPE431"/>
      <c r="KPF431"/>
      <c r="KPG431"/>
      <c r="KPH431"/>
      <c r="KPI431"/>
      <c r="KPJ431"/>
      <c r="KPK431"/>
      <c r="KPL431"/>
      <c r="KPM431"/>
      <c r="KPN431"/>
      <c r="KPO431"/>
      <c r="KPP431"/>
      <c r="KPQ431"/>
      <c r="KPR431"/>
      <c r="KPS431"/>
      <c r="KPT431"/>
      <c r="KPU431"/>
      <c r="KPV431"/>
      <c r="KPW431"/>
      <c r="KPX431"/>
      <c r="KPY431"/>
      <c r="KPZ431"/>
      <c r="KQA431"/>
      <c r="KQB431"/>
      <c r="KQC431"/>
      <c r="KQD431"/>
      <c r="KQE431"/>
      <c r="KQF431"/>
      <c r="KQG431"/>
      <c r="KQH431"/>
      <c r="KQI431"/>
      <c r="KQJ431"/>
      <c r="KQK431"/>
      <c r="KQL431"/>
      <c r="KQM431"/>
      <c r="KQN431"/>
      <c r="KQO431"/>
      <c r="KQP431"/>
      <c r="KQQ431"/>
      <c r="KQR431"/>
      <c r="KQS431"/>
      <c r="KQT431"/>
      <c r="KQU431"/>
      <c r="KQV431"/>
      <c r="KQW431"/>
      <c r="KQX431"/>
      <c r="KQY431"/>
      <c r="KQZ431"/>
      <c r="KRA431"/>
      <c r="KRB431"/>
      <c r="KRC431"/>
      <c r="KRD431"/>
      <c r="KRE431"/>
      <c r="KRF431"/>
      <c r="KRG431"/>
      <c r="KRH431"/>
      <c r="KRI431"/>
      <c r="KRJ431"/>
      <c r="KRK431"/>
      <c r="KRL431"/>
      <c r="KRM431"/>
      <c r="KRN431"/>
      <c r="KRO431"/>
      <c r="KRP431"/>
      <c r="KRQ431"/>
      <c r="KRR431"/>
      <c r="KRS431"/>
      <c r="KRT431"/>
      <c r="KRU431"/>
      <c r="KRV431"/>
      <c r="KRW431"/>
      <c r="KRX431"/>
      <c r="KRY431"/>
      <c r="KRZ431"/>
      <c r="KSA431"/>
      <c r="KSB431"/>
      <c r="KSC431"/>
      <c r="KSD431"/>
      <c r="KSE431"/>
      <c r="KSF431"/>
      <c r="KSG431"/>
      <c r="KSH431"/>
      <c r="KSI431"/>
      <c r="KSJ431"/>
      <c r="KSK431"/>
      <c r="KSL431"/>
      <c r="KSM431"/>
      <c r="KSN431"/>
      <c r="KSO431"/>
      <c r="KSP431"/>
      <c r="KSQ431"/>
      <c r="KSR431"/>
      <c r="KSS431"/>
      <c r="KST431"/>
      <c r="KSU431"/>
      <c r="KSV431"/>
      <c r="KSW431"/>
      <c r="KSX431"/>
      <c r="KSY431"/>
      <c r="KSZ431"/>
      <c r="KTA431"/>
      <c r="KTB431"/>
      <c r="KTC431"/>
      <c r="KTD431"/>
      <c r="KTE431"/>
      <c r="KTF431"/>
      <c r="KTG431"/>
      <c r="KTH431"/>
      <c r="KTI431"/>
      <c r="KTJ431"/>
      <c r="KTK431"/>
      <c r="KTL431"/>
      <c r="KTM431"/>
      <c r="KTN431"/>
      <c r="KTO431"/>
      <c r="KTP431"/>
      <c r="KTQ431"/>
      <c r="KTR431"/>
      <c r="KTS431"/>
      <c r="KTT431"/>
      <c r="KTU431"/>
      <c r="KTV431"/>
      <c r="KTW431"/>
      <c r="KTX431"/>
      <c r="KTY431"/>
      <c r="KTZ431"/>
      <c r="KUA431"/>
      <c r="KUB431"/>
      <c r="KUC431"/>
      <c r="KUD431"/>
      <c r="KUE431"/>
      <c r="KUF431"/>
      <c r="KUG431"/>
      <c r="KUH431"/>
      <c r="KUI431"/>
      <c r="KUJ431"/>
      <c r="KUK431"/>
      <c r="KUL431"/>
      <c r="KUM431"/>
      <c r="KUN431"/>
      <c r="KUO431"/>
      <c r="KUP431"/>
      <c r="KUQ431"/>
      <c r="KUR431"/>
      <c r="KUS431"/>
      <c r="KUT431"/>
      <c r="KUU431"/>
      <c r="KUV431"/>
      <c r="KUW431"/>
      <c r="KUX431"/>
      <c r="KUY431"/>
      <c r="KUZ431"/>
      <c r="KVA431"/>
      <c r="KVB431"/>
      <c r="KVC431"/>
      <c r="KVD431"/>
      <c r="KVE431"/>
      <c r="KVF431"/>
      <c r="KVG431"/>
      <c r="KVH431"/>
      <c r="KVI431"/>
      <c r="KVJ431"/>
      <c r="KVK431"/>
      <c r="KVL431"/>
      <c r="KVM431"/>
      <c r="KVN431"/>
      <c r="KVO431"/>
      <c r="KVP431"/>
      <c r="KVQ431"/>
      <c r="KVR431"/>
      <c r="KVS431"/>
      <c r="KVT431"/>
      <c r="KVU431"/>
      <c r="KVV431"/>
      <c r="KVW431"/>
      <c r="KVX431"/>
      <c r="KVY431"/>
      <c r="KVZ431"/>
      <c r="KWA431"/>
      <c r="KWB431"/>
      <c r="KWC431"/>
      <c r="KWD431"/>
      <c r="KWE431"/>
      <c r="KWF431"/>
      <c r="KWG431"/>
      <c r="KWH431"/>
      <c r="KWI431"/>
      <c r="KWJ431"/>
      <c r="KWK431"/>
      <c r="KWL431"/>
      <c r="KWM431"/>
      <c r="KWN431"/>
      <c r="KWO431"/>
      <c r="KWP431"/>
      <c r="KWQ431"/>
      <c r="KWR431"/>
      <c r="KWS431"/>
      <c r="KWT431"/>
      <c r="KWU431"/>
      <c r="KWV431"/>
      <c r="KWW431"/>
      <c r="KWX431"/>
      <c r="KWY431"/>
      <c r="KWZ431"/>
      <c r="KXA431"/>
      <c r="KXB431"/>
      <c r="KXC431"/>
      <c r="KXD431"/>
      <c r="KXE431"/>
      <c r="KXF431"/>
      <c r="KXG431"/>
      <c r="KXH431"/>
      <c r="KXI431"/>
      <c r="KXJ431"/>
      <c r="KXK431"/>
      <c r="KXL431"/>
      <c r="KXM431"/>
      <c r="KXN431"/>
      <c r="KXO431"/>
      <c r="KXP431"/>
      <c r="KXQ431"/>
      <c r="KXR431"/>
      <c r="KXS431"/>
      <c r="KXT431"/>
      <c r="KXU431"/>
      <c r="KXV431"/>
      <c r="KXW431"/>
      <c r="KXX431"/>
      <c r="KXY431"/>
      <c r="KXZ431"/>
      <c r="KYA431"/>
      <c r="KYB431"/>
      <c r="KYC431"/>
      <c r="KYD431"/>
      <c r="KYE431"/>
      <c r="KYF431"/>
      <c r="KYG431"/>
      <c r="KYH431"/>
      <c r="KYI431"/>
      <c r="KYJ431"/>
      <c r="KYK431"/>
      <c r="KYL431"/>
      <c r="KYM431"/>
      <c r="KYN431"/>
      <c r="KYO431"/>
      <c r="KYP431"/>
      <c r="KYQ431"/>
      <c r="KYR431"/>
      <c r="KYS431"/>
      <c r="KYT431"/>
      <c r="KYU431"/>
      <c r="KYV431"/>
      <c r="KYW431"/>
      <c r="KYX431"/>
      <c r="KYY431"/>
      <c r="KYZ431"/>
      <c r="KZA431"/>
      <c r="KZB431"/>
      <c r="KZC431"/>
      <c r="KZD431"/>
      <c r="KZE431"/>
      <c r="KZF431"/>
      <c r="KZG431"/>
      <c r="KZH431"/>
      <c r="KZI431"/>
      <c r="KZJ431"/>
      <c r="KZK431"/>
      <c r="KZL431"/>
      <c r="KZM431"/>
      <c r="KZN431"/>
      <c r="KZO431"/>
      <c r="KZP431"/>
      <c r="KZQ431"/>
      <c r="KZR431"/>
      <c r="KZS431"/>
      <c r="KZT431"/>
      <c r="KZU431"/>
      <c r="KZV431"/>
      <c r="KZW431"/>
      <c r="KZX431"/>
      <c r="KZY431"/>
      <c r="KZZ431"/>
      <c r="LAA431"/>
      <c r="LAB431"/>
      <c r="LAC431"/>
      <c r="LAD431"/>
      <c r="LAE431"/>
      <c r="LAF431"/>
      <c r="LAG431"/>
      <c r="LAH431"/>
      <c r="LAI431"/>
      <c r="LAJ431"/>
      <c r="LAK431"/>
      <c r="LAL431"/>
      <c r="LAM431"/>
      <c r="LAN431"/>
      <c r="LAO431"/>
      <c r="LAP431"/>
      <c r="LAQ431"/>
      <c r="LAR431"/>
      <c r="LAS431"/>
      <c r="LAT431"/>
      <c r="LAU431"/>
      <c r="LAV431"/>
      <c r="LAW431"/>
      <c r="LAX431"/>
      <c r="LAY431"/>
      <c r="LAZ431"/>
      <c r="LBA431"/>
      <c r="LBB431"/>
      <c r="LBC431"/>
      <c r="LBD431"/>
      <c r="LBE431"/>
      <c r="LBF431"/>
      <c r="LBG431"/>
      <c r="LBH431"/>
      <c r="LBI431"/>
      <c r="LBJ431"/>
      <c r="LBK431"/>
      <c r="LBL431"/>
      <c r="LBM431"/>
      <c r="LBN431"/>
      <c r="LBO431"/>
      <c r="LBP431"/>
      <c r="LBQ431"/>
      <c r="LBR431"/>
      <c r="LBS431"/>
      <c r="LBT431"/>
      <c r="LBU431"/>
      <c r="LBV431"/>
      <c r="LBW431"/>
      <c r="LBX431"/>
      <c r="LBY431"/>
      <c r="LBZ431"/>
      <c r="LCA431"/>
      <c r="LCB431"/>
      <c r="LCC431"/>
      <c r="LCD431"/>
      <c r="LCE431"/>
      <c r="LCF431"/>
      <c r="LCG431"/>
      <c r="LCH431"/>
      <c r="LCI431"/>
      <c r="LCJ431"/>
      <c r="LCK431"/>
      <c r="LCL431"/>
      <c r="LCM431"/>
      <c r="LCN431"/>
      <c r="LCO431"/>
      <c r="LCP431"/>
      <c r="LCQ431"/>
      <c r="LCR431"/>
      <c r="LCS431"/>
      <c r="LCT431"/>
      <c r="LCU431"/>
      <c r="LCV431"/>
      <c r="LCW431"/>
      <c r="LCX431"/>
      <c r="LCY431"/>
      <c r="LCZ431"/>
      <c r="LDA431"/>
      <c r="LDB431"/>
      <c r="LDC431"/>
      <c r="LDD431"/>
      <c r="LDE431"/>
      <c r="LDF431"/>
      <c r="LDG431"/>
      <c r="LDH431"/>
      <c r="LDI431"/>
      <c r="LDJ431"/>
      <c r="LDK431"/>
      <c r="LDL431"/>
      <c r="LDM431"/>
      <c r="LDN431"/>
      <c r="LDO431"/>
      <c r="LDP431"/>
      <c r="LDQ431"/>
      <c r="LDR431"/>
      <c r="LDS431"/>
      <c r="LDT431"/>
      <c r="LDU431"/>
      <c r="LDV431"/>
      <c r="LDW431"/>
      <c r="LDX431"/>
      <c r="LDY431"/>
      <c r="LDZ431"/>
      <c r="LEA431"/>
      <c r="LEB431"/>
      <c r="LEC431"/>
      <c r="LED431"/>
      <c r="LEE431"/>
      <c r="LEF431"/>
      <c r="LEG431"/>
      <c r="LEH431"/>
      <c r="LEI431"/>
      <c r="LEJ431"/>
      <c r="LEK431"/>
      <c r="LEL431"/>
      <c r="LEM431"/>
      <c r="LEN431"/>
      <c r="LEO431"/>
      <c r="LEP431"/>
      <c r="LEQ431"/>
      <c r="LER431"/>
      <c r="LES431"/>
      <c r="LET431"/>
      <c r="LEU431"/>
      <c r="LEV431"/>
      <c r="LEW431"/>
      <c r="LEX431"/>
      <c r="LEY431"/>
      <c r="LEZ431"/>
      <c r="LFA431"/>
      <c r="LFB431"/>
      <c r="LFC431"/>
      <c r="LFD431"/>
      <c r="LFE431"/>
      <c r="LFF431"/>
      <c r="LFG431"/>
      <c r="LFH431"/>
      <c r="LFI431"/>
      <c r="LFJ431"/>
      <c r="LFK431"/>
      <c r="LFL431"/>
      <c r="LFM431"/>
      <c r="LFN431"/>
      <c r="LFO431"/>
      <c r="LFP431"/>
      <c r="LFQ431"/>
      <c r="LFR431"/>
      <c r="LFS431"/>
      <c r="LFT431"/>
      <c r="LFU431"/>
      <c r="LFV431"/>
      <c r="LFW431"/>
      <c r="LFX431"/>
      <c r="LFY431"/>
      <c r="LFZ431"/>
      <c r="LGA431"/>
      <c r="LGB431"/>
      <c r="LGC431"/>
      <c r="LGD431"/>
      <c r="LGE431"/>
      <c r="LGF431"/>
      <c r="LGG431"/>
      <c r="LGH431"/>
      <c r="LGI431"/>
      <c r="LGJ431"/>
      <c r="LGK431"/>
      <c r="LGL431"/>
      <c r="LGM431"/>
      <c r="LGN431"/>
      <c r="LGO431"/>
      <c r="LGP431"/>
      <c r="LGQ431"/>
      <c r="LGR431"/>
      <c r="LGS431"/>
      <c r="LGT431"/>
      <c r="LGU431"/>
      <c r="LGV431"/>
      <c r="LGW431"/>
      <c r="LGX431"/>
      <c r="LGY431"/>
      <c r="LGZ431"/>
      <c r="LHA431"/>
      <c r="LHB431"/>
      <c r="LHC431"/>
      <c r="LHD431"/>
      <c r="LHE431"/>
      <c r="LHF431"/>
      <c r="LHG431"/>
      <c r="LHH431"/>
      <c r="LHI431"/>
      <c r="LHJ431"/>
      <c r="LHK431"/>
      <c r="LHL431"/>
      <c r="LHM431"/>
      <c r="LHN431"/>
      <c r="LHO431"/>
      <c r="LHP431"/>
      <c r="LHQ431"/>
      <c r="LHR431"/>
      <c r="LHS431"/>
      <c r="LHT431"/>
      <c r="LHU431"/>
      <c r="LHV431"/>
      <c r="LHW431"/>
      <c r="LHX431"/>
      <c r="LHY431"/>
      <c r="LHZ431"/>
      <c r="LIA431"/>
      <c r="LIB431"/>
      <c r="LIC431"/>
      <c r="LID431"/>
      <c r="LIE431"/>
      <c r="LIF431"/>
      <c r="LIG431"/>
      <c r="LIH431"/>
      <c r="LII431"/>
      <c r="LIJ431"/>
      <c r="LIK431"/>
      <c r="LIL431"/>
      <c r="LIM431"/>
      <c r="LIN431"/>
      <c r="LIO431"/>
      <c r="LIP431"/>
      <c r="LIQ431"/>
      <c r="LIR431"/>
      <c r="LIS431"/>
      <c r="LIT431"/>
      <c r="LIU431"/>
      <c r="LIV431"/>
      <c r="LIW431"/>
      <c r="LIX431"/>
      <c r="LIY431"/>
      <c r="LIZ431"/>
      <c r="LJA431"/>
      <c r="LJB431"/>
      <c r="LJC431"/>
      <c r="LJD431"/>
      <c r="LJE431"/>
      <c r="LJF431"/>
      <c r="LJG431"/>
      <c r="LJH431"/>
      <c r="LJI431"/>
      <c r="LJJ431"/>
      <c r="LJK431"/>
      <c r="LJL431"/>
      <c r="LJM431"/>
      <c r="LJN431"/>
      <c r="LJO431"/>
      <c r="LJP431"/>
      <c r="LJQ431"/>
      <c r="LJR431"/>
      <c r="LJS431"/>
      <c r="LJT431"/>
      <c r="LJU431"/>
      <c r="LJV431"/>
      <c r="LJW431"/>
      <c r="LJX431"/>
      <c r="LJY431"/>
      <c r="LJZ431"/>
      <c r="LKA431"/>
      <c r="LKB431"/>
      <c r="LKC431"/>
      <c r="LKD431"/>
      <c r="LKE431"/>
      <c r="LKF431"/>
      <c r="LKG431"/>
      <c r="LKH431"/>
      <c r="LKI431"/>
      <c r="LKJ431"/>
      <c r="LKK431"/>
      <c r="LKL431"/>
      <c r="LKM431"/>
      <c r="LKN431"/>
      <c r="LKO431"/>
      <c r="LKP431"/>
      <c r="LKQ431"/>
      <c r="LKR431"/>
      <c r="LKS431"/>
      <c r="LKT431"/>
      <c r="LKU431"/>
      <c r="LKV431"/>
      <c r="LKW431"/>
      <c r="LKX431"/>
      <c r="LKY431"/>
      <c r="LKZ431"/>
      <c r="LLA431"/>
      <c r="LLB431"/>
      <c r="LLC431"/>
      <c r="LLD431"/>
      <c r="LLE431"/>
      <c r="LLF431"/>
      <c r="LLG431"/>
      <c r="LLH431"/>
      <c r="LLI431"/>
      <c r="LLJ431"/>
      <c r="LLK431"/>
      <c r="LLL431"/>
      <c r="LLM431"/>
      <c r="LLN431"/>
      <c r="LLO431"/>
      <c r="LLP431"/>
      <c r="LLQ431"/>
      <c r="LLR431"/>
      <c r="LLS431"/>
      <c r="LLT431"/>
      <c r="LLU431"/>
      <c r="LLV431"/>
      <c r="LLW431"/>
      <c r="LLX431"/>
      <c r="LLY431"/>
      <c r="LLZ431"/>
      <c r="LMA431"/>
      <c r="LMB431"/>
      <c r="LMC431"/>
      <c r="LMD431"/>
      <c r="LME431"/>
      <c r="LMF431"/>
      <c r="LMG431"/>
      <c r="LMH431"/>
      <c r="LMI431"/>
      <c r="LMJ431"/>
      <c r="LMK431"/>
      <c r="LML431"/>
      <c r="LMM431"/>
      <c r="LMN431"/>
      <c r="LMO431"/>
      <c r="LMP431"/>
      <c r="LMQ431"/>
      <c r="LMR431"/>
      <c r="LMS431"/>
      <c r="LMT431"/>
      <c r="LMU431"/>
      <c r="LMV431"/>
      <c r="LMW431"/>
      <c r="LMX431"/>
      <c r="LMY431"/>
      <c r="LMZ431"/>
      <c r="LNA431"/>
      <c r="LNB431"/>
      <c r="LNC431"/>
      <c r="LND431"/>
      <c r="LNE431"/>
      <c r="LNF431"/>
      <c r="LNG431"/>
      <c r="LNH431"/>
      <c r="LNI431"/>
      <c r="LNJ431"/>
      <c r="LNK431"/>
      <c r="LNL431"/>
      <c r="LNM431"/>
      <c r="LNN431"/>
      <c r="LNO431"/>
      <c r="LNP431"/>
      <c r="LNQ431"/>
      <c r="LNR431"/>
      <c r="LNS431"/>
      <c r="LNT431"/>
      <c r="LNU431"/>
      <c r="LNV431"/>
      <c r="LNW431"/>
      <c r="LNX431"/>
      <c r="LNY431"/>
      <c r="LNZ431"/>
      <c r="LOA431"/>
      <c r="LOB431"/>
      <c r="LOC431"/>
      <c r="LOD431"/>
      <c r="LOE431"/>
      <c r="LOF431"/>
      <c r="LOG431"/>
      <c r="LOH431"/>
      <c r="LOI431"/>
      <c r="LOJ431"/>
      <c r="LOK431"/>
      <c r="LOL431"/>
      <c r="LOM431"/>
      <c r="LON431"/>
      <c r="LOO431"/>
      <c r="LOP431"/>
      <c r="LOQ431"/>
      <c r="LOR431"/>
      <c r="LOS431"/>
      <c r="LOT431"/>
      <c r="LOU431"/>
      <c r="LOV431"/>
      <c r="LOW431"/>
      <c r="LOX431"/>
      <c r="LOY431"/>
      <c r="LOZ431"/>
      <c r="LPA431"/>
      <c r="LPB431"/>
      <c r="LPC431"/>
      <c r="LPD431"/>
      <c r="LPE431"/>
      <c r="LPF431"/>
      <c r="LPG431"/>
      <c r="LPH431"/>
      <c r="LPI431"/>
      <c r="LPJ431"/>
      <c r="LPK431"/>
      <c r="LPL431"/>
      <c r="LPM431"/>
      <c r="LPN431"/>
      <c r="LPO431"/>
      <c r="LPP431"/>
      <c r="LPQ431"/>
      <c r="LPR431"/>
      <c r="LPS431"/>
      <c r="LPT431"/>
      <c r="LPU431"/>
      <c r="LPV431"/>
      <c r="LPW431"/>
      <c r="LPX431"/>
      <c r="LPY431"/>
      <c r="LPZ431"/>
      <c r="LQA431"/>
      <c r="LQB431"/>
      <c r="LQC431"/>
      <c r="LQD431"/>
      <c r="LQE431"/>
      <c r="LQF431"/>
      <c r="LQG431"/>
      <c r="LQH431"/>
      <c r="LQI431"/>
      <c r="LQJ431"/>
      <c r="LQK431"/>
      <c r="LQL431"/>
      <c r="LQM431"/>
      <c r="LQN431"/>
      <c r="LQO431"/>
      <c r="LQP431"/>
      <c r="LQQ431"/>
      <c r="LQR431"/>
      <c r="LQS431"/>
      <c r="LQT431"/>
      <c r="LQU431"/>
      <c r="LQV431"/>
      <c r="LQW431"/>
      <c r="LQX431"/>
      <c r="LQY431"/>
      <c r="LQZ431"/>
      <c r="LRA431"/>
      <c r="LRB431"/>
      <c r="LRC431"/>
      <c r="LRD431"/>
      <c r="LRE431"/>
      <c r="LRF431"/>
      <c r="LRG431"/>
      <c r="LRH431"/>
      <c r="LRI431"/>
      <c r="LRJ431"/>
      <c r="LRK431"/>
      <c r="LRL431"/>
      <c r="LRM431"/>
      <c r="LRN431"/>
      <c r="LRO431"/>
      <c r="LRP431"/>
      <c r="LRQ431"/>
      <c r="LRR431"/>
      <c r="LRS431"/>
      <c r="LRT431"/>
      <c r="LRU431"/>
      <c r="LRV431"/>
      <c r="LRW431"/>
      <c r="LRX431"/>
      <c r="LRY431"/>
      <c r="LRZ431"/>
      <c r="LSA431"/>
      <c r="LSB431"/>
      <c r="LSC431"/>
      <c r="LSD431"/>
      <c r="LSE431"/>
      <c r="LSF431"/>
      <c r="LSG431"/>
      <c r="LSH431"/>
      <c r="LSI431"/>
      <c r="LSJ431"/>
      <c r="LSK431"/>
      <c r="LSL431"/>
      <c r="LSM431"/>
      <c r="LSN431"/>
      <c r="LSO431"/>
      <c r="LSP431"/>
      <c r="LSQ431"/>
      <c r="LSR431"/>
      <c r="LSS431"/>
      <c r="LST431"/>
      <c r="LSU431"/>
      <c r="LSV431"/>
      <c r="LSW431"/>
      <c r="LSX431"/>
      <c r="LSY431"/>
      <c r="LSZ431"/>
      <c r="LTA431"/>
      <c r="LTB431"/>
      <c r="LTC431"/>
      <c r="LTD431"/>
      <c r="LTE431"/>
      <c r="LTF431"/>
      <c r="LTG431"/>
      <c r="LTH431"/>
      <c r="LTI431"/>
      <c r="LTJ431"/>
      <c r="LTK431"/>
      <c r="LTL431"/>
      <c r="LTM431"/>
      <c r="LTN431"/>
      <c r="LTO431"/>
      <c r="LTP431"/>
      <c r="LTQ431"/>
      <c r="LTR431"/>
      <c r="LTS431"/>
      <c r="LTT431"/>
      <c r="LTU431"/>
      <c r="LTV431"/>
      <c r="LTW431"/>
      <c r="LTX431"/>
      <c r="LTY431"/>
      <c r="LTZ431"/>
      <c r="LUA431"/>
      <c r="LUB431"/>
      <c r="LUC431"/>
      <c r="LUD431"/>
      <c r="LUE431"/>
      <c r="LUF431"/>
      <c r="LUG431"/>
      <c r="LUH431"/>
      <c r="LUI431"/>
      <c r="LUJ431"/>
      <c r="LUK431"/>
      <c r="LUL431"/>
      <c r="LUM431"/>
      <c r="LUN431"/>
      <c r="LUO431"/>
      <c r="LUP431"/>
      <c r="LUQ431"/>
      <c r="LUR431"/>
      <c r="LUS431"/>
      <c r="LUT431"/>
      <c r="LUU431"/>
      <c r="LUV431"/>
      <c r="LUW431"/>
      <c r="LUX431"/>
      <c r="LUY431"/>
      <c r="LUZ431"/>
      <c r="LVA431"/>
      <c r="LVB431"/>
      <c r="LVC431"/>
      <c r="LVD431"/>
      <c r="LVE431"/>
      <c r="LVF431"/>
      <c r="LVG431"/>
      <c r="LVH431"/>
      <c r="LVI431"/>
      <c r="LVJ431"/>
      <c r="LVK431"/>
      <c r="LVL431"/>
      <c r="LVM431"/>
      <c r="LVN431"/>
      <c r="LVO431"/>
      <c r="LVP431"/>
      <c r="LVQ431"/>
      <c r="LVR431"/>
      <c r="LVS431"/>
      <c r="LVT431"/>
      <c r="LVU431"/>
      <c r="LVV431"/>
      <c r="LVW431"/>
      <c r="LVX431"/>
      <c r="LVY431"/>
      <c r="LVZ431"/>
      <c r="LWA431"/>
      <c r="LWB431"/>
      <c r="LWC431"/>
      <c r="LWD431"/>
      <c r="LWE431"/>
      <c r="LWF431"/>
      <c r="LWG431"/>
      <c r="LWH431"/>
      <c r="LWI431"/>
      <c r="LWJ431"/>
      <c r="LWK431"/>
      <c r="LWL431"/>
      <c r="LWM431"/>
      <c r="LWN431"/>
      <c r="LWO431"/>
      <c r="LWP431"/>
      <c r="LWQ431"/>
      <c r="LWR431"/>
      <c r="LWS431"/>
      <c r="LWT431"/>
      <c r="LWU431"/>
      <c r="LWV431"/>
      <c r="LWW431"/>
      <c r="LWX431"/>
      <c r="LWY431"/>
      <c r="LWZ431"/>
      <c r="LXA431"/>
      <c r="LXB431"/>
      <c r="LXC431"/>
      <c r="LXD431"/>
      <c r="LXE431"/>
      <c r="LXF431"/>
      <c r="LXG431"/>
      <c r="LXH431"/>
      <c r="LXI431"/>
      <c r="LXJ431"/>
      <c r="LXK431"/>
      <c r="LXL431"/>
      <c r="LXM431"/>
      <c r="LXN431"/>
      <c r="LXO431"/>
      <c r="LXP431"/>
      <c r="LXQ431"/>
      <c r="LXR431"/>
      <c r="LXS431"/>
      <c r="LXT431"/>
      <c r="LXU431"/>
      <c r="LXV431"/>
      <c r="LXW431"/>
      <c r="LXX431"/>
      <c r="LXY431"/>
      <c r="LXZ431"/>
      <c r="LYA431"/>
      <c r="LYB431"/>
      <c r="LYC431"/>
      <c r="LYD431"/>
      <c r="LYE431"/>
      <c r="LYF431"/>
      <c r="LYG431"/>
      <c r="LYH431"/>
      <c r="LYI431"/>
      <c r="LYJ431"/>
      <c r="LYK431"/>
      <c r="LYL431"/>
      <c r="LYM431"/>
      <c r="LYN431"/>
      <c r="LYO431"/>
      <c r="LYP431"/>
      <c r="LYQ431"/>
      <c r="LYR431"/>
      <c r="LYS431"/>
      <c r="LYT431"/>
      <c r="LYU431"/>
      <c r="LYV431"/>
      <c r="LYW431"/>
      <c r="LYX431"/>
      <c r="LYY431"/>
      <c r="LYZ431"/>
      <c r="LZA431"/>
      <c r="LZB431"/>
      <c r="LZC431"/>
      <c r="LZD431"/>
      <c r="LZE431"/>
      <c r="LZF431"/>
      <c r="LZG431"/>
      <c r="LZH431"/>
      <c r="LZI431"/>
      <c r="LZJ431"/>
      <c r="LZK431"/>
      <c r="LZL431"/>
      <c r="LZM431"/>
      <c r="LZN431"/>
      <c r="LZO431"/>
      <c r="LZP431"/>
      <c r="LZQ431"/>
      <c r="LZR431"/>
      <c r="LZS431"/>
      <c r="LZT431"/>
      <c r="LZU431"/>
      <c r="LZV431"/>
      <c r="LZW431"/>
      <c r="LZX431"/>
      <c r="LZY431"/>
      <c r="LZZ431"/>
      <c r="MAA431"/>
      <c r="MAB431"/>
      <c r="MAC431"/>
      <c r="MAD431"/>
      <c r="MAE431"/>
      <c r="MAF431"/>
      <c r="MAG431"/>
      <c r="MAH431"/>
      <c r="MAI431"/>
      <c r="MAJ431"/>
      <c r="MAK431"/>
      <c r="MAL431"/>
      <c r="MAM431"/>
      <c r="MAN431"/>
      <c r="MAO431"/>
      <c r="MAP431"/>
      <c r="MAQ431"/>
      <c r="MAR431"/>
      <c r="MAS431"/>
      <c r="MAT431"/>
      <c r="MAU431"/>
      <c r="MAV431"/>
      <c r="MAW431"/>
      <c r="MAX431"/>
      <c r="MAY431"/>
      <c r="MAZ431"/>
      <c r="MBA431"/>
      <c r="MBB431"/>
      <c r="MBC431"/>
      <c r="MBD431"/>
      <c r="MBE431"/>
      <c r="MBF431"/>
      <c r="MBG431"/>
      <c r="MBH431"/>
      <c r="MBI431"/>
      <c r="MBJ431"/>
      <c r="MBK431"/>
      <c r="MBL431"/>
      <c r="MBM431"/>
      <c r="MBN431"/>
      <c r="MBO431"/>
      <c r="MBP431"/>
      <c r="MBQ431"/>
      <c r="MBR431"/>
      <c r="MBS431"/>
      <c r="MBT431"/>
      <c r="MBU431"/>
      <c r="MBV431"/>
      <c r="MBW431"/>
      <c r="MBX431"/>
      <c r="MBY431"/>
      <c r="MBZ431"/>
      <c r="MCA431"/>
      <c r="MCB431"/>
      <c r="MCC431"/>
      <c r="MCD431"/>
      <c r="MCE431"/>
      <c r="MCF431"/>
      <c r="MCG431"/>
      <c r="MCH431"/>
      <c r="MCI431"/>
      <c r="MCJ431"/>
      <c r="MCK431"/>
      <c r="MCL431"/>
      <c r="MCM431"/>
      <c r="MCN431"/>
      <c r="MCO431"/>
      <c r="MCP431"/>
      <c r="MCQ431"/>
      <c r="MCR431"/>
      <c r="MCS431"/>
      <c r="MCT431"/>
      <c r="MCU431"/>
      <c r="MCV431"/>
      <c r="MCW431"/>
      <c r="MCX431"/>
      <c r="MCY431"/>
      <c r="MCZ431"/>
      <c r="MDA431"/>
      <c r="MDB431"/>
      <c r="MDC431"/>
      <c r="MDD431"/>
      <c r="MDE431"/>
      <c r="MDF431"/>
      <c r="MDG431"/>
      <c r="MDH431"/>
      <c r="MDI431"/>
      <c r="MDJ431"/>
      <c r="MDK431"/>
      <c r="MDL431"/>
      <c r="MDM431"/>
      <c r="MDN431"/>
      <c r="MDO431"/>
      <c r="MDP431"/>
      <c r="MDQ431"/>
      <c r="MDR431"/>
      <c r="MDS431"/>
      <c r="MDT431"/>
      <c r="MDU431"/>
      <c r="MDV431"/>
      <c r="MDW431"/>
      <c r="MDX431"/>
      <c r="MDY431"/>
      <c r="MDZ431"/>
      <c r="MEA431"/>
      <c r="MEB431"/>
      <c r="MEC431"/>
      <c r="MED431"/>
      <c r="MEE431"/>
      <c r="MEF431"/>
      <c r="MEG431"/>
      <c r="MEH431"/>
      <c r="MEI431"/>
      <c r="MEJ431"/>
      <c r="MEK431"/>
      <c r="MEL431"/>
      <c r="MEM431"/>
      <c r="MEN431"/>
      <c r="MEO431"/>
      <c r="MEP431"/>
      <c r="MEQ431"/>
      <c r="MER431"/>
      <c r="MES431"/>
      <c r="MET431"/>
      <c r="MEU431"/>
      <c r="MEV431"/>
      <c r="MEW431"/>
      <c r="MEX431"/>
      <c r="MEY431"/>
      <c r="MEZ431"/>
      <c r="MFA431"/>
      <c r="MFB431"/>
      <c r="MFC431"/>
      <c r="MFD431"/>
      <c r="MFE431"/>
      <c r="MFF431"/>
      <c r="MFG431"/>
      <c r="MFH431"/>
      <c r="MFI431"/>
      <c r="MFJ431"/>
      <c r="MFK431"/>
      <c r="MFL431"/>
      <c r="MFM431"/>
      <c r="MFN431"/>
      <c r="MFO431"/>
      <c r="MFP431"/>
      <c r="MFQ431"/>
      <c r="MFR431"/>
      <c r="MFS431"/>
      <c r="MFT431"/>
      <c r="MFU431"/>
      <c r="MFV431"/>
      <c r="MFW431"/>
      <c r="MFX431"/>
      <c r="MFY431"/>
      <c r="MFZ431"/>
      <c r="MGA431"/>
      <c r="MGB431"/>
      <c r="MGC431"/>
      <c r="MGD431"/>
      <c r="MGE431"/>
      <c r="MGF431"/>
      <c r="MGG431"/>
      <c r="MGH431"/>
      <c r="MGI431"/>
      <c r="MGJ431"/>
      <c r="MGK431"/>
      <c r="MGL431"/>
      <c r="MGM431"/>
      <c r="MGN431"/>
      <c r="MGO431"/>
      <c r="MGP431"/>
      <c r="MGQ431"/>
      <c r="MGR431"/>
      <c r="MGS431"/>
      <c r="MGT431"/>
      <c r="MGU431"/>
      <c r="MGV431"/>
      <c r="MGW431"/>
      <c r="MGX431"/>
      <c r="MGY431"/>
      <c r="MGZ431"/>
      <c r="MHA431"/>
      <c r="MHB431"/>
      <c r="MHC431"/>
      <c r="MHD431"/>
      <c r="MHE431"/>
      <c r="MHF431"/>
      <c r="MHG431"/>
      <c r="MHH431"/>
      <c r="MHI431"/>
      <c r="MHJ431"/>
      <c r="MHK431"/>
      <c r="MHL431"/>
      <c r="MHM431"/>
      <c r="MHN431"/>
      <c r="MHO431"/>
      <c r="MHP431"/>
      <c r="MHQ431"/>
      <c r="MHR431"/>
      <c r="MHS431"/>
      <c r="MHT431"/>
      <c r="MHU431"/>
      <c r="MHV431"/>
      <c r="MHW431"/>
      <c r="MHX431"/>
      <c r="MHY431"/>
      <c r="MHZ431"/>
      <c r="MIA431"/>
      <c r="MIB431"/>
      <c r="MIC431"/>
      <c r="MID431"/>
      <c r="MIE431"/>
      <c r="MIF431"/>
      <c r="MIG431"/>
      <c r="MIH431"/>
      <c r="MII431"/>
      <c r="MIJ431"/>
      <c r="MIK431"/>
      <c r="MIL431"/>
      <c r="MIM431"/>
      <c r="MIN431"/>
      <c r="MIO431"/>
      <c r="MIP431"/>
      <c r="MIQ431"/>
      <c r="MIR431"/>
      <c r="MIS431"/>
      <c r="MIT431"/>
      <c r="MIU431"/>
      <c r="MIV431"/>
      <c r="MIW431"/>
      <c r="MIX431"/>
      <c r="MIY431"/>
      <c r="MIZ431"/>
      <c r="MJA431"/>
      <c r="MJB431"/>
      <c r="MJC431"/>
      <c r="MJD431"/>
      <c r="MJE431"/>
      <c r="MJF431"/>
      <c r="MJG431"/>
      <c r="MJH431"/>
      <c r="MJI431"/>
      <c r="MJJ431"/>
      <c r="MJK431"/>
      <c r="MJL431"/>
      <c r="MJM431"/>
      <c r="MJN431"/>
      <c r="MJO431"/>
      <c r="MJP431"/>
      <c r="MJQ431"/>
      <c r="MJR431"/>
      <c r="MJS431"/>
      <c r="MJT431"/>
      <c r="MJU431"/>
      <c r="MJV431"/>
      <c r="MJW431"/>
      <c r="MJX431"/>
      <c r="MJY431"/>
      <c r="MJZ431"/>
      <c r="MKA431"/>
      <c r="MKB431"/>
      <c r="MKC431"/>
      <c r="MKD431"/>
      <c r="MKE431"/>
      <c r="MKF431"/>
      <c r="MKG431"/>
      <c r="MKH431"/>
      <c r="MKI431"/>
      <c r="MKJ431"/>
      <c r="MKK431"/>
      <c r="MKL431"/>
      <c r="MKM431"/>
      <c r="MKN431"/>
      <c r="MKO431"/>
      <c r="MKP431"/>
      <c r="MKQ431"/>
      <c r="MKR431"/>
      <c r="MKS431"/>
      <c r="MKT431"/>
      <c r="MKU431"/>
      <c r="MKV431"/>
      <c r="MKW431"/>
      <c r="MKX431"/>
      <c r="MKY431"/>
      <c r="MKZ431"/>
      <c r="MLA431"/>
      <c r="MLB431"/>
      <c r="MLC431"/>
      <c r="MLD431"/>
      <c r="MLE431"/>
      <c r="MLF431"/>
      <c r="MLG431"/>
      <c r="MLH431"/>
      <c r="MLI431"/>
      <c r="MLJ431"/>
      <c r="MLK431"/>
      <c r="MLL431"/>
      <c r="MLM431"/>
      <c r="MLN431"/>
      <c r="MLO431"/>
      <c r="MLP431"/>
      <c r="MLQ431"/>
      <c r="MLR431"/>
      <c r="MLS431"/>
      <c r="MLT431"/>
      <c r="MLU431"/>
      <c r="MLV431"/>
      <c r="MLW431"/>
      <c r="MLX431"/>
      <c r="MLY431"/>
      <c r="MLZ431"/>
      <c r="MMA431"/>
      <c r="MMB431"/>
      <c r="MMC431"/>
      <c r="MMD431"/>
      <c r="MME431"/>
      <c r="MMF431"/>
      <c r="MMG431"/>
      <c r="MMH431"/>
      <c r="MMI431"/>
      <c r="MMJ431"/>
      <c r="MMK431"/>
      <c r="MML431"/>
      <c r="MMM431"/>
      <c r="MMN431"/>
      <c r="MMO431"/>
      <c r="MMP431"/>
      <c r="MMQ431"/>
      <c r="MMR431"/>
      <c r="MMS431"/>
      <c r="MMT431"/>
      <c r="MMU431"/>
      <c r="MMV431"/>
      <c r="MMW431"/>
      <c r="MMX431"/>
      <c r="MMY431"/>
      <c r="MMZ431"/>
      <c r="MNA431"/>
      <c r="MNB431"/>
      <c r="MNC431"/>
      <c r="MND431"/>
      <c r="MNE431"/>
      <c r="MNF431"/>
      <c r="MNG431"/>
      <c r="MNH431"/>
      <c r="MNI431"/>
      <c r="MNJ431"/>
      <c r="MNK431"/>
      <c r="MNL431"/>
      <c r="MNM431"/>
      <c r="MNN431"/>
      <c r="MNO431"/>
      <c r="MNP431"/>
      <c r="MNQ431"/>
      <c r="MNR431"/>
      <c r="MNS431"/>
      <c r="MNT431"/>
      <c r="MNU431"/>
      <c r="MNV431"/>
      <c r="MNW431"/>
      <c r="MNX431"/>
      <c r="MNY431"/>
      <c r="MNZ431"/>
      <c r="MOA431"/>
      <c r="MOB431"/>
      <c r="MOC431"/>
      <c r="MOD431"/>
      <c r="MOE431"/>
      <c r="MOF431"/>
      <c r="MOG431"/>
      <c r="MOH431"/>
      <c r="MOI431"/>
      <c r="MOJ431"/>
      <c r="MOK431"/>
      <c r="MOL431"/>
      <c r="MOM431"/>
      <c r="MON431"/>
      <c r="MOO431"/>
      <c r="MOP431"/>
      <c r="MOQ431"/>
      <c r="MOR431"/>
      <c r="MOS431"/>
      <c r="MOT431"/>
      <c r="MOU431"/>
      <c r="MOV431"/>
      <c r="MOW431"/>
      <c r="MOX431"/>
      <c r="MOY431"/>
      <c r="MOZ431"/>
      <c r="MPA431"/>
      <c r="MPB431"/>
      <c r="MPC431"/>
      <c r="MPD431"/>
      <c r="MPE431"/>
      <c r="MPF431"/>
      <c r="MPG431"/>
      <c r="MPH431"/>
      <c r="MPI431"/>
      <c r="MPJ431"/>
      <c r="MPK431"/>
      <c r="MPL431"/>
      <c r="MPM431"/>
      <c r="MPN431"/>
      <c r="MPO431"/>
      <c r="MPP431"/>
      <c r="MPQ431"/>
      <c r="MPR431"/>
      <c r="MPS431"/>
      <c r="MPT431"/>
      <c r="MPU431"/>
      <c r="MPV431"/>
      <c r="MPW431"/>
      <c r="MPX431"/>
      <c r="MPY431"/>
      <c r="MPZ431"/>
      <c r="MQA431"/>
      <c r="MQB431"/>
      <c r="MQC431"/>
      <c r="MQD431"/>
      <c r="MQE431"/>
      <c r="MQF431"/>
      <c r="MQG431"/>
      <c r="MQH431"/>
      <c r="MQI431"/>
      <c r="MQJ431"/>
      <c r="MQK431"/>
      <c r="MQL431"/>
      <c r="MQM431"/>
      <c r="MQN431"/>
      <c r="MQO431"/>
      <c r="MQP431"/>
      <c r="MQQ431"/>
      <c r="MQR431"/>
      <c r="MQS431"/>
      <c r="MQT431"/>
      <c r="MQU431"/>
      <c r="MQV431"/>
      <c r="MQW431"/>
      <c r="MQX431"/>
      <c r="MQY431"/>
      <c r="MQZ431"/>
      <c r="MRA431"/>
      <c r="MRB431"/>
      <c r="MRC431"/>
      <c r="MRD431"/>
      <c r="MRE431"/>
      <c r="MRF431"/>
      <c r="MRG431"/>
      <c r="MRH431"/>
      <c r="MRI431"/>
      <c r="MRJ431"/>
      <c r="MRK431"/>
      <c r="MRL431"/>
      <c r="MRM431"/>
      <c r="MRN431"/>
      <c r="MRO431"/>
      <c r="MRP431"/>
      <c r="MRQ431"/>
      <c r="MRR431"/>
      <c r="MRS431"/>
      <c r="MRT431"/>
      <c r="MRU431"/>
      <c r="MRV431"/>
      <c r="MRW431"/>
      <c r="MRX431"/>
      <c r="MRY431"/>
      <c r="MRZ431"/>
      <c r="MSA431"/>
      <c r="MSB431"/>
      <c r="MSC431"/>
      <c r="MSD431"/>
      <c r="MSE431"/>
      <c r="MSF431"/>
      <c r="MSG431"/>
      <c r="MSH431"/>
      <c r="MSI431"/>
      <c r="MSJ431"/>
      <c r="MSK431"/>
      <c r="MSL431"/>
      <c r="MSM431"/>
      <c r="MSN431"/>
      <c r="MSO431"/>
      <c r="MSP431"/>
      <c r="MSQ431"/>
      <c r="MSR431"/>
      <c r="MSS431"/>
      <c r="MST431"/>
      <c r="MSU431"/>
      <c r="MSV431"/>
      <c r="MSW431"/>
      <c r="MSX431"/>
      <c r="MSY431"/>
      <c r="MSZ431"/>
      <c r="MTA431"/>
      <c r="MTB431"/>
      <c r="MTC431"/>
      <c r="MTD431"/>
      <c r="MTE431"/>
      <c r="MTF431"/>
      <c r="MTG431"/>
      <c r="MTH431"/>
      <c r="MTI431"/>
      <c r="MTJ431"/>
      <c r="MTK431"/>
      <c r="MTL431"/>
      <c r="MTM431"/>
      <c r="MTN431"/>
      <c r="MTO431"/>
      <c r="MTP431"/>
      <c r="MTQ431"/>
      <c r="MTR431"/>
      <c r="MTS431"/>
      <c r="MTT431"/>
      <c r="MTU431"/>
      <c r="MTV431"/>
      <c r="MTW431"/>
      <c r="MTX431"/>
      <c r="MTY431"/>
      <c r="MTZ431"/>
      <c r="MUA431"/>
      <c r="MUB431"/>
      <c r="MUC431"/>
      <c r="MUD431"/>
      <c r="MUE431"/>
      <c r="MUF431"/>
      <c r="MUG431"/>
      <c r="MUH431"/>
      <c r="MUI431"/>
      <c r="MUJ431"/>
      <c r="MUK431"/>
      <c r="MUL431"/>
      <c r="MUM431"/>
      <c r="MUN431"/>
      <c r="MUO431"/>
      <c r="MUP431"/>
      <c r="MUQ431"/>
      <c r="MUR431"/>
      <c r="MUS431"/>
      <c r="MUT431"/>
      <c r="MUU431"/>
      <c r="MUV431"/>
      <c r="MUW431"/>
      <c r="MUX431"/>
      <c r="MUY431"/>
      <c r="MUZ431"/>
      <c r="MVA431"/>
      <c r="MVB431"/>
      <c r="MVC431"/>
      <c r="MVD431"/>
      <c r="MVE431"/>
      <c r="MVF431"/>
      <c r="MVG431"/>
      <c r="MVH431"/>
      <c r="MVI431"/>
      <c r="MVJ431"/>
      <c r="MVK431"/>
      <c r="MVL431"/>
      <c r="MVM431"/>
      <c r="MVN431"/>
      <c r="MVO431"/>
      <c r="MVP431"/>
      <c r="MVQ431"/>
      <c r="MVR431"/>
      <c r="MVS431"/>
      <c r="MVT431"/>
      <c r="MVU431"/>
      <c r="MVV431"/>
      <c r="MVW431"/>
      <c r="MVX431"/>
      <c r="MVY431"/>
      <c r="MVZ431"/>
      <c r="MWA431"/>
      <c r="MWB431"/>
      <c r="MWC431"/>
      <c r="MWD431"/>
      <c r="MWE431"/>
      <c r="MWF431"/>
      <c r="MWG431"/>
      <c r="MWH431"/>
      <c r="MWI431"/>
      <c r="MWJ431"/>
      <c r="MWK431"/>
      <c r="MWL431"/>
      <c r="MWM431"/>
      <c r="MWN431"/>
      <c r="MWO431"/>
      <c r="MWP431"/>
      <c r="MWQ431"/>
      <c r="MWR431"/>
      <c r="MWS431"/>
      <c r="MWT431"/>
      <c r="MWU431"/>
      <c r="MWV431"/>
      <c r="MWW431"/>
      <c r="MWX431"/>
      <c r="MWY431"/>
      <c r="MWZ431"/>
      <c r="MXA431"/>
      <c r="MXB431"/>
      <c r="MXC431"/>
      <c r="MXD431"/>
      <c r="MXE431"/>
      <c r="MXF431"/>
      <c r="MXG431"/>
      <c r="MXH431"/>
      <c r="MXI431"/>
      <c r="MXJ431"/>
      <c r="MXK431"/>
      <c r="MXL431"/>
      <c r="MXM431"/>
      <c r="MXN431"/>
      <c r="MXO431"/>
      <c r="MXP431"/>
      <c r="MXQ431"/>
      <c r="MXR431"/>
      <c r="MXS431"/>
      <c r="MXT431"/>
      <c r="MXU431"/>
      <c r="MXV431"/>
      <c r="MXW431"/>
      <c r="MXX431"/>
      <c r="MXY431"/>
      <c r="MXZ431"/>
      <c r="MYA431"/>
      <c r="MYB431"/>
      <c r="MYC431"/>
      <c r="MYD431"/>
      <c r="MYE431"/>
      <c r="MYF431"/>
      <c r="MYG431"/>
      <c r="MYH431"/>
      <c r="MYI431"/>
      <c r="MYJ431"/>
      <c r="MYK431"/>
      <c r="MYL431"/>
      <c r="MYM431"/>
      <c r="MYN431"/>
      <c r="MYO431"/>
      <c r="MYP431"/>
      <c r="MYQ431"/>
      <c r="MYR431"/>
      <c r="MYS431"/>
      <c r="MYT431"/>
      <c r="MYU431"/>
      <c r="MYV431"/>
      <c r="MYW431"/>
      <c r="MYX431"/>
      <c r="MYY431"/>
      <c r="MYZ431"/>
      <c r="MZA431"/>
      <c r="MZB431"/>
      <c r="MZC431"/>
      <c r="MZD431"/>
      <c r="MZE431"/>
      <c r="MZF431"/>
      <c r="MZG431"/>
      <c r="MZH431"/>
      <c r="MZI431"/>
      <c r="MZJ431"/>
      <c r="MZK431"/>
      <c r="MZL431"/>
      <c r="MZM431"/>
      <c r="MZN431"/>
      <c r="MZO431"/>
      <c r="MZP431"/>
      <c r="MZQ431"/>
      <c r="MZR431"/>
      <c r="MZS431"/>
      <c r="MZT431"/>
      <c r="MZU431"/>
      <c r="MZV431"/>
      <c r="MZW431"/>
      <c r="MZX431"/>
      <c r="MZY431"/>
      <c r="MZZ431"/>
      <c r="NAA431"/>
      <c r="NAB431"/>
      <c r="NAC431"/>
      <c r="NAD431"/>
      <c r="NAE431"/>
      <c r="NAF431"/>
      <c r="NAG431"/>
      <c r="NAH431"/>
      <c r="NAI431"/>
      <c r="NAJ431"/>
      <c r="NAK431"/>
      <c r="NAL431"/>
      <c r="NAM431"/>
      <c r="NAN431"/>
      <c r="NAO431"/>
      <c r="NAP431"/>
      <c r="NAQ431"/>
      <c r="NAR431"/>
      <c r="NAS431"/>
      <c r="NAT431"/>
      <c r="NAU431"/>
      <c r="NAV431"/>
      <c r="NAW431"/>
      <c r="NAX431"/>
      <c r="NAY431"/>
      <c r="NAZ431"/>
      <c r="NBA431"/>
      <c r="NBB431"/>
      <c r="NBC431"/>
      <c r="NBD431"/>
      <c r="NBE431"/>
      <c r="NBF431"/>
      <c r="NBG431"/>
      <c r="NBH431"/>
      <c r="NBI431"/>
      <c r="NBJ431"/>
      <c r="NBK431"/>
      <c r="NBL431"/>
      <c r="NBM431"/>
      <c r="NBN431"/>
      <c r="NBO431"/>
      <c r="NBP431"/>
      <c r="NBQ431"/>
      <c r="NBR431"/>
      <c r="NBS431"/>
      <c r="NBT431"/>
      <c r="NBU431"/>
      <c r="NBV431"/>
      <c r="NBW431"/>
      <c r="NBX431"/>
      <c r="NBY431"/>
      <c r="NBZ431"/>
      <c r="NCA431"/>
      <c r="NCB431"/>
      <c r="NCC431"/>
      <c r="NCD431"/>
      <c r="NCE431"/>
      <c r="NCF431"/>
      <c r="NCG431"/>
      <c r="NCH431"/>
      <c r="NCI431"/>
      <c r="NCJ431"/>
      <c r="NCK431"/>
      <c r="NCL431"/>
      <c r="NCM431"/>
      <c r="NCN431"/>
      <c r="NCO431"/>
      <c r="NCP431"/>
      <c r="NCQ431"/>
      <c r="NCR431"/>
      <c r="NCS431"/>
      <c r="NCT431"/>
      <c r="NCU431"/>
      <c r="NCV431"/>
      <c r="NCW431"/>
      <c r="NCX431"/>
      <c r="NCY431"/>
      <c r="NCZ431"/>
      <c r="NDA431"/>
      <c r="NDB431"/>
      <c r="NDC431"/>
      <c r="NDD431"/>
      <c r="NDE431"/>
      <c r="NDF431"/>
      <c r="NDG431"/>
      <c r="NDH431"/>
      <c r="NDI431"/>
      <c r="NDJ431"/>
      <c r="NDK431"/>
      <c r="NDL431"/>
      <c r="NDM431"/>
      <c r="NDN431"/>
      <c r="NDO431"/>
      <c r="NDP431"/>
      <c r="NDQ431"/>
      <c r="NDR431"/>
      <c r="NDS431"/>
      <c r="NDT431"/>
      <c r="NDU431"/>
      <c r="NDV431"/>
      <c r="NDW431"/>
      <c r="NDX431"/>
      <c r="NDY431"/>
      <c r="NDZ431"/>
      <c r="NEA431"/>
      <c r="NEB431"/>
      <c r="NEC431"/>
      <c r="NED431"/>
      <c r="NEE431"/>
      <c r="NEF431"/>
      <c r="NEG431"/>
      <c r="NEH431"/>
      <c r="NEI431"/>
      <c r="NEJ431"/>
      <c r="NEK431"/>
      <c r="NEL431"/>
      <c r="NEM431"/>
      <c r="NEN431"/>
      <c r="NEO431"/>
      <c r="NEP431"/>
      <c r="NEQ431"/>
      <c r="NER431"/>
      <c r="NES431"/>
      <c r="NET431"/>
      <c r="NEU431"/>
      <c r="NEV431"/>
      <c r="NEW431"/>
      <c r="NEX431"/>
      <c r="NEY431"/>
      <c r="NEZ431"/>
      <c r="NFA431"/>
      <c r="NFB431"/>
      <c r="NFC431"/>
      <c r="NFD431"/>
      <c r="NFE431"/>
      <c r="NFF431"/>
      <c r="NFG431"/>
      <c r="NFH431"/>
      <c r="NFI431"/>
      <c r="NFJ431"/>
      <c r="NFK431"/>
      <c r="NFL431"/>
      <c r="NFM431"/>
      <c r="NFN431"/>
      <c r="NFO431"/>
      <c r="NFP431"/>
      <c r="NFQ431"/>
      <c r="NFR431"/>
      <c r="NFS431"/>
      <c r="NFT431"/>
      <c r="NFU431"/>
      <c r="NFV431"/>
      <c r="NFW431"/>
      <c r="NFX431"/>
      <c r="NFY431"/>
      <c r="NFZ431"/>
      <c r="NGA431"/>
      <c r="NGB431"/>
      <c r="NGC431"/>
      <c r="NGD431"/>
      <c r="NGE431"/>
      <c r="NGF431"/>
      <c r="NGG431"/>
      <c r="NGH431"/>
      <c r="NGI431"/>
      <c r="NGJ431"/>
      <c r="NGK431"/>
      <c r="NGL431"/>
      <c r="NGM431"/>
      <c r="NGN431"/>
      <c r="NGO431"/>
      <c r="NGP431"/>
      <c r="NGQ431"/>
      <c r="NGR431"/>
      <c r="NGS431"/>
      <c r="NGT431"/>
      <c r="NGU431"/>
      <c r="NGV431"/>
      <c r="NGW431"/>
      <c r="NGX431"/>
      <c r="NGY431"/>
      <c r="NGZ431"/>
      <c r="NHA431"/>
      <c r="NHB431"/>
      <c r="NHC431"/>
      <c r="NHD431"/>
      <c r="NHE431"/>
      <c r="NHF431"/>
      <c r="NHG431"/>
      <c r="NHH431"/>
      <c r="NHI431"/>
      <c r="NHJ431"/>
      <c r="NHK431"/>
      <c r="NHL431"/>
      <c r="NHM431"/>
      <c r="NHN431"/>
      <c r="NHO431"/>
      <c r="NHP431"/>
      <c r="NHQ431"/>
      <c r="NHR431"/>
      <c r="NHS431"/>
      <c r="NHT431"/>
      <c r="NHU431"/>
      <c r="NHV431"/>
      <c r="NHW431"/>
      <c r="NHX431"/>
      <c r="NHY431"/>
      <c r="NHZ431"/>
      <c r="NIA431"/>
      <c r="NIB431"/>
      <c r="NIC431"/>
      <c r="NID431"/>
      <c r="NIE431"/>
      <c r="NIF431"/>
      <c r="NIG431"/>
      <c r="NIH431"/>
      <c r="NII431"/>
      <c r="NIJ431"/>
      <c r="NIK431"/>
      <c r="NIL431"/>
      <c r="NIM431"/>
      <c r="NIN431"/>
      <c r="NIO431"/>
      <c r="NIP431"/>
      <c r="NIQ431"/>
      <c r="NIR431"/>
      <c r="NIS431"/>
      <c r="NIT431"/>
      <c r="NIU431"/>
      <c r="NIV431"/>
      <c r="NIW431"/>
      <c r="NIX431"/>
      <c r="NIY431"/>
      <c r="NIZ431"/>
      <c r="NJA431"/>
      <c r="NJB431"/>
      <c r="NJC431"/>
      <c r="NJD431"/>
      <c r="NJE431"/>
      <c r="NJF431"/>
      <c r="NJG431"/>
      <c r="NJH431"/>
      <c r="NJI431"/>
      <c r="NJJ431"/>
      <c r="NJK431"/>
      <c r="NJL431"/>
      <c r="NJM431"/>
      <c r="NJN431"/>
      <c r="NJO431"/>
      <c r="NJP431"/>
      <c r="NJQ431"/>
      <c r="NJR431"/>
      <c r="NJS431"/>
      <c r="NJT431"/>
      <c r="NJU431"/>
      <c r="NJV431"/>
      <c r="NJW431"/>
      <c r="NJX431"/>
      <c r="NJY431"/>
      <c r="NJZ431"/>
      <c r="NKA431"/>
      <c r="NKB431"/>
      <c r="NKC431"/>
      <c r="NKD431"/>
      <c r="NKE431"/>
      <c r="NKF431"/>
      <c r="NKG431"/>
      <c r="NKH431"/>
      <c r="NKI431"/>
      <c r="NKJ431"/>
      <c r="NKK431"/>
      <c r="NKL431"/>
      <c r="NKM431"/>
      <c r="NKN431"/>
      <c r="NKO431"/>
      <c r="NKP431"/>
      <c r="NKQ431"/>
      <c r="NKR431"/>
      <c r="NKS431"/>
      <c r="NKT431"/>
      <c r="NKU431"/>
      <c r="NKV431"/>
      <c r="NKW431"/>
      <c r="NKX431"/>
      <c r="NKY431"/>
      <c r="NKZ431"/>
      <c r="NLA431"/>
      <c r="NLB431"/>
      <c r="NLC431"/>
      <c r="NLD431"/>
      <c r="NLE431"/>
      <c r="NLF431"/>
      <c r="NLG431"/>
      <c r="NLH431"/>
      <c r="NLI431"/>
      <c r="NLJ431"/>
      <c r="NLK431"/>
      <c r="NLL431"/>
      <c r="NLM431"/>
      <c r="NLN431"/>
      <c r="NLO431"/>
      <c r="NLP431"/>
      <c r="NLQ431"/>
      <c r="NLR431"/>
      <c r="NLS431"/>
      <c r="NLT431"/>
      <c r="NLU431"/>
      <c r="NLV431"/>
      <c r="NLW431"/>
      <c r="NLX431"/>
      <c r="NLY431"/>
      <c r="NLZ431"/>
      <c r="NMA431"/>
      <c r="NMB431"/>
      <c r="NMC431"/>
      <c r="NMD431"/>
      <c r="NME431"/>
      <c r="NMF431"/>
      <c r="NMG431"/>
      <c r="NMH431"/>
      <c r="NMI431"/>
      <c r="NMJ431"/>
      <c r="NMK431"/>
      <c r="NML431"/>
      <c r="NMM431"/>
      <c r="NMN431"/>
      <c r="NMO431"/>
      <c r="NMP431"/>
      <c r="NMQ431"/>
      <c r="NMR431"/>
      <c r="NMS431"/>
      <c r="NMT431"/>
      <c r="NMU431"/>
      <c r="NMV431"/>
      <c r="NMW431"/>
      <c r="NMX431"/>
      <c r="NMY431"/>
      <c r="NMZ431"/>
      <c r="NNA431"/>
      <c r="NNB431"/>
      <c r="NNC431"/>
      <c r="NND431"/>
      <c r="NNE431"/>
      <c r="NNF431"/>
      <c r="NNG431"/>
      <c r="NNH431"/>
      <c r="NNI431"/>
      <c r="NNJ431"/>
      <c r="NNK431"/>
      <c r="NNL431"/>
      <c r="NNM431"/>
      <c r="NNN431"/>
      <c r="NNO431"/>
      <c r="NNP431"/>
      <c r="NNQ431"/>
      <c r="NNR431"/>
      <c r="NNS431"/>
      <c r="NNT431"/>
      <c r="NNU431"/>
      <c r="NNV431"/>
      <c r="NNW431"/>
      <c r="NNX431"/>
      <c r="NNY431"/>
      <c r="NNZ431"/>
      <c r="NOA431"/>
      <c r="NOB431"/>
      <c r="NOC431"/>
      <c r="NOD431"/>
      <c r="NOE431"/>
      <c r="NOF431"/>
      <c r="NOG431"/>
      <c r="NOH431"/>
      <c r="NOI431"/>
      <c r="NOJ431"/>
      <c r="NOK431"/>
      <c r="NOL431"/>
      <c r="NOM431"/>
      <c r="NON431"/>
      <c r="NOO431"/>
      <c r="NOP431"/>
      <c r="NOQ431"/>
      <c r="NOR431"/>
      <c r="NOS431"/>
      <c r="NOT431"/>
      <c r="NOU431"/>
      <c r="NOV431"/>
      <c r="NOW431"/>
      <c r="NOX431"/>
      <c r="NOY431"/>
      <c r="NOZ431"/>
      <c r="NPA431"/>
      <c r="NPB431"/>
      <c r="NPC431"/>
      <c r="NPD431"/>
      <c r="NPE431"/>
      <c r="NPF431"/>
      <c r="NPG431"/>
      <c r="NPH431"/>
      <c r="NPI431"/>
      <c r="NPJ431"/>
      <c r="NPK431"/>
      <c r="NPL431"/>
      <c r="NPM431"/>
      <c r="NPN431"/>
      <c r="NPO431"/>
      <c r="NPP431"/>
      <c r="NPQ431"/>
      <c r="NPR431"/>
      <c r="NPS431"/>
      <c r="NPT431"/>
      <c r="NPU431"/>
      <c r="NPV431"/>
      <c r="NPW431"/>
      <c r="NPX431"/>
      <c r="NPY431"/>
      <c r="NPZ431"/>
      <c r="NQA431"/>
      <c r="NQB431"/>
      <c r="NQC431"/>
      <c r="NQD431"/>
      <c r="NQE431"/>
      <c r="NQF431"/>
      <c r="NQG431"/>
      <c r="NQH431"/>
      <c r="NQI431"/>
      <c r="NQJ431"/>
      <c r="NQK431"/>
      <c r="NQL431"/>
      <c r="NQM431"/>
      <c r="NQN431"/>
      <c r="NQO431"/>
      <c r="NQP431"/>
      <c r="NQQ431"/>
      <c r="NQR431"/>
      <c r="NQS431"/>
      <c r="NQT431"/>
      <c r="NQU431"/>
      <c r="NQV431"/>
      <c r="NQW431"/>
      <c r="NQX431"/>
      <c r="NQY431"/>
      <c r="NQZ431"/>
      <c r="NRA431"/>
      <c r="NRB431"/>
      <c r="NRC431"/>
      <c r="NRD431"/>
      <c r="NRE431"/>
      <c r="NRF431"/>
      <c r="NRG431"/>
      <c r="NRH431"/>
      <c r="NRI431"/>
      <c r="NRJ431"/>
      <c r="NRK431"/>
      <c r="NRL431"/>
      <c r="NRM431"/>
      <c r="NRN431"/>
      <c r="NRO431"/>
      <c r="NRP431"/>
      <c r="NRQ431"/>
      <c r="NRR431"/>
      <c r="NRS431"/>
      <c r="NRT431"/>
      <c r="NRU431"/>
      <c r="NRV431"/>
      <c r="NRW431"/>
      <c r="NRX431"/>
      <c r="NRY431"/>
      <c r="NRZ431"/>
      <c r="NSA431"/>
      <c r="NSB431"/>
      <c r="NSC431"/>
      <c r="NSD431"/>
      <c r="NSE431"/>
      <c r="NSF431"/>
      <c r="NSG431"/>
      <c r="NSH431"/>
      <c r="NSI431"/>
      <c r="NSJ431"/>
      <c r="NSK431"/>
      <c r="NSL431"/>
      <c r="NSM431"/>
      <c r="NSN431"/>
      <c r="NSO431"/>
      <c r="NSP431"/>
      <c r="NSQ431"/>
      <c r="NSR431"/>
      <c r="NSS431"/>
      <c r="NST431"/>
      <c r="NSU431"/>
      <c r="NSV431"/>
      <c r="NSW431"/>
      <c r="NSX431"/>
      <c r="NSY431"/>
      <c r="NSZ431"/>
      <c r="NTA431"/>
      <c r="NTB431"/>
      <c r="NTC431"/>
      <c r="NTD431"/>
      <c r="NTE431"/>
      <c r="NTF431"/>
      <c r="NTG431"/>
      <c r="NTH431"/>
      <c r="NTI431"/>
      <c r="NTJ431"/>
      <c r="NTK431"/>
      <c r="NTL431"/>
      <c r="NTM431"/>
      <c r="NTN431"/>
      <c r="NTO431"/>
      <c r="NTP431"/>
      <c r="NTQ431"/>
      <c r="NTR431"/>
      <c r="NTS431"/>
      <c r="NTT431"/>
      <c r="NTU431"/>
      <c r="NTV431"/>
      <c r="NTW431"/>
      <c r="NTX431"/>
      <c r="NTY431"/>
      <c r="NTZ431"/>
      <c r="NUA431"/>
      <c r="NUB431"/>
      <c r="NUC431"/>
      <c r="NUD431"/>
      <c r="NUE431"/>
      <c r="NUF431"/>
      <c r="NUG431"/>
      <c r="NUH431"/>
      <c r="NUI431"/>
      <c r="NUJ431"/>
      <c r="NUK431"/>
      <c r="NUL431"/>
      <c r="NUM431"/>
      <c r="NUN431"/>
      <c r="NUO431"/>
      <c r="NUP431"/>
      <c r="NUQ431"/>
      <c r="NUR431"/>
      <c r="NUS431"/>
      <c r="NUT431"/>
      <c r="NUU431"/>
      <c r="NUV431"/>
      <c r="NUW431"/>
      <c r="NUX431"/>
      <c r="NUY431"/>
      <c r="NUZ431"/>
      <c r="NVA431"/>
      <c r="NVB431"/>
      <c r="NVC431"/>
      <c r="NVD431"/>
      <c r="NVE431"/>
      <c r="NVF431"/>
      <c r="NVG431"/>
      <c r="NVH431"/>
      <c r="NVI431"/>
      <c r="NVJ431"/>
      <c r="NVK431"/>
      <c r="NVL431"/>
      <c r="NVM431"/>
      <c r="NVN431"/>
      <c r="NVO431"/>
      <c r="NVP431"/>
      <c r="NVQ431"/>
      <c r="NVR431"/>
      <c r="NVS431"/>
      <c r="NVT431"/>
      <c r="NVU431"/>
      <c r="NVV431"/>
      <c r="NVW431"/>
      <c r="NVX431"/>
      <c r="NVY431"/>
      <c r="NVZ431"/>
      <c r="NWA431"/>
      <c r="NWB431"/>
      <c r="NWC431"/>
      <c r="NWD431"/>
      <c r="NWE431"/>
      <c r="NWF431"/>
      <c r="NWG431"/>
      <c r="NWH431"/>
      <c r="NWI431"/>
      <c r="NWJ431"/>
      <c r="NWK431"/>
      <c r="NWL431"/>
      <c r="NWM431"/>
      <c r="NWN431"/>
      <c r="NWO431"/>
      <c r="NWP431"/>
      <c r="NWQ431"/>
      <c r="NWR431"/>
      <c r="NWS431"/>
      <c r="NWT431"/>
      <c r="NWU431"/>
      <c r="NWV431"/>
      <c r="NWW431"/>
      <c r="NWX431"/>
      <c r="NWY431"/>
      <c r="NWZ431"/>
      <c r="NXA431"/>
      <c r="NXB431"/>
      <c r="NXC431"/>
      <c r="NXD431"/>
      <c r="NXE431"/>
      <c r="NXF431"/>
      <c r="NXG431"/>
      <c r="NXH431"/>
      <c r="NXI431"/>
      <c r="NXJ431"/>
      <c r="NXK431"/>
      <c r="NXL431"/>
      <c r="NXM431"/>
      <c r="NXN431"/>
      <c r="NXO431"/>
      <c r="NXP431"/>
      <c r="NXQ431"/>
      <c r="NXR431"/>
      <c r="NXS431"/>
      <c r="NXT431"/>
      <c r="NXU431"/>
      <c r="NXV431"/>
      <c r="NXW431"/>
      <c r="NXX431"/>
      <c r="NXY431"/>
      <c r="NXZ431"/>
      <c r="NYA431"/>
      <c r="NYB431"/>
      <c r="NYC431"/>
      <c r="NYD431"/>
      <c r="NYE431"/>
      <c r="NYF431"/>
      <c r="NYG431"/>
      <c r="NYH431"/>
      <c r="NYI431"/>
      <c r="NYJ431"/>
      <c r="NYK431"/>
      <c r="NYL431"/>
      <c r="NYM431"/>
      <c r="NYN431"/>
      <c r="NYO431"/>
      <c r="NYP431"/>
      <c r="NYQ431"/>
      <c r="NYR431"/>
      <c r="NYS431"/>
      <c r="NYT431"/>
      <c r="NYU431"/>
      <c r="NYV431"/>
      <c r="NYW431"/>
      <c r="NYX431"/>
      <c r="NYY431"/>
      <c r="NYZ431"/>
      <c r="NZA431"/>
      <c r="NZB431"/>
      <c r="NZC431"/>
      <c r="NZD431"/>
      <c r="NZE431"/>
      <c r="NZF431"/>
      <c r="NZG431"/>
      <c r="NZH431"/>
      <c r="NZI431"/>
      <c r="NZJ431"/>
      <c r="NZK431"/>
      <c r="NZL431"/>
      <c r="NZM431"/>
      <c r="NZN431"/>
      <c r="NZO431"/>
      <c r="NZP431"/>
      <c r="NZQ431"/>
      <c r="NZR431"/>
      <c r="NZS431"/>
      <c r="NZT431"/>
      <c r="NZU431"/>
      <c r="NZV431"/>
      <c r="NZW431"/>
      <c r="NZX431"/>
      <c r="NZY431"/>
      <c r="NZZ431"/>
      <c r="OAA431"/>
      <c r="OAB431"/>
      <c r="OAC431"/>
      <c r="OAD431"/>
      <c r="OAE431"/>
      <c r="OAF431"/>
      <c r="OAG431"/>
      <c r="OAH431"/>
      <c r="OAI431"/>
      <c r="OAJ431"/>
      <c r="OAK431"/>
      <c r="OAL431"/>
      <c r="OAM431"/>
      <c r="OAN431"/>
      <c r="OAO431"/>
      <c r="OAP431"/>
      <c r="OAQ431"/>
      <c r="OAR431"/>
      <c r="OAS431"/>
      <c r="OAT431"/>
      <c r="OAU431"/>
      <c r="OAV431"/>
      <c r="OAW431"/>
      <c r="OAX431"/>
      <c r="OAY431"/>
      <c r="OAZ431"/>
      <c r="OBA431"/>
      <c r="OBB431"/>
      <c r="OBC431"/>
      <c r="OBD431"/>
      <c r="OBE431"/>
      <c r="OBF431"/>
      <c r="OBG431"/>
      <c r="OBH431"/>
      <c r="OBI431"/>
      <c r="OBJ431"/>
      <c r="OBK431"/>
      <c r="OBL431"/>
      <c r="OBM431"/>
      <c r="OBN431"/>
      <c r="OBO431"/>
      <c r="OBP431"/>
      <c r="OBQ431"/>
      <c r="OBR431"/>
      <c r="OBS431"/>
      <c r="OBT431"/>
      <c r="OBU431"/>
      <c r="OBV431"/>
      <c r="OBW431"/>
      <c r="OBX431"/>
      <c r="OBY431"/>
      <c r="OBZ431"/>
      <c r="OCA431"/>
      <c r="OCB431"/>
      <c r="OCC431"/>
      <c r="OCD431"/>
      <c r="OCE431"/>
      <c r="OCF431"/>
      <c r="OCG431"/>
      <c r="OCH431"/>
      <c r="OCI431"/>
      <c r="OCJ431"/>
      <c r="OCK431"/>
      <c r="OCL431"/>
      <c r="OCM431"/>
      <c r="OCN431"/>
      <c r="OCO431"/>
      <c r="OCP431"/>
      <c r="OCQ431"/>
      <c r="OCR431"/>
      <c r="OCS431"/>
      <c r="OCT431"/>
      <c r="OCU431"/>
      <c r="OCV431"/>
      <c r="OCW431"/>
      <c r="OCX431"/>
      <c r="OCY431"/>
      <c r="OCZ431"/>
      <c r="ODA431"/>
      <c r="ODB431"/>
      <c r="ODC431"/>
      <c r="ODD431"/>
      <c r="ODE431"/>
      <c r="ODF431"/>
      <c r="ODG431"/>
      <c r="ODH431"/>
      <c r="ODI431"/>
      <c r="ODJ431"/>
      <c r="ODK431"/>
      <c r="ODL431"/>
      <c r="ODM431"/>
      <c r="ODN431"/>
      <c r="ODO431"/>
      <c r="ODP431"/>
      <c r="ODQ431"/>
      <c r="ODR431"/>
      <c r="ODS431"/>
      <c r="ODT431"/>
      <c r="ODU431"/>
      <c r="ODV431"/>
      <c r="ODW431"/>
      <c r="ODX431"/>
      <c r="ODY431"/>
      <c r="ODZ431"/>
      <c r="OEA431"/>
      <c r="OEB431"/>
      <c r="OEC431"/>
      <c r="OED431"/>
      <c r="OEE431"/>
      <c r="OEF431"/>
      <c r="OEG431"/>
      <c r="OEH431"/>
      <c r="OEI431"/>
      <c r="OEJ431"/>
      <c r="OEK431"/>
      <c r="OEL431"/>
      <c r="OEM431"/>
      <c r="OEN431"/>
      <c r="OEO431"/>
      <c r="OEP431"/>
      <c r="OEQ431"/>
      <c r="OER431"/>
      <c r="OES431"/>
      <c r="OET431"/>
      <c r="OEU431"/>
      <c r="OEV431"/>
      <c r="OEW431"/>
      <c r="OEX431"/>
      <c r="OEY431"/>
      <c r="OEZ431"/>
      <c r="OFA431"/>
      <c r="OFB431"/>
      <c r="OFC431"/>
      <c r="OFD431"/>
      <c r="OFE431"/>
      <c r="OFF431"/>
      <c r="OFG431"/>
      <c r="OFH431"/>
      <c r="OFI431"/>
      <c r="OFJ431"/>
      <c r="OFK431"/>
      <c r="OFL431"/>
      <c r="OFM431"/>
      <c r="OFN431"/>
      <c r="OFO431"/>
      <c r="OFP431"/>
      <c r="OFQ431"/>
      <c r="OFR431"/>
      <c r="OFS431"/>
      <c r="OFT431"/>
      <c r="OFU431"/>
      <c r="OFV431"/>
      <c r="OFW431"/>
      <c r="OFX431"/>
      <c r="OFY431"/>
      <c r="OFZ431"/>
      <c r="OGA431"/>
      <c r="OGB431"/>
      <c r="OGC431"/>
      <c r="OGD431"/>
      <c r="OGE431"/>
      <c r="OGF431"/>
      <c r="OGG431"/>
      <c r="OGH431"/>
      <c r="OGI431"/>
      <c r="OGJ431"/>
      <c r="OGK431"/>
      <c r="OGL431"/>
      <c r="OGM431"/>
      <c r="OGN431"/>
      <c r="OGO431"/>
      <c r="OGP431"/>
      <c r="OGQ431"/>
      <c r="OGR431"/>
      <c r="OGS431"/>
      <c r="OGT431"/>
      <c r="OGU431"/>
      <c r="OGV431"/>
      <c r="OGW431"/>
      <c r="OGX431"/>
      <c r="OGY431"/>
      <c r="OGZ431"/>
      <c r="OHA431"/>
      <c r="OHB431"/>
      <c r="OHC431"/>
      <c r="OHD431"/>
      <c r="OHE431"/>
      <c r="OHF431"/>
      <c r="OHG431"/>
      <c r="OHH431"/>
      <c r="OHI431"/>
      <c r="OHJ431"/>
      <c r="OHK431"/>
      <c r="OHL431"/>
      <c r="OHM431"/>
      <c r="OHN431"/>
      <c r="OHO431"/>
      <c r="OHP431"/>
      <c r="OHQ431"/>
      <c r="OHR431"/>
      <c r="OHS431"/>
      <c r="OHT431"/>
      <c r="OHU431"/>
      <c r="OHV431"/>
      <c r="OHW431"/>
      <c r="OHX431"/>
      <c r="OHY431"/>
      <c r="OHZ431"/>
      <c r="OIA431"/>
      <c r="OIB431"/>
      <c r="OIC431"/>
      <c r="OID431"/>
      <c r="OIE431"/>
      <c r="OIF431"/>
      <c r="OIG431"/>
      <c r="OIH431"/>
      <c r="OII431"/>
      <c r="OIJ431"/>
      <c r="OIK431"/>
      <c r="OIL431"/>
      <c r="OIM431"/>
      <c r="OIN431"/>
      <c r="OIO431"/>
      <c r="OIP431"/>
      <c r="OIQ431"/>
      <c r="OIR431"/>
      <c r="OIS431"/>
      <c r="OIT431"/>
      <c r="OIU431"/>
      <c r="OIV431"/>
      <c r="OIW431"/>
      <c r="OIX431"/>
      <c r="OIY431"/>
      <c r="OIZ431"/>
      <c r="OJA431"/>
      <c r="OJB431"/>
      <c r="OJC431"/>
      <c r="OJD431"/>
      <c r="OJE431"/>
      <c r="OJF431"/>
      <c r="OJG431"/>
      <c r="OJH431"/>
      <c r="OJI431"/>
      <c r="OJJ431"/>
      <c r="OJK431"/>
      <c r="OJL431"/>
      <c r="OJM431"/>
      <c r="OJN431"/>
      <c r="OJO431"/>
      <c r="OJP431"/>
      <c r="OJQ431"/>
      <c r="OJR431"/>
      <c r="OJS431"/>
      <c r="OJT431"/>
      <c r="OJU431"/>
      <c r="OJV431"/>
      <c r="OJW431"/>
      <c r="OJX431"/>
      <c r="OJY431"/>
      <c r="OJZ431"/>
      <c r="OKA431"/>
      <c r="OKB431"/>
      <c r="OKC431"/>
      <c r="OKD431"/>
      <c r="OKE431"/>
      <c r="OKF431"/>
      <c r="OKG431"/>
      <c r="OKH431"/>
      <c r="OKI431"/>
      <c r="OKJ431"/>
      <c r="OKK431"/>
      <c r="OKL431"/>
      <c r="OKM431"/>
      <c r="OKN431"/>
      <c r="OKO431"/>
      <c r="OKP431"/>
      <c r="OKQ431"/>
      <c r="OKR431"/>
      <c r="OKS431"/>
      <c r="OKT431"/>
      <c r="OKU431"/>
      <c r="OKV431"/>
      <c r="OKW431"/>
      <c r="OKX431"/>
      <c r="OKY431"/>
      <c r="OKZ431"/>
      <c r="OLA431"/>
      <c r="OLB431"/>
      <c r="OLC431"/>
      <c r="OLD431"/>
      <c r="OLE431"/>
      <c r="OLF431"/>
      <c r="OLG431"/>
      <c r="OLH431"/>
      <c r="OLI431"/>
      <c r="OLJ431"/>
      <c r="OLK431"/>
      <c r="OLL431"/>
      <c r="OLM431"/>
      <c r="OLN431"/>
      <c r="OLO431"/>
      <c r="OLP431"/>
      <c r="OLQ431"/>
      <c r="OLR431"/>
      <c r="OLS431"/>
      <c r="OLT431"/>
      <c r="OLU431"/>
      <c r="OLV431"/>
      <c r="OLW431"/>
      <c r="OLX431"/>
      <c r="OLY431"/>
      <c r="OLZ431"/>
      <c r="OMA431"/>
      <c r="OMB431"/>
      <c r="OMC431"/>
      <c r="OMD431"/>
      <c r="OME431"/>
      <c r="OMF431"/>
      <c r="OMG431"/>
      <c r="OMH431"/>
      <c r="OMI431"/>
      <c r="OMJ431"/>
      <c r="OMK431"/>
      <c r="OML431"/>
      <c r="OMM431"/>
      <c r="OMN431"/>
      <c r="OMO431"/>
      <c r="OMP431"/>
      <c r="OMQ431"/>
      <c r="OMR431"/>
      <c r="OMS431"/>
      <c r="OMT431"/>
      <c r="OMU431"/>
      <c r="OMV431"/>
      <c r="OMW431"/>
      <c r="OMX431"/>
      <c r="OMY431"/>
      <c r="OMZ431"/>
      <c r="ONA431"/>
      <c r="ONB431"/>
      <c r="ONC431"/>
      <c r="OND431"/>
      <c r="ONE431"/>
      <c r="ONF431"/>
      <c r="ONG431"/>
      <c r="ONH431"/>
      <c r="ONI431"/>
      <c r="ONJ431"/>
      <c r="ONK431"/>
      <c r="ONL431"/>
      <c r="ONM431"/>
      <c r="ONN431"/>
      <c r="ONO431"/>
      <c r="ONP431"/>
      <c r="ONQ431"/>
      <c r="ONR431"/>
      <c r="ONS431"/>
      <c r="ONT431"/>
      <c r="ONU431"/>
      <c r="ONV431"/>
      <c r="ONW431"/>
      <c r="ONX431"/>
      <c r="ONY431"/>
      <c r="ONZ431"/>
      <c r="OOA431"/>
      <c r="OOB431"/>
      <c r="OOC431"/>
      <c r="OOD431"/>
      <c r="OOE431"/>
      <c r="OOF431"/>
      <c r="OOG431"/>
      <c r="OOH431"/>
      <c r="OOI431"/>
      <c r="OOJ431"/>
      <c r="OOK431"/>
      <c r="OOL431"/>
      <c r="OOM431"/>
      <c r="OON431"/>
      <c r="OOO431"/>
      <c r="OOP431"/>
      <c r="OOQ431"/>
      <c r="OOR431"/>
      <c r="OOS431"/>
      <c r="OOT431"/>
      <c r="OOU431"/>
      <c r="OOV431"/>
      <c r="OOW431"/>
      <c r="OOX431"/>
      <c r="OOY431"/>
      <c r="OOZ431"/>
      <c r="OPA431"/>
      <c r="OPB431"/>
      <c r="OPC431"/>
      <c r="OPD431"/>
      <c r="OPE431"/>
      <c r="OPF431"/>
      <c r="OPG431"/>
      <c r="OPH431"/>
      <c r="OPI431"/>
      <c r="OPJ431"/>
      <c r="OPK431"/>
      <c r="OPL431"/>
      <c r="OPM431"/>
      <c r="OPN431"/>
      <c r="OPO431"/>
      <c r="OPP431"/>
      <c r="OPQ431"/>
      <c r="OPR431"/>
      <c r="OPS431"/>
      <c r="OPT431"/>
      <c r="OPU431"/>
      <c r="OPV431"/>
      <c r="OPW431"/>
      <c r="OPX431"/>
      <c r="OPY431"/>
      <c r="OPZ431"/>
      <c r="OQA431"/>
      <c r="OQB431"/>
      <c r="OQC431"/>
      <c r="OQD431"/>
      <c r="OQE431"/>
      <c r="OQF431"/>
      <c r="OQG431"/>
      <c r="OQH431"/>
      <c r="OQI431"/>
      <c r="OQJ431"/>
      <c r="OQK431"/>
      <c r="OQL431"/>
      <c r="OQM431"/>
      <c r="OQN431"/>
      <c r="OQO431"/>
      <c r="OQP431"/>
      <c r="OQQ431"/>
      <c r="OQR431"/>
      <c r="OQS431"/>
      <c r="OQT431"/>
      <c r="OQU431"/>
      <c r="OQV431"/>
      <c r="OQW431"/>
      <c r="OQX431"/>
      <c r="OQY431"/>
      <c r="OQZ431"/>
      <c r="ORA431"/>
      <c r="ORB431"/>
      <c r="ORC431"/>
      <c r="ORD431"/>
      <c r="ORE431"/>
      <c r="ORF431"/>
      <c r="ORG431"/>
      <c r="ORH431"/>
      <c r="ORI431"/>
      <c r="ORJ431"/>
      <c r="ORK431"/>
      <c r="ORL431"/>
      <c r="ORM431"/>
      <c r="ORN431"/>
      <c r="ORO431"/>
      <c r="ORP431"/>
      <c r="ORQ431"/>
      <c r="ORR431"/>
      <c r="ORS431"/>
      <c r="ORT431"/>
      <c r="ORU431"/>
      <c r="ORV431"/>
      <c r="ORW431"/>
      <c r="ORX431"/>
      <c r="ORY431"/>
      <c r="ORZ431"/>
      <c r="OSA431"/>
      <c r="OSB431"/>
      <c r="OSC431"/>
      <c r="OSD431"/>
      <c r="OSE431"/>
      <c r="OSF431"/>
      <c r="OSG431"/>
      <c r="OSH431"/>
      <c r="OSI431"/>
      <c r="OSJ431"/>
      <c r="OSK431"/>
      <c r="OSL431"/>
      <c r="OSM431"/>
      <c r="OSN431"/>
      <c r="OSO431"/>
      <c r="OSP431"/>
      <c r="OSQ431"/>
      <c r="OSR431"/>
      <c r="OSS431"/>
      <c r="OST431"/>
      <c r="OSU431"/>
      <c r="OSV431"/>
      <c r="OSW431"/>
      <c r="OSX431"/>
      <c r="OSY431"/>
      <c r="OSZ431"/>
      <c r="OTA431"/>
      <c r="OTB431"/>
      <c r="OTC431"/>
      <c r="OTD431"/>
      <c r="OTE431"/>
      <c r="OTF431"/>
      <c r="OTG431"/>
      <c r="OTH431"/>
      <c r="OTI431"/>
      <c r="OTJ431"/>
      <c r="OTK431"/>
      <c r="OTL431"/>
      <c r="OTM431"/>
      <c r="OTN431"/>
      <c r="OTO431"/>
      <c r="OTP431"/>
      <c r="OTQ431"/>
      <c r="OTR431"/>
      <c r="OTS431"/>
      <c r="OTT431"/>
      <c r="OTU431"/>
      <c r="OTV431"/>
      <c r="OTW431"/>
      <c r="OTX431"/>
      <c r="OTY431"/>
      <c r="OTZ431"/>
      <c r="OUA431"/>
      <c r="OUB431"/>
      <c r="OUC431"/>
      <c r="OUD431"/>
      <c r="OUE431"/>
      <c r="OUF431"/>
      <c r="OUG431"/>
      <c r="OUH431"/>
      <c r="OUI431"/>
      <c r="OUJ431"/>
      <c r="OUK431"/>
      <c r="OUL431"/>
      <c r="OUM431"/>
      <c r="OUN431"/>
      <c r="OUO431"/>
      <c r="OUP431"/>
      <c r="OUQ431"/>
      <c r="OUR431"/>
      <c r="OUS431"/>
      <c r="OUT431"/>
      <c r="OUU431"/>
      <c r="OUV431"/>
      <c r="OUW431"/>
      <c r="OUX431"/>
      <c r="OUY431"/>
      <c r="OUZ431"/>
      <c r="OVA431"/>
      <c r="OVB431"/>
      <c r="OVC431"/>
      <c r="OVD431"/>
      <c r="OVE431"/>
      <c r="OVF431"/>
      <c r="OVG431"/>
      <c r="OVH431"/>
      <c r="OVI431"/>
      <c r="OVJ431"/>
      <c r="OVK431"/>
      <c r="OVL431"/>
      <c r="OVM431"/>
      <c r="OVN431"/>
      <c r="OVO431"/>
      <c r="OVP431"/>
      <c r="OVQ431"/>
      <c r="OVR431"/>
      <c r="OVS431"/>
      <c r="OVT431"/>
      <c r="OVU431"/>
      <c r="OVV431"/>
      <c r="OVW431"/>
      <c r="OVX431"/>
      <c r="OVY431"/>
      <c r="OVZ431"/>
      <c r="OWA431"/>
      <c r="OWB431"/>
      <c r="OWC431"/>
      <c r="OWD431"/>
      <c r="OWE431"/>
      <c r="OWF431"/>
      <c r="OWG431"/>
      <c r="OWH431"/>
      <c r="OWI431"/>
      <c r="OWJ431"/>
      <c r="OWK431"/>
      <c r="OWL431"/>
      <c r="OWM431"/>
      <c r="OWN431"/>
      <c r="OWO431"/>
      <c r="OWP431"/>
      <c r="OWQ431"/>
      <c r="OWR431"/>
      <c r="OWS431"/>
      <c r="OWT431"/>
      <c r="OWU431"/>
      <c r="OWV431"/>
      <c r="OWW431"/>
      <c r="OWX431"/>
      <c r="OWY431"/>
      <c r="OWZ431"/>
      <c r="OXA431"/>
      <c r="OXB431"/>
      <c r="OXC431"/>
      <c r="OXD431"/>
      <c r="OXE431"/>
      <c r="OXF431"/>
      <c r="OXG431"/>
      <c r="OXH431"/>
      <c r="OXI431"/>
      <c r="OXJ431"/>
      <c r="OXK431"/>
      <c r="OXL431"/>
      <c r="OXM431"/>
      <c r="OXN431"/>
      <c r="OXO431"/>
      <c r="OXP431"/>
      <c r="OXQ431"/>
      <c r="OXR431"/>
      <c r="OXS431"/>
      <c r="OXT431"/>
      <c r="OXU431"/>
      <c r="OXV431"/>
      <c r="OXW431"/>
      <c r="OXX431"/>
      <c r="OXY431"/>
      <c r="OXZ431"/>
      <c r="OYA431"/>
      <c r="OYB431"/>
      <c r="OYC431"/>
      <c r="OYD431"/>
      <c r="OYE431"/>
      <c r="OYF431"/>
      <c r="OYG431"/>
      <c r="OYH431"/>
      <c r="OYI431"/>
      <c r="OYJ431"/>
      <c r="OYK431"/>
      <c r="OYL431"/>
      <c r="OYM431"/>
      <c r="OYN431"/>
      <c r="OYO431"/>
      <c r="OYP431"/>
      <c r="OYQ431"/>
      <c r="OYR431"/>
      <c r="OYS431"/>
      <c r="OYT431"/>
      <c r="OYU431"/>
      <c r="OYV431"/>
      <c r="OYW431"/>
      <c r="OYX431"/>
      <c r="OYY431"/>
      <c r="OYZ431"/>
      <c r="OZA431"/>
      <c r="OZB431"/>
      <c r="OZC431"/>
      <c r="OZD431"/>
      <c r="OZE431"/>
      <c r="OZF431"/>
      <c r="OZG431"/>
      <c r="OZH431"/>
      <c r="OZI431"/>
      <c r="OZJ431"/>
      <c r="OZK431"/>
      <c r="OZL431"/>
      <c r="OZM431"/>
      <c r="OZN431"/>
      <c r="OZO431"/>
      <c r="OZP431"/>
      <c r="OZQ431"/>
      <c r="OZR431"/>
      <c r="OZS431"/>
      <c r="OZT431"/>
      <c r="OZU431"/>
      <c r="OZV431"/>
      <c r="OZW431"/>
      <c r="OZX431"/>
      <c r="OZY431"/>
      <c r="OZZ431"/>
      <c r="PAA431"/>
      <c r="PAB431"/>
      <c r="PAC431"/>
      <c r="PAD431"/>
      <c r="PAE431"/>
      <c r="PAF431"/>
      <c r="PAG431"/>
      <c r="PAH431"/>
      <c r="PAI431"/>
      <c r="PAJ431"/>
      <c r="PAK431"/>
      <c r="PAL431"/>
      <c r="PAM431"/>
      <c r="PAN431"/>
      <c r="PAO431"/>
      <c r="PAP431"/>
      <c r="PAQ431"/>
      <c r="PAR431"/>
      <c r="PAS431"/>
      <c r="PAT431"/>
      <c r="PAU431"/>
      <c r="PAV431"/>
      <c r="PAW431"/>
      <c r="PAX431"/>
      <c r="PAY431"/>
      <c r="PAZ431"/>
      <c r="PBA431"/>
      <c r="PBB431"/>
      <c r="PBC431"/>
      <c r="PBD431"/>
      <c r="PBE431"/>
      <c r="PBF431"/>
      <c r="PBG431"/>
      <c r="PBH431"/>
      <c r="PBI431"/>
      <c r="PBJ431"/>
      <c r="PBK431"/>
      <c r="PBL431"/>
      <c r="PBM431"/>
      <c r="PBN431"/>
      <c r="PBO431"/>
      <c r="PBP431"/>
      <c r="PBQ431"/>
      <c r="PBR431"/>
      <c r="PBS431"/>
      <c r="PBT431"/>
      <c r="PBU431"/>
      <c r="PBV431"/>
      <c r="PBW431"/>
      <c r="PBX431"/>
      <c r="PBY431"/>
      <c r="PBZ431"/>
      <c r="PCA431"/>
      <c r="PCB431"/>
      <c r="PCC431"/>
      <c r="PCD431"/>
      <c r="PCE431"/>
      <c r="PCF431"/>
      <c r="PCG431"/>
      <c r="PCH431"/>
      <c r="PCI431"/>
      <c r="PCJ431"/>
      <c r="PCK431"/>
      <c r="PCL431"/>
      <c r="PCM431"/>
      <c r="PCN431"/>
      <c r="PCO431"/>
      <c r="PCP431"/>
      <c r="PCQ431"/>
      <c r="PCR431"/>
      <c r="PCS431"/>
      <c r="PCT431"/>
      <c r="PCU431"/>
      <c r="PCV431"/>
      <c r="PCW431"/>
      <c r="PCX431"/>
      <c r="PCY431"/>
      <c r="PCZ431"/>
      <c r="PDA431"/>
      <c r="PDB431"/>
      <c r="PDC431"/>
      <c r="PDD431"/>
      <c r="PDE431"/>
      <c r="PDF431"/>
      <c r="PDG431"/>
      <c r="PDH431"/>
      <c r="PDI431"/>
      <c r="PDJ431"/>
      <c r="PDK431"/>
      <c r="PDL431"/>
      <c r="PDM431"/>
      <c r="PDN431"/>
      <c r="PDO431"/>
      <c r="PDP431"/>
      <c r="PDQ431"/>
      <c r="PDR431"/>
      <c r="PDS431"/>
      <c r="PDT431"/>
      <c r="PDU431"/>
      <c r="PDV431"/>
      <c r="PDW431"/>
      <c r="PDX431"/>
      <c r="PDY431"/>
      <c r="PDZ431"/>
      <c r="PEA431"/>
      <c r="PEB431"/>
      <c r="PEC431"/>
      <c r="PED431"/>
      <c r="PEE431"/>
      <c r="PEF431"/>
      <c r="PEG431"/>
      <c r="PEH431"/>
      <c r="PEI431"/>
      <c r="PEJ431"/>
      <c r="PEK431"/>
      <c r="PEL431"/>
      <c r="PEM431"/>
      <c r="PEN431"/>
      <c r="PEO431"/>
      <c r="PEP431"/>
      <c r="PEQ431"/>
      <c r="PER431"/>
      <c r="PES431"/>
      <c r="PET431"/>
      <c r="PEU431"/>
      <c r="PEV431"/>
      <c r="PEW431"/>
      <c r="PEX431"/>
      <c r="PEY431"/>
      <c r="PEZ431"/>
      <c r="PFA431"/>
      <c r="PFB431"/>
      <c r="PFC431"/>
      <c r="PFD431"/>
      <c r="PFE431"/>
      <c r="PFF431"/>
      <c r="PFG431"/>
      <c r="PFH431"/>
      <c r="PFI431"/>
      <c r="PFJ431"/>
      <c r="PFK431"/>
      <c r="PFL431"/>
      <c r="PFM431"/>
      <c r="PFN431"/>
      <c r="PFO431"/>
      <c r="PFP431"/>
      <c r="PFQ431"/>
      <c r="PFR431"/>
      <c r="PFS431"/>
      <c r="PFT431"/>
      <c r="PFU431"/>
      <c r="PFV431"/>
      <c r="PFW431"/>
      <c r="PFX431"/>
      <c r="PFY431"/>
      <c r="PFZ431"/>
      <c r="PGA431"/>
      <c r="PGB431"/>
      <c r="PGC431"/>
      <c r="PGD431"/>
      <c r="PGE431"/>
      <c r="PGF431"/>
      <c r="PGG431"/>
      <c r="PGH431"/>
      <c r="PGI431"/>
      <c r="PGJ431"/>
      <c r="PGK431"/>
      <c r="PGL431"/>
      <c r="PGM431"/>
      <c r="PGN431"/>
      <c r="PGO431"/>
      <c r="PGP431"/>
      <c r="PGQ431"/>
      <c r="PGR431"/>
      <c r="PGS431"/>
      <c r="PGT431"/>
      <c r="PGU431"/>
      <c r="PGV431"/>
      <c r="PGW431"/>
      <c r="PGX431"/>
      <c r="PGY431"/>
      <c r="PGZ431"/>
      <c r="PHA431"/>
      <c r="PHB431"/>
      <c r="PHC431"/>
      <c r="PHD431"/>
      <c r="PHE431"/>
      <c r="PHF431"/>
      <c r="PHG431"/>
      <c r="PHH431"/>
      <c r="PHI431"/>
      <c r="PHJ431"/>
      <c r="PHK431"/>
      <c r="PHL431"/>
      <c r="PHM431"/>
      <c r="PHN431"/>
      <c r="PHO431"/>
      <c r="PHP431"/>
      <c r="PHQ431"/>
      <c r="PHR431"/>
      <c r="PHS431"/>
      <c r="PHT431"/>
      <c r="PHU431"/>
      <c r="PHV431"/>
      <c r="PHW431"/>
      <c r="PHX431"/>
      <c r="PHY431"/>
      <c r="PHZ431"/>
      <c r="PIA431"/>
      <c r="PIB431"/>
      <c r="PIC431"/>
      <c r="PID431"/>
      <c r="PIE431"/>
      <c r="PIF431"/>
      <c r="PIG431"/>
      <c r="PIH431"/>
      <c r="PII431"/>
      <c r="PIJ431"/>
      <c r="PIK431"/>
      <c r="PIL431"/>
      <c r="PIM431"/>
      <c r="PIN431"/>
      <c r="PIO431"/>
      <c r="PIP431"/>
      <c r="PIQ431"/>
      <c r="PIR431"/>
      <c r="PIS431"/>
      <c r="PIT431"/>
      <c r="PIU431"/>
      <c r="PIV431"/>
      <c r="PIW431"/>
      <c r="PIX431"/>
      <c r="PIY431"/>
      <c r="PIZ431"/>
      <c r="PJA431"/>
      <c r="PJB431"/>
      <c r="PJC431"/>
      <c r="PJD431"/>
      <c r="PJE431"/>
      <c r="PJF431"/>
      <c r="PJG431"/>
      <c r="PJH431"/>
      <c r="PJI431"/>
      <c r="PJJ431"/>
      <c r="PJK431"/>
      <c r="PJL431"/>
      <c r="PJM431"/>
      <c r="PJN431"/>
      <c r="PJO431"/>
      <c r="PJP431"/>
      <c r="PJQ431"/>
      <c r="PJR431"/>
      <c r="PJS431"/>
      <c r="PJT431"/>
      <c r="PJU431"/>
      <c r="PJV431"/>
      <c r="PJW431"/>
      <c r="PJX431"/>
      <c r="PJY431"/>
      <c r="PJZ431"/>
      <c r="PKA431"/>
      <c r="PKB431"/>
      <c r="PKC431"/>
      <c r="PKD431"/>
      <c r="PKE431"/>
      <c r="PKF431"/>
      <c r="PKG431"/>
      <c r="PKH431"/>
      <c r="PKI431"/>
      <c r="PKJ431"/>
      <c r="PKK431"/>
      <c r="PKL431"/>
      <c r="PKM431"/>
      <c r="PKN431"/>
      <c r="PKO431"/>
      <c r="PKP431"/>
      <c r="PKQ431"/>
      <c r="PKR431"/>
      <c r="PKS431"/>
      <c r="PKT431"/>
      <c r="PKU431"/>
      <c r="PKV431"/>
      <c r="PKW431"/>
      <c r="PKX431"/>
      <c r="PKY431"/>
      <c r="PKZ431"/>
      <c r="PLA431"/>
      <c r="PLB431"/>
      <c r="PLC431"/>
      <c r="PLD431"/>
      <c r="PLE431"/>
      <c r="PLF431"/>
      <c r="PLG431"/>
      <c r="PLH431"/>
      <c r="PLI431"/>
      <c r="PLJ431"/>
      <c r="PLK431"/>
      <c r="PLL431"/>
      <c r="PLM431"/>
      <c r="PLN431"/>
      <c r="PLO431"/>
      <c r="PLP431"/>
      <c r="PLQ431"/>
      <c r="PLR431"/>
      <c r="PLS431"/>
      <c r="PLT431"/>
      <c r="PLU431"/>
      <c r="PLV431"/>
      <c r="PLW431"/>
      <c r="PLX431"/>
      <c r="PLY431"/>
      <c r="PLZ431"/>
      <c r="PMA431"/>
      <c r="PMB431"/>
      <c r="PMC431"/>
      <c r="PMD431"/>
      <c r="PME431"/>
      <c r="PMF431"/>
      <c r="PMG431"/>
      <c r="PMH431"/>
      <c r="PMI431"/>
      <c r="PMJ431"/>
      <c r="PMK431"/>
      <c r="PML431"/>
      <c r="PMM431"/>
      <c r="PMN431"/>
      <c r="PMO431"/>
      <c r="PMP431"/>
      <c r="PMQ431"/>
      <c r="PMR431"/>
      <c r="PMS431"/>
      <c r="PMT431"/>
      <c r="PMU431"/>
      <c r="PMV431"/>
      <c r="PMW431"/>
      <c r="PMX431"/>
      <c r="PMY431"/>
      <c r="PMZ431"/>
      <c r="PNA431"/>
      <c r="PNB431"/>
      <c r="PNC431"/>
      <c r="PND431"/>
      <c r="PNE431"/>
      <c r="PNF431"/>
      <c r="PNG431"/>
      <c r="PNH431"/>
      <c r="PNI431"/>
      <c r="PNJ431"/>
      <c r="PNK431"/>
      <c r="PNL431"/>
      <c r="PNM431"/>
      <c r="PNN431"/>
      <c r="PNO431"/>
      <c r="PNP431"/>
      <c r="PNQ431"/>
      <c r="PNR431"/>
      <c r="PNS431"/>
      <c r="PNT431"/>
      <c r="PNU431"/>
      <c r="PNV431"/>
      <c r="PNW431"/>
      <c r="PNX431"/>
      <c r="PNY431"/>
      <c r="PNZ431"/>
      <c r="POA431"/>
      <c r="POB431"/>
      <c r="POC431"/>
      <c r="POD431"/>
      <c r="POE431"/>
      <c r="POF431"/>
      <c r="POG431"/>
      <c r="POH431"/>
      <c r="POI431"/>
      <c r="POJ431"/>
      <c r="POK431"/>
      <c r="POL431"/>
      <c r="POM431"/>
      <c r="PON431"/>
      <c r="POO431"/>
      <c r="POP431"/>
      <c r="POQ431"/>
      <c r="POR431"/>
      <c r="POS431"/>
      <c r="POT431"/>
      <c r="POU431"/>
      <c r="POV431"/>
      <c r="POW431"/>
      <c r="POX431"/>
      <c r="POY431"/>
      <c r="POZ431"/>
      <c r="PPA431"/>
      <c r="PPB431"/>
      <c r="PPC431"/>
      <c r="PPD431"/>
      <c r="PPE431"/>
      <c r="PPF431"/>
      <c r="PPG431"/>
      <c r="PPH431"/>
      <c r="PPI431"/>
      <c r="PPJ431"/>
      <c r="PPK431"/>
      <c r="PPL431"/>
      <c r="PPM431"/>
      <c r="PPN431"/>
      <c r="PPO431"/>
      <c r="PPP431"/>
      <c r="PPQ431"/>
      <c r="PPR431"/>
      <c r="PPS431"/>
      <c r="PPT431"/>
      <c r="PPU431"/>
      <c r="PPV431"/>
      <c r="PPW431"/>
      <c r="PPX431"/>
      <c r="PPY431"/>
      <c r="PPZ431"/>
      <c r="PQA431"/>
      <c r="PQB431"/>
      <c r="PQC431"/>
      <c r="PQD431"/>
      <c r="PQE431"/>
      <c r="PQF431"/>
      <c r="PQG431"/>
      <c r="PQH431"/>
      <c r="PQI431"/>
      <c r="PQJ431"/>
      <c r="PQK431"/>
      <c r="PQL431"/>
      <c r="PQM431"/>
      <c r="PQN431"/>
      <c r="PQO431"/>
      <c r="PQP431"/>
      <c r="PQQ431"/>
      <c r="PQR431"/>
      <c r="PQS431"/>
      <c r="PQT431"/>
      <c r="PQU431"/>
      <c r="PQV431"/>
      <c r="PQW431"/>
      <c r="PQX431"/>
      <c r="PQY431"/>
      <c r="PQZ431"/>
      <c r="PRA431"/>
      <c r="PRB431"/>
      <c r="PRC431"/>
      <c r="PRD431"/>
      <c r="PRE431"/>
      <c r="PRF431"/>
      <c r="PRG431"/>
      <c r="PRH431"/>
      <c r="PRI431"/>
      <c r="PRJ431"/>
      <c r="PRK431"/>
      <c r="PRL431"/>
      <c r="PRM431"/>
      <c r="PRN431"/>
      <c r="PRO431"/>
      <c r="PRP431"/>
      <c r="PRQ431"/>
      <c r="PRR431"/>
      <c r="PRS431"/>
      <c r="PRT431"/>
      <c r="PRU431"/>
      <c r="PRV431"/>
      <c r="PRW431"/>
      <c r="PRX431"/>
      <c r="PRY431"/>
      <c r="PRZ431"/>
      <c r="PSA431"/>
      <c r="PSB431"/>
      <c r="PSC431"/>
      <c r="PSD431"/>
      <c r="PSE431"/>
      <c r="PSF431"/>
      <c r="PSG431"/>
      <c r="PSH431"/>
      <c r="PSI431"/>
      <c r="PSJ431"/>
      <c r="PSK431"/>
      <c r="PSL431"/>
      <c r="PSM431"/>
      <c r="PSN431"/>
      <c r="PSO431"/>
      <c r="PSP431"/>
      <c r="PSQ431"/>
      <c r="PSR431"/>
      <c r="PSS431"/>
      <c r="PST431"/>
      <c r="PSU431"/>
      <c r="PSV431"/>
      <c r="PSW431"/>
      <c r="PSX431"/>
      <c r="PSY431"/>
      <c r="PSZ431"/>
      <c r="PTA431"/>
      <c r="PTB431"/>
      <c r="PTC431"/>
      <c r="PTD431"/>
      <c r="PTE431"/>
      <c r="PTF431"/>
      <c r="PTG431"/>
      <c r="PTH431"/>
      <c r="PTI431"/>
      <c r="PTJ431"/>
      <c r="PTK431"/>
      <c r="PTL431"/>
      <c r="PTM431"/>
      <c r="PTN431"/>
      <c r="PTO431"/>
      <c r="PTP431"/>
      <c r="PTQ431"/>
      <c r="PTR431"/>
      <c r="PTS431"/>
      <c r="PTT431"/>
      <c r="PTU431"/>
      <c r="PTV431"/>
      <c r="PTW431"/>
      <c r="PTX431"/>
      <c r="PTY431"/>
      <c r="PTZ431"/>
      <c r="PUA431"/>
      <c r="PUB431"/>
      <c r="PUC431"/>
      <c r="PUD431"/>
      <c r="PUE431"/>
      <c r="PUF431"/>
      <c r="PUG431"/>
      <c r="PUH431"/>
      <c r="PUI431"/>
      <c r="PUJ431"/>
      <c r="PUK431"/>
      <c r="PUL431"/>
      <c r="PUM431"/>
      <c r="PUN431"/>
      <c r="PUO431"/>
      <c r="PUP431"/>
      <c r="PUQ431"/>
      <c r="PUR431"/>
      <c r="PUS431"/>
      <c r="PUT431"/>
      <c r="PUU431"/>
      <c r="PUV431"/>
      <c r="PUW431"/>
      <c r="PUX431"/>
      <c r="PUY431"/>
      <c r="PUZ431"/>
      <c r="PVA431"/>
      <c r="PVB431"/>
      <c r="PVC431"/>
      <c r="PVD431"/>
      <c r="PVE431"/>
      <c r="PVF431"/>
      <c r="PVG431"/>
      <c r="PVH431"/>
      <c r="PVI431"/>
      <c r="PVJ431"/>
      <c r="PVK431"/>
      <c r="PVL431"/>
      <c r="PVM431"/>
      <c r="PVN431"/>
      <c r="PVO431"/>
      <c r="PVP431"/>
      <c r="PVQ431"/>
      <c r="PVR431"/>
      <c r="PVS431"/>
      <c r="PVT431"/>
      <c r="PVU431"/>
      <c r="PVV431"/>
      <c r="PVW431"/>
      <c r="PVX431"/>
      <c r="PVY431"/>
      <c r="PVZ431"/>
      <c r="PWA431"/>
      <c r="PWB431"/>
      <c r="PWC431"/>
      <c r="PWD431"/>
      <c r="PWE431"/>
      <c r="PWF431"/>
      <c r="PWG431"/>
      <c r="PWH431"/>
      <c r="PWI431"/>
      <c r="PWJ431"/>
      <c r="PWK431"/>
      <c r="PWL431"/>
      <c r="PWM431"/>
      <c r="PWN431"/>
      <c r="PWO431"/>
      <c r="PWP431"/>
      <c r="PWQ431"/>
      <c r="PWR431"/>
      <c r="PWS431"/>
      <c r="PWT431"/>
      <c r="PWU431"/>
      <c r="PWV431"/>
      <c r="PWW431"/>
      <c r="PWX431"/>
      <c r="PWY431"/>
      <c r="PWZ431"/>
      <c r="PXA431"/>
      <c r="PXB431"/>
      <c r="PXC431"/>
      <c r="PXD431"/>
      <c r="PXE431"/>
      <c r="PXF431"/>
      <c r="PXG431"/>
      <c r="PXH431"/>
      <c r="PXI431"/>
      <c r="PXJ431"/>
      <c r="PXK431"/>
      <c r="PXL431"/>
      <c r="PXM431"/>
      <c r="PXN431"/>
      <c r="PXO431"/>
      <c r="PXP431"/>
      <c r="PXQ431"/>
      <c r="PXR431"/>
      <c r="PXS431"/>
      <c r="PXT431"/>
      <c r="PXU431"/>
      <c r="PXV431"/>
      <c r="PXW431"/>
      <c r="PXX431"/>
      <c r="PXY431"/>
      <c r="PXZ431"/>
      <c r="PYA431"/>
      <c r="PYB431"/>
      <c r="PYC431"/>
      <c r="PYD431"/>
      <c r="PYE431"/>
      <c r="PYF431"/>
      <c r="PYG431"/>
      <c r="PYH431"/>
      <c r="PYI431"/>
      <c r="PYJ431"/>
      <c r="PYK431"/>
      <c r="PYL431"/>
      <c r="PYM431"/>
      <c r="PYN431"/>
      <c r="PYO431"/>
      <c r="PYP431"/>
      <c r="PYQ431"/>
      <c r="PYR431"/>
      <c r="PYS431"/>
      <c r="PYT431"/>
      <c r="PYU431"/>
      <c r="PYV431"/>
      <c r="PYW431"/>
      <c r="PYX431"/>
      <c r="PYY431"/>
      <c r="PYZ431"/>
      <c r="PZA431"/>
      <c r="PZB431"/>
      <c r="PZC431"/>
      <c r="PZD431"/>
      <c r="PZE431"/>
      <c r="PZF431"/>
      <c r="PZG431"/>
      <c r="PZH431"/>
      <c r="PZI431"/>
      <c r="PZJ431"/>
      <c r="PZK431"/>
      <c r="PZL431"/>
      <c r="PZM431"/>
      <c r="PZN431"/>
      <c r="PZO431"/>
      <c r="PZP431"/>
      <c r="PZQ431"/>
      <c r="PZR431"/>
      <c r="PZS431"/>
      <c r="PZT431"/>
      <c r="PZU431"/>
      <c r="PZV431"/>
      <c r="PZW431"/>
      <c r="PZX431"/>
      <c r="PZY431"/>
      <c r="PZZ431"/>
      <c r="QAA431"/>
      <c r="QAB431"/>
      <c r="QAC431"/>
      <c r="QAD431"/>
      <c r="QAE431"/>
      <c r="QAF431"/>
      <c r="QAG431"/>
      <c r="QAH431"/>
      <c r="QAI431"/>
      <c r="QAJ431"/>
      <c r="QAK431"/>
      <c r="QAL431"/>
      <c r="QAM431"/>
      <c r="QAN431"/>
      <c r="QAO431"/>
      <c r="QAP431"/>
      <c r="QAQ431"/>
      <c r="QAR431"/>
      <c r="QAS431"/>
      <c r="QAT431"/>
      <c r="QAU431"/>
      <c r="QAV431"/>
      <c r="QAW431"/>
      <c r="QAX431"/>
      <c r="QAY431"/>
      <c r="QAZ431"/>
      <c r="QBA431"/>
      <c r="QBB431"/>
      <c r="QBC431"/>
      <c r="QBD431"/>
      <c r="QBE431"/>
      <c r="QBF431"/>
      <c r="QBG431"/>
      <c r="QBH431"/>
      <c r="QBI431"/>
      <c r="QBJ431"/>
      <c r="QBK431"/>
      <c r="QBL431"/>
      <c r="QBM431"/>
      <c r="QBN431"/>
      <c r="QBO431"/>
      <c r="QBP431"/>
      <c r="QBQ431"/>
      <c r="QBR431"/>
      <c r="QBS431"/>
      <c r="QBT431"/>
      <c r="QBU431"/>
      <c r="QBV431"/>
      <c r="QBW431"/>
      <c r="QBX431"/>
      <c r="QBY431"/>
      <c r="QBZ431"/>
      <c r="QCA431"/>
      <c r="QCB431"/>
      <c r="QCC431"/>
      <c r="QCD431"/>
      <c r="QCE431"/>
      <c r="QCF431"/>
      <c r="QCG431"/>
      <c r="QCH431"/>
      <c r="QCI431"/>
      <c r="QCJ431"/>
      <c r="QCK431"/>
      <c r="QCL431"/>
      <c r="QCM431"/>
      <c r="QCN431"/>
      <c r="QCO431"/>
      <c r="QCP431"/>
      <c r="QCQ431"/>
      <c r="QCR431"/>
      <c r="QCS431"/>
      <c r="QCT431"/>
      <c r="QCU431"/>
      <c r="QCV431"/>
      <c r="QCW431"/>
      <c r="QCX431"/>
      <c r="QCY431"/>
      <c r="QCZ431"/>
      <c r="QDA431"/>
      <c r="QDB431"/>
      <c r="QDC431"/>
      <c r="QDD431"/>
      <c r="QDE431"/>
      <c r="QDF431"/>
      <c r="QDG431"/>
      <c r="QDH431"/>
      <c r="QDI431"/>
      <c r="QDJ431"/>
      <c r="QDK431"/>
      <c r="QDL431"/>
      <c r="QDM431"/>
      <c r="QDN431"/>
      <c r="QDO431"/>
      <c r="QDP431"/>
      <c r="QDQ431"/>
      <c r="QDR431"/>
      <c r="QDS431"/>
      <c r="QDT431"/>
      <c r="QDU431"/>
      <c r="QDV431"/>
      <c r="QDW431"/>
      <c r="QDX431"/>
      <c r="QDY431"/>
      <c r="QDZ431"/>
      <c r="QEA431"/>
      <c r="QEB431"/>
      <c r="QEC431"/>
      <c r="QED431"/>
      <c r="QEE431"/>
      <c r="QEF431"/>
      <c r="QEG431"/>
      <c r="QEH431"/>
      <c r="QEI431"/>
      <c r="QEJ431"/>
      <c r="QEK431"/>
      <c r="QEL431"/>
      <c r="QEM431"/>
      <c r="QEN431"/>
      <c r="QEO431"/>
      <c r="QEP431"/>
      <c r="QEQ431"/>
      <c r="QER431"/>
      <c r="QES431"/>
      <c r="QET431"/>
      <c r="QEU431"/>
      <c r="QEV431"/>
      <c r="QEW431"/>
      <c r="QEX431"/>
      <c r="QEY431"/>
      <c r="QEZ431"/>
      <c r="QFA431"/>
      <c r="QFB431"/>
      <c r="QFC431"/>
      <c r="QFD431"/>
      <c r="QFE431"/>
      <c r="QFF431"/>
      <c r="QFG431"/>
      <c r="QFH431"/>
      <c r="QFI431"/>
      <c r="QFJ431"/>
      <c r="QFK431"/>
      <c r="QFL431"/>
      <c r="QFM431"/>
      <c r="QFN431"/>
      <c r="QFO431"/>
      <c r="QFP431"/>
      <c r="QFQ431"/>
      <c r="QFR431"/>
      <c r="QFS431"/>
      <c r="QFT431"/>
      <c r="QFU431"/>
      <c r="QFV431"/>
      <c r="QFW431"/>
      <c r="QFX431"/>
      <c r="QFY431"/>
      <c r="QFZ431"/>
      <c r="QGA431"/>
      <c r="QGB431"/>
      <c r="QGC431"/>
      <c r="QGD431"/>
      <c r="QGE431"/>
      <c r="QGF431"/>
      <c r="QGG431"/>
      <c r="QGH431"/>
      <c r="QGI431"/>
      <c r="QGJ431"/>
      <c r="QGK431"/>
      <c r="QGL431"/>
      <c r="QGM431"/>
      <c r="QGN431"/>
      <c r="QGO431"/>
      <c r="QGP431"/>
      <c r="QGQ431"/>
      <c r="QGR431"/>
      <c r="QGS431"/>
      <c r="QGT431"/>
      <c r="QGU431"/>
      <c r="QGV431"/>
      <c r="QGW431"/>
      <c r="QGX431"/>
      <c r="QGY431"/>
      <c r="QGZ431"/>
      <c r="QHA431"/>
      <c r="QHB431"/>
      <c r="QHC431"/>
      <c r="QHD431"/>
      <c r="QHE431"/>
      <c r="QHF431"/>
      <c r="QHG431"/>
      <c r="QHH431"/>
      <c r="QHI431"/>
      <c r="QHJ431"/>
      <c r="QHK431"/>
      <c r="QHL431"/>
      <c r="QHM431"/>
      <c r="QHN431"/>
      <c r="QHO431"/>
      <c r="QHP431"/>
      <c r="QHQ431"/>
      <c r="QHR431"/>
      <c r="QHS431"/>
      <c r="QHT431"/>
      <c r="QHU431"/>
      <c r="QHV431"/>
      <c r="QHW431"/>
      <c r="QHX431"/>
      <c r="QHY431"/>
      <c r="QHZ431"/>
      <c r="QIA431"/>
      <c r="QIB431"/>
      <c r="QIC431"/>
      <c r="QID431"/>
      <c r="QIE431"/>
      <c r="QIF431"/>
      <c r="QIG431"/>
      <c r="QIH431"/>
      <c r="QII431"/>
      <c r="QIJ431"/>
      <c r="QIK431"/>
      <c r="QIL431"/>
      <c r="QIM431"/>
      <c r="QIN431"/>
      <c r="QIO431"/>
      <c r="QIP431"/>
      <c r="QIQ431"/>
      <c r="QIR431"/>
      <c r="QIS431"/>
      <c r="QIT431"/>
      <c r="QIU431"/>
      <c r="QIV431"/>
      <c r="QIW431"/>
      <c r="QIX431"/>
      <c r="QIY431"/>
      <c r="QIZ431"/>
      <c r="QJA431"/>
      <c r="QJB431"/>
      <c r="QJC431"/>
      <c r="QJD431"/>
      <c r="QJE431"/>
      <c r="QJF431"/>
      <c r="QJG431"/>
      <c r="QJH431"/>
      <c r="QJI431"/>
      <c r="QJJ431"/>
      <c r="QJK431"/>
      <c r="QJL431"/>
      <c r="QJM431"/>
      <c r="QJN431"/>
      <c r="QJO431"/>
      <c r="QJP431"/>
      <c r="QJQ431"/>
      <c r="QJR431"/>
      <c r="QJS431"/>
      <c r="QJT431"/>
      <c r="QJU431"/>
      <c r="QJV431"/>
      <c r="QJW431"/>
      <c r="QJX431"/>
      <c r="QJY431"/>
      <c r="QJZ431"/>
      <c r="QKA431"/>
      <c r="QKB431"/>
      <c r="QKC431"/>
      <c r="QKD431"/>
      <c r="QKE431"/>
      <c r="QKF431"/>
      <c r="QKG431"/>
      <c r="QKH431"/>
      <c r="QKI431"/>
      <c r="QKJ431"/>
      <c r="QKK431"/>
      <c r="QKL431"/>
      <c r="QKM431"/>
      <c r="QKN431"/>
      <c r="QKO431"/>
      <c r="QKP431"/>
      <c r="QKQ431"/>
      <c r="QKR431"/>
      <c r="QKS431"/>
      <c r="QKT431"/>
      <c r="QKU431"/>
      <c r="QKV431"/>
      <c r="QKW431"/>
      <c r="QKX431"/>
      <c r="QKY431"/>
      <c r="QKZ431"/>
      <c r="QLA431"/>
      <c r="QLB431"/>
      <c r="QLC431"/>
      <c r="QLD431"/>
      <c r="QLE431"/>
      <c r="QLF431"/>
      <c r="QLG431"/>
      <c r="QLH431"/>
      <c r="QLI431"/>
      <c r="QLJ431"/>
      <c r="QLK431"/>
      <c r="QLL431"/>
      <c r="QLM431"/>
      <c r="QLN431"/>
      <c r="QLO431"/>
      <c r="QLP431"/>
      <c r="QLQ431"/>
      <c r="QLR431"/>
      <c r="QLS431"/>
      <c r="QLT431"/>
      <c r="QLU431"/>
      <c r="QLV431"/>
      <c r="QLW431"/>
      <c r="QLX431"/>
      <c r="QLY431"/>
      <c r="QLZ431"/>
      <c r="QMA431"/>
      <c r="QMB431"/>
      <c r="QMC431"/>
      <c r="QMD431"/>
      <c r="QME431"/>
      <c r="QMF431"/>
      <c r="QMG431"/>
      <c r="QMH431"/>
      <c r="QMI431"/>
      <c r="QMJ431"/>
      <c r="QMK431"/>
      <c r="QML431"/>
      <c r="QMM431"/>
      <c r="QMN431"/>
      <c r="QMO431"/>
      <c r="QMP431"/>
      <c r="QMQ431"/>
      <c r="QMR431"/>
      <c r="QMS431"/>
      <c r="QMT431"/>
      <c r="QMU431"/>
      <c r="QMV431"/>
      <c r="QMW431"/>
      <c r="QMX431"/>
      <c r="QMY431"/>
      <c r="QMZ431"/>
      <c r="QNA431"/>
      <c r="QNB431"/>
      <c r="QNC431"/>
      <c r="QND431"/>
      <c r="QNE431"/>
      <c r="QNF431"/>
      <c r="QNG431"/>
      <c r="QNH431"/>
      <c r="QNI431"/>
      <c r="QNJ431"/>
      <c r="QNK431"/>
      <c r="QNL431"/>
      <c r="QNM431"/>
      <c r="QNN431"/>
      <c r="QNO431"/>
      <c r="QNP431"/>
      <c r="QNQ431"/>
      <c r="QNR431"/>
      <c r="QNS431"/>
      <c r="QNT431"/>
      <c r="QNU431"/>
      <c r="QNV431"/>
      <c r="QNW431"/>
      <c r="QNX431"/>
      <c r="QNY431"/>
      <c r="QNZ431"/>
      <c r="QOA431"/>
      <c r="QOB431"/>
      <c r="QOC431"/>
      <c r="QOD431"/>
      <c r="QOE431"/>
      <c r="QOF431"/>
      <c r="QOG431"/>
      <c r="QOH431"/>
      <c r="QOI431"/>
      <c r="QOJ431"/>
      <c r="QOK431"/>
      <c r="QOL431"/>
      <c r="QOM431"/>
      <c r="QON431"/>
      <c r="QOO431"/>
      <c r="QOP431"/>
      <c r="QOQ431"/>
      <c r="QOR431"/>
      <c r="QOS431"/>
      <c r="QOT431"/>
      <c r="QOU431"/>
      <c r="QOV431"/>
      <c r="QOW431"/>
      <c r="QOX431"/>
      <c r="QOY431"/>
      <c r="QOZ431"/>
      <c r="QPA431"/>
      <c r="QPB431"/>
      <c r="QPC431"/>
      <c r="QPD431"/>
      <c r="QPE431"/>
      <c r="QPF431"/>
      <c r="QPG431"/>
      <c r="QPH431"/>
      <c r="QPI431"/>
      <c r="QPJ431"/>
      <c r="QPK431"/>
      <c r="QPL431"/>
      <c r="QPM431"/>
      <c r="QPN431"/>
      <c r="QPO431"/>
      <c r="QPP431"/>
      <c r="QPQ431"/>
      <c r="QPR431"/>
      <c r="QPS431"/>
      <c r="QPT431"/>
      <c r="QPU431"/>
      <c r="QPV431"/>
      <c r="QPW431"/>
      <c r="QPX431"/>
      <c r="QPY431"/>
      <c r="QPZ431"/>
      <c r="QQA431"/>
      <c r="QQB431"/>
      <c r="QQC431"/>
      <c r="QQD431"/>
      <c r="QQE431"/>
      <c r="QQF431"/>
      <c r="QQG431"/>
      <c r="QQH431"/>
      <c r="QQI431"/>
      <c r="QQJ431"/>
      <c r="QQK431"/>
      <c r="QQL431"/>
      <c r="QQM431"/>
      <c r="QQN431"/>
      <c r="QQO431"/>
      <c r="QQP431"/>
      <c r="QQQ431"/>
      <c r="QQR431"/>
      <c r="QQS431"/>
      <c r="QQT431"/>
      <c r="QQU431"/>
      <c r="QQV431"/>
      <c r="QQW431"/>
      <c r="QQX431"/>
      <c r="QQY431"/>
      <c r="QQZ431"/>
      <c r="QRA431"/>
      <c r="QRB431"/>
      <c r="QRC431"/>
      <c r="QRD431"/>
      <c r="QRE431"/>
      <c r="QRF431"/>
      <c r="QRG431"/>
      <c r="QRH431"/>
      <c r="QRI431"/>
      <c r="QRJ431"/>
      <c r="QRK431"/>
      <c r="QRL431"/>
      <c r="QRM431"/>
      <c r="QRN431"/>
      <c r="QRO431"/>
      <c r="QRP431"/>
      <c r="QRQ431"/>
      <c r="QRR431"/>
      <c r="QRS431"/>
      <c r="QRT431"/>
      <c r="QRU431"/>
      <c r="QRV431"/>
      <c r="QRW431"/>
      <c r="QRX431"/>
      <c r="QRY431"/>
      <c r="QRZ431"/>
      <c r="QSA431"/>
      <c r="QSB431"/>
      <c r="QSC431"/>
      <c r="QSD431"/>
      <c r="QSE431"/>
      <c r="QSF431"/>
      <c r="QSG431"/>
      <c r="QSH431"/>
      <c r="QSI431"/>
      <c r="QSJ431"/>
      <c r="QSK431"/>
      <c r="QSL431"/>
      <c r="QSM431"/>
      <c r="QSN431"/>
      <c r="QSO431"/>
      <c r="QSP431"/>
      <c r="QSQ431"/>
      <c r="QSR431"/>
      <c r="QSS431"/>
      <c r="QST431"/>
      <c r="QSU431"/>
      <c r="QSV431"/>
      <c r="QSW431"/>
      <c r="QSX431"/>
      <c r="QSY431"/>
      <c r="QSZ431"/>
      <c r="QTA431"/>
      <c r="QTB431"/>
      <c r="QTC431"/>
      <c r="QTD431"/>
      <c r="QTE431"/>
      <c r="QTF431"/>
      <c r="QTG431"/>
      <c r="QTH431"/>
      <c r="QTI431"/>
      <c r="QTJ431"/>
      <c r="QTK431"/>
      <c r="QTL431"/>
      <c r="QTM431"/>
      <c r="QTN431"/>
      <c r="QTO431"/>
      <c r="QTP431"/>
      <c r="QTQ431"/>
      <c r="QTR431"/>
      <c r="QTS431"/>
      <c r="QTT431"/>
      <c r="QTU431"/>
      <c r="QTV431"/>
      <c r="QTW431"/>
      <c r="QTX431"/>
      <c r="QTY431"/>
      <c r="QTZ431"/>
      <c r="QUA431"/>
      <c r="QUB431"/>
      <c r="QUC431"/>
      <c r="QUD431"/>
      <c r="QUE431"/>
      <c r="QUF431"/>
      <c r="QUG431"/>
      <c r="QUH431"/>
      <c r="QUI431"/>
      <c r="QUJ431"/>
      <c r="QUK431"/>
      <c r="QUL431"/>
      <c r="QUM431"/>
      <c r="QUN431"/>
      <c r="QUO431"/>
      <c r="QUP431"/>
      <c r="QUQ431"/>
      <c r="QUR431"/>
      <c r="QUS431"/>
      <c r="QUT431"/>
      <c r="QUU431"/>
      <c r="QUV431"/>
      <c r="QUW431"/>
      <c r="QUX431"/>
      <c r="QUY431"/>
      <c r="QUZ431"/>
      <c r="QVA431"/>
      <c r="QVB431"/>
      <c r="QVC431"/>
      <c r="QVD431"/>
      <c r="QVE431"/>
      <c r="QVF431"/>
      <c r="QVG431"/>
      <c r="QVH431"/>
      <c r="QVI431"/>
      <c r="QVJ431"/>
      <c r="QVK431"/>
      <c r="QVL431"/>
      <c r="QVM431"/>
      <c r="QVN431"/>
      <c r="QVO431"/>
      <c r="QVP431"/>
      <c r="QVQ431"/>
      <c r="QVR431"/>
      <c r="QVS431"/>
      <c r="QVT431"/>
      <c r="QVU431"/>
      <c r="QVV431"/>
      <c r="QVW431"/>
      <c r="QVX431"/>
      <c r="QVY431"/>
      <c r="QVZ431"/>
      <c r="QWA431"/>
      <c r="QWB431"/>
      <c r="QWC431"/>
      <c r="QWD431"/>
      <c r="QWE431"/>
      <c r="QWF431"/>
      <c r="QWG431"/>
      <c r="QWH431"/>
      <c r="QWI431"/>
      <c r="QWJ431"/>
      <c r="QWK431"/>
      <c r="QWL431"/>
      <c r="QWM431"/>
      <c r="QWN431"/>
      <c r="QWO431"/>
      <c r="QWP431"/>
      <c r="QWQ431"/>
      <c r="QWR431"/>
      <c r="QWS431"/>
      <c r="QWT431"/>
      <c r="QWU431"/>
      <c r="QWV431"/>
      <c r="QWW431"/>
      <c r="QWX431"/>
      <c r="QWY431"/>
      <c r="QWZ431"/>
      <c r="QXA431"/>
      <c r="QXB431"/>
      <c r="QXC431"/>
      <c r="QXD431"/>
      <c r="QXE431"/>
      <c r="QXF431"/>
      <c r="QXG431"/>
      <c r="QXH431"/>
      <c r="QXI431"/>
      <c r="QXJ431"/>
      <c r="QXK431"/>
      <c r="QXL431"/>
      <c r="QXM431"/>
      <c r="QXN431"/>
      <c r="QXO431"/>
      <c r="QXP431"/>
      <c r="QXQ431"/>
      <c r="QXR431"/>
      <c r="QXS431"/>
      <c r="QXT431"/>
      <c r="QXU431"/>
      <c r="QXV431"/>
      <c r="QXW431"/>
      <c r="QXX431"/>
      <c r="QXY431"/>
      <c r="QXZ431"/>
      <c r="QYA431"/>
      <c r="QYB431"/>
      <c r="QYC431"/>
      <c r="QYD431"/>
      <c r="QYE431"/>
      <c r="QYF431"/>
      <c r="QYG431"/>
      <c r="QYH431"/>
      <c r="QYI431"/>
      <c r="QYJ431"/>
      <c r="QYK431"/>
      <c r="QYL431"/>
      <c r="QYM431"/>
      <c r="QYN431"/>
      <c r="QYO431"/>
      <c r="QYP431"/>
      <c r="QYQ431"/>
      <c r="QYR431"/>
      <c r="QYS431"/>
      <c r="QYT431"/>
      <c r="QYU431"/>
      <c r="QYV431"/>
      <c r="QYW431"/>
      <c r="QYX431"/>
      <c r="QYY431"/>
      <c r="QYZ431"/>
      <c r="QZA431"/>
      <c r="QZB431"/>
      <c r="QZC431"/>
      <c r="QZD431"/>
      <c r="QZE431"/>
      <c r="QZF431"/>
      <c r="QZG431"/>
      <c r="QZH431"/>
      <c r="QZI431"/>
      <c r="QZJ431"/>
      <c r="QZK431"/>
      <c r="QZL431"/>
      <c r="QZM431"/>
      <c r="QZN431"/>
      <c r="QZO431"/>
      <c r="QZP431"/>
      <c r="QZQ431"/>
      <c r="QZR431"/>
      <c r="QZS431"/>
      <c r="QZT431"/>
      <c r="QZU431"/>
      <c r="QZV431"/>
      <c r="QZW431"/>
      <c r="QZX431"/>
      <c r="QZY431"/>
      <c r="QZZ431"/>
      <c r="RAA431"/>
      <c r="RAB431"/>
      <c r="RAC431"/>
      <c r="RAD431"/>
      <c r="RAE431"/>
      <c r="RAF431"/>
      <c r="RAG431"/>
      <c r="RAH431"/>
      <c r="RAI431"/>
      <c r="RAJ431"/>
      <c r="RAK431"/>
      <c r="RAL431"/>
      <c r="RAM431"/>
      <c r="RAN431"/>
      <c r="RAO431"/>
      <c r="RAP431"/>
      <c r="RAQ431"/>
      <c r="RAR431"/>
      <c r="RAS431"/>
      <c r="RAT431"/>
      <c r="RAU431"/>
      <c r="RAV431"/>
      <c r="RAW431"/>
      <c r="RAX431"/>
      <c r="RAY431"/>
      <c r="RAZ431"/>
      <c r="RBA431"/>
      <c r="RBB431"/>
      <c r="RBC431"/>
      <c r="RBD431"/>
      <c r="RBE431"/>
      <c r="RBF431"/>
      <c r="RBG431"/>
      <c r="RBH431"/>
      <c r="RBI431"/>
      <c r="RBJ431"/>
      <c r="RBK431"/>
      <c r="RBL431"/>
      <c r="RBM431"/>
      <c r="RBN431"/>
      <c r="RBO431"/>
      <c r="RBP431"/>
      <c r="RBQ431"/>
      <c r="RBR431"/>
      <c r="RBS431"/>
      <c r="RBT431"/>
      <c r="RBU431"/>
      <c r="RBV431"/>
      <c r="RBW431"/>
      <c r="RBX431"/>
      <c r="RBY431"/>
      <c r="RBZ431"/>
      <c r="RCA431"/>
      <c r="RCB431"/>
      <c r="RCC431"/>
      <c r="RCD431"/>
      <c r="RCE431"/>
      <c r="RCF431"/>
      <c r="RCG431"/>
      <c r="RCH431"/>
      <c r="RCI431"/>
      <c r="RCJ431"/>
      <c r="RCK431"/>
      <c r="RCL431"/>
      <c r="RCM431"/>
      <c r="RCN431"/>
      <c r="RCO431"/>
      <c r="RCP431"/>
      <c r="RCQ431"/>
      <c r="RCR431"/>
      <c r="RCS431"/>
      <c r="RCT431"/>
      <c r="RCU431"/>
      <c r="RCV431"/>
      <c r="RCW431"/>
      <c r="RCX431"/>
      <c r="RCY431"/>
      <c r="RCZ431"/>
      <c r="RDA431"/>
      <c r="RDB431"/>
      <c r="RDC431"/>
      <c r="RDD431"/>
      <c r="RDE431"/>
      <c r="RDF431"/>
      <c r="RDG431"/>
      <c r="RDH431"/>
      <c r="RDI431"/>
      <c r="RDJ431"/>
      <c r="RDK431"/>
      <c r="RDL431"/>
      <c r="RDM431"/>
      <c r="RDN431"/>
      <c r="RDO431"/>
      <c r="RDP431"/>
      <c r="RDQ431"/>
      <c r="RDR431"/>
      <c r="RDS431"/>
      <c r="RDT431"/>
      <c r="RDU431"/>
      <c r="RDV431"/>
      <c r="RDW431"/>
      <c r="RDX431"/>
      <c r="RDY431"/>
      <c r="RDZ431"/>
      <c r="REA431"/>
      <c r="REB431"/>
      <c r="REC431"/>
      <c r="RED431"/>
      <c r="REE431"/>
      <c r="REF431"/>
      <c r="REG431"/>
      <c r="REH431"/>
      <c r="REI431"/>
      <c r="REJ431"/>
      <c r="REK431"/>
      <c r="REL431"/>
      <c r="REM431"/>
      <c r="REN431"/>
      <c r="REO431"/>
      <c r="REP431"/>
      <c r="REQ431"/>
      <c r="RER431"/>
      <c r="RES431"/>
      <c r="RET431"/>
      <c r="REU431"/>
      <c r="REV431"/>
      <c r="REW431"/>
      <c r="REX431"/>
      <c r="REY431"/>
      <c r="REZ431"/>
      <c r="RFA431"/>
      <c r="RFB431"/>
      <c r="RFC431"/>
      <c r="RFD431"/>
      <c r="RFE431"/>
      <c r="RFF431"/>
      <c r="RFG431"/>
      <c r="RFH431"/>
      <c r="RFI431"/>
      <c r="RFJ431"/>
      <c r="RFK431"/>
      <c r="RFL431"/>
      <c r="RFM431"/>
      <c r="RFN431"/>
      <c r="RFO431"/>
      <c r="RFP431"/>
      <c r="RFQ431"/>
      <c r="RFR431"/>
      <c r="RFS431"/>
      <c r="RFT431"/>
      <c r="RFU431"/>
      <c r="RFV431"/>
      <c r="RFW431"/>
      <c r="RFX431"/>
      <c r="RFY431"/>
      <c r="RFZ431"/>
      <c r="RGA431"/>
      <c r="RGB431"/>
      <c r="RGC431"/>
      <c r="RGD431"/>
      <c r="RGE431"/>
      <c r="RGF431"/>
      <c r="RGG431"/>
      <c r="RGH431"/>
      <c r="RGI431"/>
      <c r="RGJ431"/>
      <c r="RGK431"/>
      <c r="RGL431"/>
      <c r="RGM431"/>
      <c r="RGN431"/>
      <c r="RGO431"/>
      <c r="RGP431"/>
      <c r="RGQ431"/>
      <c r="RGR431"/>
      <c r="RGS431"/>
      <c r="RGT431"/>
      <c r="RGU431"/>
      <c r="RGV431"/>
      <c r="RGW431"/>
      <c r="RGX431"/>
      <c r="RGY431"/>
      <c r="RGZ431"/>
      <c r="RHA431"/>
      <c r="RHB431"/>
      <c r="RHC431"/>
      <c r="RHD431"/>
      <c r="RHE431"/>
      <c r="RHF431"/>
      <c r="RHG431"/>
      <c r="RHH431"/>
      <c r="RHI431"/>
      <c r="RHJ431"/>
      <c r="RHK431"/>
      <c r="RHL431"/>
      <c r="RHM431"/>
      <c r="RHN431"/>
      <c r="RHO431"/>
      <c r="RHP431"/>
      <c r="RHQ431"/>
      <c r="RHR431"/>
      <c r="RHS431"/>
      <c r="RHT431"/>
      <c r="RHU431"/>
      <c r="RHV431"/>
      <c r="RHW431"/>
      <c r="RHX431"/>
      <c r="RHY431"/>
      <c r="RHZ431"/>
      <c r="RIA431"/>
      <c r="RIB431"/>
      <c r="RIC431"/>
      <c r="RID431"/>
      <c r="RIE431"/>
      <c r="RIF431"/>
      <c r="RIG431"/>
      <c r="RIH431"/>
      <c r="RII431"/>
      <c r="RIJ431"/>
      <c r="RIK431"/>
      <c r="RIL431"/>
      <c r="RIM431"/>
      <c r="RIN431"/>
      <c r="RIO431"/>
      <c r="RIP431"/>
      <c r="RIQ431"/>
      <c r="RIR431"/>
      <c r="RIS431"/>
      <c r="RIT431"/>
      <c r="RIU431"/>
      <c r="RIV431"/>
      <c r="RIW431"/>
      <c r="RIX431"/>
      <c r="RIY431"/>
      <c r="RIZ431"/>
      <c r="RJA431"/>
      <c r="RJB431"/>
      <c r="RJC431"/>
      <c r="RJD431"/>
      <c r="RJE431"/>
      <c r="RJF431"/>
      <c r="RJG431"/>
      <c r="RJH431"/>
      <c r="RJI431"/>
      <c r="RJJ431"/>
      <c r="RJK431"/>
      <c r="RJL431"/>
      <c r="RJM431"/>
      <c r="RJN431"/>
      <c r="RJO431"/>
      <c r="RJP431"/>
      <c r="RJQ431"/>
      <c r="RJR431"/>
      <c r="RJS431"/>
      <c r="RJT431"/>
      <c r="RJU431"/>
      <c r="RJV431"/>
      <c r="RJW431"/>
      <c r="RJX431"/>
      <c r="RJY431"/>
      <c r="RJZ431"/>
      <c r="RKA431"/>
      <c r="RKB431"/>
      <c r="RKC431"/>
      <c r="RKD431"/>
      <c r="RKE431"/>
      <c r="RKF431"/>
      <c r="RKG431"/>
      <c r="RKH431"/>
      <c r="RKI431"/>
      <c r="RKJ431"/>
      <c r="RKK431"/>
      <c r="RKL431"/>
      <c r="RKM431"/>
      <c r="RKN431"/>
      <c r="RKO431"/>
      <c r="RKP431"/>
      <c r="RKQ431"/>
      <c r="RKR431"/>
      <c r="RKS431"/>
      <c r="RKT431"/>
      <c r="RKU431"/>
      <c r="RKV431"/>
      <c r="RKW431"/>
      <c r="RKX431"/>
      <c r="RKY431"/>
      <c r="RKZ431"/>
      <c r="RLA431"/>
      <c r="RLB431"/>
      <c r="RLC431"/>
      <c r="RLD431"/>
      <c r="RLE431"/>
      <c r="RLF431"/>
      <c r="RLG431"/>
      <c r="RLH431"/>
      <c r="RLI431"/>
      <c r="RLJ431"/>
      <c r="RLK431"/>
      <c r="RLL431"/>
      <c r="RLM431"/>
      <c r="RLN431"/>
      <c r="RLO431"/>
      <c r="RLP431"/>
      <c r="RLQ431"/>
      <c r="RLR431"/>
      <c r="RLS431"/>
      <c r="RLT431"/>
      <c r="RLU431"/>
      <c r="RLV431"/>
      <c r="RLW431"/>
      <c r="RLX431"/>
      <c r="RLY431"/>
      <c r="RLZ431"/>
      <c r="RMA431"/>
      <c r="RMB431"/>
      <c r="RMC431"/>
      <c r="RMD431"/>
      <c r="RME431"/>
      <c r="RMF431"/>
      <c r="RMG431"/>
      <c r="RMH431"/>
      <c r="RMI431"/>
      <c r="RMJ431"/>
      <c r="RMK431"/>
      <c r="RML431"/>
      <c r="RMM431"/>
      <c r="RMN431"/>
      <c r="RMO431"/>
      <c r="RMP431"/>
      <c r="RMQ431"/>
      <c r="RMR431"/>
      <c r="RMS431"/>
      <c r="RMT431"/>
      <c r="RMU431"/>
      <c r="RMV431"/>
      <c r="RMW431"/>
      <c r="RMX431"/>
      <c r="RMY431"/>
      <c r="RMZ431"/>
      <c r="RNA431"/>
      <c r="RNB431"/>
      <c r="RNC431"/>
      <c r="RND431"/>
      <c r="RNE431"/>
      <c r="RNF431"/>
      <c r="RNG431"/>
      <c r="RNH431"/>
      <c r="RNI431"/>
      <c r="RNJ431"/>
      <c r="RNK431"/>
      <c r="RNL431"/>
      <c r="RNM431"/>
      <c r="RNN431"/>
      <c r="RNO431"/>
      <c r="RNP431"/>
      <c r="RNQ431"/>
      <c r="RNR431"/>
      <c r="RNS431"/>
      <c r="RNT431"/>
      <c r="RNU431"/>
      <c r="RNV431"/>
      <c r="RNW431"/>
      <c r="RNX431"/>
      <c r="RNY431"/>
      <c r="RNZ431"/>
      <c r="ROA431"/>
      <c r="ROB431"/>
      <c r="ROC431"/>
      <c r="ROD431"/>
      <c r="ROE431"/>
      <c r="ROF431"/>
      <c r="ROG431"/>
      <c r="ROH431"/>
      <c r="ROI431"/>
      <c r="ROJ431"/>
      <c r="ROK431"/>
      <c r="ROL431"/>
      <c r="ROM431"/>
      <c r="RON431"/>
      <c r="ROO431"/>
      <c r="ROP431"/>
      <c r="ROQ431"/>
      <c r="ROR431"/>
      <c r="ROS431"/>
      <c r="ROT431"/>
      <c r="ROU431"/>
      <c r="ROV431"/>
      <c r="ROW431"/>
      <c r="ROX431"/>
      <c r="ROY431"/>
      <c r="ROZ431"/>
      <c r="RPA431"/>
      <c r="RPB431"/>
      <c r="RPC431"/>
      <c r="RPD431"/>
      <c r="RPE431"/>
      <c r="RPF431"/>
      <c r="RPG431"/>
      <c r="RPH431"/>
      <c r="RPI431"/>
      <c r="RPJ431"/>
      <c r="RPK431"/>
      <c r="RPL431"/>
      <c r="RPM431"/>
      <c r="RPN431"/>
      <c r="RPO431"/>
      <c r="RPP431"/>
      <c r="RPQ431"/>
      <c r="RPR431"/>
      <c r="RPS431"/>
      <c r="RPT431"/>
      <c r="RPU431"/>
      <c r="RPV431"/>
      <c r="RPW431"/>
      <c r="RPX431"/>
      <c r="RPY431"/>
      <c r="RPZ431"/>
      <c r="RQA431"/>
      <c r="RQB431"/>
      <c r="RQC431"/>
      <c r="RQD431"/>
      <c r="RQE431"/>
      <c r="RQF431"/>
      <c r="RQG431"/>
      <c r="RQH431"/>
      <c r="RQI431"/>
      <c r="RQJ431"/>
      <c r="RQK431"/>
      <c r="RQL431"/>
      <c r="RQM431"/>
      <c r="RQN431"/>
      <c r="RQO431"/>
      <c r="RQP431"/>
      <c r="RQQ431"/>
      <c r="RQR431"/>
      <c r="RQS431"/>
      <c r="RQT431"/>
      <c r="RQU431"/>
      <c r="RQV431"/>
      <c r="RQW431"/>
      <c r="RQX431"/>
      <c r="RQY431"/>
      <c r="RQZ431"/>
      <c r="RRA431"/>
      <c r="RRB431"/>
      <c r="RRC431"/>
      <c r="RRD431"/>
      <c r="RRE431"/>
      <c r="RRF431"/>
      <c r="RRG431"/>
      <c r="RRH431"/>
      <c r="RRI431"/>
      <c r="RRJ431"/>
      <c r="RRK431"/>
      <c r="RRL431"/>
      <c r="RRM431"/>
      <c r="RRN431"/>
      <c r="RRO431"/>
      <c r="RRP431"/>
      <c r="RRQ431"/>
      <c r="RRR431"/>
      <c r="RRS431"/>
      <c r="RRT431"/>
      <c r="RRU431"/>
      <c r="RRV431"/>
      <c r="RRW431"/>
      <c r="RRX431"/>
      <c r="RRY431"/>
      <c r="RRZ431"/>
      <c r="RSA431"/>
      <c r="RSB431"/>
      <c r="RSC431"/>
      <c r="RSD431"/>
      <c r="RSE431"/>
      <c r="RSF431"/>
      <c r="RSG431"/>
      <c r="RSH431"/>
      <c r="RSI431"/>
      <c r="RSJ431"/>
      <c r="RSK431"/>
      <c r="RSL431"/>
      <c r="RSM431"/>
      <c r="RSN431"/>
      <c r="RSO431"/>
      <c r="RSP431"/>
      <c r="RSQ431"/>
      <c r="RSR431"/>
      <c r="RSS431"/>
      <c r="RST431"/>
      <c r="RSU431"/>
      <c r="RSV431"/>
      <c r="RSW431"/>
      <c r="RSX431"/>
      <c r="RSY431"/>
      <c r="RSZ431"/>
      <c r="RTA431"/>
      <c r="RTB431"/>
      <c r="RTC431"/>
      <c r="RTD431"/>
      <c r="RTE431"/>
      <c r="RTF431"/>
      <c r="RTG431"/>
      <c r="RTH431"/>
      <c r="RTI431"/>
      <c r="RTJ431"/>
      <c r="RTK431"/>
      <c r="RTL431"/>
      <c r="RTM431"/>
      <c r="RTN431"/>
      <c r="RTO431"/>
      <c r="RTP431"/>
      <c r="RTQ431"/>
      <c r="RTR431"/>
      <c r="RTS431"/>
      <c r="RTT431"/>
      <c r="RTU431"/>
      <c r="RTV431"/>
      <c r="RTW431"/>
      <c r="RTX431"/>
      <c r="RTY431"/>
      <c r="RTZ431"/>
      <c r="RUA431"/>
      <c r="RUB431"/>
      <c r="RUC431"/>
      <c r="RUD431"/>
      <c r="RUE431"/>
      <c r="RUF431"/>
      <c r="RUG431"/>
      <c r="RUH431"/>
      <c r="RUI431"/>
      <c r="RUJ431"/>
      <c r="RUK431"/>
      <c r="RUL431"/>
      <c r="RUM431"/>
      <c r="RUN431"/>
      <c r="RUO431"/>
      <c r="RUP431"/>
      <c r="RUQ431"/>
      <c r="RUR431"/>
      <c r="RUS431"/>
      <c r="RUT431"/>
      <c r="RUU431"/>
      <c r="RUV431"/>
      <c r="RUW431"/>
      <c r="RUX431"/>
      <c r="RUY431"/>
      <c r="RUZ431"/>
      <c r="RVA431"/>
      <c r="RVB431"/>
      <c r="RVC431"/>
      <c r="RVD431"/>
      <c r="RVE431"/>
      <c r="RVF431"/>
      <c r="RVG431"/>
      <c r="RVH431"/>
      <c r="RVI431"/>
      <c r="RVJ431"/>
      <c r="RVK431"/>
      <c r="RVL431"/>
      <c r="RVM431"/>
      <c r="RVN431"/>
      <c r="RVO431"/>
      <c r="RVP431"/>
      <c r="RVQ431"/>
      <c r="RVR431"/>
      <c r="RVS431"/>
      <c r="RVT431"/>
      <c r="RVU431"/>
      <c r="RVV431"/>
      <c r="RVW431"/>
      <c r="RVX431"/>
      <c r="RVY431"/>
      <c r="RVZ431"/>
      <c r="RWA431"/>
      <c r="RWB431"/>
      <c r="RWC431"/>
      <c r="RWD431"/>
      <c r="RWE431"/>
      <c r="RWF431"/>
      <c r="RWG431"/>
      <c r="RWH431"/>
      <c r="RWI431"/>
      <c r="RWJ431"/>
      <c r="RWK431"/>
      <c r="RWL431"/>
      <c r="RWM431"/>
      <c r="RWN431"/>
      <c r="RWO431"/>
      <c r="RWP431"/>
      <c r="RWQ431"/>
      <c r="RWR431"/>
      <c r="RWS431"/>
      <c r="RWT431"/>
      <c r="RWU431"/>
      <c r="RWV431"/>
      <c r="RWW431"/>
      <c r="RWX431"/>
      <c r="RWY431"/>
      <c r="RWZ431"/>
      <c r="RXA431"/>
      <c r="RXB431"/>
      <c r="RXC431"/>
      <c r="RXD431"/>
      <c r="RXE431"/>
      <c r="RXF431"/>
      <c r="RXG431"/>
      <c r="RXH431"/>
      <c r="RXI431"/>
      <c r="RXJ431"/>
      <c r="RXK431"/>
      <c r="RXL431"/>
      <c r="RXM431"/>
      <c r="RXN431"/>
      <c r="RXO431"/>
      <c r="RXP431"/>
      <c r="RXQ431"/>
      <c r="RXR431"/>
      <c r="RXS431"/>
      <c r="RXT431"/>
      <c r="RXU431"/>
      <c r="RXV431"/>
      <c r="RXW431"/>
      <c r="RXX431"/>
      <c r="RXY431"/>
      <c r="RXZ431"/>
      <c r="RYA431"/>
      <c r="RYB431"/>
      <c r="RYC431"/>
      <c r="RYD431"/>
      <c r="RYE431"/>
      <c r="RYF431"/>
      <c r="RYG431"/>
      <c r="RYH431"/>
      <c r="RYI431"/>
      <c r="RYJ431"/>
      <c r="RYK431"/>
      <c r="RYL431"/>
      <c r="RYM431"/>
      <c r="RYN431"/>
      <c r="RYO431"/>
      <c r="RYP431"/>
      <c r="RYQ431"/>
      <c r="RYR431"/>
      <c r="RYS431"/>
      <c r="RYT431"/>
      <c r="RYU431"/>
      <c r="RYV431"/>
      <c r="RYW431"/>
      <c r="RYX431"/>
      <c r="RYY431"/>
      <c r="RYZ431"/>
      <c r="RZA431"/>
      <c r="RZB431"/>
      <c r="RZC431"/>
      <c r="RZD431"/>
      <c r="RZE431"/>
      <c r="RZF431"/>
      <c r="RZG431"/>
      <c r="RZH431"/>
      <c r="RZI431"/>
      <c r="RZJ431"/>
      <c r="RZK431"/>
      <c r="RZL431"/>
      <c r="RZM431"/>
      <c r="RZN431"/>
      <c r="RZO431"/>
      <c r="RZP431"/>
      <c r="RZQ431"/>
      <c r="RZR431"/>
      <c r="RZS431"/>
      <c r="RZT431"/>
      <c r="RZU431"/>
      <c r="RZV431"/>
      <c r="RZW431"/>
      <c r="RZX431"/>
      <c r="RZY431"/>
      <c r="RZZ431"/>
      <c r="SAA431"/>
      <c r="SAB431"/>
      <c r="SAC431"/>
      <c r="SAD431"/>
      <c r="SAE431"/>
      <c r="SAF431"/>
      <c r="SAG431"/>
      <c r="SAH431"/>
      <c r="SAI431"/>
      <c r="SAJ431"/>
      <c r="SAK431"/>
      <c r="SAL431"/>
      <c r="SAM431"/>
      <c r="SAN431"/>
      <c r="SAO431"/>
      <c r="SAP431"/>
      <c r="SAQ431"/>
      <c r="SAR431"/>
      <c r="SAS431"/>
      <c r="SAT431"/>
      <c r="SAU431"/>
      <c r="SAV431"/>
      <c r="SAW431"/>
      <c r="SAX431"/>
      <c r="SAY431"/>
      <c r="SAZ431"/>
      <c r="SBA431"/>
      <c r="SBB431"/>
      <c r="SBC431"/>
      <c r="SBD431"/>
      <c r="SBE431"/>
      <c r="SBF431"/>
      <c r="SBG431"/>
      <c r="SBH431"/>
      <c r="SBI431"/>
      <c r="SBJ431"/>
      <c r="SBK431"/>
      <c r="SBL431"/>
      <c r="SBM431"/>
      <c r="SBN431"/>
      <c r="SBO431"/>
      <c r="SBP431"/>
      <c r="SBQ431"/>
      <c r="SBR431"/>
      <c r="SBS431"/>
      <c r="SBT431"/>
      <c r="SBU431"/>
      <c r="SBV431"/>
      <c r="SBW431"/>
      <c r="SBX431"/>
      <c r="SBY431"/>
      <c r="SBZ431"/>
      <c r="SCA431"/>
      <c r="SCB431"/>
      <c r="SCC431"/>
      <c r="SCD431"/>
      <c r="SCE431"/>
      <c r="SCF431"/>
      <c r="SCG431"/>
      <c r="SCH431"/>
      <c r="SCI431"/>
      <c r="SCJ431"/>
      <c r="SCK431"/>
      <c r="SCL431"/>
      <c r="SCM431"/>
      <c r="SCN431"/>
      <c r="SCO431"/>
      <c r="SCP431"/>
      <c r="SCQ431"/>
      <c r="SCR431"/>
      <c r="SCS431"/>
      <c r="SCT431"/>
      <c r="SCU431"/>
      <c r="SCV431"/>
      <c r="SCW431"/>
      <c r="SCX431"/>
      <c r="SCY431"/>
      <c r="SCZ431"/>
      <c r="SDA431"/>
      <c r="SDB431"/>
      <c r="SDC431"/>
      <c r="SDD431"/>
      <c r="SDE431"/>
      <c r="SDF431"/>
      <c r="SDG431"/>
      <c r="SDH431"/>
      <c r="SDI431"/>
      <c r="SDJ431"/>
      <c r="SDK431"/>
      <c r="SDL431"/>
      <c r="SDM431"/>
      <c r="SDN431"/>
      <c r="SDO431"/>
      <c r="SDP431"/>
      <c r="SDQ431"/>
      <c r="SDR431"/>
      <c r="SDS431"/>
      <c r="SDT431"/>
      <c r="SDU431"/>
      <c r="SDV431"/>
      <c r="SDW431"/>
      <c r="SDX431"/>
      <c r="SDY431"/>
      <c r="SDZ431"/>
      <c r="SEA431"/>
      <c r="SEB431"/>
      <c r="SEC431"/>
      <c r="SED431"/>
      <c r="SEE431"/>
      <c r="SEF431"/>
      <c r="SEG431"/>
      <c r="SEH431"/>
      <c r="SEI431"/>
      <c r="SEJ431"/>
      <c r="SEK431"/>
      <c r="SEL431"/>
      <c r="SEM431"/>
      <c r="SEN431"/>
      <c r="SEO431"/>
      <c r="SEP431"/>
      <c r="SEQ431"/>
      <c r="SER431"/>
      <c r="SES431"/>
      <c r="SET431"/>
      <c r="SEU431"/>
      <c r="SEV431"/>
      <c r="SEW431"/>
      <c r="SEX431"/>
      <c r="SEY431"/>
      <c r="SEZ431"/>
      <c r="SFA431"/>
      <c r="SFB431"/>
      <c r="SFC431"/>
      <c r="SFD431"/>
      <c r="SFE431"/>
      <c r="SFF431"/>
      <c r="SFG431"/>
      <c r="SFH431"/>
      <c r="SFI431"/>
      <c r="SFJ431"/>
      <c r="SFK431"/>
      <c r="SFL431"/>
      <c r="SFM431"/>
      <c r="SFN431"/>
      <c r="SFO431"/>
      <c r="SFP431"/>
      <c r="SFQ431"/>
      <c r="SFR431"/>
      <c r="SFS431"/>
      <c r="SFT431"/>
      <c r="SFU431"/>
      <c r="SFV431"/>
      <c r="SFW431"/>
      <c r="SFX431"/>
      <c r="SFY431"/>
      <c r="SFZ431"/>
      <c r="SGA431"/>
      <c r="SGB431"/>
      <c r="SGC431"/>
      <c r="SGD431"/>
      <c r="SGE431"/>
      <c r="SGF431"/>
      <c r="SGG431"/>
      <c r="SGH431"/>
      <c r="SGI431"/>
      <c r="SGJ431"/>
      <c r="SGK431"/>
      <c r="SGL431"/>
      <c r="SGM431"/>
      <c r="SGN431"/>
      <c r="SGO431"/>
      <c r="SGP431"/>
      <c r="SGQ431"/>
      <c r="SGR431"/>
      <c r="SGS431"/>
      <c r="SGT431"/>
      <c r="SGU431"/>
      <c r="SGV431"/>
      <c r="SGW431"/>
      <c r="SGX431"/>
      <c r="SGY431"/>
      <c r="SGZ431"/>
      <c r="SHA431"/>
      <c r="SHB431"/>
      <c r="SHC431"/>
      <c r="SHD431"/>
      <c r="SHE431"/>
      <c r="SHF431"/>
      <c r="SHG431"/>
      <c r="SHH431"/>
      <c r="SHI431"/>
      <c r="SHJ431"/>
      <c r="SHK431"/>
      <c r="SHL431"/>
      <c r="SHM431"/>
      <c r="SHN431"/>
      <c r="SHO431"/>
      <c r="SHP431"/>
      <c r="SHQ431"/>
      <c r="SHR431"/>
      <c r="SHS431"/>
      <c r="SHT431"/>
      <c r="SHU431"/>
      <c r="SHV431"/>
      <c r="SHW431"/>
      <c r="SHX431"/>
      <c r="SHY431"/>
      <c r="SHZ431"/>
      <c r="SIA431"/>
      <c r="SIB431"/>
      <c r="SIC431"/>
      <c r="SID431"/>
      <c r="SIE431"/>
      <c r="SIF431"/>
      <c r="SIG431"/>
      <c r="SIH431"/>
      <c r="SII431"/>
      <c r="SIJ431"/>
      <c r="SIK431"/>
      <c r="SIL431"/>
      <c r="SIM431"/>
      <c r="SIN431"/>
      <c r="SIO431"/>
      <c r="SIP431"/>
      <c r="SIQ431"/>
      <c r="SIR431"/>
      <c r="SIS431"/>
      <c r="SIT431"/>
      <c r="SIU431"/>
      <c r="SIV431"/>
      <c r="SIW431"/>
      <c r="SIX431"/>
      <c r="SIY431"/>
      <c r="SIZ431"/>
      <c r="SJA431"/>
      <c r="SJB431"/>
      <c r="SJC431"/>
      <c r="SJD431"/>
      <c r="SJE431"/>
      <c r="SJF431"/>
      <c r="SJG431"/>
      <c r="SJH431"/>
      <c r="SJI431"/>
      <c r="SJJ431"/>
      <c r="SJK431"/>
      <c r="SJL431"/>
      <c r="SJM431"/>
      <c r="SJN431"/>
      <c r="SJO431"/>
      <c r="SJP431"/>
      <c r="SJQ431"/>
      <c r="SJR431"/>
      <c r="SJS431"/>
      <c r="SJT431"/>
      <c r="SJU431"/>
      <c r="SJV431"/>
      <c r="SJW431"/>
      <c r="SJX431"/>
      <c r="SJY431"/>
      <c r="SJZ431"/>
      <c r="SKA431"/>
      <c r="SKB431"/>
      <c r="SKC431"/>
      <c r="SKD431"/>
      <c r="SKE431"/>
      <c r="SKF431"/>
      <c r="SKG431"/>
      <c r="SKH431"/>
      <c r="SKI431"/>
      <c r="SKJ431"/>
      <c r="SKK431"/>
      <c r="SKL431"/>
      <c r="SKM431"/>
      <c r="SKN431"/>
      <c r="SKO431"/>
      <c r="SKP431"/>
      <c r="SKQ431"/>
      <c r="SKR431"/>
      <c r="SKS431"/>
      <c r="SKT431"/>
      <c r="SKU431"/>
      <c r="SKV431"/>
      <c r="SKW431"/>
      <c r="SKX431"/>
      <c r="SKY431"/>
      <c r="SKZ431"/>
      <c r="SLA431"/>
      <c r="SLB431"/>
      <c r="SLC431"/>
      <c r="SLD431"/>
      <c r="SLE431"/>
      <c r="SLF431"/>
      <c r="SLG431"/>
      <c r="SLH431"/>
      <c r="SLI431"/>
      <c r="SLJ431"/>
      <c r="SLK431"/>
      <c r="SLL431"/>
      <c r="SLM431"/>
      <c r="SLN431"/>
      <c r="SLO431"/>
      <c r="SLP431"/>
      <c r="SLQ431"/>
      <c r="SLR431"/>
      <c r="SLS431"/>
      <c r="SLT431"/>
      <c r="SLU431"/>
      <c r="SLV431"/>
      <c r="SLW431"/>
      <c r="SLX431"/>
      <c r="SLY431"/>
      <c r="SLZ431"/>
      <c r="SMA431"/>
      <c r="SMB431"/>
      <c r="SMC431"/>
      <c r="SMD431"/>
      <c r="SME431"/>
      <c r="SMF431"/>
      <c r="SMG431"/>
      <c r="SMH431"/>
      <c r="SMI431"/>
      <c r="SMJ431"/>
      <c r="SMK431"/>
      <c r="SML431"/>
      <c r="SMM431"/>
      <c r="SMN431"/>
      <c r="SMO431"/>
      <c r="SMP431"/>
      <c r="SMQ431"/>
      <c r="SMR431"/>
      <c r="SMS431"/>
      <c r="SMT431"/>
      <c r="SMU431"/>
      <c r="SMV431"/>
      <c r="SMW431"/>
      <c r="SMX431"/>
      <c r="SMY431"/>
      <c r="SMZ431"/>
      <c r="SNA431"/>
      <c r="SNB431"/>
      <c r="SNC431"/>
      <c r="SND431"/>
      <c r="SNE431"/>
      <c r="SNF431"/>
      <c r="SNG431"/>
      <c r="SNH431"/>
      <c r="SNI431"/>
      <c r="SNJ431"/>
      <c r="SNK431"/>
      <c r="SNL431"/>
      <c r="SNM431"/>
      <c r="SNN431"/>
      <c r="SNO431"/>
      <c r="SNP431"/>
      <c r="SNQ431"/>
      <c r="SNR431"/>
      <c r="SNS431"/>
      <c r="SNT431"/>
      <c r="SNU431"/>
      <c r="SNV431"/>
      <c r="SNW431"/>
      <c r="SNX431"/>
      <c r="SNY431"/>
      <c r="SNZ431"/>
      <c r="SOA431"/>
      <c r="SOB431"/>
      <c r="SOC431"/>
      <c r="SOD431"/>
      <c r="SOE431"/>
      <c r="SOF431"/>
      <c r="SOG431"/>
      <c r="SOH431"/>
      <c r="SOI431"/>
      <c r="SOJ431"/>
      <c r="SOK431"/>
      <c r="SOL431"/>
      <c r="SOM431"/>
      <c r="SON431"/>
      <c r="SOO431"/>
      <c r="SOP431"/>
      <c r="SOQ431"/>
      <c r="SOR431"/>
      <c r="SOS431"/>
      <c r="SOT431"/>
      <c r="SOU431"/>
      <c r="SOV431"/>
      <c r="SOW431"/>
      <c r="SOX431"/>
      <c r="SOY431"/>
      <c r="SOZ431"/>
      <c r="SPA431"/>
      <c r="SPB431"/>
      <c r="SPC431"/>
      <c r="SPD431"/>
      <c r="SPE431"/>
      <c r="SPF431"/>
      <c r="SPG431"/>
      <c r="SPH431"/>
      <c r="SPI431"/>
      <c r="SPJ431"/>
      <c r="SPK431"/>
      <c r="SPL431"/>
      <c r="SPM431"/>
      <c r="SPN431"/>
      <c r="SPO431"/>
      <c r="SPP431"/>
      <c r="SPQ431"/>
      <c r="SPR431"/>
      <c r="SPS431"/>
      <c r="SPT431"/>
      <c r="SPU431"/>
      <c r="SPV431"/>
      <c r="SPW431"/>
      <c r="SPX431"/>
      <c r="SPY431"/>
      <c r="SPZ431"/>
      <c r="SQA431"/>
      <c r="SQB431"/>
      <c r="SQC431"/>
      <c r="SQD431"/>
      <c r="SQE431"/>
      <c r="SQF431"/>
      <c r="SQG431"/>
      <c r="SQH431"/>
      <c r="SQI431"/>
      <c r="SQJ431"/>
      <c r="SQK431"/>
      <c r="SQL431"/>
      <c r="SQM431"/>
      <c r="SQN431"/>
      <c r="SQO431"/>
      <c r="SQP431"/>
      <c r="SQQ431"/>
      <c r="SQR431"/>
      <c r="SQS431"/>
      <c r="SQT431"/>
      <c r="SQU431"/>
      <c r="SQV431"/>
      <c r="SQW431"/>
      <c r="SQX431"/>
      <c r="SQY431"/>
      <c r="SQZ431"/>
      <c r="SRA431"/>
      <c r="SRB431"/>
      <c r="SRC431"/>
      <c r="SRD431"/>
      <c r="SRE431"/>
      <c r="SRF431"/>
      <c r="SRG431"/>
      <c r="SRH431"/>
      <c r="SRI431"/>
      <c r="SRJ431"/>
      <c r="SRK431"/>
      <c r="SRL431"/>
      <c r="SRM431"/>
      <c r="SRN431"/>
      <c r="SRO431"/>
      <c r="SRP431"/>
      <c r="SRQ431"/>
      <c r="SRR431"/>
      <c r="SRS431"/>
      <c r="SRT431"/>
      <c r="SRU431"/>
      <c r="SRV431"/>
      <c r="SRW431"/>
      <c r="SRX431"/>
      <c r="SRY431"/>
      <c r="SRZ431"/>
      <c r="SSA431"/>
      <c r="SSB431"/>
      <c r="SSC431"/>
      <c r="SSD431"/>
      <c r="SSE431"/>
      <c r="SSF431"/>
      <c r="SSG431"/>
      <c r="SSH431"/>
      <c r="SSI431"/>
      <c r="SSJ431"/>
      <c r="SSK431"/>
      <c r="SSL431"/>
      <c r="SSM431"/>
      <c r="SSN431"/>
      <c r="SSO431"/>
      <c r="SSP431"/>
      <c r="SSQ431"/>
      <c r="SSR431"/>
      <c r="SSS431"/>
      <c r="SST431"/>
      <c r="SSU431"/>
      <c r="SSV431"/>
      <c r="SSW431"/>
      <c r="SSX431"/>
      <c r="SSY431"/>
      <c r="SSZ431"/>
      <c r="STA431"/>
      <c r="STB431"/>
      <c r="STC431"/>
      <c r="STD431"/>
      <c r="STE431"/>
      <c r="STF431"/>
      <c r="STG431"/>
      <c r="STH431"/>
      <c r="STI431"/>
      <c r="STJ431"/>
      <c r="STK431"/>
      <c r="STL431"/>
      <c r="STM431"/>
      <c r="STN431"/>
      <c r="STO431"/>
      <c r="STP431"/>
      <c r="STQ431"/>
      <c r="STR431"/>
      <c r="STS431"/>
      <c r="STT431"/>
      <c r="STU431"/>
      <c r="STV431"/>
      <c r="STW431"/>
      <c r="STX431"/>
      <c r="STY431"/>
      <c r="STZ431"/>
      <c r="SUA431"/>
      <c r="SUB431"/>
      <c r="SUC431"/>
      <c r="SUD431"/>
      <c r="SUE431"/>
      <c r="SUF431"/>
      <c r="SUG431"/>
      <c r="SUH431"/>
      <c r="SUI431"/>
      <c r="SUJ431"/>
      <c r="SUK431"/>
      <c r="SUL431"/>
      <c r="SUM431"/>
      <c r="SUN431"/>
      <c r="SUO431"/>
      <c r="SUP431"/>
      <c r="SUQ431"/>
      <c r="SUR431"/>
      <c r="SUS431"/>
      <c r="SUT431"/>
      <c r="SUU431"/>
      <c r="SUV431"/>
      <c r="SUW431"/>
      <c r="SUX431"/>
      <c r="SUY431"/>
      <c r="SUZ431"/>
      <c r="SVA431"/>
      <c r="SVB431"/>
      <c r="SVC431"/>
      <c r="SVD431"/>
      <c r="SVE431"/>
      <c r="SVF431"/>
      <c r="SVG431"/>
      <c r="SVH431"/>
      <c r="SVI431"/>
      <c r="SVJ431"/>
      <c r="SVK431"/>
      <c r="SVL431"/>
      <c r="SVM431"/>
      <c r="SVN431"/>
      <c r="SVO431"/>
      <c r="SVP431"/>
      <c r="SVQ431"/>
      <c r="SVR431"/>
      <c r="SVS431"/>
      <c r="SVT431"/>
      <c r="SVU431"/>
      <c r="SVV431"/>
      <c r="SVW431"/>
      <c r="SVX431"/>
      <c r="SVY431"/>
      <c r="SVZ431"/>
      <c r="SWA431"/>
      <c r="SWB431"/>
      <c r="SWC431"/>
      <c r="SWD431"/>
      <c r="SWE431"/>
      <c r="SWF431"/>
      <c r="SWG431"/>
      <c r="SWH431"/>
      <c r="SWI431"/>
      <c r="SWJ431"/>
      <c r="SWK431"/>
      <c r="SWL431"/>
      <c r="SWM431"/>
      <c r="SWN431"/>
      <c r="SWO431"/>
      <c r="SWP431"/>
      <c r="SWQ431"/>
      <c r="SWR431"/>
      <c r="SWS431"/>
      <c r="SWT431"/>
      <c r="SWU431"/>
      <c r="SWV431"/>
      <c r="SWW431"/>
      <c r="SWX431"/>
      <c r="SWY431"/>
      <c r="SWZ431"/>
      <c r="SXA431"/>
      <c r="SXB431"/>
      <c r="SXC431"/>
      <c r="SXD431"/>
      <c r="SXE431"/>
      <c r="SXF431"/>
      <c r="SXG431"/>
      <c r="SXH431"/>
      <c r="SXI431"/>
      <c r="SXJ431"/>
      <c r="SXK431"/>
      <c r="SXL431"/>
      <c r="SXM431"/>
      <c r="SXN431"/>
      <c r="SXO431"/>
      <c r="SXP431"/>
      <c r="SXQ431"/>
      <c r="SXR431"/>
      <c r="SXS431"/>
      <c r="SXT431"/>
      <c r="SXU431"/>
      <c r="SXV431"/>
      <c r="SXW431"/>
      <c r="SXX431"/>
      <c r="SXY431"/>
      <c r="SXZ431"/>
      <c r="SYA431"/>
      <c r="SYB431"/>
      <c r="SYC431"/>
      <c r="SYD431"/>
      <c r="SYE431"/>
      <c r="SYF431"/>
      <c r="SYG431"/>
      <c r="SYH431"/>
      <c r="SYI431"/>
      <c r="SYJ431"/>
      <c r="SYK431"/>
      <c r="SYL431"/>
      <c r="SYM431"/>
      <c r="SYN431"/>
      <c r="SYO431"/>
      <c r="SYP431"/>
      <c r="SYQ431"/>
      <c r="SYR431"/>
      <c r="SYS431"/>
      <c r="SYT431"/>
      <c r="SYU431"/>
      <c r="SYV431"/>
      <c r="SYW431"/>
      <c r="SYX431"/>
      <c r="SYY431"/>
      <c r="SYZ431"/>
      <c r="SZA431"/>
      <c r="SZB431"/>
      <c r="SZC431"/>
      <c r="SZD431"/>
      <c r="SZE431"/>
      <c r="SZF431"/>
      <c r="SZG431"/>
      <c r="SZH431"/>
      <c r="SZI431"/>
      <c r="SZJ431"/>
      <c r="SZK431"/>
      <c r="SZL431"/>
      <c r="SZM431"/>
      <c r="SZN431"/>
      <c r="SZO431"/>
      <c r="SZP431"/>
      <c r="SZQ431"/>
      <c r="SZR431"/>
      <c r="SZS431"/>
      <c r="SZT431"/>
      <c r="SZU431"/>
      <c r="SZV431"/>
      <c r="SZW431"/>
      <c r="SZX431"/>
      <c r="SZY431"/>
      <c r="SZZ431"/>
      <c r="TAA431"/>
      <c r="TAB431"/>
      <c r="TAC431"/>
      <c r="TAD431"/>
      <c r="TAE431"/>
      <c r="TAF431"/>
      <c r="TAG431"/>
      <c r="TAH431"/>
      <c r="TAI431"/>
      <c r="TAJ431"/>
      <c r="TAK431"/>
      <c r="TAL431"/>
      <c r="TAM431"/>
      <c r="TAN431"/>
      <c r="TAO431"/>
      <c r="TAP431"/>
      <c r="TAQ431"/>
      <c r="TAR431"/>
      <c r="TAS431"/>
      <c r="TAT431"/>
      <c r="TAU431"/>
      <c r="TAV431"/>
      <c r="TAW431"/>
      <c r="TAX431"/>
      <c r="TAY431"/>
      <c r="TAZ431"/>
      <c r="TBA431"/>
      <c r="TBB431"/>
      <c r="TBC431"/>
      <c r="TBD431"/>
      <c r="TBE431"/>
      <c r="TBF431"/>
      <c r="TBG431"/>
      <c r="TBH431"/>
      <c r="TBI431"/>
      <c r="TBJ431"/>
      <c r="TBK431"/>
      <c r="TBL431"/>
      <c r="TBM431"/>
      <c r="TBN431"/>
      <c r="TBO431"/>
      <c r="TBP431"/>
      <c r="TBQ431"/>
      <c r="TBR431"/>
      <c r="TBS431"/>
      <c r="TBT431"/>
      <c r="TBU431"/>
      <c r="TBV431"/>
      <c r="TBW431"/>
      <c r="TBX431"/>
      <c r="TBY431"/>
      <c r="TBZ431"/>
      <c r="TCA431"/>
      <c r="TCB431"/>
      <c r="TCC431"/>
      <c r="TCD431"/>
      <c r="TCE431"/>
      <c r="TCF431"/>
      <c r="TCG431"/>
      <c r="TCH431"/>
      <c r="TCI431"/>
      <c r="TCJ431"/>
      <c r="TCK431"/>
      <c r="TCL431"/>
      <c r="TCM431"/>
      <c r="TCN431"/>
      <c r="TCO431"/>
      <c r="TCP431"/>
      <c r="TCQ431"/>
      <c r="TCR431"/>
      <c r="TCS431"/>
      <c r="TCT431"/>
      <c r="TCU431"/>
      <c r="TCV431"/>
      <c r="TCW431"/>
      <c r="TCX431"/>
      <c r="TCY431"/>
      <c r="TCZ431"/>
      <c r="TDA431"/>
      <c r="TDB431"/>
      <c r="TDC431"/>
      <c r="TDD431"/>
      <c r="TDE431"/>
      <c r="TDF431"/>
      <c r="TDG431"/>
      <c r="TDH431"/>
      <c r="TDI431"/>
      <c r="TDJ431"/>
      <c r="TDK431"/>
      <c r="TDL431"/>
      <c r="TDM431"/>
      <c r="TDN431"/>
      <c r="TDO431"/>
      <c r="TDP431"/>
      <c r="TDQ431"/>
      <c r="TDR431"/>
      <c r="TDS431"/>
      <c r="TDT431"/>
      <c r="TDU431"/>
      <c r="TDV431"/>
      <c r="TDW431"/>
      <c r="TDX431"/>
      <c r="TDY431"/>
      <c r="TDZ431"/>
      <c r="TEA431"/>
      <c r="TEB431"/>
      <c r="TEC431"/>
      <c r="TED431"/>
      <c r="TEE431"/>
      <c r="TEF431"/>
      <c r="TEG431"/>
      <c r="TEH431"/>
      <c r="TEI431"/>
      <c r="TEJ431"/>
      <c r="TEK431"/>
      <c r="TEL431"/>
      <c r="TEM431"/>
      <c r="TEN431"/>
      <c r="TEO431"/>
      <c r="TEP431"/>
      <c r="TEQ431"/>
      <c r="TER431"/>
      <c r="TES431"/>
      <c r="TET431"/>
      <c r="TEU431"/>
      <c r="TEV431"/>
      <c r="TEW431"/>
      <c r="TEX431"/>
      <c r="TEY431"/>
      <c r="TEZ431"/>
      <c r="TFA431"/>
      <c r="TFB431"/>
      <c r="TFC431"/>
      <c r="TFD431"/>
      <c r="TFE431"/>
      <c r="TFF431"/>
      <c r="TFG431"/>
      <c r="TFH431"/>
      <c r="TFI431"/>
      <c r="TFJ431"/>
      <c r="TFK431"/>
      <c r="TFL431"/>
      <c r="TFM431"/>
      <c r="TFN431"/>
      <c r="TFO431"/>
      <c r="TFP431"/>
      <c r="TFQ431"/>
      <c r="TFR431"/>
      <c r="TFS431"/>
      <c r="TFT431"/>
      <c r="TFU431"/>
      <c r="TFV431"/>
      <c r="TFW431"/>
      <c r="TFX431"/>
      <c r="TFY431"/>
      <c r="TFZ431"/>
      <c r="TGA431"/>
      <c r="TGB431"/>
      <c r="TGC431"/>
      <c r="TGD431"/>
      <c r="TGE431"/>
      <c r="TGF431"/>
      <c r="TGG431"/>
      <c r="TGH431"/>
      <c r="TGI431"/>
      <c r="TGJ431"/>
      <c r="TGK431"/>
      <c r="TGL431"/>
      <c r="TGM431"/>
      <c r="TGN431"/>
      <c r="TGO431"/>
      <c r="TGP431"/>
      <c r="TGQ431"/>
      <c r="TGR431"/>
      <c r="TGS431"/>
      <c r="TGT431"/>
      <c r="TGU431"/>
      <c r="TGV431"/>
      <c r="TGW431"/>
      <c r="TGX431"/>
      <c r="TGY431"/>
      <c r="TGZ431"/>
      <c r="THA431"/>
      <c r="THB431"/>
      <c r="THC431"/>
      <c r="THD431"/>
      <c r="THE431"/>
      <c r="THF431"/>
      <c r="THG431"/>
      <c r="THH431"/>
      <c r="THI431"/>
      <c r="THJ431"/>
      <c r="THK431"/>
      <c r="THL431"/>
      <c r="THM431"/>
      <c r="THN431"/>
      <c r="THO431"/>
      <c r="THP431"/>
      <c r="THQ431"/>
      <c r="THR431"/>
      <c r="THS431"/>
      <c r="THT431"/>
      <c r="THU431"/>
      <c r="THV431"/>
      <c r="THW431"/>
      <c r="THX431"/>
      <c r="THY431"/>
      <c r="THZ431"/>
      <c r="TIA431"/>
      <c r="TIB431"/>
      <c r="TIC431"/>
      <c r="TID431"/>
      <c r="TIE431"/>
      <c r="TIF431"/>
      <c r="TIG431"/>
      <c r="TIH431"/>
      <c r="TII431"/>
      <c r="TIJ431"/>
      <c r="TIK431"/>
      <c r="TIL431"/>
      <c r="TIM431"/>
      <c r="TIN431"/>
      <c r="TIO431"/>
      <c r="TIP431"/>
      <c r="TIQ431"/>
      <c r="TIR431"/>
      <c r="TIS431"/>
      <c r="TIT431"/>
      <c r="TIU431"/>
      <c r="TIV431"/>
      <c r="TIW431"/>
      <c r="TIX431"/>
      <c r="TIY431"/>
      <c r="TIZ431"/>
      <c r="TJA431"/>
      <c r="TJB431"/>
      <c r="TJC431"/>
      <c r="TJD431"/>
      <c r="TJE431"/>
      <c r="TJF431"/>
      <c r="TJG431"/>
      <c r="TJH431"/>
      <c r="TJI431"/>
      <c r="TJJ431"/>
      <c r="TJK431"/>
      <c r="TJL431"/>
      <c r="TJM431"/>
      <c r="TJN431"/>
      <c r="TJO431"/>
      <c r="TJP431"/>
      <c r="TJQ431"/>
      <c r="TJR431"/>
      <c r="TJS431"/>
      <c r="TJT431"/>
      <c r="TJU431"/>
      <c r="TJV431"/>
      <c r="TJW431"/>
      <c r="TJX431"/>
      <c r="TJY431"/>
      <c r="TJZ431"/>
      <c r="TKA431"/>
      <c r="TKB431"/>
      <c r="TKC431"/>
      <c r="TKD431"/>
      <c r="TKE431"/>
      <c r="TKF431"/>
      <c r="TKG431"/>
      <c r="TKH431"/>
      <c r="TKI431"/>
      <c r="TKJ431"/>
      <c r="TKK431"/>
      <c r="TKL431"/>
      <c r="TKM431"/>
      <c r="TKN431"/>
      <c r="TKO431"/>
      <c r="TKP431"/>
      <c r="TKQ431"/>
      <c r="TKR431"/>
      <c r="TKS431"/>
      <c r="TKT431"/>
      <c r="TKU431"/>
      <c r="TKV431"/>
      <c r="TKW431"/>
      <c r="TKX431"/>
      <c r="TKY431"/>
      <c r="TKZ431"/>
      <c r="TLA431"/>
      <c r="TLB431"/>
      <c r="TLC431"/>
      <c r="TLD431"/>
      <c r="TLE431"/>
      <c r="TLF431"/>
      <c r="TLG431"/>
      <c r="TLH431"/>
      <c r="TLI431"/>
      <c r="TLJ431"/>
      <c r="TLK431"/>
      <c r="TLL431"/>
      <c r="TLM431"/>
      <c r="TLN431"/>
      <c r="TLO431"/>
      <c r="TLP431"/>
      <c r="TLQ431"/>
      <c r="TLR431"/>
      <c r="TLS431"/>
      <c r="TLT431"/>
      <c r="TLU431"/>
      <c r="TLV431"/>
      <c r="TLW431"/>
      <c r="TLX431"/>
      <c r="TLY431"/>
      <c r="TLZ431"/>
      <c r="TMA431"/>
      <c r="TMB431"/>
      <c r="TMC431"/>
      <c r="TMD431"/>
      <c r="TME431"/>
      <c r="TMF431"/>
      <c r="TMG431"/>
      <c r="TMH431"/>
      <c r="TMI431"/>
      <c r="TMJ431"/>
      <c r="TMK431"/>
      <c r="TML431"/>
      <c r="TMM431"/>
      <c r="TMN431"/>
      <c r="TMO431"/>
      <c r="TMP431"/>
      <c r="TMQ431"/>
      <c r="TMR431"/>
      <c r="TMS431"/>
      <c r="TMT431"/>
      <c r="TMU431"/>
      <c r="TMV431"/>
      <c r="TMW431"/>
      <c r="TMX431"/>
      <c r="TMY431"/>
      <c r="TMZ431"/>
      <c r="TNA431"/>
      <c r="TNB431"/>
      <c r="TNC431"/>
      <c r="TND431"/>
      <c r="TNE431"/>
      <c r="TNF431"/>
      <c r="TNG431"/>
      <c r="TNH431"/>
      <c r="TNI431"/>
      <c r="TNJ431"/>
      <c r="TNK431"/>
      <c r="TNL431"/>
      <c r="TNM431"/>
      <c r="TNN431"/>
      <c r="TNO431"/>
      <c r="TNP431"/>
      <c r="TNQ431"/>
      <c r="TNR431"/>
      <c r="TNS431"/>
      <c r="TNT431"/>
      <c r="TNU431"/>
      <c r="TNV431"/>
      <c r="TNW431"/>
      <c r="TNX431"/>
      <c r="TNY431"/>
      <c r="TNZ431"/>
      <c r="TOA431"/>
      <c r="TOB431"/>
      <c r="TOC431"/>
      <c r="TOD431"/>
      <c r="TOE431"/>
      <c r="TOF431"/>
      <c r="TOG431"/>
      <c r="TOH431"/>
      <c r="TOI431"/>
      <c r="TOJ431"/>
      <c r="TOK431"/>
      <c r="TOL431"/>
      <c r="TOM431"/>
      <c r="TON431"/>
      <c r="TOO431"/>
      <c r="TOP431"/>
      <c r="TOQ431"/>
      <c r="TOR431"/>
      <c r="TOS431"/>
      <c r="TOT431"/>
      <c r="TOU431"/>
      <c r="TOV431"/>
      <c r="TOW431"/>
      <c r="TOX431"/>
      <c r="TOY431"/>
      <c r="TOZ431"/>
      <c r="TPA431"/>
      <c r="TPB431"/>
      <c r="TPC431"/>
      <c r="TPD431"/>
      <c r="TPE431"/>
      <c r="TPF431"/>
      <c r="TPG431"/>
      <c r="TPH431"/>
      <c r="TPI431"/>
      <c r="TPJ431"/>
      <c r="TPK431"/>
      <c r="TPL431"/>
      <c r="TPM431"/>
      <c r="TPN431"/>
      <c r="TPO431"/>
      <c r="TPP431"/>
      <c r="TPQ431"/>
      <c r="TPR431"/>
      <c r="TPS431"/>
      <c r="TPT431"/>
      <c r="TPU431"/>
      <c r="TPV431"/>
      <c r="TPW431"/>
      <c r="TPX431"/>
      <c r="TPY431"/>
      <c r="TPZ431"/>
      <c r="TQA431"/>
      <c r="TQB431"/>
      <c r="TQC431"/>
      <c r="TQD431"/>
      <c r="TQE431"/>
      <c r="TQF431"/>
      <c r="TQG431"/>
      <c r="TQH431"/>
      <c r="TQI431"/>
      <c r="TQJ431"/>
      <c r="TQK431"/>
      <c r="TQL431"/>
      <c r="TQM431"/>
      <c r="TQN431"/>
      <c r="TQO431"/>
      <c r="TQP431"/>
      <c r="TQQ431"/>
      <c r="TQR431"/>
      <c r="TQS431"/>
      <c r="TQT431"/>
      <c r="TQU431"/>
      <c r="TQV431"/>
      <c r="TQW431"/>
      <c r="TQX431"/>
      <c r="TQY431"/>
      <c r="TQZ431"/>
      <c r="TRA431"/>
      <c r="TRB431"/>
      <c r="TRC431"/>
      <c r="TRD431"/>
      <c r="TRE431"/>
      <c r="TRF431"/>
      <c r="TRG431"/>
      <c r="TRH431"/>
      <c r="TRI431"/>
      <c r="TRJ431"/>
      <c r="TRK431"/>
      <c r="TRL431"/>
      <c r="TRM431"/>
      <c r="TRN431"/>
      <c r="TRO431"/>
      <c r="TRP431"/>
      <c r="TRQ431"/>
      <c r="TRR431"/>
      <c r="TRS431"/>
      <c r="TRT431"/>
      <c r="TRU431"/>
      <c r="TRV431"/>
      <c r="TRW431"/>
      <c r="TRX431"/>
      <c r="TRY431"/>
      <c r="TRZ431"/>
      <c r="TSA431"/>
      <c r="TSB431"/>
      <c r="TSC431"/>
      <c r="TSD431"/>
      <c r="TSE431"/>
      <c r="TSF431"/>
      <c r="TSG431"/>
      <c r="TSH431"/>
      <c r="TSI431"/>
      <c r="TSJ431"/>
      <c r="TSK431"/>
      <c r="TSL431"/>
      <c r="TSM431"/>
      <c r="TSN431"/>
      <c r="TSO431"/>
      <c r="TSP431"/>
      <c r="TSQ431"/>
      <c r="TSR431"/>
      <c r="TSS431"/>
      <c r="TST431"/>
      <c r="TSU431"/>
      <c r="TSV431"/>
      <c r="TSW431"/>
      <c r="TSX431"/>
      <c r="TSY431"/>
      <c r="TSZ431"/>
      <c r="TTA431"/>
      <c r="TTB431"/>
      <c r="TTC431"/>
      <c r="TTD431"/>
      <c r="TTE431"/>
      <c r="TTF431"/>
      <c r="TTG431"/>
      <c r="TTH431"/>
      <c r="TTI431"/>
      <c r="TTJ431"/>
      <c r="TTK431"/>
      <c r="TTL431"/>
      <c r="TTM431"/>
      <c r="TTN431"/>
      <c r="TTO431"/>
      <c r="TTP431"/>
      <c r="TTQ431"/>
      <c r="TTR431"/>
      <c r="TTS431"/>
      <c r="TTT431"/>
      <c r="TTU431"/>
      <c r="TTV431"/>
      <c r="TTW431"/>
      <c r="TTX431"/>
      <c r="TTY431"/>
      <c r="TTZ431"/>
      <c r="TUA431"/>
      <c r="TUB431"/>
      <c r="TUC431"/>
      <c r="TUD431"/>
      <c r="TUE431"/>
      <c r="TUF431"/>
      <c r="TUG431"/>
      <c r="TUH431"/>
      <c r="TUI431"/>
      <c r="TUJ431"/>
      <c r="TUK431"/>
      <c r="TUL431"/>
      <c r="TUM431"/>
      <c r="TUN431"/>
      <c r="TUO431"/>
      <c r="TUP431"/>
      <c r="TUQ431"/>
      <c r="TUR431"/>
      <c r="TUS431"/>
      <c r="TUT431"/>
      <c r="TUU431"/>
      <c r="TUV431"/>
      <c r="TUW431"/>
      <c r="TUX431"/>
      <c r="TUY431"/>
      <c r="TUZ431"/>
      <c r="TVA431"/>
      <c r="TVB431"/>
      <c r="TVC431"/>
      <c r="TVD431"/>
      <c r="TVE431"/>
      <c r="TVF431"/>
      <c r="TVG431"/>
      <c r="TVH431"/>
      <c r="TVI431"/>
      <c r="TVJ431"/>
      <c r="TVK431"/>
      <c r="TVL431"/>
      <c r="TVM431"/>
      <c r="TVN431"/>
      <c r="TVO431"/>
      <c r="TVP431"/>
      <c r="TVQ431"/>
      <c r="TVR431"/>
      <c r="TVS431"/>
      <c r="TVT431"/>
      <c r="TVU431"/>
      <c r="TVV431"/>
      <c r="TVW431"/>
      <c r="TVX431"/>
      <c r="TVY431"/>
      <c r="TVZ431"/>
      <c r="TWA431"/>
      <c r="TWB431"/>
      <c r="TWC431"/>
      <c r="TWD431"/>
      <c r="TWE431"/>
      <c r="TWF431"/>
      <c r="TWG431"/>
      <c r="TWH431"/>
      <c r="TWI431"/>
      <c r="TWJ431"/>
      <c r="TWK431"/>
      <c r="TWL431"/>
      <c r="TWM431"/>
      <c r="TWN431"/>
      <c r="TWO431"/>
      <c r="TWP431"/>
      <c r="TWQ431"/>
      <c r="TWR431"/>
      <c r="TWS431"/>
      <c r="TWT431"/>
      <c r="TWU431"/>
      <c r="TWV431"/>
      <c r="TWW431"/>
      <c r="TWX431"/>
      <c r="TWY431"/>
      <c r="TWZ431"/>
      <c r="TXA431"/>
      <c r="TXB431"/>
      <c r="TXC431"/>
      <c r="TXD431"/>
      <c r="TXE431"/>
      <c r="TXF431"/>
      <c r="TXG431"/>
      <c r="TXH431"/>
      <c r="TXI431"/>
      <c r="TXJ431"/>
      <c r="TXK431"/>
      <c r="TXL431"/>
      <c r="TXM431"/>
      <c r="TXN431"/>
      <c r="TXO431"/>
      <c r="TXP431"/>
      <c r="TXQ431"/>
      <c r="TXR431"/>
      <c r="TXS431"/>
      <c r="TXT431"/>
      <c r="TXU431"/>
      <c r="TXV431"/>
      <c r="TXW431"/>
      <c r="TXX431"/>
      <c r="TXY431"/>
      <c r="TXZ431"/>
      <c r="TYA431"/>
      <c r="TYB431"/>
      <c r="TYC431"/>
      <c r="TYD431"/>
      <c r="TYE431"/>
      <c r="TYF431"/>
      <c r="TYG431"/>
      <c r="TYH431"/>
      <c r="TYI431"/>
      <c r="TYJ431"/>
      <c r="TYK431"/>
      <c r="TYL431"/>
      <c r="TYM431"/>
      <c r="TYN431"/>
      <c r="TYO431"/>
      <c r="TYP431"/>
      <c r="TYQ431"/>
      <c r="TYR431"/>
      <c r="TYS431"/>
      <c r="TYT431"/>
      <c r="TYU431"/>
      <c r="TYV431"/>
      <c r="TYW431"/>
      <c r="TYX431"/>
      <c r="TYY431"/>
      <c r="TYZ431"/>
      <c r="TZA431"/>
      <c r="TZB431"/>
      <c r="TZC431"/>
      <c r="TZD431"/>
      <c r="TZE431"/>
      <c r="TZF431"/>
      <c r="TZG431"/>
      <c r="TZH431"/>
      <c r="TZI431"/>
      <c r="TZJ431"/>
      <c r="TZK431"/>
      <c r="TZL431"/>
      <c r="TZM431"/>
      <c r="TZN431"/>
      <c r="TZO431"/>
      <c r="TZP431"/>
      <c r="TZQ431"/>
      <c r="TZR431"/>
      <c r="TZS431"/>
      <c r="TZT431"/>
      <c r="TZU431"/>
      <c r="TZV431"/>
      <c r="TZW431"/>
      <c r="TZX431"/>
      <c r="TZY431"/>
      <c r="TZZ431"/>
      <c r="UAA431"/>
      <c r="UAB431"/>
      <c r="UAC431"/>
      <c r="UAD431"/>
      <c r="UAE431"/>
      <c r="UAF431"/>
      <c r="UAG431"/>
      <c r="UAH431"/>
      <c r="UAI431"/>
      <c r="UAJ431"/>
      <c r="UAK431"/>
      <c r="UAL431"/>
      <c r="UAM431"/>
      <c r="UAN431"/>
      <c r="UAO431"/>
      <c r="UAP431"/>
      <c r="UAQ431"/>
      <c r="UAR431"/>
      <c r="UAS431"/>
      <c r="UAT431"/>
      <c r="UAU431"/>
      <c r="UAV431"/>
      <c r="UAW431"/>
      <c r="UAX431"/>
      <c r="UAY431"/>
      <c r="UAZ431"/>
      <c r="UBA431"/>
      <c r="UBB431"/>
      <c r="UBC431"/>
      <c r="UBD431"/>
      <c r="UBE431"/>
      <c r="UBF431"/>
      <c r="UBG431"/>
      <c r="UBH431"/>
      <c r="UBI431"/>
      <c r="UBJ431"/>
      <c r="UBK431"/>
      <c r="UBL431"/>
      <c r="UBM431"/>
      <c r="UBN431"/>
      <c r="UBO431"/>
      <c r="UBP431"/>
      <c r="UBQ431"/>
      <c r="UBR431"/>
      <c r="UBS431"/>
      <c r="UBT431"/>
      <c r="UBU431"/>
      <c r="UBV431"/>
      <c r="UBW431"/>
      <c r="UBX431"/>
      <c r="UBY431"/>
      <c r="UBZ431"/>
      <c r="UCA431"/>
      <c r="UCB431"/>
      <c r="UCC431"/>
      <c r="UCD431"/>
      <c r="UCE431"/>
      <c r="UCF431"/>
      <c r="UCG431"/>
      <c r="UCH431"/>
      <c r="UCI431"/>
      <c r="UCJ431"/>
      <c r="UCK431"/>
      <c r="UCL431"/>
      <c r="UCM431"/>
      <c r="UCN431"/>
      <c r="UCO431"/>
      <c r="UCP431"/>
      <c r="UCQ431"/>
      <c r="UCR431"/>
      <c r="UCS431"/>
      <c r="UCT431"/>
      <c r="UCU431"/>
      <c r="UCV431"/>
      <c r="UCW431"/>
      <c r="UCX431"/>
      <c r="UCY431"/>
      <c r="UCZ431"/>
      <c r="UDA431"/>
      <c r="UDB431"/>
      <c r="UDC431"/>
      <c r="UDD431"/>
      <c r="UDE431"/>
      <c r="UDF431"/>
      <c r="UDG431"/>
      <c r="UDH431"/>
      <c r="UDI431"/>
      <c r="UDJ431"/>
      <c r="UDK431"/>
      <c r="UDL431"/>
      <c r="UDM431"/>
      <c r="UDN431"/>
      <c r="UDO431"/>
      <c r="UDP431"/>
      <c r="UDQ431"/>
      <c r="UDR431"/>
      <c r="UDS431"/>
      <c r="UDT431"/>
      <c r="UDU431"/>
      <c r="UDV431"/>
      <c r="UDW431"/>
      <c r="UDX431"/>
      <c r="UDY431"/>
      <c r="UDZ431"/>
      <c r="UEA431"/>
      <c r="UEB431"/>
      <c r="UEC431"/>
      <c r="UED431"/>
      <c r="UEE431"/>
      <c r="UEF431"/>
      <c r="UEG431"/>
      <c r="UEH431"/>
      <c r="UEI431"/>
      <c r="UEJ431"/>
      <c r="UEK431"/>
      <c r="UEL431"/>
      <c r="UEM431"/>
      <c r="UEN431"/>
      <c r="UEO431"/>
      <c r="UEP431"/>
      <c r="UEQ431"/>
      <c r="UER431"/>
      <c r="UES431"/>
      <c r="UET431"/>
      <c r="UEU431"/>
      <c r="UEV431"/>
      <c r="UEW431"/>
      <c r="UEX431"/>
      <c r="UEY431"/>
      <c r="UEZ431"/>
      <c r="UFA431"/>
      <c r="UFB431"/>
      <c r="UFC431"/>
      <c r="UFD431"/>
      <c r="UFE431"/>
      <c r="UFF431"/>
      <c r="UFG431"/>
      <c r="UFH431"/>
      <c r="UFI431"/>
      <c r="UFJ431"/>
      <c r="UFK431"/>
      <c r="UFL431"/>
      <c r="UFM431"/>
      <c r="UFN431"/>
      <c r="UFO431"/>
      <c r="UFP431"/>
      <c r="UFQ431"/>
      <c r="UFR431"/>
      <c r="UFS431"/>
      <c r="UFT431"/>
      <c r="UFU431"/>
      <c r="UFV431"/>
      <c r="UFW431"/>
      <c r="UFX431"/>
      <c r="UFY431"/>
      <c r="UFZ431"/>
      <c r="UGA431"/>
      <c r="UGB431"/>
      <c r="UGC431"/>
      <c r="UGD431"/>
      <c r="UGE431"/>
      <c r="UGF431"/>
      <c r="UGG431"/>
      <c r="UGH431"/>
      <c r="UGI431"/>
      <c r="UGJ431"/>
      <c r="UGK431"/>
      <c r="UGL431"/>
      <c r="UGM431"/>
      <c r="UGN431"/>
      <c r="UGO431"/>
      <c r="UGP431"/>
      <c r="UGQ431"/>
      <c r="UGR431"/>
      <c r="UGS431"/>
      <c r="UGT431"/>
      <c r="UGU431"/>
      <c r="UGV431"/>
      <c r="UGW431"/>
      <c r="UGX431"/>
      <c r="UGY431"/>
      <c r="UGZ431"/>
      <c r="UHA431"/>
      <c r="UHB431"/>
      <c r="UHC431"/>
      <c r="UHD431"/>
      <c r="UHE431"/>
      <c r="UHF431"/>
      <c r="UHG431"/>
      <c r="UHH431"/>
      <c r="UHI431"/>
      <c r="UHJ431"/>
      <c r="UHK431"/>
      <c r="UHL431"/>
      <c r="UHM431"/>
      <c r="UHN431"/>
      <c r="UHO431"/>
      <c r="UHP431"/>
      <c r="UHQ431"/>
      <c r="UHR431"/>
      <c r="UHS431"/>
      <c r="UHT431"/>
      <c r="UHU431"/>
      <c r="UHV431"/>
      <c r="UHW431"/>
      <c r="UHX431"/>
      <c r="UHY431"/>
      <c r="UHZ431"/>
      <c r="UIA431"/>
      <c r="UIB431"/>
      <c r="UIC431"/>
      <c r="UID431"/>
      <c r="UIE431"/>
      <c r="UIF431"/>
      <c r="UIG431"/>
      <c r="UIH431"/>
      <c r="UII431"/>
      <c r="UIJ431"/>
      <c r="UIK431"/>
      <c r="UIL431"/>
      <c r="UIM431"/>
      <c r="UIN431"/>
      <c r="UIO431"/>
      <c r="UIP431"/>
      <c r="UIQ431"/>
      <c r="UIR431"/>
      <c r="UIS431"/>
      <c r="UIT431"/>
      <c r="UIU431"/>
      <c r="UIV431"/>
      <c r="UIW431"/>
      <c r="UIX431"/>
      <c r="UIY431"/>
      <c r="UIZ431"/>
      <c r="UJA431"/>
      <c r="UJB431"/>
      <c r="UJC431"/>
      <c r="UJD431"/>
      <c r="UJE431"/>
      <c r="UJF431"/>
      <c r="UJG431"/>
      <c r="UJH431"/>
      <c r="UJI431"/>
      <c r="UJJ431"/>
      <c r="UJK431"/>
      <c r="UJL431"/>
      <c r="UJM431"/>
      <c r="UJN431"/>
      <c r="UJO431"/>
      <c r="UJP431"/>
      <c r="UJQ431"/>
      <c r="UJR431"/>
      <c r="UJS431"/>
      <c r="UJT431"/>
      <c r="UJU431"/>
      <c r="UJV431"/>
      <c r="UJW431"/>
      <c r="UJX431"/>
      <c r="UJY431"/>
      <c r="UJZ431"/>
      <c r="UKA431"/>
      <c r="UKB431"/>
      <c r="UKC431"/>
      <c r="UKD431"/>
      <c r="UKE431"/>
      <c r="UKF431"/>
      <c r="UKG431"/>
      <c r="UKH431"/>
      <c r="UKI431"/>
      <c r="UKJ431"/>
      <c r="UKK431"/>
      <c r="UKL431"/>
      <c r="UKM431"/>
      <c r="UKN431"/>
      <c r="UKO431"/>
      <c r="UKP431"/>
      <c r="UKQ431"/>
      <c r="UKR431"/>
      <c r="UKS431"/>
      <c r="UKT431"/>
      <c r="UKU431"/>
      <c r="UKV431"/>
      <c r="UKW431"/>
      <c r="UKX431"/>
      <c r="UKY431"/>
      <c r="UKZ431"/>
      <c r="ULA431"/>
      <c r="ULB431"/>
      <c r="ULC431"/>
      <c r="ULD431"/>
      <c r="ULE431"/>
      <c r="ULF431"/>
      <c r="ULG431"/>
      <c r="ULH431"/>
      <c r="ULI431"/>
      <c r="ULJ431"/>
      <c r="ULK431"/>
      <c r="ULL431"/>
      <c r="ULM431"/>
      <c r="ULN431"/>
      <c r="ULO431"/>
      <c r="ULP431"/>
      <c r="ULQ431"/>
      <c r="ULR431"/>
      <c r="ULS431"/>
      <c r="ULT431"/>
      <c r="ULU431"/>
      <c r="ULV431"/>
      <c r="ULW431"/>
      <c r="ULX431"/>
      <c r="ULY431"/>
      <c r="ULZ431"/>
      <c r="UMA431"/>
      <c r="UMB431"/>
      <c r="UMC431"/>
      <c r="UMD431"/>
      <c r="UME431"/>
      <c r="UMF431"/>
      <c r="UMG431"/>
      <c r="UMH431"/>
      <c r="UMI431"/>
      <c r="UMJ431"/>
      <c r="UMK431"/>
      <c r="UML431"/>
      <c r="UMM431"/>
      <c r="UMN431"/>
      <c r="UMO431"/>
      <c r="UMP431"/>
      <c r="UMQ431"/>
      <c r="UMR431"/>
      <c r="UMS431"/>
      <c r="UMT431"/>
      <c r="UMU431"/>
      <c r="UMV431"/>
      <c r="UMW431"/>
      <c r="UMX431"/>
      <c r="UMY431"/>
      <c r="UMZ431"/>
      <c r="UNA431"/>
      <c r="UNB431"/>
      <c r="UNC431"/>
      <c r="UND431"/>
      <c r="UNE431"/>
      <c r="UNF431"/>
      <c r="UNG431"/>
      <c r="UNH431"/>
      <c r="UNI431"/>
      <c r="UNJ431"/>
      <c r="UNK431"/>
      <c r="UNL431"/>
      <c r="UNM431"/>
      <c r="UNN431"/>
      <c r="UNO431"/>
      <c r="UNP431"/>
      <c r="UNQ431"/>
      <c r="UNR431"/>
      <c r="UNS431"/>
      <c r="UNT431"/>
      <c r="UNU431"/>
      <c r="UNV431"/>
      <c r="UNW431"/>
      <c r="UNX431"/>
      <c r="UNY431"/>
      <c r="UNZ431"/>
      <c r="UOA431"/>
      <c r="UOB431"/>
      <c r="UOC431"/>
      <c r="UOD431"/>
      <c r="UOE431"/>
      <c r="UOF431"/>
      <c r="UOG431"/>
      <c r="UOH431"/>
      <c r="UOI431"/>
      <c r="UOJ431"/>
      <c r="UOK431"/>
      <c r="UOL431"/>
      <c r="UOM431"/>
      <c r="UON431"/>
      <c r="UOO431"/>
      <c r="UOP431"/>
      <c r="UOQ431"/>
      <c r="UOR431"/>
      <c r="UOS431"/>
      <c r="UOT431"/>
      <c r="UOU431"/>
      <c r="UOV431"/>
      <c r="UOW431"/>
      <c r="UOX431"/>
      <c r="UOY431"/>
      <c r="UOZ431"/>
      <c r="UPA431"/>
      <c r="UPB431"/>
      <c r="UPC431"/>
      <c r="UPD431"/>
      <c r="UPE431"/>
      <c r="UPF431"/>
      <c r="UPG431"/>
      <c r="UPH431"/>
      <c r="UPI431"/>
      <c r="UPJ431"/>
      <c r="UPK431"/>
      <c r="UPL431"/>
      <c r="UPM431"/>
      <c r="UPN431"/>
      <c r="UPO431"/>
      <c r="UPP431"/>
      <c r="UPQ431"/>
      <c r="UPR431"/>
      <c r="UPS431"/>
      <c r="UPT431"/>
      <c r="UPU431"/>
      <c r="UPV431"/>
      <c r="UPW431"/>
      <c r="UPX431"/>
      <c r="UPY431"/>
      <c r="UPZ431"/>
      <c r="UQA431"/>
      <c r="UQB431"/>
      <c r="UQC431"/>
      <c r="UQD431"/>
      <c r="UQE431"/>
      <c r="UQF431"/>
      <c r="UQG431"/>
      <c r="UQH431"/>
      <c r="UQI431"/>
      <c r="UQJ431"/>
      <c r="UQK431"/>
      <c r="UQL431"/>
      <c r="UQM431"/>
      <c r="UQN431"/>
      <c r="UQO431"/>
      <c r="UQP431"/>
      <c r="UQQ431"/>
      <c r="UQR431"/>
      <c r="UQS431"/>
      <c r="UQT431"/>
      <c r="UQU431"/>
      <c r="UQV431"/>
      <c r="UQW431"/>
      <c r="UQX431"/>
      <c r="UQY431"/>
      <c r="UQZ431"/>
      <c r="URA431"/>
      <c r="URB431"/>
      <c r="URC431"/>
      <c r="URD431"/>
      <c r="URE431"/>
      <c r="URF431"/>
      <c r="URG431"/>
      <c r="URH431"/>
      <c r="URI431"/>
      <c r="URJ431"/>
      <c r="URK431"/>
      <c r="URL431"/>
      <c r="URM431"/>
      <c r="URN431"/>
      <c r="URO431"/>
      <c r="URP431"/>
      <c r="URQ431"/>
      <c r="URR431"/>
      <c r="URS431"/>
      <c r="URT431"/>
      <c r="URU431"/>
      <c r="URV431"/>
      <c r="URW431"/>
      <c r="URX431"/>
      <c r="URY431"/>
      <c r="URZ431"/>
      <c r="USA431"/>
      <c r="USB431"/>
      <c r="USC431"/>
      <c r="USD431"/>
      <c r="USE431"/>
      <c r="USF431"/>
      <c r="USG431"/>
      <c r="USH431"/>
      <c r="USI431"/>
      <c r="USJ431"/>
      <c r="USK431"/>
      <c r="USL431"/>
      <c r="USM431"/>
      <c r="USN431"/>
      <c r="USO431"/>
      <c r="USP431"/>
      <c r="USQ431"/>
      <c r="USR431"/>
      <c r="USS431"/>
      <c r="UST431"/>
      <c r="USU431"/>
      <c r="USV431"/>
      <c r="USW431"/>
      <c r="USX431"/>
      <c r="USY431"/>
      <c r="USZ431"/>
      <c r="UTA431"/>
      <c r="UTB431"/>
      <c r="UTC431"/>
      <c r="UTD431"/>
      <c r="UTE431"/>
      <c r="UTF431"/>
      <c r="UTG431"/>
      <c r="UTH431"/>
      <c r="UTI431"/>
      <c r="UTJ431"/>
      <c r="UTK431"/>
      <c r="UTL431"/>
      <c r="UTM431"/>
      <c r="UTN431"/>
      <c r="UTO431"/>
      <c r="UTP431"/>
      <c r="UTQ431"/>
      <c r="UTR431"/>
      <c r="UTS431"/>
      <c r="UTT431"/>
      <c r="UTU431"/>
      <c r="UTV431"/>
      <c r="UTW431"/>
      <c r="UTX431"/>
      <c r="UTY431"/>
      <c r="UTZ431"/>
      <c r="UUA431"/>
      <c r="UUB431"/>
      <c r="UUC431"/>
      <c r="UUD431"/>
      <c r="UUE431"/>
      <c r="UUF431"/>
      <c r="UUG431"/>
      <c r="UUH431"/>
      <c r="UUI431"/>
      <c r="UUJ431"/>
      <c r="UUK431"/>
      <c r="UUL431"/>
      <c r="UUM431"/>
      <c r="UUN431"/>
      <c r="UUO431"/>
      <c r="UUP431"/>
      <c r="UUQ431"/>
      <c r="UUR431"/>
      <c r="UUS431"/>
      <c r="UUT431"/>
      <c r="UUU431"/>
      <c r="UUV431"/>
      <c r="UUW431"/>
      <c r="UUX431"/>
      <c r="UUY431"/>
      <c r="UUZ431"/>
      <c r="UVA431"/>
      <c r="UVB431"/>
      <c r="UVC431"/>
      <c r="UVD431"/>
      <c r="UVE431"/>
      <c r="UVF431"/>
      <c r="UVG431"/>
      <c r="UVH431"/>
      <c r="UVI431"/>
      <c r="UVJ431"/>
      <c r="UVK431"/>
      <c r="UVL431"/>
      <c r="UVM431"/>
      <c r="UVN431"/>
      <c r="UVO431"/>
      <c r="UVP431"/>
      <c r="UVQ431"/>
      <c r="UVR431"/>
      <c r="UVS431"/>
      <c r="UVT431"/>
      <c r="UVU431"/>
      <c r="UVV431"/>
      <c r="UVW431"/>
      <c r="UVX431"/>
      <c r="UVY431"/>
      <c r="UVZ431"/>
      <c r="UWA431"/>
      <c r="UWB431"/>
      <c r="UWC431"/>
      <c r="UWD431"/>
      <c r="UWE431"/>
      <c r="UWF431"/>
      <c r="UWG431"/>
      <c r="UWH431"/>
      <c r="UWI431"/>
      <c r="UWJ431"/>
      <c r="UWK431"/>
      <c r="UWL431"/>
      <c r="UWM431"/>
      <c r="UWN431"/>
      <c r="UWO431"/>
      <c r="UWP431"/>
      <c r="UWQ431"/>
      <c r="UWR431"/>
      <c r="UWS431"/>
      <c r="UWT431"/>
      <c r="UWU431"/>
      <c r="UWV431"/>
      <c r="UWW431"/>
      <c r="UWX431"/>
      <c r="UWY431"/>
      <c r="UWZ431"/>
      <c r="UXA431"/>
      <c r="UXB431"/>
      <c r="UXC431"/>
      <c r="UXD431"/>
      <c r="UXE431"/>
      <c r="UXF431"/>
      <c r="UXG431"/>
      <c r="UXH431"/>
      <c r="UXI431"/>
      <c r="UXJ431"/>
      <c r="UXK431"/>
      <c r="UXL431"/>
      <c r="UXM431"/>
      <c r="UXN431"/>
      <c r="UXO431"/>
      <c r="UXP431"/>
      <c r="UXQ431"/>
      <c r="UXR431"/>
      <c r="UXS431"/>
      <c r="UXT431"/>
      <c r="UXU431"/>
      <c r="UXV431"/>
      <c r="UXW431"/>
      <c r="UXX431"/>
      <c r="UXY431"/>
      <c r="UXZ431"/>
      <c r="UYA431"/>
      <c r="UYB431"/>
      <c r="UYC431"/>
      <c r="UYD431"/>
      <c r="UYE431"/>
      <c r="UYF431"/>
      <c r="UYG431"/>
      <c r="UYH431"/>
      <c r="UYI431"/>
      <c r="UYJ431"/>
      <c r="UYK431"/>
      <c r="UYL431"/>
      <c r="UYM431"/>
      <c r="UYN431"/>
      <c r="UYO431"/>
      <c r="UYP431"/>
      <c r="UYQ431"/>
      <c r="UYR431"/>
      <c r="UYS431"/>
      <c r="UYT431"/>
      <c r="UYU431"/>
      <c r="UYV431"/>
      <c r="UYW431"/>
      <c r="UYX431"/>
      <c r="UYY431"/>
      <c r="UYZ431"/>
      <c r="UZA431"/>
      <c r="UZB431"/>
      <c r="UZC431"/>
      <c r="UZD431"/>
      <c r="UZE431"/>
      <c r="UZF431"/>
      <c r="UZG431"/>
      <c r="UZH431"/>
      <c r="UZI431"/>
      <c r="UZJ431"/>
      <c r="UZK431"/>
      <c r="UZL431"/>
      <c r="UZM431"/>
      <c r="UZN431"/>
      <c r="UZO431"/>
      <c r="UZP431"/>
      <c r="UZQ431"/>
      <c r="UZR431"/>
      <c r="UZS431"/>
      <c r="UZT431"/>
      <c r="UZU431"/>
      <c r="UZV431"/>
      <c r="UZW431"/>
      <c r="UZX431"/>
      <c r="UZY431"/>
      <c r="UZZ431"/>
      <c r="VAA431"/>
      <c r="VAB431"/>
      <c r="VAC431"/>
      <c r="VAD431"/>
      <c r="VAE431"/>
      <c r="VAF431"/>
      <c r="VAG431"/>
      <c r="VAH431"/>
      <c r="VAI431"/>
      <c r="VAJ431"/>
      <c r="VAK431"/>
      <c r="VAL431"/>
      <c r="VAM431"/>
      <c r="VAN431"/>
      <c r="VAO431"/>
      <c r="VAP431"/>
      <c r="VAQ431"/>
      <c r="VAR431"/>
      <c r="VAS431"/>
      <c r="VAT431"/>
      <c r="VAU431"/>
      <c r="VAV431"/>
      <c r="VAW431"/>
      <c r="VAX431"/>
      <c r="VAY431"/>
      <c r="VAZ431"/>
      <c r="VBA431"/>
      <c r="VBB431"/>
      <c r="VBC431"/>
      <c r="VBD431"/>
      <c r="VBE431"/>
      <c r="VBF431"/>
      <c r="VBG431"/>
      <c r="VBH431"/>
      <c r="VBI431"/>
      <c r="VBJ431"/>
      <c r="VBK431"/>
      <c r="VBL431"/>
      <c r="VBM431"/>
      <c r="VBN431"/>
      <c r="VBO431"/>
      <c r="VBP431"/>
      <c r="VBQ431"/>
      <c r="VBR431"/>
      <c r="VBS431"/>
      <c r="VBT431"/>
      <c r="VBU431"/>
      <c r="VBV431"/>
      <c r="VBW431"/>
      <c r="VBX431"/>
      <c r="VBY431"/>
      <c r="VBZ431"/>
      <c r="VCA431"/>
      <c r="VCB431"/>
      <c r="VCC431"/>
      <c r="VCD431"/>
      <c r="VCE431"/>
      <c r="VCF431"/>
      <c r="VCG431"/>
      <c r="VCH431"/>
      <c r="VCI431"/>
      <c r="VCJ431"/>
      <c r="VCK431"/>
      <c r="VCL431"/>
      <c r="VCM431"/>
      <c r="VCN431"/>
      <c r="VCO431"/>
      <c r="VCP431"/>
      <c r="VCQ431"/>
      <c r="VCR431"/>
      <c r="VCS431"/>
      <c r="VCT431"/>
      <c r="VCU431"/>
      <c r="VCV431"/>
      <c r="VCW431"/>
      <c r="VCX431"/>
      <c r="VCY431"/>
      <c r="VCZ431"/>
      <c r="VDA431"/>
      <c r="VDB431"/>
      <c r="VDC431"/>
      <c r="VDD431"/>
      <c r="VDE431"/>
      <c r="VDF431"/>
      <c r="VDG431"/>
      <c r="VDH431"/>
      <c r="VDI431"/>
      <c r="VDJ431"/>
      <c r="VDK431"/>
      <c r="VDL431"/>
      <c r="VDM431"/>
      <c r="VDN431"/>
      <c r="VDO431"/>
      <c r="VDP431"/>
      <c r="VDQ431"/>
      <c r="VDR431"/>
      <c r="VDS431"/>
      <c r="VDT431"/>
      <c r="VDU431"/>
      <c r="VDV431"/>
      <c r="VDW431"/>
      <c r="VDX431"/>
      <c r="VDY431"/>
      <c r="VDZ431"/>
      <c r="VEA431"/>
      <c r="VEB431"/>
      <c r="VEC431"/>
      <c r="VED431"/>
      <c r="VEE431"/>
      <c r="VEF431"/>
      <c r="VEG431"/>
      <c r="VEH431"/>
      <c r="VEI431"/>
      <c r="VEJ431"/>
      <c r="VEK431"/>
      <c r="VEL431"/>
      <c r="VEM431"/>
      <c r="VEN431"/>
      <c r="VEO431"/>
      <c r="VEP431"/>
      <c r="VEQ431"/>
      <c r="VER431"/>
      <c r="VES431"/>
      <c r="VET431"/>
      <c r="VEU431"/>
      <c r="VEV431"/>
      <c r="VEW431"/>
      <c r="VEX431"/>
      <c r="VEY431"/>
      <c r="VEZ431"/>
      <c r="VFA431"/>
      <c r="VFB431"/>
      <c r="VFC431"/>
      <c r="VFD431"/>
      <c r="VFE431"/>
      <c r="VFF431"/>
      <c r="VFG431"/>
      <c r="VFH431"/>
      <c r="VFI431"/>
      <c r="VFJ431"/>
      <c r="VFK431"/>
      <c r="VFL431"/>
      <c r="VFM431"/>
      <c r="VFN431"/>
      <c r="VFO431"/>
      <c r="VFP431"/>
      <c r="VFQ431"/>
      <c r="VFR431"/>
      <c r="VFS431"/>
      <c r="VFT431"/>
      <c r="VFU431"/>
      <c r="VFV431"/>
      <c r="VFW431"/>
      <c r="VFX431"/>
      <c r="VFY431"/>
      <c r="VFZ431"/>
      <c r="VGA431"/>
      <c r="VGB431"/>
      <c r="VGC431"/>
      <c r="VGD431"/>
      <c r="VGE431"/>
      <c r="VGF431"/>
      <c r="VGG431"/>
      <c r="VGH431"/>
      <c r="VGI431"/>
      <c r="VGJ431"/>
      <c r="VGK431"/>
      <c r="VGL431"/>
      <c r="VGM431"/>
      <c r="VGN431"/>
      <c r="VGO431"/>
      <c r="VGP431"/>
      <c r="VGQ431"/>
      <c r="VGR431"/>
      <c r="VGS431"/>
      <c r="VGT431"/>
      <c r="VGU431"/>
      <c r="VGV431"/>
      <c r="VGW431"/>
      <c r="VGX431"/>
      <c r="VGY431"/>
      <c r="VGZ431"/>
      <c r="VHA431"/>
      <c r="VHB431"/>
      <c r="VHC431"/>
      <c r="VHD431"/>
      <c r="VHE431"/>
      <c r="VHF431"/>
      <c r="VHG431"/>
      <c r="VHH431"/>
      <c r="VHI431"/>
      <c r="VHJ431"/>
      <c r="VHK431"/>
      <c r="VHL431"/>
      <c r="VHM431"/>
      <c r="VHN431"/>
      <c r="VHO431"/>
      <c r="VHP431"/>
      <c r="VHQ431"/>
      <c r="VHR431"/>
      <c r="VHS431"/>
      <c r="VHT431"/>
      <c r="VHU431"/>
      <c r="VHV431"/>
      <c r="VHW431"/>
      <c r="VHX431"/>
      <c r="VHY431"/>
      <c r="VHZ431"/>
      <c r="VIA431"/>
      <c r="VIB431"/>
      <c r="VIC431"/>
      <c r="VID431"/>
      <c r="VIE431"/>
      <c r="VIF431"/>
      <c r="VIG431"/>
      <c r="VIH431"/>
      <c r="VII431"/>
      <c r="VIJ431"/>
      <c r="VIK431"/>
      <c r="VIL431"/>
      <c r="VIM431"/>
      <c r="VIN431"/>
      <c r="VIO431"/>
      <c r="VIP431"/>
      <c r="VIQ431"/>
      <c r="VIR431"/>
      <c r="VIS431"/>
      <c r="VIT431"/>
      <c r="VIU431"/>
      <c r="VIV431"/>
      <c r="VIW431"/>
      <c r="VIX431"/>
      <c r="VIY431"/>
      <c r="VIZ431"/>
      <c r="VJA431"/>
      <c r="VJB431"/>
      <c r="VJC431"/>
      <c r="VJD431"/>
      <c r="VJE431"/>
      <c r="VJF431"/>
      <c r="VJG431"/>
      <c r="VJH431"/>
      <c r="VJI431"/>
      <c r="VJJ431"/>
      <c r="VJK431"/>
      <c r="VJL431"/>
      <c r="VJM431"/>
      <c r="VJN431"/>
      <c r="VJO431"/>
      <c r="VJP431"/>
      <c r="VJQ431"/>
      <c r="VJR431"/>
      <c r="VJS431"/>
      <c r="VJT431"/>
      <c r="VJU431"/>
      <c r="VJV431"/>
      <c r="VJW431"/>
      <c r="VJX431"/>
      <c r="VJY431"/>
      <c r="VJZ431"/>
      <c r="VKA431"/>
      <c r="VKB431"/>
      <c r="VKC431"/>
      <c r="VKD431"/>
      <c r="VKE431"/>
      <c r="VKF431"/>
      <c r="VKG431"/>
      <c r="VKH431"/>
      <c r="VKI431"/>
      <c r="VKJ431"/>
      <c r="VKK431"/>
      <c r="VKL431"/>
      <c r="VKM431"/>
      <c r="VKN431"/>
      <c r="VKO431"/>
      <c r="VKP431"/>
      <c r="VKQ431"/>
      <c r="VKR431"/>
      <c r="VKS431"/>
      <c r="VKT431"/>
      <c r="VKU431"/>
      <c r="VKV431"/>
      <c r="VKW431"/>
      <c r="VKX431"/>
      <c r="VKY431"/>
      <c r="VKZ431"/>
      <c r="VLA431"/>
      <c r="VLB431"/>
      <c r="VLC431"/>
      <c r="VLD431"/>
      <c r="VLE431"/>
      <c r="VLF431"/>
      <c r="VLG431"/>
      <c r="VLH431"/>
      <c r="VLI431"/>
      <c r="VLJ431"/>
      <c r="VLK431"/>
      <c r="VLL431"/>
      <c r="VLM431"/>
      <c r="VLN431"/>
      <c r="VLO431"/>
      <c r="VLP431"/>
      <c r="VLQ431"/>
      <c r="VLR431"/>
      <c r="VLS431"/>
      <c r="VLT431"/>
      <c r="VLU431"/>
      <c r="VLV431"/>
      <c r="VLW431"/>
      <c r="VLX431"/>
      <c r="VLY431"/>
      <c r="VLZ431"/>
      <c r="VMA431"/>
      <c r="VMB431"/>
      <c r="VMC431"/>
      <c r="VMD431"/>
      <c r="VME431"/>
      <c r="VMF431"/>
      <c r="VMG431"/>
      <c r="VMH431"/>
      <c r="VMI431"/>
      <c r="VMJ431"/>
      <c r="VMK431"/>
      <c r="VML431"/>
      <c r="VMM431"/>
      <c r="VMN431"/>
      <c r="VMO431"/>
      <c r="VMP431"/>
      <c r="VMQ431"/>
      <c r="VMR431"/>
      <c r="VMS431"/>
      <c r="VMT431"/>
      <c r="VMU431"/>
      <c r="VMV431"/>
      <c r="VMW431"/>
      <c r="VMX431"/>
      <c r="VMY431"/>
      <c r="VMZ431"/>
      <c r="VNA431"/>
      <c r="VNB431"/>
      <c r="VNC431"/>
      <c r="VND431"/>
      <c r="VNE431"/>
      <c r="VNF431"/>
      <c r="VNG431"/>
      <c r="VNH431"/>
      <c r="VNI431"/>
      <c r="VNJ431"/>
      <c r="VNK431"/>
      <c r="VNL431"/>
      <c r="VNM431"/>
      <c r="VNN431"/>
      <c r="VNO431"/>
      <c r="VNP431"/>
      <c r="VNQ431"/>
      <c r="VNR431"/>
      <c r="VNS431"/>
      <c r="VNT431"/>
      <c r="VNU431"/>
      <c r="VNV431"/>
      <c r="VNW431"/>
      <c r="VNX431"/>
      <c r="VNY431"/>
      <c r="VNZ431"/>
      <c r="VOA431"/>
      <c r="VOB431"/>
      <c r="VOC431"/>
      <c r="VOD431"/>
      <c r="VOE431"/>
      <c r="VOF431"/>
      <c r="VOG431"/>
      <c r="VOH431"/>
      <c r="VOI431"/>
      <c r="VOJ431"/>
      <c r="VOK431"/>
      <c r="VOL431"/>
      <c r="VOM431"/>
      <c r="VON431"/>
      <c r="VOO431"/>
      <c r="VOP431"/>
      <c r="VOQ431"/>
      <c r="VOR431"/>
      <c r="VOS431"/>
      <c r="VOT431"/>
      <c r="VOU431"/>
      <c r="VOV431"/>
      <c r="VOW431"/>
      <c r="VOX431"/>
      <c r="VOY431"/>
      <c r="VOZ431"/>
      <c r="VPA431"/>
      <c r="VPB431"/>
      <c r="VPC431"/>
      <c r="VPD431"/>
      <c r="VPE431"/>
      <c r="VPF431"/>
      <c r="VPG431"/>
      <c r="VPH431"/>
      <c r="VPI431"/>
      <c r="VPJ431"/>
      <c r="VPK431"/>
      <c r="VPL431"/>
      <c r="VPM431"/>
      <c r="VPN431"/>
      <c r="VPO431"/>
      <c r="VPP431"/>
      <c r="VPQ431"/>
      <c r="VPR431"/>
      <c r="VPS431"/>
      <c r="VPT431"/>
      <c r="VPU431"/>
      <c r="VPV431"/>
      <c r="VPW431"/>
      <c r="VPX431"/>
      <c r="VPY431"/>
      <c r="VPZ431"/>
      <c r="VQA431"/>
      <c r="VQB431"/>
      <c r="VQC431"/>
      <c r="VQD431"/>
      <c r="VQE431"/>
      <c r="VQF431"/>
      <c r="VQG431"/>
      <c r="VQH431"/>
      <c r="VQI431"/>
      <c r="VQJ431"/>
      <c r="VQK431"/>
      <c r="VQL431"/>
      <c r="VQM431"/>
      <c r="VQN431"/>
      <c r="VQO431"/>
      <c r="VQP431"/>
      <c r="VQQ431"/>
      <c r="VQR431"/>
      <c r="VQS431"/>
      <c r="VQT431"/>
      <c r="VQU431"/>
      <c r="VQV431"/>
      <c r="VQW431"/>
      <c r="VQX431"/>
      <c r="VQY431"/>
      <c r="VQZ431"/>
      <c r="VRA431"/>
      <c r="VRB431"/>
      <c r="VRC431"/>
      <c r="VRD431"/>
      <c r="VRE431"/>
      <c r="VRF431"/>
      <c r="VRG431"/>
      <c r="VRH431"/>
      <c r="VRI431"/>
      <c r="VRJ431"/>
      <c r="VRK431"/>
      <c r="VRL431"/>
      <c r="VRM431"/>
      <c r="VRN431"/>
      <c r="VRO431"/>
      <c r="VRP431"/>
      <c r="VRQ431"/>
      <c r="VRR431"/>
      <c r="VRS431"/>
      <c r="VRT431"/>
      <c r="VRU431"/>
      <c r="VRV431"/>
      <c r="VRW431"/>
      <c r="VRX431"/>
      <c r="VRY431"/>
      <c r="VRZ431"/>
      <c r="VSA431"/>
      <c r="VSB431"/>
      <c r="VSC431"/>
      <c r="VSD431"/>
      <c r="VSE431"/>
      <c r="VSF431"/>
      <c r="VSG431"/>
      <c r="VSH431"/>
      <c r="VSI431"/>
      <c r="VSJ431"/>
      <c r="VSK431"/>
      <c r="VSL431"/>
      <c r="VSM431"/>
      <c r="VSN431"/>
      <c r="VSO431"/>
      <c r="VSP431"/>
      <c r="VSQ431"/>
      <c r="VSR431"/>
      <c r="VSS431"/>
      <c r="VST431"/>
      <c r="VSU431"/>
      <c r="VSV431"/>
      <c r="VSW431"/>
      <c r="VSX431"/>
      <c r="VSY431"/>
      <c r="VSZ431"/>
      <c r="VTA431"/>
      <c r="VTB431"/>
      <c r="VTC431"/>
      <c r="VTD431"/>
      <c r="VTE431"/>
      <c r="VTF431"/>
      <c r="VTG431"/>
      <c r="VTH431"/>
      <c r="VTI431"/>
      <c r="VTJ431"/>
      <c r="VTK431"/>
      <c r="VTL431"/>
      <c r="VTM431"/>
      <c r="VTN431"/>
      <c r="VTO431"/>
      <c r="VTP431"/>
      <c r="VTQ431"/>
      <c r="VTR431"/>
      <c r="VTS431"/>
      <c r="VTT431"/>
      <c r="VTU431"/>
      <c r="VTV431"/>
      <c r="VTW431"/>
      <c r="VTX431"/>
      <c r="VTY431"/>
      <c r="VTZ431"/>
      <c r="VUA431"/>
      <c r="VUB431"/>
      <c r="VUC431"/>
      <c r="VUD431"/>
      <c r="VUE431"/>
      <c r="VUF431"/>
      <c r="VUG431"/>
      <c r="VUH431"/>
      <c r="VUI431"/>
      <c r="VUJ431"/>
      <c r="VUK431"/>
      <c r="VUL431"/>
      <c r="VUM431"/>
      <c r="VUN431"/>
      <c r="VUO431"/>
      <c r="VUP431"/>
      <c r="VUQ431"/>
      <c r="VUR431"/>
      <c r="VUS431"/>
      <c r="VUT431"/>
      <c r="VUU431"/>
      <c r="VUV431"/>
      <c r="VUW431"/>
      <c r="VUX431"/>
      <c r="VUY431"/>
      <c r="VUZ431"/>
      <c r="VVA431"/>
      <c r="VVB431"/>
      <c r="VVC431"/>
      <c r="VVD431"/>
      <c r="VVE431"/>
      <c r="VVF431"/>
      <c r="VVG431"/>
      <c r="VVH431"/>
      <c r="VVI431"/>
      <c r="VVJ431"/>
      <c r="VVK431"/>
      <c r="VVL431"/>
      <c r="VVM431"/>
      <c r="VVN431"/>
      <c r="VVO431"/>
      <c r="VVP431"/>
      <c r="VVQ431"/>
      <c r="VVR431"/>
      <c r="VVS431"/>
      <c r="VVT431"/>
      <c r="VVU431"/>
      <c r="VVV431"/>
      <c r="VVW431"/>
      <c r="VVX431"/>
      <c r="VVY431"/>
      <c r="VVZ431"/>
      <c r="VWA431"/>
      <c r="VWB431"/>
      <c r="VWC431"/>
      <c r="VWD431"/>
      <c r="VWE431"/>
      <c r="VWF431"/>
      <c r="VWG431"/>
      <c r="VWH431"/>
      <c r="VWI431"/>
      <c r="VWJ431"/>
      <c r="VWK431"/>
      <c r="VWL431"/>
      <c r="VWM431"/>
      <c r="VWN431"/>
      <c r="VWO431"/>
      <c r="VWP431"/>
      <c r="VWQ431"/>
      <c r="VWR431"/>
      <c r="VWS431"/>
      <c r="VWT431"/>
      <c r="VWU431"/>
      <c r="VWV431"/>
      <c r="VWW431"/>
      <c r="VWX431"/>
      <c r="VWY431"/>
      <c r="VWZ431"/>
      <c r="VXA431"/>
      <c r="VXB431"/>
      <c r="VXC431"/>
      <c r="VXD431"/>
      <c r="VXE431"/>
      <c r="VXF431"/>
      <c r="VXG431"/>
      <c r="VXH431"/>
      <c r="VXI431"/>
      <c r="VXJ431"/>
      <c r="VXK431"/>
      <c r="VXL431"/>
      <c r="VXM431"/>
      <c r="VXN431"/>
      <c r="VXO431"/>
      <c r="VXP431"/>
      <c r="VXQ431"/>
      <c r="VXR431"/>
      <c r="VXS431"/>
      <c r="VXT431"/>
      <c r="VXU431"/>
      <c r="VXV431"/>
      <c r="VXW431"/>
      <c r="VXX431"/>
      <c r="VXY431"/>
      <c r="VXZ431"/>
      <c r="VYA431"/>
      <c r="VYB431"/>
      <c r="VYC431"/>
      <c r="VYD431"/>
      <c r="VYE431"/>
      <c r="VYF431"/>
      <c r="VYG431"/>
      <c r="VYH431"/>
      <c r="VYI431"/>
      <c r="VYJ431"/>
      <c r="VYK431"/>
      <c r="VYL431"/>
      <c r="VYM431"/>
      <c r="VYN431"/>
      <c r="VYO431"/>
      <c r="VYP431"/>
      <c r="VYQ431"/>
      <c r="VYR431"/>
      <c r="VYS431"/>
      <c r="VYT431"/>
      <c r="VYU431"/>
      <c r="VYV431"/>
      <c r="VYW431"/>
      <c r="VYX431"/>
      <c r="VYY431"/>
      <c r="VYZ431"/>
      <c r="VZA431"/>
      <c r="VZB431"/>
      <c r="VZC431"/>
      <c r="VZD431"/>
      <c r="VZE431"/>
      <c r="VZF431"/>
      <c r="VZG431"/>
      <c r="VZH431"/>
      <c r="VZI431"/>
      <c r="VZJ431"/>
      <c r="VZK431"/>
      <c r="VZL431"/>
      <c r="VZM431"/>
      <c r="VZN431"/>
      <c r="VZO431"/>
      <c r="VZP431"/>
      <c r="VZQ431"/>
      <c r="VZR431"/>
      <c r="VZS431"/>
      <c r="VZT431"/>
      <c r="VZU431"/>
      <c r="VZV431"/>
      <c r="VZW431"/>
      <c r="VZX431"/>
      <c r="VZY431"/>
      <c r="VZZ431"/>
      <c r="WAA431"/>
      <c r="WAB431"/>
      <c r="WAC431"/>
      <c r="WAD431"/>
      <c r="WAE431"/>
      <c r="WAF431"/>
      <c r="WAG431"/>
      <c r="WAH431"/>
      <c r="WAI431"/>
      <c r="WAJ431"/>
      <c r="WAK431"/>
      <c r="WAL431"/>
      <c r="WAM431"/>
      <c r="WAN431"/>
      <c r="WAO431"/>
      <c r="WAP431"/>
      <c r="WAQ431"/>
      <c r="WAR431"/>
      <c r="WAS431"/>
      <c r="WAT431"/>
      <c r="WAU431"/>
      <c r="WAV431"/>
      <c r="WAW431"/>
      <c r="WAX431"/>
      <c r="WAY431"/>
      <c r="WAZ431"/>
      <c r="WBA431"/>
      <c r="WBB431"/>
      <c r="WBC431"/>
      <c r="WBD431"/>
      <c r="WBE431"/>
      <c r="WBF431"/>
      <c r="WBG431"/>
      <c r="WBH431"/>
      <c r="WBI431"/>
      <c r="WBJ431"/>
      <c r="WBK431"/>
      <c r="WBL431"/>
      <c r="WBM431"/>
      <c r="WBN431"/>
      <c r="WBO431"/>
      <c r="WBP431"/>
      <c r="WBQ431"/>
      <c r="WBR431"/>
      <c r="WBS431"/>
      <c r="WBT431"/>
      <c r="WBU431"/>
      <c r="WBV431"/>
      <c r="WBW431"/>
      <c r="WBX431"/>
      <c r="WBY431"/>
      <c r="WBZ431"/>
      <c r="WCA431"/>
      <c r="WCB431"/>
      <c r="WCC431"/>
      <c r="WCD431"/>
      <c r="WCE431"/>
      <c r="WCF431"/>
      <c r="WCG431"/>
      <c r="WCH431"/>
      <c r="WCI431"/>
      <c r="WCJ431"/>
      <c r="WCK431"/>
      <c r="WCL431"/>
      <c r="WCM431"/>
      <c r="WCN431"/>
      <c r="WCO431"/>
      <c r="WCP431"/>
      <c r="WCQ431"/>
      <c r="WCR431"/>
      <c r="WCS431"/>
      <c r="WCT431"/>
      <c r="WCU431"/>
      <c r="WCV431"/>
      <c r="WCW431"/>
      <c r="WCX431"/>
      <c r="WCY431"/>
      <c r="WCZ431"/>
      <c r="WDA431"/>
      <c r="WDB431"/>
      <c r="WDC431"/>
      <c r="WDD431"/>
      <c r="WDE431"/>
      <c r="WDF431"/>
      <c r="WDG431"/>
      <c r="WDH431"/>
      <c r="WDI431"/>
      <c r="WDJ431"/>
      <c r="WDK431"/>
      <c r="WDL431"/>
      <c r="WDM431"/>
      <c r="WDN431"/>
      <c r="WDO431"/>
      <c r="WDP431"/>
      <c r="WDQ431"/>
      <c r="WDR431"/>
      <c r="WDS431"/>
      <c r="WDT431"/>
      <c r="WDU431"/>
      <c r="WDV431"/>
      <c r="WDW431"/>
      <c r="WDX431"/>
      <c r="WDY431"/>
      <c r="WDZ431"/>
      <c r="WEA431"/>
      <c r="WEB431"/>
      <c r="WEC431"/>
      <c r="WED431"/>
      <c r="WEE431"/>
      <c r="WEF431"/>
      <c r="WEG431"/>
      <c r="WEH431"/>
      <c r="WEI431"/>
      <c r="WEJ431"/>
      <c r="WEK431"/>
      <c r="WEL431"/>
      <c r="WEM431"/>
      <c r="WEN431"/>
      <c r="WEO431"/>
      <c r="WEP431"/>
      <c r="WEQ431"/>
      <c r="WER431"/>
      <c r="WES431"/>
      <c r="WET431"/>
      <c r="WEU431"/>
      <c r="WEV431"/>
      <c r="WEW431"/>
      <c r="WEX431"/>
      <c r="WEY431"/>
      <c r="WEZ431"/>
      <c r="WFA431"/>
      <c r="WFB431"/>
      <c r="WFC431"/>
      <c r="WFD431"/>
      <c r="WFE431"/>
      <c r="WFF431"/>
      <c r="WFG431"/>
      <c r="WFH431"/>
      <c r="WFI431"/>
      <c r="WFJ431"/>
      <c r="WFK431"/>
      <c r="WFL431"/>
      <c r="WFM431"/>
      <c r="WFN431"/>
      <c r="WFO431"/>
      <c r="WFP431"/>
      <c r="WFQ431"/>
      <c r="WFR431"/>
      <c r="WFS431"/>
      <c r="WFT431"/>
      <c r="WFU431"/>
      <c r="WFV431"/>
      <c r="WFW431"/>
      <c r="WFX431"/>
      <c r="WFY431"/>
      <c r="WFZ431"/>
      <c r="WGA431"/>
      <c r="WGB431"/>
      <c r="WGC431"/>
      <c r="WGD431"/>
      <c r="WGE431"/>
      <c r="WGF431"/>
      <c r="WGG431"/>
      <c r="WGH431"/>
      <c r="WGI431"/>
      <c r="WGJ431"/>
      <c r="WGK431"/>
      <c r="WGL431"/>
      <c r="WGM431"/>
      <c r="WGN431"/>
      <c r="WGO431"/>
      <c r="WGP431"/>
      <c r="WGQ431"/>
      <c r="WGR431"/>
      <c r="WGS431"/>
      <c r="WGT431"/>
      <c r="WGU431"/>
      <c r="WGV431"/>
      <c r="WGW431"/>
      <c r="WGX431"/>
      <c r="WGY431"/>
      <c r="WGZ431"/>
      <c r="WHA431"/>
      <c r="WHB431"/>
      <c r="WHC431"/>
      <c r="WHD431"/>
      <c r="WHE431"/>
      <c r="WHF431"/>
      <c r="WHG431"/>
      <c r="WHH431"/>
      <c r="WHI431"/>
      <c r="WHJ431"/>
      <c r="WHK431"/>
      <c r="WHL431"/>
      <c r="WHM431"/>
      <c r="WHN431"/>
      <c r="WHO431"/>
      <c r="WHP431"/>
      <c r="WHQ431"/>
      <c r="WHR431"/>
      <c r="WHS431"/>
      <c r="WHT431"/>
      <c r="WHU431"/>
      <c r="WHV431"/>
      <c r="WHW431"/>
      <c r="WHX431"/>
      <c r="WHY431"/>
      <c r="WHZ431"/>
      <c r="WIA431"/>
      <c r="WIB431"/>
      <c r="WIC431"/>
      <c r="WID431"/>
      <c r="WIE431"/>
      <c r="WIF431"/>
      <c r="WIG431"/>
      <c r="WIH431"/>
      <c r="WII431"/>
      <c r="WIJ431"/>
      <c r="WIK431"/>
      <c r="WIL431"/>
      <c r="WIM431"/>
      <c r="WIN431"/>
      <c r="WIO431"/>
      <c r="WIP431"/>
      <c r="WIQ431"/>
      <c r="WIR431"/>
      <c r="WIS431"/>
      <c r="WIT431"/>
      <c r="WIU431"/>
      <c r="WIV431"/>
      <c r="WIW431"/>
      <c r="WIX431"/>
      <c r="WIY431"/>
      <c r="WIZ431"/>
      <c r="WJA431"/>
      <c r="WJB431"/>
      <c r="WJC431"/>
      <c r="WJD431"/>
      <c r="WJE431"/>
      <c r="WJF431"/>
      <c r="WJG431"/>
      <c r="WJH431"/>
      <c r="WJI431"/>
      <c r="WJJ431"/>
      <c r="WJK431"/>
      <c r="WJL431"/>
      <c r="WJM431"/>
      <c r="WJN431"/>
      <c r="WJO431"/>
      <c r="WJP431"/>
      <c r="WJQ431"/>
      <c r="WJR431"/>
      <c r="WJS431"/>
      <c r="WJT431"/>
      <c r="WJU431"/>
      <c r="WJV431"/>
      <c r="WJW431"/>
      <c r="WJX431"/>
      <c r="WJY431"/>
      <c r="WJZ431"/>
      <c r="WKA431"/>
      <c r="WKB431"/>
      <c r="WKC431"/>
      <c r="WKD431"/>
      <c r="WKE431"/>
      <c r="WKF431"/>
      <c r="WKG431"/>
      <c r="WKH431"/>
      <c r="WKI431"/>
      <c r="WKJ431"/>
      <c r="WKK431"/>
      <c r="WKL431"/>
      <c r="WKM431"/>
      <c r="WKN431"/>
      <c r="WKO431"/>
      <c r="WKP431"/>
      <c r="WKQ431"/>
      <c r="WKR431"/>
      <c r="WKS431"/>
      <c r="WKT431"/>
      <c r="WKU431"/>
      <c r="WKV431"/>
      <c r="WKW431"/>
      <c r="WKX431"/>
      <c r="WKY431"/>
      <c r="WKZ431"/>
      <c r="WLA431"/>
      <c r="WLB431"/>
      <c r="WLC431"/>
      <c r="WLD431"/>
      <c r="WLE431"/>
      <c r="WLF431"/>
      <c r="WLG431"/>
      <c r="WLH431"/>
      <c r="WLI431"/>
      <c r="WLJ431"/>
      <c r="WLK431"/>
      <c r="WLL431"/>
      <c r="WLM431"/>
      <c r="WLN431"/>
      <c r="WLO431"/>
      <c r="WLP431"/>
      <c r="WLQ431"/>
      <c r="WLR431"/>
      <c r="WLS431"/>
      <c r="WLT431"/>
      <c r="WLU431"/>
      <c r="WLV431"/>
      <c r="WLW431"/>
      <c r="WLX431"/>
      <c r="WLY431"/>
      <c r="WLZ431"/>
      <c r="WMA431"/>
      <c r="WMB431"/>
      <c r="WMC431"/>
      <c r="WMD431"/>
      <c r="WME431"/>
      <c r="WMF431"/>
      <c r="WMG431"/>
      <c r="WMH431"/>
      <c r="WMI431"/>
      <c r="WMJ431"/>
      <c r="WMK431"/>
      <c r="WML431"/>
      <c r="WMM431"/>
      <c r="WMN431"/>
      <c r="WMO431"/>
      <c r="WMP431"/>
      <c r="WMQ431"/>
      <c r="WMR431"/>
      <c r="WMS431"/>
      <c r="WMT431"/>
      <c r="WMU431"/>
      <c r="WMV431"/>
      <c r="WMW431"/>
      <c r="WMX431"/>
      <c r="WMY431"/>
      <c r="WMZ431"/>
      <c r="WNA431"/>
      <c r="WNB431"/>
      <c r="WNC431"/>
      <c r="WND431"/>
      <c r="WNE431"/>
      <c r="WNF431"/>
      <c r="WNG431"/>
      <c r="WNH431"/>
      <c r="WNI431"/>
      <c r="WNJ431"/>
      <c r="WNK431"/>
      <c r="WNL431"/>
      <c r="WNM431"/>
      <c r="WNN431"/>
      <c r="WNO431"/>
      <c r="WNP431"/>
      <c r="WNQ431"/>
      <c r="WNR431"/>
      <c r="WNS431"/>
      <c r="WNT431"/>
      <c r="WNU431"/>
      <c r="WNV431"/>
      <c r="WNW431"/>
      <c r="WNX431"/>
      <c r="WNY431"/>
      <c r="WNZ431"/>
      <c r="WOA431"/>
      <c r="WOB431"/>
      <c r="WOC431"/>
      <c r="WOD431"/>
      <c r="WOE431"/>
      <c r="WOF431"/>
      <c r="WOG431"/>
      <c r="WOH431"/>
      <c r="WOI431"/>
      <c r="WOJ431"/>
      <c r="WOK431"/>
      <c r="WOL431"/>
      <c r="WOM431"/>
      <c r="WON431"/>
      <c r="WOO431"/>
      <c r="WOP431"/>
      <c r="WOQ431"/>
      <c r="WOR431"/>
      <c r="WOS431"/>
      <c r="WOT431"/>
      <c r="WOU431"/>
      <c r="WOV431"/>
      <c r="WOW431"/>
      <c r="WOX431"/>
      <c r="WOY431"/>
      <c r="WOZ431"/>
      <c r="WPA431"/>
      <c r="WPB431"/>
      <c r="WPC431"/>
      <c r="WPD431"/>
      <c r="WPE431"/>
      <c r="WPF431"/>
      <c r="WPG431"/>
      <c r="WPH431"/>
      <c r="WPI431"/>
      <c r="WPJ431"/>
      <c r="WPK431"/>
      <c r="WPL431"/>
      <c r="WPM431"/>
      <c r="WPN431"/>
      <c r="WPO431"/>
      <c r="WPP431"/>
      <c r="WPQ431"/>
      <c r="WPR431"/>
      <c r="WPS431"/>
      <c r="WPT431"/>
      <c r="WPU431"/>
      <c r="WPV431"/>
      <c r="WPW431"/>
      <c r="WPX431"/>
      <c r="WPY431"/>
      <c r="WPZ431"/>
      <c r="WQA431"/>
      <c r="WQB431"/>
      <c r="WQC431"/>
      <c r="WQD431"/>
      <c r="WQE431"/>
      <c r="WQF431"/>
      <c r="WQG431"/>
      <c r="WQH431"/>
      <c r="WQI431"/>
      <c r="WQJ431"/>
      <c r="WQK431"/>
      <c r="WQL431"/>
      <c r="WQM431"/>
      <c r="WQN431"/>
      <c r="WQO431"/>
      <c r="WQP431"/>
      <c r="WQQ431"/>
      <c r="WQR431"/>
      <c r="WQS431"/>
      <c r="WQT431"/>
      <c r="WQU431"/>
      <c r="WQV431"/>
      <c r="WQW431"/>
      <c r="WQX431"/>
      <c r="WQY431"/>
      <c r="WQZ431"/>
      <c r="WRA431"/>
      <c r="WRB431"/>
      <c r="WRC431"/>
      <c r="WRD431"/>
      <c r="WRE431"/>
      <c r="WRF431"/>
      <c r="WRG431"/>
      <c r="WRH431"/>
      <c r="WRI431"/>
      <c r="WRJ431"/>
      <c r="WRK431"/>
      <c r="WRL431"/>
      <c r="WRM431"/>
      <c r="WRN431"/>
      <c r="WRO431"/>
      <c r="WRP431"/>
      <c r="WRQ431"/>
      <c r="WRR431"/>
      <c r="WRS431"/>
      <c r="WRT431"/>
      <c r="WRU431"/>
      <c r="WRV431"/>
      <c r="WRW431"/>
      <c r="WRX431"/>
      <c r="WRY431"/>
      <c r="WRZ431"/>
      <c r="WSA431"/>
      <c r="WSB431"/>
      <c r="WSC431"/>
      <c r="WSD431"/>
      <c r="WSE431"/>
      <c r="WSF431"/>
      <c r="WSG431"/>
      <c r="WSH431"/>
      <c r="WSI431"/>
      <c r="WSJ431"/>
      <c r="WSK431"/>
      <c r="WSL431"/>
      <c r="WSM431"/>
      <c r="WSN431"/>
      <c r="WSO431"/>
      <c r="WSP431"/>
      <c r="WSQ431"/>
      <c r="WSR431"/>
      <c r="WSS431"/>
      <c r="WST431"/>
      <c r="WSU431"/>
      <c r="WSV431"/>
      <c r="WSW431"/>
      <c r="WSX431"/>
      <c r="WSY431"/>
      <c r="WSZ431"/>
      <c r="WTA431"/>
      <c r="WTB431"/>
      <c r="WTC431"/>
      <c r="WTD431"/>
      <c r="WTE431"/>
      <c r="WTF431"/>
      <c r="WTG431"/>
      <c r="WTH431"/>
      <c r="WTI431"/>
      <c r="WTJ431"/>
      <c r="WTK431"/>
      <c r="WTL431"/>
      <c r="WTM431"/>
      <c r="WTN431"/>
      <c r="WTO431"/>
      <c r="WTP431"/>
      <c r="WTQ431"/>
      <c r="WTR431"/>
      <c r="WTS431"/>
      <c r="WTT431"/>
      <c r="WTU431"/>
      <c r="WTV431"/>
      <c r="WTW431"/>
      <c r="WTX431"/>
      <c r="WTY431"/>
      <c r="WTZ431"/>
      <c r="WUA431"/>
      <c r="WUB431"/>
      <c r="WUC431"/>
      <c r="WUD431"/>
      <c r="WUE431"/>
      <c r="WUF431"/>
      <c r="WUG431"/>
      <c r="WUH431"/>
      <c r="WUI431"/>
      <c r="WUJ431"/>
      <c r="WUK431"/>
      <c r="WUL431"/>
      <c r="WUM431"/>
      <c r="WUN431"/>
      <c r="WUO431"/>
      <c r="WUP431"/>
      <c r="WUQ431"/>
      <c r="WUR431"/>
      <c r="WUS431"/>
      <c r="WUT431"/>
      <c r="WUU431"/>
      <c r="WUV431"/>
      <c r="WUW431"/>
      <c r="WUX431"/>
      <c r="WUY431"/>
      <c r="WUZ431"/>
      <c r="WVA431"/>
      <c r="WVB431"/>
      <c r="WVC431"/>
      <c r="WVD431"/>
      <c r="WVE431"/>
      <c r="WVF431"/>
      <c r="WVG431"/>
      <c r="WVH431"/>
      <c r="WVI431"/>
      <c r="WVJ431"/>
      <c r="WVK431"/>
      <c r="WVL431"/>
      <c r="WVM431"/>
      <c r="WVN431"/>
      <c r="WVO431"/>
      <c r="WVP431"/>
      <c r="WVQ431"/>
      <c r="WVR431"/>
      <c r="WVS431"/>
      <c r="WVT431"/>
      <c r="WVU431"/>
      <c r="WVV431"/>
      <c r="WVW431"/>
      <c r="WVX431"/>
      <c r="WVY431"/>
      <c r="WVZ431"/>
      <c r="WWA431"/>
      <c r="WWB431"/>
      <c r="WWC431"/>
      <c r="WWD431"/>
      <c r="WWE431"/>
      <c r="WWF431"/>
      <c r="WWG431"/>
      <c r="WWH431"/>
      <c r="WWI431"/>
      <c r="WWJ431"/>
      <c r="WWK431"/>
      <c r="WWL431"/>
      <c r="WWM431"/>
      <c r="WWN431"/>
      <c r="WWO431"/>
      <c r="WWP431"/>
      <c r="WWQ431"/>
      <c r="WWR431"/>
      <c r="WWS431"/>
      <c r="WWT431"/>
      <c r="WWU431"/>
      <c r="WWV431"/>
      <c r="WWW431"/>
      <c r="WWX431"/>
      <c r="WWY431"/>
      <c r="WWZ431"/>
      <c r="WXA431"/>
      <c r="WXB431"/>
      <c r="WXC431"/>
      <c r="WXD431"/>
      <c r="WXE431"/>
      <c r="WXF431"/>
      <c r="WXG431"/>
      <c r="WXH431"/>
      <c r="WXI431"/>
      <c r="WXJ431"/>
      <c r="WXK431"/>
      <c r="WXL431"/>
      <c r="WXM431"/>
      <c r="WXN431"/>
      <c r="WXO431"/>
      <c r="WXP431"/>
      <c r="WXQ431"/>
      <c r="WXR431"/>
      <c r="WXS431"/>
      <c r="WXT431"/>
      <c r="WXU431"/>
      <c r="WXV431"/>
      <c r="WXW431"/>
      <c r="WXX431"/>
      <c r="WXY431"/>
      <c r="WXZ431"/>
      <c r="WYA431"/>
      <c r="WYB431"/>
      <c r="WYC431"/>
      <c r="WYD431"/>
      <c r="WYE431"/>
      <c r="WYF431"/>
      <c r="WYG431"/>
      <c r="WYH431"/>
      <c r="WYI431"/>
      <c r="WYJ431"/>
      <c r="WYK431"/>
      <c r="WYL431"/>
      <c r="WYM431"/>
      <c r="WYN431"/>
      <c r="WYO431"/>
      <c r="WYP431"/>
      <c r="WYQ431"/>
      <c r="WYR431"/>
      <c r="WYS431"/>
      <c r="WYT431"/>
      <c r="WYU431"/>
      <c r="WYV431"/>
      <c r="WYW431"/>
      <c r="WYX431"/>
      <c r="WYY431"/>
      <c r="WYZ431"/>
      <c r="WZA431"/>
      <c r="WZB431"/>
      <c r="WZC431"/>
      <c r="WZD431"/>
      <c r="WZE431"/>
      <c r="WZF431"/>
      <c r="WZG431"/>
      <c r="WZH431"/>
      <c r="WZI431"/>
      <c r="WZJ431"/>
      <c r="WZK431"/>
      <c r="WZL431"/>
      <c r="WZM431"/>
      <c r="WZN431"/>
      <c r="WZO431"/>
      <c r="WZP431"/>
      <c r="WZQ431"/>
      <c r="WZR431"/>
      <c r="WZS431"/>
      <c r="WZT431"/>
      <c r="WZU431"/>
      <c r="WZV431"/>
      <c r="WZW431"/>
      <c r="WZX431"/>
      <c r="WZY431"/>
      <c r="WZZ431"/>
      <c r="XAA431"/>
      <c r="XAB431"/>
      <c r="XAC431"/>
      <c r="XAD431"/>
      <c r="XAE431"/>
      <c r="XAF431"/>
      <c r="XAG431"/>
      <c r="XAH431"/>
      <c r="XAI431"/>
      <c r="XAJ431"/>
      <c r="XAK431"/>
      <c r="XAL431"/>
      <c r="XAM431"/>
      <c r="XAN431"/>
      <c r="XAO431"/>
      <c r="XAP431"/>
      <c r="XAQ431"/>
      <c r="XAR431"/>
      <c r="XAS431"/>
      <c r="XAT431"/>
      <c r="XAU431"/>
      <c r="XAV431"/>
      <c r="XAW431"/>
      <c r="XAX431"/>
      <c r="XAY431"/>
      <c r="XAZ431"/>
      <c r="XBA431"/>
      <c r="XBB431"/>
      <c r="XBC431"/>
      <c r="XBD431"/>
      <c r="XBE431"/>
      <c r="XBF431"/>
      <c r="XBG431"/>
      <c r="XBH431"/>
      <c r="XBI431"/>
      <c r="XBJ431"/>
      <c r="XBK431"/>
      <c r="XBL431"/>
      <c r="XBM431"/>
      <c r="XBN431"/>
      <c r="XBO431"/>
      <c r="XBP431"/>
      <c r="XBQ431"/>
      <c r="XBR431"/>
      <c r="XBS431"/>
      <c r="XBT431"/>
      <c r="XBU431"/>
      <c r="XBV431"/>
      <c r="XBW431"/>
      <c r="XBX431"/>
      <c r="XBY431"/>
      <c r="XBZ431"/>
      <c r="XCA431"/>
      <c r="XCB431"/>
      <c r="XCC431"/>
      <c r="XCD431"/>
      <c r="XCE431"/>
      <c r="XCF431"/>
      <c r="XCG431"/>
      <c r="XCH431"/>
      <c r="XCI431"/>
      <c r="XCJ431"/>
      <c r="XCK431"/>
      <c r="XCL431"/>
      <c r="XCM431"/>
      <c r="XCN431"/>
      <c r="XCO431"/>
      <c r="XCP431"/>
      <c r="XCQ431"/>
      <c r="XCR431"/>
      <c r="XCS431"/>
      <c r="XCT431"/>
      <c r="XCU431"/>
      <c r="XCV431"/>
      <c r="XCW431"/>
      <c r="XCX431"/>
      <c r="XCY431"/>
      <c r="XCZ431"/>
      <c r="XDA431"/>
      <c r="XDB431"/>
      <c r="XDC431"/>
      <c r="XDD431"/>
      <c r="XDE431"/>
      <c r="XDF431"/>
      <c r="XDG431"/>
      <c r="XDH431"/>
      <c r="XDI431"/>
      <c r="XDJ431"/>
      <c r="XDK431"/>
      <c r="XDL431"/>
      <c r="XDM431"/>
      <c r="XDN431"/>
      <c r="XDO431"/>
      <c r="XDP431"/>
      <c r="XDQ431"/>
      <c r="XDR431"/>
      <c r="XDS431"/>
      <c r="XDT431"/>
      <c r="XDU431"/>
      <c r="XDV431"/>
      <c r="XDW431"/>
      <c r="XDX431"/>
      <c r="XDY431"/>
      <c r="XDZ431"/>
      <c r="XEA431"/>
      <c r="XEB431"/>
      <c r="XEC431"/>
      <c r="XED431"/>
      <c r="XEE431"/>
      <c r="XEF431"/>
      <c r="XEG431"/>
      <c r="XEH431"/>
      <c r="XEI431"/>
      <c r="XEJ431"/>
      <c r="XEK431"/>
      <c r="XEL431"/>
      <c r="XEM431"/>
      <c r="XEN431"/>
      <c r="XEO431"/>
      <c r="XEP431"/>
      <c r="XEQ431"/>
      <c r="XER431"/>
      <c r="XES431"/>
      <c r="XET431"/>
      <c r="XEU431"/>
      <c r="XEV431"/>
      <c r="XEW431"/>
      <c r="XEX431"/>
      <c r="XEY431"/>
      <c r="XEZ431"/>
      <c r="XFA431"/>
      <c r="XFB431"/>
    </row>
    <row r="432" spans="1:16382" hidden="1" x14ac:dyDescent="0.25">
      <c r="A432" s="483" t="s">
        <v>8005</v>
      </c>
      <c r="B432" t="s">
        <v>614</v>
      </c>
      <c r="C432" s="233">
        <v>46133</v>
      </c>
      <c r="D432" s="233">
        <v>46120</v>
      </c>
      <c r="E432" s="30" t="s">
        <v>7569</v>
      </c>
      <c r="F432" s="28" t="s">
        <v>563</v>
      </c>
      <c r="G432" s="236" t="s">
        <v>8082</v>
      </c>
      <c r="H432" s="88" t="s">
        <v>279</v>
      </c>
      <c r="I432" s="1491"/>
      <c r="J432" s="798">
        <v>28379</v>
      </c>
      <c r="K432" s="3">
        <f t="shared" ref="K432:K462" si="13">+J432-ROUND(J432*0.12,0)</f>
        <v>24974</v>
      </c>
      <c r="L432" s="30" t="s">
        <v>17</v>
      </c>
      <c r="M432" s="233">
        <v>46209</v>
      </c>
      <c r="U432" t="s">
        <v>4983</v>
      </c>
      <c r="V432" s="360">
        <v>0.93194444444444446</v>
      </c>
      <c r="W432" s="360">
        <v>0.125</v>
      </c>
    </row>
    <row r="433" spans="1:24" hidden="1" x14ac:dyDescent="0.25">
      <c r="A433" s="483" t="s">
        <v>8027</v>
      </c>
      <c r="B433" t="s">
        <v>614</v>
      </c>
      <c r="C433" s="233">
        <v>46140</v>
      </c>
      <c r="D433" s="233">
        <v>46125</v>
      </c>
      <c r="E433" s="6" t="s">
        <v>7553</v>
      </c>
      <c r="F433" s="28" t="s">
        <v>2036</v>
      </c>
      <c r="G433" s="465" t="s">
        <v>8083</v>
      </c>
      <c r="H433" s="88" t="s">
        <v>279</v>
      </c>
      <c r="I433" s="1491"/>
      <c r="J433" s="798">
        <v>26632.6</v>
      </c>
      <c r="K433" s="3">
        <f t="shared" si="13"/>
        <v>23436.6</v>
      </c>
      <c r="L433" s="30" t="s">
        <v>17</v>
      </c>
      <c r="M433" s="233">
        <v>46209</v>
      </c>
      <c r="U433" t="s">
        <v>4983</v>
      </c>
      <c r="V433" s="360">
        <v>0.52847222222222223</v>
      </c>
      <c r="W433" s="360">
        <v>0.67013888888888884</v>
      </c>
    </row>
    <row r="434" spans="1:24" hidden="1" x14ac:dyDescent="0.25">
      <c r="A434" s="483" t="s">
        <v>8043</v>
      </c>
      <c r="B434" t="s">
        <v>614</v>
      </c>
      <c r="C434" s="233">
        <v>46141</v>
      </c>
      <c r="D434" s="233">
        <v>46128</v>
      </c>
      <c r="E434" s="30" t="s">
        <v>7560</v>
      </c>
      <c r="F434" s="28" t="s">
        <v>236</v>
      </c>
      <c r="G434" s="465" t="s">
        <v>8084</v>
      </c>
      <c r="H434" s="88" t="s">
        <v>279</v>
      </c>
      <c r="I434" s="1491"/>
      <c r="J434" s="798">
        <v>52828.6</v>
      </c>
      <c r="K434" s="3">
        <f t="shared" si="13"/>
        <v>46489.599999999999</v>
      </c>
      <c r="L434" s="30" t="s">
        <v>17</v>
      </c>
      <c r="M434" s="233">
        <v>46209</v>
      </c>
      <c r="U434" t="s">
        <v>4297</v>
      </c>
      <c r="V434" s="360">
        <v>0.29583333333333334</v>
      </c>
      <c r="W434" s="360">
        <v>0.51041666666666663</v>
      </c>
    </row>
    <row r="435" spans="1:24" hidden="1" x14ac:dyDescent="0.25">
      <c r="A435" s="483" t="s">
        <v>8045</v>
      </c>
      <c r="B435" t="s">
        <v>614</v>
      </c>
      <c r="C435" s="233">
        <v>46142</v>
      </c>
      <c r="D435" s="233">
        <v>46140</v>
      </c>
      <c r="E435" s="30" t="s">
        <v>7559</v>
      </c>
      <c r="F435" s="28" t="s">
        <v>1931</v>
      </c>
      <c r="G435" s="465" t="s">
        <v>8085</v>
      </c>
      <c r="H435" s="88" t="s">
        <v>279</v>
      </c>
      <c r="I435" s="1491"/>
      <c r="J435" s="798">
        <v>52828.6</v>
      </c>
      <c r="K435" s="3">
        <f t="shared" si="13"/>
        <v>46489.599999999999</v>
      </c>
      <c r="L435" s="30" t="s">
        <v>17</v>
      </c>
      <c r="M435" s="233">
        <v>46209</v>
      </c>
      <c r="U435" t="s">
        <v>4297</v>
      </c>
      <c r="V435" s="360">
        <v>0.37361111111111112</v>
      </c>
      <c r="W435" s="360"/>
    </row>
    <row r="436" spans="1:24" hidden="1" x14ac:dyDescent="0.25">
      <c r="A436" s="483" t="s">
        <v>8063</v>
      </c>
      <c r="B436" t="s">
        <v>614</v>
      </c>
      <c r="C436" s="233">
        <v>46149</v>
      </c>
      <c r="D436" s="233">
        <v>46149</v>
      </c>
      <c r="E436" s="30" t="s">
        <v>7564</v>
      </c>
      <c r="F436" s="28" t="s">
        <v>68</v>
      </c>
      <c r="G436" s="465" t="s">
        <v>8087</v>
      </c>
      <c r="H436" s="88" t="s">
        <v>279</v>
      </c>
      <c r="I436" s="1608" t="s">
        <v>8250</v>
      </c>
      <c r="J436" s="798">
        <v>44096.6</v>
      </c>
      <c r="K436" s="3">
        <f t="shared" si="13"/>
        <v>38804.6</v>
      </c>
      <c r="L436" s="233" t="s">
        <v>17</v>
      </c>
      <c r="M436" s="233">
        <v>46262</v>
      </c>
      <c r="N436" s="233"/>
      <c r="U436" t="s">
        <v>8065</v>
      </c>
      <c r="V436" s="360">
        <v>0.29652777777777778</v>
      </c>
      <c r="W436" s="360">
        <v>0.59166666666666667</v>
      </c>
    </row>
    <row r="437" spans="1:24" hidden="1" x14ac:dyDescent="0.25">
      <c r="A437" s="483" t="s">
        <v>8066</v>
      </c>
      <c r="B437" t="s">
        <v>614</v>
      </c>
      <c r="C437" s="233">
        <v>46150</v>
      </c>
      <c r="D437" s="233">
        <v>46150</v>
      </c>
      <c r="E437" s="30" t="s">
        <v>7557</v>
      </c>
      <c r="F437" s="28" t="s">
        <v>207</v>
      </c>
      <c r="G437" s="465" t="s">
        <v>8086</v>
      </c>
      <c r="H437" s="88" t="s">
        <v>279</v>
      </c>
      <c r="I437" s="1608"/>
      <c r="J437" s="798">
        <v>35364.6</v>
      </c>
      <c r="K437" s="3">
        <f t="shared" si="13"/>
        <v>31120.6</v>
      </c>
      <c r="L437" s="233" t="s">
        <v>17</v>
      </c>
      <c r="M437" s="233">
        <v>46262</v>
      </c>
      <c r="N437" s="233"/>
      <c r="U437" t="s">
        <v>8044</v>
      </c>
      <c r="V437" s="360">
        <v>0.26527777777777778</v>
      </c>
      <c r="W437" s="360"/>
    </row>
    <row r="438" spans="1:24" hidden="1" x14ac:dyDescent="0.25">
      <c r="A438" s="483" t="s">
        <v>8071</v>
      </c>
      <c r="B438" t="s">
        <v>614</v>
      </c>
      <c r="C438" s="233">
        <v>46153</v>
      </c>
      <c r="D438" s="233">
        <v>46153</v>
      </c>
      <c r="E438" s="30" t="s">
        <v>7554</v>
      </c>
      <c r="F438" s="28" t="s">
        <v>317</v>
      </c>
      <c r="G438" s="465" t="s">
        <v>8088</v>
      </c>
      <c r="H438" s="88" t="s">
        <v>279</v>
      </c>
      <c r="I438" s="1608"/>
      <c r="J438" s="798">
        <v>45843</v>
      </c>
      <c r="K438" s="3">
        <f t="shared" si="13"/>
        <v>40342</v>
      </c>
      <c r="L438" s="233" t="s">
        <v>17</v>
      </c>
      <c r="M438" s="233">
        <v>46262</v>
      </c>
      <c r="N438" s="233"/>
      <c r="V438" t="s">
        <v>7842</v>
      </c>
      <c r="W438" s="360">
        <v>0.30624999999999997</v>
      </c>
      <c r="X438" s="360"/>
    </row>
    <row r="439" spans="1:24" hidden="1" x14ac:dyDescent="0.25">
      <c r="A439" s="483" t="s">
        <v>8107</v>
      </c>
      <c r="B439" t="s">
        <v>614</v>
      </c>
      <c r="C439" s="233">
        <v>46156</v>
      </c>
      <c r="D439" s="233">
        <v>46156</v>
      </c>
      <c r="E439" s="30" t="s">
        <v>7568</v>
      </c>
      <c r="F439" s="28" t="s">
        <v>2437</v>
      </c>
      <c r="G439" s="465" t="s">
        <v>8126</v>
      </c>
      <c r="H439" s="88" t="s">
        <v>279</v>
      </c>
      <c r="I439" s="1608"/>
      <c r="J439" s="798">
        <v>24886.2</v>
      </c>
      <c r="K439" s="3">
        <f t="shared" si="13"/>
        <v>21900.2</v>
      </c>
      <c r="L439" s="233" t="s">
        <v>17</v>
      </c>
      <c r="M439" s="233">
        <v>46262</v>
      </c>
      <c r="N439" s="233"/>
      <c r="V439" t="s">
        <v>7417</v>
      </c>
      <c r="W439" s="360">
        <v>0.26805555555555555</v>
      </c>
      <c r="X439" s="360">
        <v>0.47986111111111113</v>
      </c>
    </row>
    <row r="440" spans="1:24" hidden="1" x14ac:dyDescent="0.25">
      <c r="A440" s="483" t="s">
        <v>8108</v>
      </c>
      <c r="B440" t="s">
        <v>614</v>
      </c>
      <c r="C440" s="233">
        <v>46157</v>
      </c>
      <c r="D440" s="233">
        <v>46157</v>
      </c>
      <c r="E440" s="110" t="s">
        <v>7555</v>
      </c>
      <c r="F440" s="28" t="s">
        <v>545</v>
      </c>
      <c r="G440" s="465" t="s">
        <v>8127</v>
      </c>
      <c r="H440" s="88" t="s">
        <v>279</v>
      </c>
      <c r="I440" s="1608"/>
      <c r="J440" s="798">
        <v>31871.8</v>
      </c>
      <c r="K440" s="3">
        <f t="shared" si="13"/>
        <v>28046.799999999999</v>
      </c>
      <c r="L440" s="233" t="s">
        <v>17</v>
      </c>
      <c r="M440" s="233">
        <v>46262</v>
      </c>
      <c r="N440" s="233"/>
      <c r="V440" t="s">
        <v>8065</v>
      </c>
      <c r="W440" s="360">
        <v>0.4458333333333333</v>
      </c>
      <c r="X440" s="360">
        <v>0.62430555555555556</v>
      </c>
    </row>
    <row r="441" spans="1:24" ht="13.5" hidden="1" customHeight="1" x14ac:dyDescent="0.25">
      <c r="A441" s="483" t="s">
        <v>8117</v>
      </c>
      <c r="B441" t="s">
        <v>614</v>
      </c>
      <c r="C441" s="233">
        <v>46158</v>
      </c>
      <c r="D441" s="233">
        <v>46158</v>
      </c>
      <c r="E441" s="30" t="s">
        <v>7553</v>
      </c>
      <c r="F441" s="28" t="s">
        <v>2036</v>
      </c>
      <c r="G441" s="465" t="s">
        <v>8128</v>
      </c>
      <c r="H441" s="88" t="s">
        <v>279</v>
      </c>
      <c r="I441" s="1608"/>
      <c r="J441" s="798">
        <v>26632.6</v>
      </c>
      <c r="K441" s="3">
        <f t="shared" si="13"/>
        <v>23436.6</v>
      </c>
      <c r="L441" s="233" t="s">
        <v>17</v>
      </c>
      <c r="M441" s="233">
        <v>46262</v>
      </c>
      <c r="N441" s="233"/>
      <c r="V441" t="s">
        <v>4867</v>
      </c>
      <c r="W441" s="360">
        <v>0.4770833333333333</v>
      </c>
      <c r="X441" s="360">
        <v>0.61388888888888882</v>
      </c>
    </row>
    <row r="442" spans="1:24" hidden="1" x14ac:dyDescent="0.25">
      <c r="A442" s="483" t="s">
        <v>8119</v>
      </c>
      <c r="B442" t="s">
        <v>614</v>
      </c>
      <c r="C442" s="233">
        <v>46159</v>
      </c>
      <c r="D442" s="233">
        <v>46159</v>
      </c>
      <c r="E442" s="30" t="s">
        <v>7565</v>
      </c>
      <c r="F442" s="28" t="s">
        <v>106</v>
      </c>
      <c r="G442" s="465" t="s">
        <v>8129</v>
      </c>
      <c r="H442" s="88" t="s">
        <v>279</v>
      </c>
      <c r="I442" s="1608"/>
      <c r="J442" s="798">
        <v>26632.6</v>
      </c>
      <c r="K442" s="3">
        <f t="shared" si="13"/>
        <v>23436.6</v>
      </c>
      <c r="L442" s="233" t="s">
        <v>17</v>
      </c>
      <c r="M442" s="233">
        <v>46262</v>
      </c>
      <c r="N442" s="233"/>
      <c r="V442" t="s">
        <v>4983</v>
      </c>
      <c r="W442" s="360">
        <v>0.26874999999999999</v>
      </c>
      <c r="X442" s="360">
        <v>0.43541666666666662</v>
      </c>
    </row>
    <row r="443" spans="1:24" hidden="1" x14ac:dyDescent="0.25">
      <c r="A443" s="483">
        <v>19052026</v>
      </c>
      <c r="B443" t="s">
        <v>614</v>
      </c>
      <c r="C443" s="233">
        <v>46161</v>
      </c>
      <c r="D443" s="233">
        <v>46161</v>
      </c>
      <c r="E443" s="30" t="s">
        <v>7560</v>
      </c>
      <c r="F443" s="28" t="s">
        <v>236</v>
      </c>
      <c r="G443" s="465" t="s">
        <v>8130</v>
      </c>
      <c r="H443" s="88" t="s">
        <v>279</v>
      </c>
      <c r="I443" s="1608"/>
      <c r="J443" s="798">
        <v>52828.6</v>
      </c>
      <c r="K443" s="3">
        <f t="shared" si="13"/>
        <v>46489.599999999999</v>
      </c>
      <c r="L443" s="233" t="s">
        <v>17</v>
      </c>
      <c r="M443" s="233">
        <v>46262</v>
      </c>
      <c r="N443" s="233"/>
      <c r="V443" t="s">
        <v>8121</v>
      </c>
      <c r="W443" s="360">
        <v>0.27152777777777776</v>
      </c>
      <c r="X443" s="360"/>
    </row>
    <row r="444" spans="1:24" hidden="1" x14ac:dyDescent="0.25">
      <c r="A444" s="483">
        <v>20052026</v>
      </c>
      <c r="B444" t="s">
        <v>614</v>
      </c>
      <c r="C444" s="233">
        <v>46162</v>
      </c>
      <c r="D444" s="233">
        <v>46162</v>
      </c>
      <c r="E444" s="30" t="s">
        <v>7559</v>
      </c>
      <c r="F444" s="28" t="s">
        <v>1931</v>
      </c>
      <c r="G444" s="465" t="s">
        <v>8131</v>
      </c>
      <c r="H444" s="88" t="s">
        <v>279</v>
      </c>
      <c r="I444" s="1608"/>
      <c r="J444" s="798">
        <v>52828.6</v>
      </c>
      <c r="K444" s="3">
        <f t="shared" si="13"/>
        <v>46489.599999999999</v>
      </c>
      <c r="L444" s="233" t="s">
        <v>17</v>
      </c>
      <c r="M444" s="233">
        <v>46262</v>
      </c>
      <c r="N444" s="233"/>
      <c r="V444" t="s">
        <v>7552</v>
      </c>
      <c r="W444" s="360">
        <v>0.36874999999999997</v>
      </c>
      <c r="X444" s="360"/>
    </row>
    <row r="445" spans="1:24" hidden="1" x14ac:dyDescent="0.25">
      <c r="A445" s="483">
        <v>21052026</v>
      </c>
      <c r="B445" t="s">
        <v>614</v>
      </c>
      <c r="C445" s="233">
        <v>46163</v>
      </c>
      <c r="D445" s="233">
        <v>46163</v>
      </c>
      <c r="E445" s="30" t="s">
        <v>7557</v>
      </c>
      <c r="F445" s="28" t="s">
        <v>207</v>
      </c>
      <c r="G445" s="465" t="s">
        <v>8132</v>
      </c>
      <c r="H445" s="88" t="s">
        <v>279</v>
      </c>
      <c r="I445" s="1608"/>
      <c r="J445" s="798">
        <v>35364.6</v>
      </c>
      <c r="K445" s="3">
        <f t="shared" si="13"/>
        <v>31120.6</v>
      </c>
      <c r="L445" s="233" t="s">
        <v>17</v>
      </c>
      <c r="M445" s="233">
        <v>46262</v>
      </c>
      <c r="N445" s="233"/>
      <c r="V445" t="s">
        <v>4297</v>
      </c>
      <c r="W445" s="360">
        <v>0.34097222222222223</v>
      </c>
      <c r="X445" s="360">
        <v>0.5625</v>
      </c>
    </row>
    <row r="446" spans="1:24" hidden="1" x14ac:dyDescent="0.25">
      <c r="A446" s="483">
        <v>21052026</v>
      </c>
      <c r="B446" t="s">
        <v>614</v>
      </c>
      <c r="C446" s="233">
        <v>46163</v>
      </c>
      <c r="D446" s="233">
        <v>46163</v>
      </c>
      <c r="E446" s="30" t="s">
        <v>7559</v>
      </c>
      <c r="F446" s="28" t="s">
        <v>1931</v>
      </c>
      <c r="G446" s="465" t="s">
        <v>8133</v>
      </c>
      <c r="H446" s="88" t="s">
        <v>279</v>
      </c>
      <c r="I446" s="1608"/>
      <c r="J446" s="798">
        <v>52828.6</v>
      </c>
      <c r="K446" s="3">
        <f t="shared" si="13"/>
        <v>46489.599999999999</v>
      </c>
      <c r="L446" s="233" t="s">
        <v>17</v>
      </c>
      <c r="M446" s="233">
        <v>46262</v>
      </c>
      <c r="N446" s="233"/>
      <c r="V446" t="s">
        <v>7858</v>
      </c>
      <c r="W446" s="360">
        <v>0.40902777777777777</v>
      </c>
      <c r="X446" s="360"/>
    </row>
    <row r="447" spans="1:24" hidden="1" x14ac:dyDescent="0.25">
      <c r="A447" s="483">
        <v>22052026</v>
      </c>
      <c r="B447" t="s">
        <v>614</v>
      </c>
      <c r="C447" s="233">
        <v>46164</v>
      </c>
      <c r="D447" s="233">
        <v>46164</v>
      </c>
      <c r="E447" s="30" t="s">
        <v>7559</v>
      </c>
      <c r="F447" s="28" t="s">
        <v>1931</v>
      </c>
      <c r="G447" s="465" t="s">
        <v>8134</v>
      </c>
      <c r="H447" s="88" t="s">
        <v>279</v>
      </c>
      <c r="I447" s="1608"/>
      <c r="J447" s="798">
        <v>52828.6</v>
      </c>
      <c r="K447" s="3">
        <f t="shared" si="13"/>
        <v>46489.599999999999</v>
      </c>
      <c r="L447" s="233" t="s">
        <v>17</v>
      </c>
      <c r="M447" s="233">
        <v>46262</v>
      </c>
      <c r="N447" s="233"/>
      <c r="V447" t="s">
        <v>4983</v>
      </c>
      <c r="W447" s="360">
        <v>0.33333333333333331</v>
      </c>
      <c r="X447" s="360"/>
    </row>
    <row r="448" spans="1:24" hidden="1" x14ac:dyDescent="0.25">
      <c r="A448" s="483">
        <v>22052026</v>
      </c>
      <c r="B448" t="s">
        <v>614</v>
      </c>
      <c r="C448" s="233">
        <v>46164</v>
      </c>
      <c r="D448" s="233">
        <v>46164</v>
      </c>
      <c r="E448" s="30" t="s">
        <v>7553</v>
      </c>
      <c r="F448" s="28" t="s">
        <v>2036</v>
      </c>
      <c r="G448" s="465" t="s">
        <v>8173</v>
      </c>
      <c r="H448" s="88" t="s">
        <v>279</v>
      </c>
      <c r="I448" s="1608"/>
      <c r="J448" s="798">
        <v>26632.6</v>
      </c>
      <c r="K448" s="3">
        <f t="shared" si="13"/>
        <v>23436.6</v>
      </c>
      <c r="L448" s="233" t="s">
        <v>17</v>
      </c>
      <c r="M448" s="233">
        <v>46262</v>
      </c>
      <c r="N448" s="233"/>
      <c r="V448" t="s">
        <v>8125</v>
      </c>
      <c r="W448" s="360">
        <v>0.49236111111111108</v>
      </c>
      <c r="X448" s="360">
        <v>0.62361111111111112</v>
      </c>
    </row>
    <row r="449" spans="1:24" hidden="1" x14ac:dyDescent="0.25">
      <c r="A449" s="483">
        <v>23052026</v>
      </c>
      <c r="B449" t="s">
        <v>614</v>
      </c>
      <c r="C449" s="233">
        <v>46165</v>
      </c>
      <c r="D449" s="233">
        <v>46165</v>
      </c>
      <c r="E449" s="30" t="s">
        <v>7569</v>
      </c>
      <c r="F449" s="28" t="s">
        <v>563</v>
      </c>
      <c r="G449" s="465" t="s">
        <v>8174</v>
      </c>
      <c r="H449" s="88" t="s">
        <v>279</v>
      </c>
      <c r="I449" s="1608"/>
      <c r="J449" s="798">
        <v>28379</v>
      </c>
      <c r="K449" s="3">
        <f t="shared" si="13"/>
        <v>24974</v>
      </c>
      <c r="L449" s="233" t="s">
        <v>17</v>
      </c>
      <c r="M449" s="233">
        <v>46262</v>
      </c>
      <c r="N449" s="233"/>
      <c r="V449" t="s">
        <v>4297</v>
      </c>
      <c r="W449" s="360">
        <v>0.40763888888888888</v>
      </c>
      <c r="X449" s="360">
        <v>0.5805555555555556</v>
      </c>
    </row>
    <row r="450" spans="1:24" hidden="1" x14ac:dyDescent="0.25">
      <c r="A450" s="483">
        <v>24052026</v>
      </c>
      <c r="B450" t="s">
        <v>614</v>
      </c>
      <c r="C450" s="233">
        <v>46166</v>
      </c>
      <c r="D450" s="233">
        <v>46166</v>
      </c>
      <c r="E450" s="30" t="s">
        <v>7559</v>
      </c>
      <c r="F450" s="28" t="s">
        <v>1931</v>
      </c>
      <c r="G450" s="465" t="s">
        <v>8175</v>
      </c>
      <c r="H450" s="88" t="s">
        <v>279</v>
      </c>
      <c r="I450" s="1608"/>
      <c r="J450" s="798">
        <v>52828.6</v>
      </c>
      <c r="K450" s="3">
        <f t="shared" si="13"/>
        <v>46489.599999999999</v>
      </c>
      <c r="L450" s="233" t="s">
        <v>17</v>
      </c>
      <c r="M450" s="233">
        <v>46262</v>
      </c>
      <c r="N450" s="233"/>
      <c r="V450" t="s">
        <v>4983</v>
      </c>
      <c r="W450" s="360">
        <v>0.43472222222222223</v>
      </c>
      <c r="X450" s="360">
        <v>0.74722222222222223</v>
      </c>
    </row>
    <row r="451" spans="1:24" hidden="1" x14ac:dyDescent="0.25">
      <c r="A451" s="483">
        <v>24052026</v>
      </c>
      <c r="B451" t="s">
        <v>614</v>
      </c>
      <c r="C451" s="233">
        <v>46166</v>
      </c>
      <c r="D451" s="233">
        <v>46166</v>
      </c>
      <c r="E451" s="30" t="s">
        <v>7571</v>
      </c>
      <c r="F451" s="28" t="s">
        <v>294</v>
      </c>
      <c r="G451" s="465" t="s">
        <v>8176</v>
      </c>
      <c r="H451" s="88" t="s">
        <v>279</v>
      </c>
      <c r="I451" s="1608"/>
      <c r="J451" s="798">
        <v>37984.199999999997</v>
      </c>
      <c r="K451" s="3">
        <f t="shared" si="13"/>
        <v>33426.199999999997</v>
      </c>
      <c r="L451" s="233" t="s">
        <v>17</v>
      </c>
      <c r="M451" s="233">
        <v>46262</v>
      </c>
      <c r="N451" s="233"/>
      <c r="V451" t="s">
        <v>8150</v>
      </c>
      <c r="W451" s="360">
        <v>0.4777777777777778</v>
      </c>
      <c r="X451" s="360">
        <v>0.63472222222222219</v>
      </c>
    </row>
    <row r="452" spans="1:24" hidden="1" x14ac:dyDescent="0.25">
      <c r="A452" s="483">
        <v>24052026</v>
      </c>
      <c r="B452" t="s">
        <v>614</v>
      </c>
      <c r="C452" s="233">
        <v>46166</v>
      </c>
      <c r="D452" s="233">
        <v>46166</v>
      </c>
      <c r="E452" s="30" t="s">
        <v>7569</v>
      </c>
      <c r="F452" s="28" t="s">
        <v>563</v>
      </c>
      <c r="G452" s="465" t="s">
        <v>8177</v>
      </c>
      <c r="H452" s="88" t="s">
        <v>279</v>
      </c>
      <c r="I452" s="1608"/>
      <c r="J452" s="798">
        <v>28379</v>
      </c>
      <c r="K452" s="3">
        <f t="shared" si="13"/>
        <v>24974</v>
      </c>
      <c r="L452" s="233" t="s">
        <v>17</v>
      </c>
      <c r="M452" s="233">
        <v>46262</v>
      </c>
      <c r="N452" s="233"/>
      <c r="V452" t="s">
        <v>7942</v>
      </c>
      <c r="W452" s="360">
        <v>0.31319444444444444</v>
      </c>
      <c r="X452" s="360">
        <v>0.50069444444444444</v>
      </c>
    </row>
    <row r="453" spans="1:24" hidden="1" x14ac:dyDescent="0.25">
      <c r="A453" s="483">
        <v>25052026</v>
      </c>
      <c r="B453" t="s">
        <v>614</v>
      </c>
      <c r="C453" s="233">
        <v>46167</v>
      </c>
      <c r="D453" s="233">
        <v>46167</v>
      </c>
      <c r="E453" s="30" t="s">
        <v>7555</v>
      </c>
      <c r="F453" s="28" t="s">
        <v>545</v>
      </c>
      <c r="G453" s="465" t="s">
        <v>8178</v>
      </c>
      <c r="H453" s="88" t="s">
        <v>279</v>
      </c>
      <c r="I453" s="1608"/>
      <c r="J453" s="798">
        <v>31871.8</v>
      </c>
      <c r="K453" s="3">
        <f t="shared" si="13"/>
        <v>28046.799999999999</v>
      </c>
      <c r="L453" s="233" t="s">
        <v>17</v>
      </c>
      <c r="M453" s="233">
        <v>46262</v>
      </c>
      <c r="N453" s="233"/>
      <c r="V453" t="s">
        <v>894</v>
      </c>
      <c r="W453" s="360">
        <v>0.2673611111111111</v>
      </c>
      <c r="X453" s="360">
        <v>0.4375</v>
      </c>
    </row>
    <row r="454" spans="1:24" x14ac:dyDescent="0.25">
      <c r="A454" s="483" t="s">
        <v>8179</v>
      </c>
      <c r="B454" t="s">
        <v>614</v>
      </c>
      <c r="C454" s="233">
        <v>46175</v>
      </c>
      <c r="D454" s="233">
        <v>46175</v>
      </c>
      <c r="E454" s="30" t="s">
        <v>7556</v>
      </c>
      <c r="F454" s="28" t="s">
        <v>285</v>
      </c>
      <c r="G454" s="465" t="s">
        <v>8242</v>
      </c>
      <c r="H454" s="88" t="s">
        <v>279</v>
      </c>
      <c r="I454" s="1491" t="s">
        <v>8526</v>
      </c>
      <c r="J454" s="798">
        <v>44096.6</v>
      </c>
      <c r="K454" s="3">
        <f t="shared" si="13"/>
        <v>38804.6</v>
      </c>
      <c r="L454" s="1331"/>
      <c r="M454"/>
      <c r="N454" s="233"/>
      <c r="V454" t="s">
        <v>7888</v>
      </c>
      <c r="W454" s="360">
        <v>0.65347222222222223</v>
      </c>
      <c r="X454" s="360">
        <v>0.91388888888888886</v>
      </c>
    </row>
    <row r="455" spans="1:24" x14ac:dyDescent="0.25">
      <c r="A455" s="483" t="s">
        <v>8182</v>
      </c>
      <c r="B455" t="s">
        <v>614</v>
      </c>
      <c r="C455" s="233">
        <v>46176</v>
      </c>
      <c r="D455" s="233">
        <v>46176</v>
      </c>
      <c r="E455" s="30" t="s">
        <v>7564</v>
      </c>
      <c r="F455" s="28" t="s">
        <v>68</v>
      </c>
      <c r="G455" s="465" t="s">
        <v>8243</v>
      </c>
      <c r="H455" s="88" t="s">
        <v>279</v>
      </c>
      <c r="I455" s="1491"/>
      <c r="J455" s="798">
        <v>44096.6</v>
      </c>
      <c r="K455" s="3">
        <f t="shared" si="13"/>
        <v>38804.6</v>
      </c>
      <c r="L455" s="1331"/>
      <c r="M455"/>
      <c r="N455" s="233"/>
      <c r="V455" t="s">
        <v>6349</v>
      </c>
      <c r="W455" s="360"/>
      <c r="X455" s="360"/>
    </row>
    <row r="456" spans="1:24" x14ac:dyDescent="0.25">
      <c r="A456" s="483" t="s">
        <v>8184</v>
      </c>
      <c r="B456" t="s">
        <v>614</v>
      </c>
      <c r="C456" s="233">
        <v>46177</v>
      </c>
      <c r="D456" s="233">
        <v>46177</v>
      </c>
      <c r="E456" s="30" t="s">
        <v>7554</v>
      </c>
      <c r="F456" s="28" t="s">
        <v>317</v>
      </c>
      <c r="G456" s="465" t="s">
        <v>8244</v>
      </c>
      <c r="H456" s="88" t="s">
        <v>279</v>
      </c>
      <c r="I456" s="1491"/>
      <c r="J456" s="798">
        <v>45843</v>
      </c>
      <c r="K456" s="3">
        <f t="shared" si="13"/>
        <v>40342</v>
      </c>
      <c r="L456" s="1331"/>
      <c r="M456"/>
      <c r="N456" s="233"/>
      <c r="V456" t="s">
        <v>8158</v>
      </c>
      <c r="W456" s="360">
        <v>0.31180555555555556</v>
      </c>
      <c r="X456" s="360"/>
    </row>
    <row r="457" spans="1:24" s="21" customFormat="1" x14ac:dyDescent="0.25">
      <c r="A457" s="509">
        <v>10062026</v>
      </c>
      <c r="B457" s="21" t="s">
        <v>614</v>
      </c>
      <c r="C457" s="233">
        <v>46183</v>
      </c>
      <c r="D457" s="510">
        <v>46183</v>
      </c>
      <c r="E457" s="169" t="s">
        <v>7558</v>
      </c>
      <c r="F457" s="177" t="s">
        <v>143</v>
      </c>
      <c r="G457" s="465" t="s">
        <v>8245</v>
      </c>
      <c r="H457" s="181" t="s">
        <v>279</v>
      </c>
      <c r="I457" s="1491"/>
      <c r="J457" s="911">
        <v>37111</v>
      </c>
      <c r="K457" s="3">
        <f t="shared" si="13"/>
        <v>32658</v>
      </c>
      <c r="L457" s="1293"/>
      <c r="N457" s="233"/>
      <c r="V457" s="21" t="s">
        <v>7942</v>
      </c>
      <c r="W457" s="488">
        <v>0.36805555555555558</v>
      </c>
      <c r="X457" s="488"/>
    </row>
    <row r="458" spans="1:24" x14ac:dyDescent="0.25">
      <c r="A458" s="509">
        <v>10062026</v>
      </c>
      <c r="B458" s="21" t="s">
        <v>614</v>
      </c>
      <c r="C458" s="233">
        <v>46183</v>
      </c>
      <c r="D458" s="510">
        <v>46183</v>
      </c>
      <c r="E458" s="30" t="s">
        <v>7555</v>
      </c>
      <c r="F458" s="28" t="s">
        <v>545</v>
      </c>
      <c r="G458" s="465" t="s">
        <v>8246</v>
      </c>
      <c r="H458" s="88" t="s">
        <v>279</v>
      </c>
      <c r="I458" s="1491"/>
      <c r="J458" s="798">
        <v>31871.8</v>
      </c>
      <c r="K458" s="3">
        <f t="shared" si="13"/>
        <v>28046.799999999999</v>
      </c>
      <c r="L458" s="1331"/>
      <c r="M458"/>
      <c r="N458" s="233"/>
      <c r="V458" s="21" t="s">
        <v>7138</v>
      </c>
      <c r="W458" s="360"/>
      <c r="X458" s="360"/>
    </row>
    <row r="459" spans="1:24" x14ac:dyDescent="0.25">
      <c r="A459" s="483">
        <v>11062026</v>
      </c>
      <c r="B459" s="21" t="s">
        <v>614</v>
      </c>
      <c r="C459" s="233">
        <v>46184</v>
      </c>
      <c r="D459" s="233">
        <v>46184</v>
      </c>
      <c r="E459" s="30" t="s">
        <v>7556</v>
      </c>
      <c r="F459" s="28" t="s">
        <v>285</v>
      </c>
      <c r="G459" s="465" t="s">
        <v>8247</v>
      </c>
      <c r="H459" s="88" t="s">
        <v>279</v>
      </c>
      <c r="I459" s="1491"/>
      <c r="J459" s="798">
        <v>44096.6</v>
      </c>
      <c r="K459" s="3">
        <f t="shared" si="13"/>
        <v>38804.6</v>
      </c>
      <c r="L459" s="1331"/>
      <c r="M459"/>
      <c r="N459" s="233"/>
      <c r="V459" s="21" t="s">
        <v>7060</v>
      </c>
      <c r="W459" s="360">
        <v>0.28055555555555556</v>
      </c>
      <c r="X459" s="360">
        <v>0.52152777777777781</v>
      </c>
    </row>
    <row r="460" spans="1:24" x14ac:dyDescent="0.25">
      <c r="A460" s="483">
        <v>13062026</v>
      </c>
      <c r="B460" s="21" t="s">
        <v>614</v>
      </c>
      <c r="C460" s="233">
        <v>46186</v>
      </c>
      <c r="D460" s="233">
        <v>46186</v>
      </c>
      <c r="E460" s="30" t="s">
        <v>7556</v>
      </c>
      <c r="F460" s="28" t="s">
        <v>285</v>
      </c>
      <c r="G460" s="465" t="s">
        <v>8247</v>
      </c>
      <c r="H460" s="88" t="s">
        <v>279</v>
      </c>
      <c r="I460" s="1491"/>
      <c r="J460" s="798">
        <v>44096.6</v>
      </c>
      <c r="K460" s="3">
        <f t="shared" si="13"/>
        <v>38804.6</v>
      </c>
      <c r="L460" s="1331"/>
      <c r="M460"/>
      <c r="N460" s="233"/>
      <c r="V460" s="21" t="s">
        <v>6678</v>
      </c>
      <c r="W460" s="360">
        <v>0.40138888888888885</v>
      </c>
      <c r="X460" s="360">
        <v>0.62152777777777779</v>
      </c>
    </row>
    <row r="461" spans="1:24" x14ac:dyDescent="0.25">
      <c r="A461" s="483">
        <v>13062026</v>
      </c>
      <c r="B461" s="21" t="s">
        <v>614</v>
      </c>
      <c r="C461" s="233">
        <v>46186</v>
      </c>
      <c r="D461" s="233">
        <v>46186</v>
      </c>
      <c r="E461" s="30" t="s">
        <v>7561</v>
      </c>
      <c r="F461" s="28" t="s">
        <v>2008</v>
      </c>
      <c r="G461" s="465" t="s">
        <v>8249</v>
      </c>
      <c r="H461" s="88" t="s">
        <v>279</v>
      </c>
      <c r="I461" s="1491"/>
      <c r="J461" s="798">
        <v>46716.2</v>
      </c>
      <c r="K461" s="3">
        <f t="shared" si="13"/>
        <v>41110.199999999997</v>
      </c>
      <c r="L461" s="1331"/>
      <c r="M461"/>
      <c r="N461" s="233"/>
      <c r="V461" s="21" t="s">
        <v>7888</v>
      </c>
      <c r="W461" s="360">
        <v>0.30763888888888891</v>
      </c>
      <c r="X461" s="360">
        <v>0.60347222222222219</v>
      </c>
    </row>
    <row r="462" spans="1:24" x14ac:dyDescent="0.25">
      <c r="A462" s="483">
        <v>16062026</v>
      </c>
      <c r="B462" s="21" t="s">
        <v>614</v>
      </c>
      <c r="C462" s="233">
        <v>46189</v>
      </c>
      <c r="D462" s="233">
        <v>46189</v>
      </c>
      <c r="E462" s="30" t="s">
        <v>7567</v>
      </c>
      <c r="F462" s="28" t="s">
        <v>8195</v>
      </c>
      <c r="G462" s="465" t="s">
        <v>8248</v>
      </c>
      <c r="H462" s="88" t="s">
        <v>279</v>
      </c>
      <c r="I462" s="1491"/>
      <c r="J462" s="798">
        <v>26632.6</v>
      </c>
      <c r="K462" s="3">
        <f t="shared" si="13"/>
        <v>23436.6</v>
      </c>
      <c r="L462" s="1331"/>
      <c r="M462"/>
      <c r="N462" s="233"/>
      <c r="V462" s="21" t="s">
        <v>7335</v>
      </c>
      <c r="W462" s="360">
        <v>0.33611111111111108</v>
      </c>
      <c r="X462" s="360"/>
    </row>
    <row r="463" spans="1:24" x14ac:dyDescent="0.25">
      <c r="A463" s="483">
        <v>23062026</v>
      </c>
      <c r="B463" t="s">
        <v>614</v>
      </c>
      <c r="C463" s="233">
        <v>46196</v>
      </c>
      <c r="D463" s="233">
        <v>46196</v>
      </c>
      <c r="E463" s="30" t="s">
        <v>7561</v>
      </c>
      <c r="F463" s="28" t="s">
        <v>2008</v>
      </c>
      <c r="G463" s="465" t="s">
        <v>8328</v>
      </c>
      <c r="H463" s="88" t="s">
        <v>279</v>
      </c>
      <c r="I463" s="1491"/>
      <c r="J463" s="798">
        <v>46716.2</v>
      </c>
      <c r="K463" s="3">
        <f t="shared" ref="K463:K487" si="14">+J463-ROUND(J463*0.12,0)</f>
        <v>41110.199999999997</v>
      </c>
      <c r="L463" s="1331"/>
      <c r="M463"/>
      <c r="N463" s="233"/>
      <c r="V463" s="21" t="s">
        <v>4983</v>
      </c>
      <c r="W463" s="360">
        <v>0.36944444444444446</v>
      </c>
      <c r="X463" s="360"/>
    </row>
    <row r="464" spans="1:24" x14ac:dyDescent="0.25">
      <c r="A464" s="483">
        <v>23062026</v>
      </c>
      <c r="B464" t="s">
        <v>614</v>
      </c>
      <c r="C464" s="233">
        <v>46196</v>
      </c>
      <c r="D464" s="233">
        <v>46196</v>
      </c>
      <c r="E464" s="30" t="s">
        <v>7567</v>
      </c>
      <c r="F464" s="28" t="s">
        <v>4622</v>
      </c>
      <c r="G464" s="465" t="s">
        <v>8329</v>
      </c>
      <c r="H464" s="88" t="s">
        <v>279</v>
      </c>
      <c r="I464" s="1491"/>
      <c r="J464" s="798">
        <v>26632.6</v>
      </c>
      <c r="K464" s="3">
        <f t="shared" si="14"/>
        <v>23436.6</v>
      </c>
      <c r="L464" s="1331"/>
      <c r="M464"/>
      <c r="N464" s="233"/>
      <c r="V464" s="21" t="s">
        <v>4297</v>
      </c>
      <c r="W464" s="360"/>
      <c r="X464" s="360"/>
    </row>
    <row r="465" spans="1:24" x14ac:dyDescent="0.25">
      <c r="A465" s="483">
        <v>25062026</v>
      </c>
      <c r="B465" t="s">
        <v>614</v>
      </c>
      <c r="C465" s="233">
        <v>46198</v>
      </c>
      <c r="D465" s="233">
        <v>46198</v>
      </c>
      <c r="E465" s="30" t="s">
        <v>7567</v>
      </c>
      <c r="F465" s="28" t="s">
        <v>8195</v>
      </c>
      <c r="G465" s="465" t="s">
        <v>8330</v>
      </c>
      <c r="H465" s="88" t="s">
        <v>279</v>
      </c>
      <c r="I465" s="1491"/>
      <c r="J465" s="798">
        <v>26632.6</v>
      </c>
      <c r="K465" s="3">
        <f t="shared" si="14"/>
        <v>23436.6</v>
      </c>
      <c r="L465" s="1331"/>
      <c r="M465"/>
      <c r="N465" s="798"/>
      <c r="V465" s="21" t="s">
        <v>6503</v>
      </c>
      <c r="W465" s="360"/>
      <c r="X465" s="360"/>
    </row>
    <row r="466" spans="1:24" x14ac:dyDescent="0.25">
      <c r="A466" s="483" t="s">
        <v>8297</v>
      </c>
      <c r="B466" t="s">
        <v>614</v>
      </c>
      <c r="C466" s="233">
        <v>46206</v>
      </c>
      <c r="D466" s="233">
        <v>46206</v>
      </c>
      <c r="E466" s="30" t="s">
        <v>7556</v>
      </c>
      <c r="F466" s="313" t="s">
        <v>285</v>
      </c>
      <c r="G466" s="465" t="s">
        <v>8331</v>
      </c>
      <c r="H466" s="88" t="s">
        <v>279</v>
      </c>
      <c r="I466" s="1491" t="s">
        <v>8467</v>
      </c>
      <c r="J466" s="313">
        <v>44096.6</v>
      </c>
      <c r="K466" s="3">
        <f t="shared" si="14"/>
        <v>38804.6</v>
      </c>
      <c r="L466"/>
      <c r="M466"/>
      <c r="N466" s="88"/>
      <c r="O466" s="88"/>
      <c r="V466" t="s">
        <v>8118</v>
      </c>
      <c r="W466" s="360"/>
      <c r="X466" s="30"/>
    </row>
    <row r="467" spans="1:24" x14ac:dyDescent="0.25">
      <c r="A467" s="483" t="s">
        <v>8297</v>
      </c>
      <c r="B467" t="s">
        <v>614</v>
      </c>
      <c r="C467" s="233">
        <v>46206</v>
      </c>
      <c r="D467" s="233">
        <v>46206</v>
      </c>
      <c r="E467" s="30" t="s">
        <v>7567</v>
      </c>
      <c r="F467" s="313" t="s">
        <v>4622</v>
      </c>
      <c r="G467" s="465" t="s">
        <v>8332</v>
      </c>
      <c r="H467" s="88" t="s">
        <v>279</v>
      </c>
      <c r="I467" s="1491"/>
      <c r="J467" s="313">
        <v>26632.6</v>
      </c>
      <c r="K467" s="3">
        <f t="shared" si="14"/>
        <v>23436.6</v>
      </c>
      <c r="L467"/>
      <c r="M467"/>
      <c r="N467" s="88"/>
      <c r="O467" s="88"/>
      <c r="V467" t="s">
        <v>7833</v>
      </c>
      <c r="W467" s="360"/>
      <c r="X467" s="30"/>
    </row>
    <row r="468" spans="1:24" x14ac:dyDescent="0.25">
      <c r="A468" s="483" t="s">
        <v>8302</v>
      </c>
      <c r="B468" t="s">
        <v>614</v>
      </c>
      <c r="C468" s="233">
        <v>46208</v>
      </c>
      <c r="D468" s="233">
        <v>46208</v>
      </c>
      <c r="E468" s="30" t="s">
        <v>7561</v>
      </c>
      <c r="F468" s="313" t="s">
        <v>2008</v>
      </c>
      <c r="G468" s="465" t="s">
        <v>8333</v>
      </c>
      <c r="H468" s="88" t="s">
        <v>279</v>
      </c>
      <c r="I468" s="1491"/>
      <c r="J468" s="313">
        <v>46716.2</v>
      </c>
      <c r="K468" s="3">
        <f t="shared" si="14"/>
        <v>41110.199999999997</v>
      </c>
      <c r="L468"/>
      <c r="M468"/>
      <c r="N468" s="88"/>
      <c r="O468" s="88"/>
      <c r="V468" t="s">
        <v>8304</v>
      </c>
      <c r="W468" s="360">
        <v>0.62152777777777779</v>
      </c>
      <c r="X468" s="360">
        <v>0.90486111111111101</v>
      </c>
    </row>
    <row r="469" spans="1:24" x14ac:dyDescent="0.25">
      <c r="A469" s="483" t="s">
        <v>8319</v>
      </c>
      <c r="B469" t="s">
        <v>614</v>
      </c>
      <c r="C469" s="233">
        <v>46212</v>
      </c>
      <c r="D469" s="233">
        <v>46212</v>
      </c>
      <c r="E469" s="30" t="s">
        <v>7554</v>
      </c>
      <c r="F469" s="313" t="s">
        <v>317</v>
      </c>
      <c r="G469" s="465" t="s">
        <v>8374</v>
      </c>
      <c r="H469" s="88" t="s">
        <v>279</v>
      </c>
      <c r="I469" s="1491"/>
      <c r="J469" s="313">
        <v>45843</v>
      </c>
      <c r="K469" s="3">
        <f t="shared" si="14"/>
        <v>40342</v>
      </c>
      <c r="L469"/>
      <c r="M469"/>
      <c r="N469" s="88"/>
      <c r="O469" s="88"/>
      <c r="V469" t="s">
        <v>8304</v>
      </c>
      <c r="W469" s="360">
        <v>0.73749999999999993</v>
      </c>
      <c r="X469" s="360">
        <v>6.2499999999999995E-3</v>
      </c>
    </row>
    <row r="470" spans="1:24" x14ac:dyDescent="0.25">
      <c r="A470" s="483" t="s">
        <v>8355</v>
      </c>
      <c r="B470" t="s">
        <v>614</v>
      </c>
      <c r="C470" s="233">
        <v>46218</v>
      </c>
      <c r="D470" s="233">
        <v>46218</v>
      </c>
      <c r="E470" s="30" t="s">
        <v>7563</v>
      </c>
      <c r="F470" s="313" t="s">
        <v>113</v>
      </c>
      <c r="G470" s="465" t="s">
        <v>8375</v>
      </c>
      <c r="H470" s="88" t="s">
        <v>279</v>
      </c>
      <c r="I470" s="1491"/>
      <c r="J470" s="313">
        <v>37984.199999999997</v>
      </c>
      <c r="K470" s="3">
        <f t="shared" si="14"/>
        <v>33426.199999999997</v>
      </c>
      <c r="L470"/>
      <c r="M470"/>
      <c r="N470" s="88"/>
      <c r="O470" s="88"/>
      <c r="V470" t="s">
        <v>8065</v>
      </c>
      <c r="W470" s="360"/>
      <c r="X470" s="360"/>
    </row>
    <row r="471" spans="1:24" x14ac:dyDescent="0.25">
      <c r="A471" s="483" t="s">
        <v>8376</v>
      </c>
      <c r="B471" t="s">
        <v>614</v>
      </c>
      <c r="C471" s="233">
        <v>46220</v>
      </c>
      <c r="D471" s="233"/>
      <c r="E471" s="30" t="s">
        <v>7567</v>
      </c>
      <c r="F471" s="313" t="s">
        <v>4622</v>
      </c>
      <c r="G471" s="465" t="s">
        <v>8380</v>
      </c>
      <c r="H471" s="88"/>
      <c r="I471" s="1491"/>
      <c r="J471" s="798">
        <v>26632.6</v>
      </c>
      <c r="K471" s="3">
        <f t="shared" si="14"/>
        <v>23436.6</v>
      </c>
      <c r="L471"/>
      <c r="M471"/>
      <c r="N471" s="88"/>
      <c r="O471" s="88"/>
      <c r="W471" s="360"/>
      <c r="X471" s="360"/>
    </row>
    <row r="472" spans="1:24" x14ac:dyDescent="0.25">
      <c r="A472" s="483" t="s">
        <v>8377</v>
      </c>
      <c r="B472" t="s">
        <v>614</v>
      </c>
      <c r="C472" s="233">
        <v>46222</v>
      </c>
      <c r="D472" s="233"/>
      <c r="E472" s="359" t="s">
        <v>7565</v>
      </c>
      <c r="F472" s="313" t="s">
        <v>106</v>
      </c>
      <c r="G472" s="465" t="s">
        <v>8381</v>
      </c>
      <c r="H472" s="88"/>
      <c r="I472" s="1491"/>
      <c r="J472" s="313">
        <v>26632.6</v>
      </c>
      <c r="K472" s="3">
        <f t="shared" si="14"/>
        <v>23436.6</v>
      </c>
      <c r="L472"/>
      <c r="M472"/>
      <c r="N472" s="88"/>
      <c r="O472" s="88"/>
      <c r="W472" s="360"/>
      <c r="X472" s="360"/>
    </row>
    <row r="473" spans="1:24" x14ac:dyDescent="0.25">
      <c r="A473" s="483" t="s">
        <v>8378</v>
      </c>
      <c r="B473" t="s">
        <v>614</v>
      </c>
      <c r="C473" s="233">
        <v>46224</v>
      </c>
      <c r="E473" s="359" t="s">
        <v>7555</v>
      </c>
      <c r="F473" s="28" t="s">
        <v>545</v>
      </c>
      <c r="G473" s="465" t="s">
        <v>8379</v>
      </c>
      <c r="I473" s="1491"/>
      <c r="J473" s="798">
        <v>31871.8</v>
      </c>
      <c r="K473" s="3">
        <f t="shared" si="14"/>
        <v>28046.799999999999</v>
      </c>
    </row>
    <row r="474" spans="1:24" x14ac:dyDescent="0.25">
      <c r="A474" s="483" t="s">
        <v>8388</v>
      </c>
      <c r="B474" t="s">
        <v>614</v>
      </c>
      <c r="C474" s="1444">
        <v>46226</v>
      </c>
      <c r="D474" s="233">
        <v>46226</v>
      </c>
      <c r="E474" s="30" t="s">
        <v>7564</v>
      </c>
      <c r="F474" s="313" t="s">
        <v>68</v>
      </c>
      <c r="G474" s="465" t="s">
        <v>8390</v>
      </c>
      <c r="H474" s="88" t="s">
        <v>279</v>
      </c>
      <c r="I474" s="1491"/>
      <c r="J474" s="313">
        <v>44096.6</v>
      </c>
      <c r="K474" s="3">
        <f t="shared" si="14"/>
        <v>38804.6</v>
      </c>
      <c r="L474"/>
      <c r="N474" s="88"/>
      <c r="O474" s="88"/>
      <c r="V474" t="s">
        <v>8316</v>
      </c>
      <c r="W474" s="360"/>
      <c r="X474" s="360"/>
    </row>
    <row r="475" spans="1:24" x14ac:dyDescent="0.25">
      <c r="A475" s="483" t="s">
        <v>8389</v>
      </c>
      <c r="B475" t="s">
        <v>614</v>
      </c>
      <c r="C475" s="1444">
        <v>46227</v>
      </c>
      <c r="D475" s="233">
        <v>46227</v>
      </c>
      <c r="E475" s="30" t="s">
        <v>7567</v>
      </c>
      <c r="F475" s="313" t="s">
        <v>8195</v>
      </c>
      <c r="G475" s="465" t="s">
        <v>8391</v>
      </c>
      <c r="H475" s="88" t="s">
        <v>279</v>
      </c>
      <c r="I475" s="1491"/>
      <c r="J475" s="313">
        <v>26632.6</v>
      </c>
      <c r="K475" s="3">
        <f t="shared" si="14"/>
        <v>23436.6</v>
      </c>
      <c r="L475"/>
      <c r="N475" s="88"/>
      <c r="O475" s="88"/>
      <c r="V475" t="s">
        <v>6952</v>
      </c>
      <c r="W475" s="360"/>
      <c r="X475" s="360"/>
    </row>
    <row r="476" spans="1:24" x14ac:dyDescent="0.25">
      <c r="A476" s="483">
        <v>28072026</v>
      </c>
      <c r="B476" t="s">
        <v>614</v>
      </c>
      <c r="C476" s="1444">
        <v>46231</v>
      </c>
      <c r="D476" s="233">
        <v>46231</v>
      </c>
      <c r="E476" s="30" t="s">
        <v>7571</v>
      </c>
      <c r="F476" s="313" t="s">
        <v>872</v>
      </c>
      <c r="G476" s="465" t="s">
        <v>8410</v>
      </c>
      <c r="H476" s="88" t="s">
        <v>279</v>
      </c>
      <c r="I476" s="1491"/>
      <c r="J476" s="313">
        <v>37984.199999999997</v>
      </c>
      <c r="K476" s="3">
        <f t="shared" si="14"/>
        <v>33426.199999999997</v>
      </c>
      <c r="L476"/>
      <c r="M476"/>
      <c r="Q476" s="360"/>
      <c r="R476" s="360"/>
    </row>
    <row r="477" spans="1:24" x14ac:dyDescent="0.25">
      <c r="A477" s="1448" t="s">
        <v>8413</v>
      </c>
      <c r="B477" t="s">
        <v>614</v>
      </c>
      <c r="C477" s="1444">
        <v>46235</v>
      </c>
      <c r="D477" s="233">
        <v>46235</v>
      </c>
      <c r="E477" s="30" t="s">
        <v>7571</v>
      </c>
      <c r="F477" s="313" t="s">
        <v>872</v>
      </c>
      <c r="G477" s="465" t="s">
        <v>8435</v>
      </c>
      <c r="H477" s="88" t="s">
        <v>279</v>
      </c>
      <c r="I477" s="1491" t="s">
        <v>8596</v>
      </c>
      <c r="J477" s="313">
        <v>37984.199999999997</v>
      </c>
      <c r="K477" s="3">
        <f t="shared" si="14"/>
        <v>33426.199999999997</v>
      </c>
      <c r="L477"/>
      <c r="M477" s="558"/>
      <c r="N477" s="558"/>
      <c r="O477" s="88"/>
      <c r="V477" t="s">
        <v>8414</v>
      </c>
      <c r="W477" s="360">
        <v>0.33749999999999997</v>
      </c>
      <c r="X477" s="360">
        <v>0.59097222222222223</v>
      </c>
    </row>
    <row r="478" spans="1:24" x14ac:dyDescent="0.25">
      <c r="A478" s="1448" t="s">
        <v>8413</v>
      </c>
      <c r="B478" t="s">
        <v>614</v>
      </c>
      <c r="C478" s="1444">
        <v>46235</v>
      </c>
      <c r="D478" s="233">
        <v>46235</v>
      </c>
      <c r="E478" s="30" t="s">
        <v>7571</v>
      </c>
      <c r="F478" s="313" t="s">
        <v>872</v>
      </c>
      <c r="G478" s="465" t="s">
        <v>8436</v>
      </c>
      <c r="H478" s="88" t="s">
        <v>279</v>
      </c>
      <c r="I478" s="1491"/>
      <c r="J478" s="313">
        <v>37984.199999999997</v>
      </c>
      <c r="K478" s="3">
        <f t="shared" si="14"/>
        <v>33426.199999999997</v>
      </c>
      <c r="L478"/>
      <c r="M478" s="558"/>
      <c r="N478" s="558"/>
      <c r="O478" s="88"/>
      <c r="V478" t="s">
        <v>7548</v>
      </c>
      <c r="W478" s="360">
        <v>0.34166666666666662</v>
      </c>
      <c r="X478" s="360">
        <v>0.57986111111111105</v>
      </c>
    </row>
    <row r="479" spans="1:24" x14ac:dyDescent="0.25">
      <c r="A479" s="1448" t="s">
        <v>8433</v>
      </c>
      <c r="B479" t="s">
        <v>614</v>
      </c>
      <c r="C479" s="1444">
        <v>46239</v>
      </c>
      <c r="D479" s="233">
        <v>46239</v>
      </c>
      <c r="E479" s="30" t="s">
        <v>7563</v>
      </c>
      <c r="F479" s="313" t="s">
        <v>8432</v>
      </c>
      <c r="G479" s="465" t="s">
        <v>8438</v>
      </c>
      <c r="H479" s="88" t="s">
        <v>279</v>
      </c>
      <c r="I479" s="1491"/>
      <c r="J479" s="915">
        <v>37984.199999999997</v>
      </c>
      <c r="K479" s="3">
        <f t="shared" si="14"/>
        <v>33426.199999999997</v>
      </c>
      <c r="L479"/>
      <c r="M479"/>
      <c r="N479" s="915"/>
      <c r="O479" s="88"/>
      <c r="V479" t="s">
        <v>8285</v>
      </c>
      <c r="W479" s="360">
        <v>0.34027777777777773</v>
      </c>
      <c r="X479" s="30"/>
    </row>
    <row r="480" spans="1:24" x14ac:dyDescent="0.25">
      <c r="A480" s="1448" t="s">
        <v>8433</v>
      </c>
      <c r="B480" t="s">
        <v>614</v>
      </c>
      <c r="C480" s="1444">
        <v>46239</v>
      </c>
      <c r="D480" s="233">
        <v>46239</v>
      </c>
      <c r="E480" s="30" t="s">
        <v>7562</v>
      </c>
      <c r="F480" s="313" t="s">
        <v>8434</v>
      </c>
      <c r="G480" s="465" t="s">
        <v>8437</v>
      </c>
      <c r="H480" s="88" t="s">
        <v>279</v>
      </c>
      <c r="I480" s="1491"/>
      <c r="J480" s="915">
        <v>52828.6</v>
      </c>
      <c r="K480" s="3">
        <f t="shared" si="14"/>
        <v>46489.599999999999</v>
      </c>
      <c r="L480"/>
      <c r="M480"/>
      <c r="N480" s="915"/>
      <c r="O480" s="88"/>
      <c r="V480" t="s">
        <v>7833</v>
      </c>
      <c r="W480" s="360"/>
      <c r="X480" s="30"/>
    </row>
    <row r="481" spans="1:24" x14ac:dyDescent="0.25">
      <c r="A481" s="1448" t="s">
        <v>8450</v>
      </c>
      <c r="B481" t="s">
        <v>614</v>
      </c>
      <c r="C481" s="1444">
        <v>46240</v>
      </c>
      <c r="D481" s="233">
        <v>46240</v>
      </c>
      <c r="E481" s="30" t="s">
        <v>7571</v>
      </c>
      <c r="F481" s="313" t="s">
        <v>2107</v>
      </c>
      <c r="G481" s="465" t="s">
        <v>8476</v>
      </c>
      <c r="H481" s="88" t="s">
        <v>279</v>
      </c>
      <c r="I481" s="1491"/>
      <c r="J481" s="915">
        <v>37984.199999999997</v>
      </c>
      <c r="K481" s="3">
        <f t="shared" si="14"/>
        <v>33426.199999999997</v>
      </c>
      <c r="L481"/>
      <c r="M481"/>
      <c r="N481" s="558"/>
      <c r="O481" s="88"/>
      <c r="V481" t="s">
        <v>8304</v>
      </c>
      <c r="W481" s="360">
        <v>0.3263888888888889</v>
      </c>
      <c r="X481" s="360">
        <v>0.48958333333333331</v>
      </c>
    </row>
    <row r="482" spans="1:24" x14ac:dyDescent="0.25">
      <c r="A482" s="1448" t="s">
        <v>8469</v>
      </c>
      <c r="B482" t="s">
        <v>614</v>
      </c>
      <c r="C482" s="1444">
        <v>46246</v>
      </c>
      <c r="D482" s="233">
        <v>46246</v>
      </c>
      <c r="E482" s="30" t="s">
        <v>7556</v>
      </c>
      <c r="F482" s="313" t="s">
        <v>285</v>
      </c>
      <c r="G482" s="465" t="s">
        <v>8477</v>
      </c>
      <c r="H482" s="88" t="s">
        <v>279</v>
      </c>
      <c r="I482" s="1491"/>
      <c r="J482" s="915">
        <v>44096.6</v>
      </c>
      <c r="K482" s="3">
        <f t="shared" si="14"/>
        <v>38804.6</v>
      </c>
      <c r="L482"/>
      <c r="M482"/>
      <c r="N482" s="558"/>
      <c r="O482" s="88"/>
      <c r="V482" t="s">
        <v>7942</v>
      </c>
      <c r="W482" s="360"/>
      <c r="X482" s="30"/>
    </row>
    <row r="483" spans="1:24" x14ac:dyDescent="0.25">
      <c r="A483" s="1448" t="s">
        <v>8480</v>
      </c>
      <c r="B483" t="s">
        <v>614</v>
      </c>
      <c r="C483" s="1444">
        <v>46249</v>
      </c>
      <c r="D483" s="233">
        <v>46249</v>
      </c>
      <c r="E483" s="30" t="s">
        <v>7555</v>
      </c>
      <c r="F483" s="313" t="s">
        <v>545</v>
      </c>
      <c r="G483" s="465" t="s">
        <v>8517</v>
      </c>
      <c r="H483" s="88" t="s">
        <v>279</v>
      </c>
      <c r="I483" s="1491"/>
      <c r="J483" s="915">
        <v>31871.8</v>
      </c>
      <c r="K483" s="3">
        <f t="shared" si="14"/>
        <v>28046.799999999999</v>
      </c>
      <c r="L483"/>
      <c r="M483"/>
      <c r="N483" s="915"/>
      <c r="O483" s="88"/>
      <c r="V483" t="s">
        <v>8478</v>
      </c>
      <c r="W483" s="360">
        <v>0.27430555555555552</v>
      </c>
      <c r="X483" s="360">
        <v>0.4458333333333333</v>
      </c>
    </row>
    <row r="484" spans="1:24" x14ac:dyDescent="0.25">
      <c r="A484" s="1448" t="s">
        <v>8480</v>
      </c>
      <c r="B484" t="s">
        <v>614</v>
      </c>
      <c r="C484" s="1444">
        <v>46249</v>
      </c>
      <c r="D484" s="233">
        <v>46249</v>
      </c>
      <c r="E484" s="30" t="s">
        <v>7561</v>
      </c>
      <c r="F484" s="313" t="s">
        <v>2008</v>
      </c>
      <c r="G484" s="465" t="s">
        <v>8249</v>
      </c>
      <c r="H484" s="88" t="s">
        <v>279</v>
      </c>
      <c r="I484" s="1491"/>
      <c r="J484" s="915">
        <v>46716.2</v>
      </c>
      <c r="K484" s="3">
        <f t="shared" si="14"/>
        <v>41110.199999999997</v>
      </c>
      <c r="L484"/>
      <c r="M484"/>
      <c r="N484" s="915"/>
      <c r="O484" s="88"/>
      <c r="V484" t="s">
        <v>7942</v>
      </c>
      <c r="W484" s="360">
        <v>0.42291666666666666</v>
      </c>
      <c r="X484" s="360">
        <v>0.79999999999999993</v>
      </c>
    </row>
    <row r="485" spans="1:24" x14ac:dyDescent="0.25">
      <c r="A485" s="1448" t="s">
        <v>8507</v>
      </c>
      <c r="B485" s="21" t="s">
        <v>614</v>
      </c>
      <c r="C485" s="1444">
        <v>46254</v>
      </c>
      <c r="D485" s="233">
        <v>46254</v>
      </c>
      <c r="E485" s="30" t="s">
        <v>7561</v>
      </c>
      <c r="F485" s="313" t="s">
        <v>2008</v>
      </c>
      <c r="G485" s="465" t="s">
        <v>8516</v>
      </c>
      <c r="H485" s="88" t="s">
        <v>279</v>
      </c>
      <c r="I485" s="1491"/>
      <c r="J485" s="915">
        <v>46716.2</v>
      </c>
      <c r="K485" s="3">
        <f t="shared" si="14"/>
        <v>41110.199999999997</v>
      </c>
      <c r="L485"/>
      <c r="M485"/>
      <c r="N485" s="558"/>
      <c r="O485" s="88"/>
      <c r="W485" s="360"/>
      <c r="X485" s="30"/>
    </row>
    <row r="486" spans="1:24" x14ac:dyDescent="0.25">
      <c r="A486" s="1448" t="s">
        <v>8507</v>
      </c>
      <c r="B486" s="21" t="s">
        <v>614</v>
      </c>
      <c r="C486" s="1444">
        <v>46254</v>
      </c>
      <c r="D486" s="233">
        <v>46254</v>
      </c>
      <c r="E486" s="30" t="s">
        <v>7559</v>
      </c>
      <c r="F486" s="313" t="s">
        <v>1931</v>
      </c>
      <c r="G486" s="465" t="s">
        <v>8515</v>
      </c>
      <c r="H486" s="88" t="s">
        <v>279</v>
      </c>
      <c r="I486" s="1491"/>
      <c r="J486" s="915">
        <v>52828.6</v>
      </c>
      <c r="K486" s="3">
        <f t="shared" si="14"/>
        <v>46489.599999999999</v>
      </c>
      <c r="L486"/>
      <c r="M486"/>
      <c r="N486" s="558"/>
      <c r="O486" s="88"/>
      <c r="W486" s="360"/>
      <c r="X486" s="30"/>
    </row>
    <row r="487" spans="1:24" x14ac:dyDescent="0.25">
      <c r="A487" s="1448" t="s">
        <v>8542</v>
      </c>
      <c r="B487" s="21" t="s">
        <v>614</v>
      </c>
      <c r="C487" s="1444">
        <v>46261</v>
      </c>
      <c r="D487" s="233">
        <v>46261</v>
      </c>
      <c r="E487" s="30" t="s">
        <v>7571</v>
      </c>
      <c r="F487" s="313" t="s">
        <v>872</v>
      </c>
      <c r="G487" t="s">
        <v>8577</v>
      </c>
      <c r="H487" s="88" t="s">
        <v>279</v>
      </c>
      <c r="I487" s="1491"/>
      <c r="J487" s="915">
        <v>37984.199999999997</v>
      </c>
      <c r="K487" s="3">
        <f t="shared" si="14"/>
        <v>33426.199999999997</v>
      </c>
      <c r="L487"/>
      <c r="M487"/>
      <c r="N487" s="558"/>
      <c r="O487" s="88"/>
      <c r="V487" t="s">
        <v>7335</v>
      </c>
      <c r="W487" s="360">
        <v>0.35902777777777778</v>
      </c>
      <c r="X487" s="30"/>
    </row>
    <row r="488" spans="1:24" x14ac:dyDescent="0.25">
      <c r="A488" s="1448" t="s">
        <v>8551</v>
      </c>
      <c r="B488" s="21" t="s">
        <v>614</v>
      </c>
      <c r="C488" s="1444">
        <v>46263</v>
      </c>
      <c r="D488" s="233">
        <v>46263</v>
      </c>
      <c r="E488" s="30" t="s">
        <v>7563</v>
      </c>
      <c r="F488" s="313" t="s">
        <v>113</v>
      </c>
      <c r="G488" t="s">
        <v>8578</v>
      </c>
      <c r="H488" s="88" t="s">
        <v>279</v>
      </c>
      <c r="I488" s="1491"/>
      <c r="J488" s="915">
        <v>37984.199999999997</v>
      </c>
      <c r="K488" s="3">
        <f t="shared" ref="K488:K495" si="15">+J488-ROUND(J488*0.12,0)</f>
        <v>33426.199999999997</v>
      </c>
      <c r="L488"/>
      <c r="M488"/>
      <c r="N488" s="558"/>
      <c r="O488" s="88"/>
      <c r="V488" t="s">
        <v>8468</v>
      </c>
      <c r="W488" s="360">
        <v>0.51874999999999993</v>
      </c>
      <c r="X488" s="30">
        <v>0.74583333333333324</v>
      </c>
    </row>
    <row r="489" spans="1:24" x14ac:dyDescent="0.25">
      <c r="A489" s="1448" t="s">
        <v>8552</v>
      </c>
      <c r="B489" s="21" t="s">
        <v>614</v>
      </c>
      <c r="C489" s="1444">
        <v>46264</v>
      </c>
      <c r="D489" s="233">
        <v>46264</v>
      </c>
      <c r="E489" s="30" t="s">
        <v>7556</v>
      </c>
      <c r="F489" s="313" t="s">
        <v>285</v>
      </c>
      <c r="G489" t="s">
        <v>8579</v>
      </c>
      <c r="H489" s="88" t="s">
        <v>279</v>
      </c>
      <c r="I489" s="1491"/>
      <c r="J489" s="915">
        <v>44096.6</v>
      </c>
      <c r="K489" s="3">
        <f t="shared" si="15"/>
        <v>38804.6</v>
      </c>
      <c r="L489"/>
      <c r="M489"/>
      <c r="N489" s="558"/>
      <c r="O489" s="88"/>
      <c r="V489" t="s">
        <v>7060</v>
      </c>
      <c r="W489" s="360">
        <v>0.61111111111111105</v>
      </c>
      <c r="X489" s="30">
        <v>0.83750000000000002</v>
      </c>
    </row>
    <row r="490" spans="1:24" x14ac:dyDescent="0.25">
      <c r="A490" s="1448" t="s">
        <v>8552</v>
      </c>
      <c r="B490" s="21" t="s">
        <v>614</v>
      </c>
      <c r="C490" s="1444">
        <v>46264</v>
      </c>
      <c r="D490" s="233">
        <v>46264</v>
      </c>
      <c r="E490" s="30" t="s">
        <v>7562</v>
      </c>
      <c r="F490" s="313" t="s">
        <v>2253</v>
      </c>
      <c r="G490" t="s">
        <v>8580</v>
      </c>
      <c r="H490" s="88" t="s">
        <v>279</v>
      </c>
      <c r="I490" s="1491"/>
      <c r="J490" s="915">
        <v>52828.6</v>
      </c>
      <c r="K490" s="3">
        <f t="shared" si="15"/>
        <v>46489.599999999999</v>
      </c>
      <c r="L490"/>
      <c r="M490"/>
      <c r="N490" s="558"/>
      <c r="O490" s="88"/>
      <c r="V490" t="s">
        <v>8387</v>
      </c>
      <c r="W490" s="360">
        <v>0.58333333333333337</v>
      </c>
      <c r="X490" s="30">
        <v>0.92083333333333339</v>
      </c>
    </row>
    <row r="491" spans="1:24" x14ac:dyDescent="0.25">
      <c r="A491" s="1448" t="s">
        <v>8586</v>
      </c>
      <c r="B491" s="21" t="s">
        <v>614</v>
      </c>
      <c r="C491" s="1444">
        <v>46269</v>
      </c>
      <c r="D491" s="233">
        <v>46269</v>
      </c>
      <c r="E491" s="169" t="s">
        <v>7558</v>
      </c>
      <c r="F491" s="313" t="s">
        <v>143</v>
      </c>
      <c r="G491" t="s">
        <v>8600</v>
      </c>
      <c r="H491" s="88" t="s">
        <v>279</v>
      </c>
      <c r="J491" s="915">
        <v>37111</v>
      </c>
      <c r="K491" s="3">
        <f t="shared" si="15"/>
        <v>32658</v>
      </c>
      <c r="L491"/>
      <c r="M491" s="915"/>
      <c r="N491" s="558"/>
      <c r="O491" s="88"/>
      <c r="V491" s="5" t="s">
        <v>7335</v>
      </c>
      <c r="W491" s="360">
        <v>0.51944444444444449</v>
      </c>
      <c r="X491" s="360">
        <v>0.75277777777777777</v>
      </c>
    </row>
    <row r="492" spans="1:24" x14ac:dyDescent="0.25">
      <c r="A492" s="1448" t="s">
        <v>8587</v>
      </c>
      <c r="B492" s="21" t="s">
        <v>614</v>
      </c>
      <c r="C492" s="1444">
        <v>46270</v>
      </c>
      <c r="D492" s="233">
        <v>46270</v>
      </c>
      <c r="E492" s="30" t="s">
        <v>8598</v>
      </c>
      <c r="F492" s="313" t="s">
        <v>2036</v>
      </c>
      <c r="G492" t="s">
        <v>8599</v>
      </c>
      <c r="H492" s="88" t="s">
        <v>279</v>
      </c>
      <c r="J492" s="915">
        <v>26632.6</v>
      </c>
      <c r="K492" s="3">
        <f t="shared" si="15"/>
        <v>23436.6</v>
      </c>
      <c r="L492"/>
      <c r="M492" s="915"/>
      <c r="N492" s="558"/>
      <c r="O492" s="88"/>
      <c r="V492" t="s">
        <v>4867</v>
      </c>
      <c r="W492" s="360">
        <v>0.36180555555555555</v>
      </c>
      <c r="X492" s="360">
        <v>0.5131944444444444</v>
      </c>
    </row>
    <row r="493" spans="1:24" x14ac:dyDescent="0.25">
      <c r="A493" s="1448" t="s">
        <v>8604</v>
      </c>
      <c r="B493" s="21" t="s">
        <v>614</v>
      </c>
      <c r="C493" s="1444">
        <v>46274</v>
      </c>
      <c r="E493" s="30" t="s">
        <v>7555</v>
      </c>
      <c r="F493" s="28" t="s">
        <v>545</v>
      </c>
      <c r="G493" t="s">
        <v>8605</v>
      </c>
      <c r="H493" s="88" t="s">
        <v>279</v>
      </c>
      <c r="J493" s="915">
        <v>31871.8</v>
      </c>
      <c r="K493" s="3">
        <f t="shared" si="15"/>
        <v>28046.799999999999</v>
      </c>
      <c r="L493"/>
      <c r="M493" s="915"/>
      <c r="N493" s="558"/>
      <c r="O493" s="88"/>
      <c r="V493" t="s">
        <v>8314</v>
      </c>
      <c r="W493" s="360">
        <v>0.40555555555555556</v>
      </c>
      <c r="X493" s="360">
        <v>0.60555555555555551</v>
      </c>
    </row>
    <row r="494" spans="1:24" x14ac:dyDescent="0.25">
      <c r="A494" s="483" t="s">
        <v>8613</v>
      </c>
      <c r="B494" s="21" t="s">
        <v>614</v>
      </c>
      <c r="C494" s="233">
        <v>46276</v>
      </c>
      <c r="D494" s="233">
        <v>46276</v>
      </c>
      <c r="E494" s="359" t="s">
        <v>8598</v>
      </c>
      <c r="F494" s="313" t="s">
        <v>2036</v>
      </c>
      <c r="G494" s="465" t="s">
        <v>8623</v>
      </c>
      <c r="J494" s="798">
        <v>26632.6</v>
      </c>
      <c r="K494" s="3">
        <f t="shared" si="15"/>
        <v>23436.6</v>
      </c>
    </row>
    <row r="495" spans="1:24" x14ac:dyDescent="0.25">
      <c r="A495" s="483" t="s">
        <v>8614</v>
      </c>
      <c r="B495" s="21" t="s">
        <v>614</v>
      </c>
      <c r="C495" s="233">
        <v>46277</v>
      </c>
      <c r="D495" s="233">
        <v>46277</v>
      </c>
      <c r="E495" s="6" t="s">
        <v>7571</v>
      </c>
      <c r="F495" s="313" t="s">
        <v>2107</v>
      </c>
      <c r="G495" t="s">
        <v>8624</v>
      </c>
      <c r="H495" s="1175"/>
      <c r="I495" s="13"/>
      <c r="J495" s="798">
        <v>37984.199999999997</v>
      </c>
      <c r="K495" s="915">
        <f t="shared" si="15"/>
        <v>33426.199999999997</v>
      </c>
      <c r="L495" s="1369"/>
      <c r="M495" s="88"/>
      <c r="S495" s="360"/>
      <c r="T495" s="360"/>
    </row>
    <row r="496" spans="1:24" x14ac:dyDescent="0.25">
      <c r="A496" s="483" t="s">
        <v>8633</v>
      </c>
      <c r="B496" s="21" t="s">
        <v>614</v>
      </c>
      <c r="C496" s="233">
        <v>46280</v>
      </c>
      <c r="D496" s="233"/>
      <c r="E496" s="6" t="s">
        <v>7556</v>
      </c>
      <c r="F496" s="313" t="s">
        <v>285</v>
      </c>
      <c r="G496" t="s">
        <v>8655</v>
      </c>
      <c r="H496" s="1175"/>
      <c r="I496" s="13"/>
      <c r="J496" s="915">
        <v>44096.6</v>
      </c>
      <c r="K496" s="915">
        <f>+J496-ROUND(J496*0.12,0)</f>
        <v>38804.6</v>
      </c>
      <c r="L496" s="1369"/>
      <c r="M496" s="88"/>
      <c r="S496" s="360"/>
      <c r="T496" s="360"/>
    </row>
    <row r="497" spans="1:20" x14ac:dyDescent="0.25">
      <c r="A497" s="483" t="s">
        <v>8642</v>
      </c>
      <c r="B497" s="21" t="s">
        <v>614</v>
      </c>
      <c r="C497" s="233">
        <v>46283</v>
      </c>
      <c r="D497" s="927">
        <v>46277</v>
      </c>
      <c r="E497" t="s">
        <v>7569</v>
      </c>
      <c r="F497" s="313" t="s">
        <v>563</v>
      </c>
      <c r="G497" t="s">
        <v>8658</v>
      </c>
      <c r="H497" s="930" t="s">
        <v>279</v>
      </c>
      <c r="J497" s="915">
        <v>28379</v>
      </c>
      <c r="K497" s="915">
        <f>+J497-ROUND(J497*0.12,0)</f>
        <v>24974</v>
      </c>
      <c r="L497"/>
      <c r="S497" s="360"/>
      <c r="T497" s="360"/>
    </row>
    <row r="498" spans="1:20" x14ac:dyDescent="0.25">
      <c r="A498" s="483" t="s">
        <v>8642</v>
      </c>
      <c r="B498" s="21" t="s">
        <v>614</v>
      </c>
      <c r="C498" s="233">
        <v>46283</v>
      </c>
      <c r="D498" s="927">
        <v>46280</v>
      </c>
      <c r="E498" s="30" t="s">
        <v>7555</v>
      </c>
      <c r="F498" s="313" t="s">
        <v>545</v>
      </c>
      <c r="G498" t="s">
        <v>8656</v>
      </c>
      <c r="H498" s="930" t="s">
        <v>279</v>
      </c>
      <c r="J498" s="915">
        <v>37984.199999999997</v>
      </c>
      <c r="K498" s="915">
        <f>+J498-ROUND(J498*0.12,0)</f>
        <v>33426.199999999997</v>
      </c>
      <c r="L498"/>
      <c r="S498" s="360"/>
      <c r="T498" s="360"/>
    </row>
    <row r="499" spans="1:20" x14ac:dyDescent="0.25">
      <c r="A499" s="483" t="s">
        <v>8649</v>
      </c>
      <c r="B499" s="21" t="s">
        <v>614</v>
      </c>
      <c r="C499" s="233">
        <v>46286</v>
      </c>
      <c r="D499" s="233">
        <v>46283</v>
      </c>
      <c r="E499" s="30" t="s">
        <v>7558</v>
      </c>
      <c r="F499" s="313" t="s">
        <v>143</v>
      </c>
      <c r="G499" t="s">
        <v>8657</v>
      </c>
      <c r="H499" s="88" t="s">
        <v>279</v>
      </c>
      <c r="J499" s="915">
        <v>37111</v>
      </c>
      <c r="K499" s="915">
        <f>+J499-ROUND(J499*0.12,0)</f>
        <v>32658</v>
      </c>
      <c r="L499"/>
      <c r="M499"/>
      <c r="S499" s="360"/>
      <c r="T499" s="360"/>
    </row>
    <row r="500" spans="1:20" x14ac:dyDescent="0.25">
      <c r="A500" s="1448" t="s">
        <v>8678</v>
      </c>
      <c r="B500" s="21" t="s">
        <v>614</v>
      </c>
      <c r="C500" s="1444">
        <v>46291</v>
      </c>
      <c r="D500" s="233">
        <v>46291</v>
      </c>
      <c r="E500" s="30" t="s">
        <v>7562</v>
      </c>
      <c r="F500" s="313" t="s">
        <v>2253</v>
      </c>
      <c r="G500" t="s">
        <v>8680</v>
      </c>
      <c r="H500" s="88" t="s">
        <v>279</v>
      </c>
      <c r="J500" s="915">
        <v>52828.6</v>
      </c>
      <c r="K500" s="915">
        <f t="shared" ref="K500:K502" si="16">+J500-ROUND(J500*0.12,0)</f>
        <v>46489.599999999999</v>
      </c>
      <c r="L500"/>
      <c r="S500" s="360"/>
      <c r="T500" s="360"/>
    </row>
    <row r="501" spans="1:20" x14ac:dyDescent="0.25">
      <c r="A501" s="1448" t="s">
        <v>8679</v>
      </c>
      <c r="B501" s="21" t="s">
        <v>614</v>
      </c>
      <c r="C501" s="1444">
        <v>46293</v>
      </c>
      <c r="D501" s="233">
        <v>46293</v>
      </c>
      <c r="E501" s="30" t="s">
        <v>7569</v>
      </c>
      <c r="F501" s="313" t="s">
        <v>563</v>
      </c>
      <c r="G501" t="s">
        <v>8681</v>
      </c>
      <c r="H501" s="88" t="s">
        <v>279</v>
      </c>
      <c r="J501" s="915">
        <v>28379</v>
      </c>
      <c r="K501" s="915">
        <f t="shared" si="16"/>
        <v>24974</v>
      </c>
      <c r="L501"/>
      <c r="S501" s="360"/>
      <c r="T501" s="360"/>
    </row>
    <row r="502" spans="1:20" x14ac:dyDescent="0.25">
      <c r="A502" s="1448" t="s">
        <v>8679</v>
      </c>
      <c r="B502" s="21" t="s">
        <v>614</v>
      </c>
      <c r="C502" s="1444">
        <v>46293</v>
      </c>
      <c r="D502" s="28"/>
      <c r="E502" t="s">
        <v>7554</v>
      </c>
      <c r="F502" s="313" t="s">
        <v>317</v>
      </c>
      <c r="G502" t="s">
        <v>8682</v>
      </c>
      <c r="H502" s="915">
        <v>45843</v>
      </c>
      <c r="J502" s="915">
        <v>45843</v>
      </c>
      <c r="K502" s="915">
        <f t="shared" si="16"/>
        <v>40342</v>
      </c>
      <c r="L502"/>
      <c r="S502" s="360"/>
      <c r="T502" s="360"/>
    </row>
    <row r="503" spans="1:20" x14ac:dyDescent="0.25">
      <c r="A503" s="1448"/>
      <c r="B503" s="21"/>
      <c r="C503" s="31"/>
      <c r="D503" s="233"/>
      <c r="E503" s="28"/>
      <c r="F503" s="313"/>
      <c r="H503" s="88"/>
      <c r="J503" s="915"/>
      <c r="K503"/>
      <c r="L503"/>
      <c r="S503" s="360"/>
      <c r="T503" s="360"/>
    </row>
    <row r="504" spans="1:20" x14ac:dyDescent="0.25">
      <c r="A504" s="1448"/>
      <c r="B504" s="21"/>
      <c r="C504" s="31"/>
      <c r="D504" s="233"/>
      <c r="E504" s="28"/>
      <c r="F504" s="313"/>
      <c r="H504" s="88"/>
      <c r="J504" s="915"/>
      <c r="K504"/>
      <c r="L504"/>
      <c r="S504" s="360"/>
      <c r="T504" s="360"/>
    </row>
    <row r="505" spans="1:20" x14ac:dyDescent="0.25">
      <c r="A505" s="1448"/>
      <c r="B505" s="21"/>
      <c r="C505" s="31"/>
      <c r="D505" s="233"/>
      <c r="E505" s="28"/>
      <c r="F505" s="313"/>
      <c r="H505" s="88"/>
      <c r="J505" s="915"/>
      <c r="K505"/>
      <c r="L505"/>
      <c r="S505" s="360"/>
      <c r="T505" s="360"/>
    </row>
    <row r="506" spans="1:20" ht="15.75" thickBot="1" x14ac:dyDescent="0.3">
      <c r="A506" s="1448"/>
      <c r="B506" s="21"/>
      <c r="C506" s="31"/>
      <c r="D506" s="233">
        <v>46293</v>
      </c>
      <c r="E506" s="28"/>
      <c r="F506" s="313"/>
      <c r="H506" s="88" t="s">
        <v>279</v>
      </c>
      <c r="J506" s="915"/>
      <c r="K506"/>
      <c r="L506"/>
      <c r="S506" s="360"/>
      <c r="T506" s="360"/>
    </row>
    <row r="507" spans="1:20" ht="15.75" thickBot="1" x14ac:dyDescent="0.3">
      <c r="J507" s="415">
        <f>SUBTOTAL(9,J368:J495)+J118+J119</f>
        <v>1699246.6</v>
      </c>
      <c r="K507" s="1107"/>
      <c r="L507" s="1368"/>
      <c r="N507" s="149"/>
    </row>
    <row r="508" spans="1:20" x14ac:dyDescent="0.25">
      <c r="B508"/>
      <c r="C508"/>
      <c r="J508" s="471"/>
      <c r="K508" s="1107"/>
      <c r="L508" s="1368"/>
      <c r="N508" s="149"/>
    </row>
    <row r="509" spans="1:20" x14ac:dyDescent="0.25">
      <c r="B509"/>
      <c r="C509"/>
      <c r="J509" s="471"/>
      <c r="K509" s="1107"/>
      <c r="L509" s="1368"/>
      <c r="N509" s="149"/>
    </row>
    <row r="510" spans="1:20" ht="15.75" thickBot="1" x14ac:dyDescent="0.3">
      <c r="B510"/>
      <c r="C510"/>
      <c r="J510" s="17"/>
      <c r="K510" s="1107"/>
      <c r="L510" s="1368"/>
      <c r="M510" s="28">
        <v>125</v>
      </c>
      <c r="N510" s="88">
        <v>4779459.6000000034</v>
      </c>
    </row>
    <row r="511" spans="1:20" ht="15.75" thickBot="1" x14ac:dyDescent="0.3">
      <c r="B511"/>
      <c r="C511"/>
      <c r="J511" s="28"/>
      <c r="K511" s="1603" t="s">
        <v>5843</v>
      </c>
      <c r="L511" s="1604"/>
      <c r="M511" s="1605"/>
    </row>
    <row r="512" spans="1:20" x14ac:dyDescent="0.25">
      <c r="B512"/>
      <c r="C512"/>
      <c r="J512" s="28"/>
      <c r="K512" s="976" t="s">
        <v>5541</v>
      </c>
      <c r="L512" s="1370" t="s">
        <v>5542</v>
      </c>
      <c r="M512" s="977" t="s">
        <v>5540</v>
      </c>
      <c r="N512" s="122">
        <v>46267</v>
      </c>
    </row>
    <row r="513" spans="2:13" ht="15.75" thickBot="1" x14ac:dyDescent="0.3">
      <c r="B513"/>
      <c r="C513"/>
      <c r="J513" s="28"/>
      <c r="K513" s="978" t="s">
        <v>6233</v>
      </c>
      <c r="L513" s="1363">
        <v>9626593.4000000004</v>
      </c>
      <c r="M513" s="1244">
        <f>+L514/L513</f>
        <v>0.49648503903779745</v>
      </c>
    </row>
    <row r="514" spans="2:13" x14ac:dyDescent="0.25">
      <c r="B514"/>
      <c r="C514"/>
      <c r="J514" s="28"/>
      <c r="K514" s="981" t="s">
        <v>2048</v>
      </c>
      <c r="L514" s="1371">
        <f>+N510</f>
        <v>4779459.6000000034</v>
      </c>
      <c r="M514" s="979">
        <f>+M510</f>
        <v>125</v>
      </c>
    </row>
    <row r="515" spans="2:13" ht="15.75" thickBot="1" x14ac:dyDescent="0.3">
      <c r="B515"/>
      <c r="C515"/>
      <c r="J515" s="28"/>
      <c r="K515" s="980" t="s">
        <v>2128</v>
      </c>
      <c r="L515" s="1372">
        <f>+L513-L514</f>
        <v>4847133.799999997</v>
      </c>
      <c r="M515" s="1245">
        <f>+L515/L513</f>
        <v>0.50351496096220261</v>
      </c>
    </row>
    <row r="516" spans="2:13" s="30" customFormat="1" ht="15.75" thickBot="1" x14ac:dyDescent="0.3">
      <c r="M516" s="28"/>
    </row>
    <row r="517" spans="2:13" ht="15.75" thickBot="1" x14ac:dyDescent="0.3">
      <c r="I517" s="1" t="s">
        <v>351</v>
      </c>
      <c r="J517" s="560">
        <f>+J114+J507</f>
        <v>1874601.2000000002</v>
      </c>
      <c r="L517" s="836"/>
    </row>
    <row r="527" spans="2:13" s="1" customFormat="1" x14ac:dyDescent="0.25">
      <c r="B527" s="25"/>
      <c r="C527" s="1240" t="s">
        <v>931</v>
      </c>
      <c r="D527"/>
      <c r="E527" s="791" t="s">
        <v>7573</v>
      </c>
      <c r="F527" s="724" t="s">
        <v>7572</v>
      </c>
      <c r="G527" s="1241" t="s">
        <v>7574</v>
      </c>
      <c r="H527" s="28"/>
      <c r="I527" s="724" t="s">
        <v>2048</v>
      </c>
      <c r="J527" s="724" t="s">
        <v>7575</v>
      </c>
      <c r="K527" s="87"/>
      <c r="L527" s="115"/>
      <c r="M527" s="25"/>
    </row>
    <row r="528" spans="2:13" x14ac:dyDescent="0.25">
      <c r="C528" s="1239">
        <v>1</v>
      </c>
      <c r="E528" s="110" t="s">
        <v>7553</v>
      </c>
      <c r="F528" s="726">
        <v>10</v>
      </c>
      <c r="G528" s="726" t="str">
        <f>IF(I528=F528-1,"RIESGO",IF(I528=F528,"FINALIZADO",IF(I528&gt;F528,"EXCEDIÓ","FALTA MAS DE UNO")))</f>
        <v>FALTA MAS DE UNO</v>
      </c>
      <c r="I528" s="726">
        <f>COUNTIF(E$368:E$490,E528)</f>
        <v>8</v>
      </c>
      <c r="J528" s="102">
        <f>+F528-I528</f>
        <v>2</v>
      </c>
    </row>
    <row r="529" spans="3:10" x14ac:dyDescent="0.25">
      <c r="C529" s="1239">
        <v>2</v>
      </c>
      <c r="E529" s="110" t="s">
        <v>7554</v>
      </c>
      <c r="F529" s="726">
        <v>20</v>
      </c>
      <c r="G529" s="726" t="str">
        <f t="shared" ref="G529:G547" si="17">IF(I529=F529-1,"RIESGO",IF(I529=F529,"FINALIZADO",IF(I529&gt;F529,"EXCEDIÓ","FALTA MAS DE UNO")))</f>
        <v>FALTA MAS DE UNO</v>
      </c>
      <c r="I529" s="726">
        <f t="shared" ref="I529:I547" si="18">COUNTIF(E$368:E$490,E529)</f>
        <v>4</v>
      </c>
      <c r="J529" s="102">
        <f t="shared" ref="J529:J547" si="19">+F529-I529</f>
        <v>16</v>
      </c>
    </row>
    <row r="530" spans="3:10" x14ac:dyDescent="0.25">
      <c r="C530" s="1239">
        <v>3</v>
      </c>
      <c r="E530" s="110" t="s">
        <v>7571</v>
      </c>
      <c r="F530" s="726">
        <v>10</v>
      </c>
      <c r="G530" s="726" t="str">
        <f t="shared" si="17"/>
        <v>EXCEDIÓ</v>
      </c>
      <c r="I530" s="726">
        <f t="shared" si="18"/>
        <v>15</v>
      </c>
      <c r="J530" s="102">
        <f t="shared" si="19"/>
        <v>-5</v>
      </c>
    </row>
    <row r="531" spans="3:10" x14ac:dyDescent="0.25">
      <c r="C531" s="1239">
        <v>4</v>
      </c>
      <c r="E531" s="110" t="s">
        <v>7555</v>
      </c>
      <c r="F531" s="726">
        <v>10</v>
      </c>
      <c r="G531" s="726" t="str">
        <f t="shared" si="17"/>
        <v>FALTA MAS DE UNO</v>
      </c>
      <c r="I531" s="726">
        <f t="shared" si="18"/>
        <v>5</v>
      </c>
      <c r="J531" s="102">
        <f t="shared" si="19"/>
        <v>5</v>
      </c>
    </row>
    <row r="532" spans="3:10" x14ac:dyDescent="0.25">
      <c r="C532" s="1239">
        <v>5</v>
      </c>
      <c r="E532" s="110" t="s">
        <v>7556</v>
      </c>
      <c r="F532" s="726">
        <v>20</v>
      </c>
      <c r="G532" s="726" t="str">
        <f t="shared" si="17"/>
        <v>FALTA MAS DE UNO</v>
      </c>
      <c r="I532" s="726">
        <f t="shared" si="18"/>
        <v>14</v>
      </c>
      <c r="J532" s="102">
        <f t="shared" si="19"/>
        <v>6</v>
      </c>
    </row>
    <row r="533" spans="3:10" x14ac:dyDescent="0.25">
      <c r="C533" s="1239">
        <v>6</v>
      </c>
      <c r="E533" s="110" t="s">
        <v>7557</v>
      </c>
      <c r="F533" s="726">
        <v>10</v>
      </c>
      <c r="G533" s="726" t="str">
        <f t="shared" si="17"/>
        <v>FALTA MAS DE UNO</v>
      </c>
      <c r="I533" s="726">
        <f t="shared" si="18"/>
        <v>4</v>
      </c>
      <c r="J533" s="102">
        <f t="shared" si="19"/>
        <v>6</v>
      </c>
    </row>
    <row r="534" spans="3:10" x14ac:dyDescent="0.25">
      <c r="C534" s="1239">
        <v>7</v>
      </c>
      <c r="E534" s="110" t="s">
        <v>7558</v>
      </c>
      <c r="F534" s="726">
        <v>30</v>
      </c>
      <c r="G534" s="726" t="str">
        <f t="shared" si="17"/>
        <v>FALTA MAS DE UNO</v>
      </c>
      <c r="I534" s="726">
        <f t="shared" si="18"/>
        <v>6</v>
      </c>
      <c r="J534" s="102">
        <f t="shared" si="19"/>
        <v>24</v>
      </c>
    </row>
    <row r="535" spans="3:10" x14ac:dyDescent="0.25">
      <c r="C535" s="1239">
        <v>8</v>
      </c>
      <c r="E535" s="110" t="s">
        <v>7559</v>
      </c>
      <c r="F535" s="726">
        <v>14</v>
      </c>
      <c r="G535" s="726" t="str">
        <f t="shared" si="17"/>
        <v>FALTA MAS DE UNO</v>
      </c>
      <c r="I535" s="726">
        <f t="shared" si="18"/>
        <v>9</v>
      </c>
      <c r="J535" s="102">
        <f t="shared" si="19"/>
        <v>5</v>
      </c>
    </row>
    <row r="536" spans="3:10" x14ac:dyDescent="0.25">
      <c r="C536" s="1239">
        <v>9</v>
      </c>
      <c r="E536" s="110" t="s">
        <v>7560</v>
      </c>
      <c r="F536" s="726">
        <v>20</v>
      </c>
      <c r="G536" s="726" t="str">
        <f t="shared" si="17"/>
        <v>FALTA MAS DE UNO</v>
      </c>
      <c r="I536" s="726">
        <f t="shared" si="18"/>
        <v>4</v>
      </c>
      <c r="J536" s="102">
        <f t="shared" si="19"/>
        <v>16</v>
      </c>
    </row>
    <row r="537" spans="3:10" x14ac:dyDescent="0.25">
      <c r="C537" s="1239">
        <v>10</v>
      </c>
      <c r="E537" s="110" t="s">
        <v>7561</v>
      </c>
      <c r="F537" s="726">
        <v>15</v>
      </c>
      <c r="G537" s="726" t="str">
        <f t="shared" si="17"/>
        <v>FALTA MAS DE UNO</v>
      </c>
      <c r="I537" s="726">
        <f t="shared" si="18"/>
        <v>6</v>
      </c>
      <c r="J537" s="102">
        <f t="shared" si="19"/>
        <v>9</v>
      </c>
    </row>
    <row r="538" spans="3:10" x14ac:dyDescent="0.25">
      <c r="C538" s="1239">
        <v>11</v>
      </c>
      <c r="E538" s="110" t="s">
        <v>7562</v>
      </c>
      <c r="F538" s="726">
        <v>4</v>
      </c>
      <c r="G538" s="726" t="str">
        <f t="shared" si="17"/>
        <v>RIESGO</v>
      </c>
      <c r="I538" s="726">
        <f t="shared" si="18"/>
        <v>3</v>
      </c>
      <c r="J538" s="102">
        <f t="shared" si="19"/>
        <v>1</v>
      </c>
    </row>
    <row r="539" spans="3:10" x14ac:dyDescent="0.25">
      <c r="C539" s="1239">
        <v>12</v>
      </c>
      <c r="E539" s="110" t="s">
        <v>7563</v>
      </c>
      <c r="F539" s="726">
        <v>20</v>
      </c>
      <c r="G539" s="726" t="str">
        <f t="shared" si="17"/>
        <v>FALTA MAS DE UNO</v>
      </c>
      <c r="I539" s="726">
        <f t="shared" si="18"/>
        <v>8</v>
      </c>
      <c r="J539" s="102">
        <f t="shared" si="19"/>
        <v>12</v>
      </c>
    </row>
    <row r="540" spans="3:10" x14ac:dyDescent="0.25">
      <c r="C540" s="1239">
        <v>13</v>
      </c>
      <c r="E540" s="110" t="s">
        <v>7564</v>
      </c>
      <c r="F540" s="726">
        <v>22</v>
      </c>
      <c r="G540" s="726" t="str">
        <f t="shared" si="17"/>
        <v>FALTA MAS DE UNO</v>
      </c>
      <c r="I540" s="726">
        <f t="shared" si="18"/>
        <v>7</v>
      </c>
      <c r="J540" s="102">
        <f t="shared" si="19"/>
        <v>15</v>
      </c>
    </row>
    <row r="541" spans="3:10" x14ac:dyDescent="0.25">
      <c r="C541" s="1239">
        <v>14</v>
      </c>
      <c r="E541" s="110" t="s">
        <v>7565</v>
      </c>
      <c r="F541" s="726">
        <v>8</v>
      </c>
      <c r="G541" s="726" t="str">
        <f t="shared" si="17"/>
        <v>FALTA MAS DE UNO</v>
      </c>
      <c r="I541" s="726">
        <f t="shared" si="18"/>
        <v>5</v>
      </c>
      <c r="J541" s="102">
        <f t="shared" si="19"/>
        <v>3</v>
      </c>
    </row>
    <row r="542" spans="3:10" x14ac:dyDescent="0.25">
      <c r="C542" s="1239">
        <v>15</v>
      </c>
      <c r="E542" s="110" t="s">
        <v>7566</v>
      </c>
      <c r="F542" s="726">
        <v>2</v>
      </c>
      <c r="G542" s="1242" t="str">
        <f t="shared" si="17"/>
        <v>EXCEDIÓ</v>
      </c>
      <c r="I542" s="726">
        <f t="shared" si="18"/>
        <v>4</v>
      </c>
      <c r="J542" s="102">
        <f t="shared" si="19"/>
        <v>-2</v>
      </c>
    </row>
    <row r="543" spans="3:10" x14ac:dyDescent="0.25">
      <c r="C543" s="1239">
        <v>16</v>
      </c>
      <c r="E543" s="110" t="s">
        <v>7567</v>
      </c>
      <c r="F543" s="726">
        <v>4</v>
      </c>
      <c r="G543" s="726" t="str">
        <f t="shared" si="17"/>
        <v>EXCEDIÓ</v>
      </c>
      <c r="I543" s="726">
        <f t="shared" si="18"/>
        <v>9</v>
      </c>
      <c r="J543" s="102">
        <f t="shared" si="19"/>
        <v>-5</v>
      </c>
    </row>
    <row r="544" spans="3:10" x14ac:dyDescent="0.25">
      <c r="C544" s="1239">
        <v>17</v>
      </c>
      <c r="E544" s="110" t="s">
        <v>7568</v>
      </c>
      <c r="F544" s="726">
        <v>4</v>
      </c>
      <c r="G544" s="726" t="str">
        <f t="shared" si="17"/>
        <v>FINALIZADO</v>
      </c>
      <c r="I544" s="726">
        <f t="shared" si="18"/>
        <v>4</v>
      </c>
      <c r="J544" s="102">
        <f t="shared" si="19"/>
        <v>0</v>
      </c>
    </row>
    <row r="545" spans="3:10" x14ac:dyDescent="0.25">
      <c r="C545" s="1239">
        <v>18</v>
      </c>
      <c r="E545" s="110" t="s">
        <v>7583</v>
      </c>
      <c r="F545" s="726">
        <v>4</v>
      </c>
      <c r="G545" s="726" t="str">
        <f t="shared" si="17"/>
        <v>RIESGO</v>
      </c>
      <c r="I545" s="726">
        <f t="shared" si="18"/>
        <v>3</v>
      </c>
      <c r="J545" s="102">
        <f t="shared" si="19"/>
        <v>1</v>
      </c>
    </row>
    <row r="546" spans="3:10" x14ac:dyDescent="0.25">
      <c r="C546" s="1239">
        <v>19</v>
      </c>
      <c r="E546" s="110" t="s">
        <v>7569</v>
      </c>
      <c r="F546" s="726">
        <v>6</v>
      </c>
      <c r="G546" s="726" t="str">
        <f t="shared" si="17"/>
        <v>RIESGO</v>
      </c>
      <c r="I546" s="726">
        <f t="shared" si="18"/>
        <v>5</v>
      </c>
      <c r="J546" s="102">
        <f t="shared" si="19"/>
        <v>1</v>
      </c>
    </row>
    <row r="547" spans="3:10" x14ac:dyDescent="0.25">
      <c r="C547" s="1239">
        <v>20</v>
      </c>
      <c r="E547" s="110" t="s">
        <v>7570</v>
      </c>
      <c r="F547" s="726">
        <v>6</v>
      </c>
      <c r="G547" s="726" t="str">
        <f t="shared" si="17"/>
        <v>FALTA MAS DE UNO</v>
      </c>
      <c r="I547" s="726">
        <f t="shared" si="18"/>
        <v>0</v>
      </c>
      <c r="J547" s="102">
        <f t="shared" si="19"/>
        <v>6</v>
      </c>
    </row>
    <row r="548" spans="3:10" x14ac:dyDescent="0.25">
      <c r="F548" s="28">
        <f>SUBTOTAL(9,F528:F547)</f>
        <v>239</v>
      </c>
      <c r="I548" s="28">
        <f>SUBTOTAL(9,I528:I547)+1+1</f>
        <v>125</v>
      </c>
      <c r="J548" s="103">
        <f>+F548-I548</f>
        <v>114</v>
      </c>
    </row>
    <row r="551" spans="3:10" x14ac:dyDescent="0.25">
      <c r="E551" t="s">
        <v>7690</v>
      </c>
    </row>
  </sheetData>
  <autoFilter ref="A2:X524" xr:uid="{00000000-0009-0000-0000-00002F000000}">
    <filterColumn colId="11">
      <filters blank="1">
        <filter val="1,567,984.00"/>
        <filter val="1,576,810.40"/>
        <filter val="1,582,002.40"/>
        <filter val="14,018.40"/>
        <filter val="4,779,459.60"/>
        <filter val="4,847,133.80"/>
        <filter val="5,192.00"/>
        <filter val="6,302,049.60"/>
        <filter val="6,307,241.60"/>
        <filter val="9,626,593.40"/>
        <filter val="CONTRATO 25 SALUDPOL"/>
        <filter val="IMPORTE"/>
        <filter val="STATUS"/>
      </filters>
    </filterColumn>
    <filterColumn colId="14" showButton="0"/>
    <filterColumn colId="15" showButton="0"/>
    <filterColumn colId="16" showButton="0"/>
  </autoFilter>
  <mergeCells count="43">
    <mergeCell ref="I162:I172"/>
    <mergeCell ref="I152:I161"/>
    <mergeCell ref="I139:I151"/>
    <mergeCell ref="I125:I138"/>
    <mergeCell ref="I211:I222"/>
    <mergeCell ref="I206:I210"/>
    <mergeCell ref="I193:I205"/>
    <mergeCell ref="I173:I184"/>
    <mergeCell ref="I185:I192"/>
    <mergeCell ref="K511:M511"/>
    <mergeCell ref="K310:M310"/>
    <mergeCell ref="I352:I361"/>
    <mergeCell ref="I368:I369"/>
    <mergeCell ref="I338:I351"/>
    <mergeCell ref="I370:I383"/>
    <mergeCell ref="B367:J367"/>
    <mergeCell ref="I384:I396"/>
    <mergeCell ref="I397:I408"/>
    <mergeCell ref="I409:I427"/>
    <mergeCell ref="I428:I435"/>
    <mergeCell ref="I436:I453"/>
    <mergeCell ref="I466:I476"/>
    <mergeCell ref="I454:I465"/>
    <mergeCell ref="I477:I490"/>
    <mergeCell ref="A4:J4"/>
    <mergeCell ref="B19:J19"/>
    <mergeCell ref="B23:J23"/>
    <mergeCell ref="C123:M123"/>
    <mergeCell ref="A8:J8"/>
    <mergeCell ref="A14:J14"/>
    <mergeCell ref="B31:J31"/>
    <mergeCell ref="B38:J38"/>
    <mergeCell ref="B34:J34"/>
    <mergeCell ref="I223:I237"/>
    <mergeCell ref="C309:I309"/>
    <mergeCell ref="I318:I337"/>
    <mergeCell ref="I296:I306"/>
    <mergeCell ref="I272:I284"/>
    <mergeCell ref="B316:J316"/>
    <mergeCell ref="I285:I295"/>
    <mergeCell ref="I238:I257"/>
    <mergeCell ref="C260:I260"/>
    <mergeCell ref="C271:M271"/>
  </mergeCells>
  <pageMargins left="0.7" right="0.7" top="0.75" bottom="0.75" header="0.3" footer="0.3"/>
  <pageSetup paperSize="9" orientation="landscape" r:id="rId1"/>
  <ignoredErrors>
    <ignoredError sqref="A470"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15370" r:id="rId4" name="Button 1">
              <controlPr defaultSize="0" print="0" autoFill="0" autoPict="0" macro="[0]!RETORNAR">
                <anchor moveWithCells="1" sizeWithCells="1">
                  <from>
                    <xdr:col>1</xdr:col>
                    <xdr:colOff>38100</xdr:colOff>
                    <xdr:row>0</xdr:row>
                    <xdr:rowOff>47625</xdr:rowOff>
                  </from>
                  <to>
                    <xdr:col>3</xdr:col>
                    <xdr:colOff>123825</xdr:colOff>
                    <xdr:row>0</xdr:row>
                    <xdr:rowOff>314325</xdr:rowOff>
                  </to>
                </anchor>
              </controlPr>
            </control>
          </mc:Choice>
        </mc:AlternateContent>
        <mc:AlternateContent xmlns:mc="http://schemas.openxmlformats.org/markup-compatibility/2006">
          <mc:Choice Requires="x14">
            <control shapeId="15415" r:id="rId5" name="Botón 55">
              <controlPr defaultSize="0" print="0" autoFill="0" autoPict="0" macro="[0]!IR_VENTAS_B200_2026">
                <anchor moveWithCells="1" sizeWithCells="1">
                  <from>
                    <xdr:col>1</xdr:col>
                    <xdr:colOff>200025</xdr:colOff>
                    <xdr:row>521</xdr:row>
                    <xdr:rowOff>95250</xdr:rowOff>
                  </from>
                  <to>
                    <xdr:col>2</xdr:col>
                    <xdr:colOff>581025</xdr:colOff>
                    <xdr:row>524</xdr:row>
                    <xdr:rowOff>123825</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Hoja36" filterMode="1"/>
  <dimension ref="A1:V67"/>
  <sheetViews>
    <sheetView zoomScale="89" zoomScaleNormal="89" workbookViewId="0">
      <selection activeCell="G67" sqref="G67"/>
    </sheetView>
  </sheetViews>
  <sheetFormatPr baseColWidth="10" defaultColWidth="10.85546875" defaultRowHeight="15" x14ac:dyDescent="0.25"/>
  <cols>
    <col min="1" max="1" width="12.28515625" customWidth="1"/>
    <col min="2" max="2" width="13.5703125" customWidth="1"/>
    <col min="3" max="3" width="12" bestFit="1" customWidth="1"/>
    <col min="4" max="4" width="11" style="275" customWidth="1"/>
    <col min="5" max="5" width="6.85546875" customWidth="1"/>
    <col min="6" max="6" width="10.85546875" style="28"/>
    <col min="7" max="7" width="58" customWidth="1"/>
    <col min="8" max="8" width="18.5703125" customWidth="1"/>
    <col min="9" max="9" width="20.28515625" style="74" customWidth="1"/>
    <col min="10" max="10" width="13" style="74" customWidth="1"/>
  </cols>
  <sheetData>
    <row r="1" spans="1:20" ht="33.6" customHeight="1" x14ac:dyDescent="0.25"/>
    <row r="2" spans="1:20" x14ac:dyDescent="0.25">
      <c r="A2" t="s">
        <v>706</v>
      </c>
      <c r="B2" s="1" t="s">
        <v>0</v>
      </c>
      <c r="C2" s="1" t="s">
        <v>1</v>
      </c>
      <c r="D2" s="208" t="s">
        <v>2</v>
      </c>
      <c r="E2" s="1"/>
      <c r="F2" s="25" t="s">
        <v>3</v>
      </c>
      <c r="G2" s="1" t="s">
        <v>4</v>
      </c>
      <c r="H2" s="1" t="s">
        <v>5</v>
      </c>
      <c r="I2" s="125" t="s">
        <v>6</v>
      </c>
      <c r="J2" s="125" t="s">
        <v>2579</v>
      </c>
      <c r="K2" s="1" t="s">
        <v>8</v>
      </c>
      <c r="L2" s="1" t="s">
        <v>3997</v>
      </c>
      <c r="M2" s="1" t="s">
        <v>10</v>
      </c>
      <c r="N2" s="1480" t="s">
        <v>11</v>
      </c>
      <c r="O2" s="1480"/>
      <c r="P2" s="1480"/>
      <c r="Q2" s="1480"/>
    </row>
    <row r="3" spans="1:20" hidden="1" x14ac:dyDescent="0.25">
      <c r="A3" s="116" t="s">
        <v>709</v>
      </c>
      <c r="B3" t="s">
        <v>583</v>
      </c>
      <c r="C3" t="s">
        <v>660</v>
      </c>
      <c r="D3" s="122">
        <v>44656</v>
      </c>
      <c r="E3" s="32">
        <v>2.6</v>
      </c>
      <c r="F3" s="28" t="s">
        <v>573</v>
      </c>
      <c r="G3" t="s">
        <v>713</v>
      </c>
      <c r="H3" s="19" t="s">
        <v>773</v>
      </c>
      <c r="I3" s="74">
        <v>26400</v>
      </c>
      <c r="K3" s="32" t="s">
        <v>17</v>
      </c>
      <c r="N3" t="s">
        <v>771</v>
      </c>
      <c r="O3" t="s">
        <v>690</v>
      </c>
      <c r="P3" s="117">
        <v>0.44513888888888892</v>
      </c>
      <c r="Q3" s="14">
        <v>0.68333333333333324</v>
      </c>
      <c r="T3" t="s">
        <v>710</v>
      </c>
    </row>
    <row r="4" spans="1:20" hidden="1" x14ac:dyDescent="0.25">
      <c r="A4" s="115">
        <v>14042022</v>
      </c>
      <c r="B4" t="s">
        <v>583</v>
      </c>
      <c r="C4" t="s">
        <v>693</v>
      </c>
      <c r="D4" s="122">
        <v>44665</v>
      </c>
      <c r="E4" s="32">
        <v>2.6</v>
      </c>
      <c r="F4" s="28" t="s">
        <v>573</v>
      </c>
      <c r="G4" t="s">
        <v>760</v>
      </c>
      <c r="H4" s="19" t="s">
        <v>774</v>
      </c>
      <c r="I4" s="74">
        <v>26400</v>
      </c>
      <c r="K4" s="32" t="s">
        <v>17</v>
      </c>
      <c r="N4" t="s">
        <v>771</v>
      </c>
      <c r="O4" t="s">
        <v>690</v>
      </c>
      <c r="P4" s="14">
        <v>0.61805555555555558</v>
      </c>
      <c r="Q4" s="14">
        <v>0.77430555555555547</v>
      </c>
    </row>
    <row r="5" spans="1:20" hidden="1" x14ac:dyDescent="0.25">
      <c r="A5" s="115">
        <v>20042022</v>
      </c>
      <c r="B5" t="s">
        <v>583</v>
      </c>
      <c r="C5" t="s">
        <v>410</v>
      </c>
      <c r="D5" s="122">
        <v>44671</v>
      </c>
      <c r="E5" s="32"/>
      <c r="F5" s="28" t="s">
        <v>573</v>
      </c>
      <c r="G5" t="s">
        <v>772</v>
      </c>
      <c r="H5" s="19" t="s">
        <v>775</v>
      </c>
      <c r="I5" s="74">
        <v>26400</v>
      </c>
      <c r="K5" s="32" t="s">
        <v>17</v>
      </c>
      <c r="N5" t="s">
        <v>771</v>
      </c>
      <c r="O5" t="s">
        <v>652</v>
      </c>
      <c r="P5" s="14">
        <v>0.3527777777777778</v>
      </c>
      <c r="Q5" s="137">
        <v>0.51180555555555551</v>
      </c>
    </row>
    <row r="6" spans="1:20" hidden="1" x14ac:dyDescent="0.25">
      <c r="A6" s="116" t="s">
        <v>810</v>
      </c>
      <c r="B6" t="s">
        <v>583</v>
      </c>
      <c r="C6" t="s">
        <v>809</v>
      </c>
      <c r="D6" s="122">
        <v>44684</v>
      </c>
      <c r="E6" s="32"/>
      <c r="F6" s="28" t="s">
        <v>573</v>
      </c>
      <c r="G6" t="s">
        <v>830</v>
      </c>
      <c r="H6" s="19" t="s">
        <v>828</v>
      </c>
      <c r="I6" s="74">
        <v>33000</v>
      </c>
      <c r="K6" s="32" t="s">
        <v>17</v>
      </c>
      <c r="L6" s="2">
        <v>44730</v>
      </c>
    </row>
    <row r="7" spans="1:20" hidden="1" x14ac:dyDescent="0.25">
      <c r="A7" s="116" t="s">
        <v>810</v>
      </c>
      <c r="B7" t="s">
        <v>583</v>
      </c>
      <c r="C7" t="s">
        <v>693</v>
      </c>
      <c r="D7" s="122">
        <v>44684</v>
      </c>
      <c r="E7" s="32"/>
      <c r="F7" s="28" t="s">
        <v>573</v>
      </c>
      <c r="G7" t="s">
        <v>831</v>
      </c>
      <c r="H7" s="19" t="s">
        <v>829</v>
      </c>
      <c r="I7" s="74">
        <v>33000</v>
      </c>
      <c r="K7" s="32" t="s">
        <v>17</v>
      </c>
      <c r="L7" s="2">
        <v>44730</v>
      </c>
      <c r="O7" t="s">
        <v>808</v>
      </c>
      <c r="P7" s="14">
        <v>0.5493055555555556</v>
      </c>
      <c r="Q7" s="14">
        <v>0.92638888888888893</v>
      </c>
    </row>
    <row r="8" spans="1:20" hidden="1" x14ac:dyDescent="0.25">
      <c r="A8" s="115">
        <v>20052022</v>
      </c>
      <c r="B8" t="s">
        <v>583</v>
      </c>
      <c r="C8" t="s">
        <v>410</v>
      </c>
      <c r="D8" s="122">
        <v>44701</v>
      </c>
      <c r="E8" s="32"/>
      <c r="F8" s="28" t="s">
        <v>573</v>
      </c>
      <c r="G8" t="s">
        <v>863</v>
      </c>
      <c r="H8" s="19" t="s">
        <v>864</v>
      </c>
      <c r="I8" s="74">
        <v>33000</v>
      </c>
      <c r="J8" s="341"/>
      <c r="K8" s="32" t="s">
        <v>17</v>
      </c>
      <c r="L8" s="2">
        <v>44730</v>
      </c>
      <c r="O8" t="s">
        <v>817</v>
      </c>
      <c r="P8" s="14">
        <v>0.31388888888888888</v>
      </c>
      <c r="Q8" s="14">
        <v>0.49791666666666662</v>
      </c>
    </row>
    <row r="9" spans="1:20" hidden="1" x14ac:dyDescent="0.25">
      <c r="A9" s="115">
        <v>22052022</v>
      </c>
      <c r="B9" t="s">
        <v>583</v>
      </c>
      <c r="C9" t="s">
        <v>410</v>
      </c>
      <c r="D9" s="122">
        <v>44703</v>
      </c>
      <c r="E9" s="32"/>
      <c r="F9" s="28" t="s">
        <v>573</v>
      </c>
      <c r="G9" t="s">
        <v>862</v>
      </c>
      <c r="H9" s="19" t="s">
        <v>865</v>
      </c>
      <c r="I9" s="74">
        <v>26400</v>
      </c>
      <c r="J9" s="341"/>
      <c r="K9" s="32" t="s">
        <v>17</v>
      </c>
      <c r="L9" s="2">
        <v>44730</v>
      </c>
      <c r="O9" t="s">
        <v>690</v>
      </c>
      <c r="P9" s="14">
        <v>0.45208333333333334</v>
      </c>
      <c r="Q9" s="14">
        <v>0.67361111111111116</v>
      </c>
    </row>
    <row r="10" spans="1:20" hidden="1" x14ac:dyDescent="0.25">
      <c r="A10" s="115">
        <v>24052022</v>
      </c>
      <c r="B10" t="s">
        <v>583</v>
      </c>
      <c r="C10" t="s">
        <v>693</v>
      </c>
      <c r="D10" s="122">
        <v>44705</v>
      </c>
      <c r="E10" s="32"/>
      <c r="F10" s="28" t="s">
        <v>573</v>
      </c>
      <c r="G10" t="s">
        <v>868</v>
      </c>
      <c r="H10" t="s">
        <v>869</v>
      </c>
      <c r="I10" s="74">
        <v>33000</v>
      </c>
      <c r="J10" s="341"/>
      <c r="K10" s="32" t="s">
        <v>17</v>
      </c>
      <c r="L10" s="2">
        <v>44730</v>
      </c>
      <c r="O10" t="s">
        <v>690</v>
      </c>
      <c r="P10" s="14">
        <v>0.53611111111111109</v>
      </c>
      <c r="Q10" s="14">
        <v>0.7284722222222223</v>
      </c>
    </row>
    <row r="11" spans="1:20" hidden="1" x14ac:dyDescent="0.25">
      <c r="A11" s="115">
        <v>26052022</v>
      </c>
      <c r="B11" t="s">
        <v>583</v>
      </c>
      <c r="C11" t="s">
        <v>410</v>
      </c>
      <c r="D11" s="122">
        <v>44707</v>
      </c>
      <c r="E11" s="32"/>
      <c r="F11" s="28" t="s">
        <v>573</v>
      </c>
      <c r="G11" t="s">
        <v>914</v>
      </c>
      <c r="H11" s="19" t="s">
        <v>915</v>
      </c>
      <c r="I11" s="74">
        <v>26400</v>
      </c>
      <c r="J11" s="341"/>
      <c r="K11" s="32" t="s">
        <v>17</v>
      </c>
      <c r="L11" s="2">
        <v>44768</v>
      </c>
      <c r="O11" t="s">
        <v>651</v>
      </c>
      <c r="P11" s="14">
        <v>0.38819444444444445</v>
      </c>
      <c r="Q11" s="14"/>
    </row>
    <row r="12" spans="1:20" hidden="1" x14ac:dyDescent="0.25">
      <c r="A12" s="115">
        <v>10062022</v>
      </c>
      <c r="B12" t="s">
        <v>583</v>
      </c>
      <c r="C12" s="163" t="s">
        <v>693</v>
      </c>
      <c r="D12" s="122">
        <v>44722</v>
      </c>
      <c r="E12" s="32"/>
      <c r="F12" s="209" t="s">
        <v>573</v>
      </c>
      <c r="G12" s="163" t="s">
        <v>924</v>
      </c>
      <c r="H12" s="19" t="s">
        <v>925</v>
      </c>
      <c r="I12" s="74">
        <v>33000</v>
      </c>
      <c r="J12" s="175"/>
      <c r="K12" s="32" t="s">
        <v>17</v>
      </c>
      <c r="L12" s="2">
        <v>44768</v>
      </c>
      <c r="O12" s="163" t="s">
        <v>913</v>
      </c>
      <c r="P12" s="152">
        <v>0.3444444444444445</v>
      </c>
    </row>
    <row r="13" spans="1:20" hidden="1" x14ac:dyDescent="0.25">
      <c r="A13" s="115">
        <v>15062022</v>
      </c>
      <c r="B13" s="169" t="s">
        <v>583</v>
      </c>
      <c r="C13" t="s">
        <v>410</v>
      </c>
      <c r="D13" s="122">
        <v>44727</v>
      </c>
      <c r="E13" s="32"/>
      <c r="F13" s="209" t="s">
        <v>573</v>
      </c>
      <c r="G13" s="163" t="s">
        <v>973</v>
      </c>
      <c r="H13" s="19" t="s">
        <v>926</v>
      </c>
      <c r="I13" s="74">
        <v>26400</v>
      </c>
      <c r="J13" s="175"/>
      <c r="K13" s="32" t="s">
        <v>17</v>
      </c>
      <c r="L13" s="2">
        <v>44768</v>
      </c>
      <c r="O13" s="163" t="s">
        <v>922</v>
      </c>
      <c r="P13" s="14">
        <v>0.33055555555555555</v>
      </c>
    </row>
    <row r="14" spans="1:20" hidden="1" x14ac:dyDescent="0.25">
      <c r="A14" s="115">
        <v>16062022</v>
      </c>
      <c r="B14" s="169" t="s">
        <v>583</v>
      </c>
      <c r="C14" t="s">
        <v>410</v>
      </c>
      <c r="D14" s="122">
        <v>44728</v>
      </c>
      <c r="E14" s="32"/>
      <c r="F14" s="209" t="s">
        <v>573</v>
      </c>
      <c r="G14" s="163" t="s">
        <v>971</v>
      </c>
      <c r="H14" t="s">
        <v>972</v>
      </c>
      <c r="I14" s="175">
        <v>26400</v>
      </c>
      <c r="K14" s="32" t="s">
        <v>17</v>
      </c>
      <c r="L14" s="2">
        <v>44768</v>
      </c>
      <c r="O14" s="163" t="s">
        <v>922</v>
      </c>
      <c r="P14" s="14">
        <v>0.32361111111111113</v>
      </c>
    </row>
    <row r="15" spans="1:20" hidden="1" x14ac:dyDescent="0.25">
      <c r="A15" s="115">
        <v>25062022</v>
      </c>
      <c r="B15" s="30" t="s">
        <v>583</v>
      </c>
      <c r="C15" t="s">
        <v>693</v>
      </c>
      <c r="D15" s="122">
        <v>44737</v>
      </c>
      <c r="E15" s="32"/>
      <c r="F15" s="472" t="s">
        <v>573</v>
      </c>
      <c r="G15" s="19" t="s">
        <v>1026</v>
      </c>
      <c r="H15" s="19" t="s">
        <v>1027</v>
      </c>
      <c r="I15" s="160">
        <v>33000</v>
      </c>
      <c r="K15" s="32" t="s">
        <v>17</v>
      </c>
      <c r="L15" t="s">
        <v>1460</v>
      </c>
      <c r="O15" s="19" t="s">
        <v>662</v>
      </c>
      <c r="P15" s="14">
        <v>0.55972222222222223</v>
      </c>
      <c r="Q15" s="14">
        <v>0.7416666666666667</v>
      </c>
    </row>
    <row r="16" spans="1:20" hidden="1" x14ac:dyDescent="0.25">
      <c r="A16" s="115" t="s">
        <v>1002</v>
      </c>
      <c r="B16" s="169" t="s">
        <v>583</v>
      </c>
      <c r="C16" s="21" t="s">
        <v>410</v>
      </c>
      <c r="D16" s="122">
        <v>44743</v>
      </c>
      <c r="E16" s="32"/>
      <c r="F16" s="209" t="s">
        <v>573</v>
      </c>
      <c r="G16" s="163" t="s">
        <v>1009</v>
      </c>
      <c r="H16" s="175" t="s">
        <v>1012</v>
      </c>
      <c r="I16" s="160">
        <v>26400</v>
      </c>
      <c r="J16" s="175"/>
      <c r="K16" s="32" t="s">
        <v>17</v>
      </c>
      <c r="L16" s="2">
        <v>44768</v>
      </c>
      <c r="O16" s="163" t="s">
        <v>795</v>
      </c>
      <c r="P16" s="14">
        <v>0.34791666666666665</v>
      </c>
      <c r="Q16" s="14">
        <v>0.49791666666666662</v>
      </c>
    </row>
    <row r="17" spans="1:21" hidden="1" x14ac:dyDescent="0.25">
      <c r="A17" s="115" t="s">
        <v>1003</v>
      </c>
      <c r="B17" s="169" t="s">
        <v>583</v>
      </c>
      <c r="C17" t="s">
        <v>410</v>
      </c>
      <c r="D17" s="122">
        <v>44744</v>
      </c>
      <c r="E17" s="32"/>
      <c r="F17" s="209" t="s">
        <v>573</v>
      </c>
      <c r="G17" s="163" t="s">
        <v>1010</v>
      </c>
      <c r="H17" s="74" t="s">
        <v>1011</v>
      </c>
      <c r="I17" s="160">
        <v>33000</v>
      </c>
      <c r="J17" s="175"/>
      <c r="K17" s="32" t="s">
        <v>17</v>
      </c>
      <c r="L17" s="2">
        <v>44768</v>
      </c>
      <c r="O17" s="163" t="s">
        <v>893</v>
      </c>
      <c r="P17" s="14">
        <v>0.3347222222222222</v>
      </c>
      <c r="Q17">
        <v>0.51944444444444449</v>
      </c>
    </row>
    <row r="18" spans="1:21" hidden="1" x14ac:dyDescent="0.25">
      <c r="A18" s="95" t="s">
        <v>1035</v>
      </c>
      <c r="B18" t="s">
        <v>583</v>
      </c>
      <c r="C18">
        <v>2221</v>
      </c>
      <c r="D18" s="122">
        <v>44745</v>
      </c>
      <c r="F18" s="28" t="s">
        <v>573</v>
      </c>
      <c r="G18" t="s">
        <v>1014</v>
      </c>
      <c r="H18" s="178" t="s">
        <v>1013</v>
      </c>
      <c r="I18" s="160">
        <v>26400</v>
      </c>
      <c r="K18" s="32" t="s">
        <v>17</v>
      </c>
      <c r="L18" s="2">
        <v>44768</v>
      </c>
      <c r="Q18">
        <v>0.68194444444444446</v>
      </c>
    </row>
    <row r="19" spans="1:21" hidden="1" x14ac:dyDescent="0.25">
      <c r="A19" t="s">
        <v>1008</v>
      </c>
      <c r="B19" t="s">
        <v>583</v>
      </c>
      <c r="C19">
        <v>2221</v>
      </c>
      <c r="D19" s="122">
        <v>44748</v>
      </c>
      <c r="F19" s="28" t="s">
        <v>573</v>
      </c>
      <c r="G19" t="s">
        <v>1069</v>
      </c>
      <c r="H19" s="74" t="s">
        <v>1070</v>
      </c>
      <c r="I19" s="160">
        <v>26400</v>
      </c>
      <c r="K19" s="32" t="s">
        <v>17</v>
      </c>
      <c r="L19" t="s">
        <v>1460</v>
      </c>
    </row>
    <row r="20" spans="1:21" hidden="1" x14ac:dyDescent="0.25">
      <c r="A20" s="115">
        <v>30072022</v>
      </c>
      <c r="B20" s="169" t="s">
        <v>583</v>
      </c>
      <c r="C20" s="21" t="s">
        <v>693</v>
      </c>
      <c r="D20" s="122">
        <v>44772</v>
      </c>
      <c r="E20" s="32"/>
      <c r="F20" s="28" t="s">
        <v>573</v>
      </c>
      <c r="G20" s="163" t="s">
        <v>1071</v>
      </c>
      <c r="H20" s="74" t="s">
        <v>1072</v>
      </c>
      <c r="I20" s="160">
        <v>26400</v>
      </c>
      <c r="J20" s="175"/>
      <c r="K20" s="32" t="s">
        <v>17</v>
      </c>
      <c r="L20" t="s">
        <v>1460</v>
      </c>
      <c r="O20" s="163" t="s">
        <v>769</v>
      </c>
      <c r="P20" s="14">
        <v>0.48055555555555557</v>
      </c>
      <c r="Q20" s="14">
        <v>0.65</v>
      </c>
    </row>
    <row r="21" spans="1:21" hidden="1" x14ac:dyDescent="0.25">
      <c r="A21" s="116" t="s">
        <v>1090</v>
      </c>
      <c r="B21" s="169" t="s">
        <v>583</v>
      </c>
      <c r="C21" s="21" t="s">
        <v>410</v>
      </c>
      <c r="D21" s="122">
        <v>44780</v>
      </c>
      <c r="E21" s="32"/>
      <c r="F21" s="209" t="s">
        <v>1095</v>
      </c>
      <c r="G21" s="163" t="s">
        <v>1300</v>
      </c>
      <c r="H21" t="s">
        <v>1103</v>
      </c>
      <c r="I21" s="159">
        <v>33000</v>
      </c>
      <c r="J21" s="175"/>
      <c r="K21" s="32" t="s">
        <v>17</v>
      </c>
      <c r="L21" t="s">
        <v>1460</v>
      </c>
      <c r="O21" s="163" t="s">
        <v>653</v>
      </c>
      <c r="P21" s="157">
        <v>0.44375000000000003</v>
      </c>
      <c r="Q21" s="157">
        <v>0.65208333333333335</v>
      </c>
    </row>
    <row r="22" spans="1:21" hidden="1" x14ac:dyDescent="0.25">
      <c r="A22" s="116" t="s">
        <v>1097</v>
      </c>
      <c r="B22" s="169" t="s">
        <v>583</v>
      </c>
      <c r="C22" s="21" t="s">
        <v>693</v>
      </c>
      <c r="D22" s="123">
        <v>44784</v>
      </c>
      <c r="E22" s="88"/>
      <c r="F22" s="177" t="s">
        <v>1095</v>
      </c>
      <c r="G22" s="21" t="s">
        <v>1299</v>
      </c>
      <c r="H22" s="21" t="s">
        <v>1104</v>
      </c>
      <c r="I22" s="160">
        <v>26400</v>
      </c>
      <c r="J22" s="178"/>
      <c r="K22" s="32" t="s">
        <v>17</v>
      </c>
      <c r="L22" t="s">
        <v>1460</v>
      </c>
      <c r="O22" s="163" t="s">
        <v>694</v>
      </c>
      <c r="P22" s="157">
        <v>0.625</v>
      </c>
      <c r="Q22" s="182" t="s">
        <v>1101</v>
      </c>
    </row>
    <row r="23" spans="1:21" hidden="1" x14ac:dyDescent="0.25">
      <c r="A23" s="115">
        <v>13092022</v>
      </c>
      <c r="B23" s="169" t="s">
        <v>583</v>
      </c>
      <c r="C23" s="169" t="s">
        <v>809</v>
      </c>
      <c r="D23" s="122">
        <v>44817</v>
      </c>
      <c r="E23" s="88"/>
      <c r="F23" s="28" t="s">
        <v>573</v>
      </c>
      <c r="G23" t="s">
        <v>1298</v>
      </c>
      <c r="H23" s="21" t="s">
        <v>1231</v>
      </c>
      <c r="I23" s="160">
        <v>26400</v>
      </c>
      <c r="J23" s="178"/>
      <c r="K23" s="32" t="s">
        <v>17</v>
      </c>
      <c r="L23" t="s">
        <v>1460</v>
      </c>
      <c r="O23" s="21" t="s">
        <v>923</v>
      </c>
      <c r="P23" s="157">
        <v>0.34097222222222223</v>
      </c>
      <c r="Q23" s="21"/>
    </row>
    <row r="24" spans="1:21" hidden="1" x14ac:dyDescent="0.25">
      <c r="A24" s="115">
        <v>17092022</v>
      </c>
      <c r="B24" s="169" t="s">
        <v>583</v>
      </c>
      <c r="C24" s="169" t="s">
        <v>809</v>
      </c>
      <c r="D24" s="122">
        <v>44821</v>
      </c>
      <c r="E24" s="88"/>
      <c r="F24" s="28" t="s">
        <v>573</v>
      </c>
      <c r="G24" t="s">
        <v>1295</v>
      </c>
      <c r="H24" s="21" t="s">
        <v>1296</v>
      </c>
      <c r="I24" s="160">
        <v>26400</v>
      </c>
      <c r="J24" s="178"/>
      <c r="K24" s="32" t="s">
        <v>17</v>
      </c>
      <c r="L24" t="s">
        <v>1460</v>
      </c>
      <c r="O24" s="21" t="s">
        <v>923</v>
      </c>
      <c r="P24" s="157">
        <v>0.52222222222222225</v>
      </c>
      <c r="Q24" s="157">
        <v>0.66875000000000007</v>
      </c>
    </row>
    <row r="25" spans="1:21" hidden="1" x14ac:dyDescent="0.25">
      <c r="A25" s="115">
        <v>28092022</v>
      </c>
      <c r="B25" s="169" t="s">
        <v>583</v>
      </c>
      <c r="C25" s="30" t="s">
        <v>410</v>
      </c>
      <c r="D25" s="122">
        <v>44832</v>
      </c>
      <c r="E25" s="88"/>
      <c r="F25" s="28" t="s">
        <v>573</v>
      </c>
      <c r="G25" s="21" t="s">
        <v>1297</v>
      </c>
      <c r="H25" s="21" t="s">
        <v>1356</v>
      </c>
      <c r="I25" s="160">
        <v>26400</v>
      </c>
      <c r="J25" s="178"/>
      <c r="K25" s="32" t="s">
        <v>17</v>
      </c>
      <c r="L25" t="s">
        <v>1460</v>
      </c>
      <c r="O25" s="21" t="s">
        <v>893</v>
      </c>
      <c r="P25" s="157">
        <v>0.58958333333333335</v>
      </c>
      <c r="Q25" s="157">
        <v>0.74097222222222225</v>
      </c>
    </row>
    <row r="26" spans="1:21" hidden="1" x14ac:dyDescent="0.25">
      <c r="A26" s="116">
        <v>11102022</v>
      </c>
      <c r="B26" s="169" t="s">
        <v>583</v>
      </c>
      <c r="C26" s="30">
        <v>2221</v>
      </c>
      <c r="D26" s="122">
        <v>44845</v>
      </c>
      <c r="E26" s="88"/>
      <c r="F26" s="28" t="s">
        <v>573</v>
      </c>
      <c r="G26" s="21" t="s">
        <v>1446</v>
      </c>
      <c r="H26" s="21" t="s">
        <v>1445</v>
      </c>
      <c r="I26" s="160">
        <v>26400</v>
      </c>
      <c r="J26" s="178"/>
      <c r="K26" s="32" t="s">
        <v>17</v>
      </c>
      <c r="L26" t="s">
        <v>1460</v>
      </c>
      <c r="O26" s="21" t="s">
        <v>894</v>
      </c>
      <c r="P26" s="157">
        <v>0.41597222222222219</v>
      </c>
      <c r="Q26" s="21"/>
    </row>
    <row r="27" spans="1:21" hidden="1" x14ac:dyDescent="0.25">
      <c r="A27" s="116">
        <v>26102022</v>
      </c>
      <c r="B27" s="169" t="s">
        <v>583</v>
      </c>
      <c r="C27" s="169" t="s">
        <v>693</v>
      </c>
      <c r="D27" s="122">
        <v>44860</v>
      </c>
      <c r="E27" s="88"/>
      <c r="F27" s="28" t="s">
        <v>573</v>
      </c>
      <c r="G27" s="21" t="s">
        <v>1447</v>
      </c>
      <c r="H27" s="21" t="s">
        <v>1444</v>
      </c>
      <c r="I27" s="160">
        <v>33000</v>
      </c>
      <c r="J27" s="178"/>
      <c r="K27" s="32" t="s">
        <v>17</v>
      </c>
      <c r="L27" t="s">
        <v>1460</v>
      </c>
      <c r="O27" s="21" t="s">
        <v>929</v>
      </c>
      <c r="P27" s="157">
        <v>0.35694444444444445</v>
      </c>
      <c r="Q27" s="21"/>
    </row>
    <row r="28" spans="1:21" hidden="1" x14ac:dyDescent="0.25">
      <c r="A28" s="116" t="s">
        <v>1449</v>
      </c>
      <c r="B28" s="169" t="s">
        <v>583</v>
      </c>
      <c r="C28" s="30" t="s">
        <v>410</v>
      </c>
      <c r="D28" s="122">
        <v>44871</v>
      </c>
      <c r="E28" s="88"/>
      <c r="F28" s="28" t="s">
        <v>573</v>
      </c>
      <c r="G28" s="21" t="s">
        <v>277</v>
      </c>
      <c r="H28">
        <v>72</v>
      </c>
      <c r="I28" s="160">
        <v>26400</v>
      </c>
      <c r="J28" s="178"/>
      <c r="K28" s="160" t="s">
        <v>17</v>
      </c>
      <c r="L28" s="2">
        <v>45288</v>
      </c>
      <c r="O28" s="21" t="s">
        <v>989</v>
      </c>
      <c r="P28" s="157">
        <v>0.45347222222222222</v>
      </c>
      <c r="Q28" s="157">
        <v>0.67222222222222217</v>
      </c>
    </row>
    <row r="29" spans="1:21" hidden="1" x14ac:dyDescent="0.25">
      <c r="A29" s="116">
        <v>16112022</v>
      </c>
      <c r="B29" s="30" t="s">
        <v>583</v>
      </c>
      <c r="C29" s="169" t="s">
        <v>693</v>
      </c>
      <c r="D29" s="122">
        <v>44881</v>
      </c>
      <c r="E29" s="88"/>
      <c r="F29" s="28" t="s">
        <v>1492</v>
      </c>
      <c r="G29" s="21" t="s">
        <v>279</v>
      </c>
      <c r="H29">
        <v>76</v>
      </c>
      <c r="I29" s="160">
        <v>53000</v>
      </c>
      <c r="J29" s="178"/>
      <c r="K29" s="160" t="s">
        <v>17</v>
      </c>
      <c r="L29" s="2">
        <v>45288</v>
      </c>
      <c r="O29" s="21" t="s">
        <v>1029</v>
      </c>
      <c r="P29" s="157">
        <v>0.31111111111111112</v>
      </c>
      <c r="Q29" s="157">
        <v>0.85902777777777783</v>
      </c>
    </row>
    <row r="30" spans="1:21" hidden="1" x14ac:dyDescent="0.25">
      <c r="A30" s="116">
        <v>19112022</v>
      </c>
      <c r="B30" s="30" t="s">
        <v>583</v>
      </c>
      <c r="C30" s="30" t="s">
        <v>27</v>
      </c>
      <c r="D30" s="122">
        <v>44884</v>
      </c>
      <c r="E30" s="88"/>
      <c r="F30" s="28" t="s">
        <v>1492</v>
      </c>
      <c r="G30" t="s">
        <v>277</v>
      </c>
      <c r="H30">
        <v>77</v>
      </c>
      <c r="I30" s="88">
        <v>26400</v>
      </c>
      <c r="J30" s="100"/>
      <c r="K30" s="160" t="s">
        <v>17</v>
      </c>
      <c r="L30" s="2">
        <v>45288</v>
      </c>
      <c r="O30" t="s">
        <v>929</v>
      </c>
      <c r="P30" s="14">
        <v>0.6875</v>
      </c>
      <c r="Q30" s="14">
        <v>0.74444444444444446</v>
      </c>
    </row>
    <row r="31" spans="1:21" hidden="1" x14ac:dyDescent="0.25">
      <c r="A31" s="115">
        <v>20122022</v>
      </c>
      <c r="B31" t="s">
        <v>583</v>
      </c>
      <c r="C31" s="30" t="s">
        <v>27</v>
      </c>
      <c r="D31" s="122">
        <v>44915</v>
      </c>
      <c r="E31" s="88"/>
      <c r="F31" s="28" t="s">
        <v>1610</v>
      </c>
      <c r="G31" s="21" t="s">
        <v>279</v>
      </c>
      <c r="H31">
        <v>83</v>
      </c>
      <c r="I31" s="88">
        <v>28800</v>
      </c>
      <c r="J31" s="178"/>
      <c r="K31" s="160" t="s">
        <v>17</v>
      </c>
      <c r="L31" s="2">
        <v>45288</v>
      </c>
      <c r="S31" t="s">
        <v>916</v>
      </c>
      <c r="T31" s="157">
        <v>0.35902777777777778</v>
      </c>
      <c r="U31" s="157">
        <v>0.55972222222222223</v>
      </c>
    </row>
    <row r="32" spans="1:21" hidden="1" x14ac:dyDescent="0.25">
      <c r="A32" s="115">
        <v>22122022</v>
      </c>
      <c r="B32" t="s">
        <v>583</v>
      </c>
      <c r="C32" s="30" t="s">
        <v>27</v>
      </c>
      <c r="D32" s="122">
        <v>44917</v>
      </c>
      <c r="E32" s="88"/>
      <c r="F32" s="28" t="s">
        <v>573</v>
      </c>
      <c r="G32" s="21" t="s">
        <v>277</v>
      </c>
      <c r="H32" t="s">
        <v>1721</v>
      </c>
      <c r="I32" s="88">
        <v>24288</v>
      </c>
      <c r="J32" s="178"/>
      <c r="K32" s="88" t="s">
        <v>17</v>
      </c>
      <c r="L32" s="2">
        <v>45008</v>
      </c>
      <c r="N32" s="2"/>
      <c r="S32" s="2" t="s">
        <v>929</v>
      </c>
      <c r="T32" s="157">
        <v>0.31875000000000003</v>
      </c>
      <c r="U32" s="157">
        <v>0.46111111111111108</v>
      </c>
    </row>
    <row r="33" spans="1:22" hidden="1" x14ac:dyDescent="0.25">
      <c r="A33" s="246">
        <v>28012023</v>
      </c>
      <c r="B33" t="s">
        <v>583</v>
      </c>
      <c r="C33" t="s">
        <v>410</v>
      </c>
      <c r="D33" s="122">
        <v>44954</v>
      </c>
      <c r="F33" s="28" t="s">
        <v>573</v>
      </c>
      <c r="G33" t="s">
        <v>1919</v>
      </c>
      <c r="H33" t="s">
        <v>1994</v>
      </c>
      <c r="I33" s="160">
        <v>28512</v>
      </c>
      <c r="K33" s="88" t="s">
        <v>17</v>
      </c>
      <c r="L33" s="2">
        <v>45008</v>
      </c>
      <c r="S33" t="s">
        <v>916</v>
      </c>
      <c r="T33" s="14">
        <v>0.50486111111111109</v>
      </c>
      <c r="U33" s="14">
        <v>0.65277777777777779</v>
      </c>
    </row>
    <row r="34" spans="1:22" hidden="1" x14ac:dyDescent="0.25">
      <c r="A34" s="256">
        <v>20022023</v>
      </c>
      <c r="B34" t="s">
        <v>583</v>
      </c>
      <c r="C34" t="s">
        <v>13</v>
      </c>
      <c r="D34" s="122">
        <v>44977</v>
      </c>
      <c r="F34" s="28" t="s">
        <v>294</v>
      </c>
      <c r="G34" t="s">
        <v>1920</v>
      </c>
      <c r="H34" t="s">
        <v>1988</v>
      </c>
      <c r="I34" s="32">
        <v>36042.57</v>
      </c>
      <c r="K34" s="88" t="s">
        <v>17</v>
      </c>
      <c r="L34" s="2">
        <v>45008</v>
      </c>
      <c r="S34" t="s">
        <v>1225</v>
      </c>
      <c r="T34" s="14">
        <v>0.83472222222222225</v>
      </c>
      <c r="U34" s="14">
        <v>6.1111111111111116E-2</v>
      </c>
    </row>
    <row r="35" spans="1:22" hidden="1" x14ac:dyDescent="0.25">
      <c r="A35" s="95" t="s">
        <v>1953</v>
      </c>
      <c r="B35" t="s">
        <v>583</v>
      </c>
      <c r="C35" t="s">
        <v>1954</v>
      </c>
      <c r="D35" s="122">
        <v>44986</v>
      </c>
      <c r="F35" s="28" t="s">
        <v>573</v>
      </c>
      <c r="G35" t="s">
        <v>1986</v>
      </c>
      <c r="H35" t="s">
        <v>1989</v>
      </c>
      <c r="I35" s="32">
        <f>26400+138.93*3.784</f>
        <v>26925.71112</v>
      </c>
      <c r="K35" s="88" t="s">
        <v>17</v>
      </c>
      <c r="L35" s="2">
        <v>45008</v>
      </c>
      <c r="S35" t="s">
        <v>1950</v>
      </c>
      <c r="T35" s="14">
        <v>0.56944444444444442</v>
      </c>
      <c r="U35" s="14">
        <v>0.75347222222222221</v>
      </c>
    </row>
    <row r="36" spans="1:22" hidden="1" x14ac:dyDescent="0.25">
      <c r="A36" s="95" t="s">
        <v>1975</v>
      </c>
      <c r="B36" t="s">
        <v>583</v>
      </c>
      <c r="C36" t="s">
        <v>13</v>
      </c>
      <c r="D36" s="122">
        <v>44988</v>
      </c>
      <c r="F36" s="28" t="s">
        <v>1984</v>
      </c>
      <c r="G36" t="s">
        <v>1992</v>
      </c>
      <c r="H36" t="s">
        <v>1993</v>
      </c>
      <c r="I36" s="89">
        <v>44000</v>
      </c>
      <c r="K36" s="88" t="s">
        <v>17</v>
      </c>
      <c r="L36" s="2">
        <v>45008</v>
      </c>
      <c r="S36" t="s">
        <v>1816</v>
      </c>
      <c r="T36" s="14">
        <v>0.37916666666666665</v>
      </c>
    </row>
    <row r="37" spans="1:22" hidden="1" x14ac:dyDescent="0.25">
      <c r="A37" s="95" t="s">
        <v>2011</v>
      </c>
      <c r="B37" t="s">
        <v>583</v>
      </c>
      <c r="C37" t="s">
        <v>1954</v>
      </c>
      <c r="D37" s="122">
        <v>44994</v>
      </c>
      <c r="F37" s="28" t="s">
        <v>573</v>
      </c>
      <c r="G37" t="s">
        <v>2021</v>
      </c>
      <c r="H37" t="s">
        <v>2020</v>
      </c>
      <c r="I37" s="32">
        <v>26400</v>
      </c>
      <c r="K37" s="88" t="s">
        <v>17</v>
      </c>
      <c r="L37" s="2">
        <v>45008</v>
      </c>
      <c r="S37" t="s">
        <v>894</v>
      </c>
      <c r="T37" s="14">
        <v>0.33680555555555558</v>
      </c>
    </row>
    <row r="38" spans="1:22" hidden="1" x14ac:dyDescent="0.25">
      <c r="A38" s="95" t="s">
        <v>2011</v>
      </c>
      <c r="B38" t="s">
        <v>583</v>
      </c>
      <c r="C38" t="s">
        <v>1954</v>
      </c>
      <c r="D38" s="122">
        <v>44994</v>
      </c>
      <c r="F38" s="28" t="s">
        <v>2015</v>
      </c>
      <c r="G38" t="s">
        <v>2019</v>
      </c>
      <c r="H38" t="s">
        <v>2018</v>
      </c>
      <c r="I38" s="32">
        <v>23305</v>
      </c>
      <c r="K38" s="88" t="s">
        <v>17</v>
      </c>
      <c r="L38" s="2">
        <v>45008</v>
      </c>
      <c r="S38" t="s">
        <v>894</v>
      </c>
      <c r="T38" s="14">
        <v>0.33680555555555558</v>
      </c>
    </row>
    <row r="39" spans="1:22" hidden="1" x14ac:dyDescent="0.25">
      <c r="A39" s="256">
        <v>15032023</v>
      </c>
      <c r="B39" t="s">
        <v>583</v>
      </c>
      <c r="C39" t="s">
        <v>410</v>
      </c>
      <c r="D39" s="122">
        <v>45000</v>
      </c>
      <c r="F39" s="28" t="s">
        <v>573</v>
      </c>
      <c r="G39" t="s">
        <v>2163</v>
      </c>
      <c r="H39" t="s">
        <v>2090</v>
      </c>
      <c r="I39" s="32">
        <v>26905.17</v>
      </c>
      <c r="K39" s="88" t="s">
        <v>17</v>
      </c>
      <c r="L39" s="2">
        <v>45008</v>
      </c>
      <c r="S39" t="s">
        <v>1225</v>
      </c>
      <c r="T39" s="14">
        <v>0.36458333333333331</v>
      </c>
      <c r="U39" s="14">
        <v>0.52083333333333337</v>
      </c>
    </row>
    <row r="40" spans="1:22" hidden="1" x14ac:dyDescent="0.25">
      <c r="A40" s="256">
        <v>24032023</v>
      </c>
      <c r="B40" t="s">
        <v>583</v>
      </c>
      <c r="C40" t="s">
        <v>693</v>
      </c>
      <c r="D40" s="122">
        <v>45009</v>
      </c>
      <c r="F40" s="28" t="s">
        <v>2095</v>
      </c>
      <c r="G40" t="s">
        <v>2176</v>
      </c>
      <c r="H40" t="s">
        <v>2177</v>
      </c>
      <c r="I40" s="88">
        <v>55400</v>
      </c>
      <c r="J40" s="100"/>
      <c r="K40" s="88" t="s">
        <v>17</v>
      </c>
      <c r="L40" s="122">
        <v>45045</v>
      </c>
      <c r="T40" t="s">
        <v>1506</v>
      </c>
      <c r="U40" s="14">
        <v>0.59930555555555554</v>
      </c>
      <c r="V40" s="14"/>
    </row>
    <row r="41" spans="1:22" hidden="1" x14ac:dyDescent="0.25">
      <c r="A41" s="95" t="s">
        <v>2172</v>
      </c>
      <c r="B41" t="s">
        <v>583</v>
      </c>
      <c r="C41" t="s">
        <v>693</v>
      </c>
      <c r="D41" s="122">
        <v>45022</v>
      </c>
      <c r="F41" s="28" t="s">
        <v>5118</v>
      </c>
      <c r="G41" t="s">
        <v>2213</v>
      </c>
      <c r="H41" t="s">
        <v>2226</v>
      </c>
      <c r="I41" s="88">
        <v>34962</v>
      </c>
      <c r="J41" s="100"/>
      <c r="K41" s="88" t="s">
        <v>17</v>
      </c>
      <c r="L41" s="122">
        <v>45045</v>
      </c>
      <c r="T41" t="s">
        <v>1656</v>
      </c>
      <c r="U41" s="14">
        <v>0.29930555555555555</v>
      </c>
      <c r="V41" s="14">
        <v>0.57013888888888886</v>
      </c>
    </row>
    <row r="42" spans="1:22" hidden="1" x14ac:dyDescent="0.25">
      <c r="A42" s="256">
        <v>13042023</v>
      </c>
      <c r="B42" t="s">
        <v>583</v>
      </c>
      <c r="C42" t="s">
        <v>410</v>
      </c>
      <c r="D42" s="122">
        <v>45029</v>
      </c>
      <c r="F42" s="28" t="s">
        <v>294</v>
      </c>
      <c r="G42" t="s">
        <v>2225</v>
      </c>
      <c r="H42" t="s">
        <v>2224</v>
      </c>
      <c r="I42" s="88">
        <v>34000</v>
      </c>
      <c r="J42" s="100">
        <f>+I42*0.92</f>
        <v>31280</v>
      </c>
      <c r="K42" s="88" t="s">
        <v>17</v>
      </c>
      <c r="L42" s="122">
        <v>45106</v>
      </c>
      <c r="T42" t="s">
        <v>893</v>
      </c>
      <c r="U42" s="14">
        <v>0.29930555555555555</v>
      </c>
      <c r="V42" s="14">
        <v>0.53125</v>
      </c>
    </row>
    <row r="43" spans="1:22" hidden="1" x14ac:dyDescent="0.25">
      <c r="A43" s="256">
        <v>15042023</v>
      </c>
      <c r="B43" t="s">
        <v>583</v>
      </c>
      <c r="C43" t="s">
        <v>2026</v>
      </c>
      <c r="D43" s="122">
        <v>45031</v>
      </c>
      <c r="F43" s="28" t="s">
        <v>573</v>
      </c>
      <c r="G43" t="s">
        <v>2237</v>
      </c>
      <c r="H43" t="s">
        <v>2238</v>
      </c>
      <c r="I43" s="88">
        <v>26925.71</v>
      </c>
      <c r="J43" s="100"/>
      <c r="K43" s="88" t="s">
        <v>17</v>
      </c>
      <c r="L43" s="122">
        <v>45045</v>
      </c>
      <c r="T43" t="s">
        <v>2228</v>
      </c>
      <c r="U43" s="14">
        <v>0.61458333333333337</v>
      </c>
      <c r="V43" s="14">
        <v>0.75555555555555554</v>
      </c>
    </row>
    <row r="44" spans="1:22" hidden="1" x14ac:dyDescent="0.25">
      <c r="A44" s="256">
        <v>24042023</v>
      </c>
      <c r="B44" t="s">
        <v>583</v>
      </c>
      <c r="C44" t="s">
        <v>410</v>
      </c>
      <c r="D44" s="122">
        <v>45040</v>
      </c>
      <c r="F44" s="28" t="s">
        <v>2173</v>
      </c>
      <c r="G44" s="30" t="s">
        <v>2283</v>
      </c>
      <c r="H44" t="s">
        <v>2284</v>
      </c>
      <c r="I44" s="313">
        <v>30000</v>
      </c>
      <c r="J44" s="100"/>
      <c r="K44" s="88" t="s">
        <v>17</v>
      </c>
      <c r="L44" s="122">
        <v>45045</v>
      </c>
      <c r="T44" t="s">
        <v>1644</v>
      </c>
    </row>
    <row r="45" spans="1:22" hidden="1" x14ac:dyDescent="0.25">
      <c r="A45" s="256">
        <v>29042023</v>
      </c>
      <c r="B45" t="s">
        <v>583</v>
      </c>
      <c r="C45" t="s">
        <v>693</v>
      </c>
      <c r="D45" s="122">
        <v>45045</v>
      </c>
      <c r="F45" s="28" t="s">
        <v>2296</v>
      </c>
      <c r="G45" s="30" t="s">
        <v>2373</v>
      </c>
      <c r="H45" s="30" t="s">
        <v>2374</v>
      </c>
      <c r="I45" s="313">
        <v>54516</v>
      </c>
      <c r="J45"/>
      <c r="K45" s="236" t="s">
        <v>17</v>
      </c>
      <c r="L45" s="122">
        <v>45064</v>
      </c>
      <c r="T45" t="s">
        <v>2299</v>
      </c>
    </row>
    <row r="46" spans="1:22" hidden="1" x14ac:dyDescent="0.25">
      <c r="A46" s="256">
        <v>20052023</v>
      </c>
      <c r="B46" t="s">
        <v>583</v>
      </c>
      <c r="C46" t="s">
        <v>809</v>
      </c>
      <c r="D46" s="122">
        <v>45066</v>
      </c>
      <c r="F46" s="28" t="s">
        <v>2381</v>
      </c>
      <c r="G46" s="30" t="s">
        <v>2385</v>
      </c>
      <c r="H46" s="30" t="s">
        <v>2394</v>
      </c>
      <c r="I46" s="236">
        <v>29000</v>
      </c>
      <c r="J46" s="100">
        <f>+I46*0.92</f>
        <v>26680</v>
      </c>
      <c r="K46" s="88" t="s">
        <v>17</v>
      </c>
      <c r="L46" s="122">
        <v>45106</v>
      </c>
      <c r="T46" t="s">
        <v>1894</v>
      </c>
      <c r="U46" s="14">
        <v>0.43958333333333338</v>
      </c>
      <c r="V46" s="14">
        <v>0.66805555555555562</v>
      </c>
    </row>
    <row r="47" spans="1:22" hidden="1" x14ac:dyDescent="0.25">
      <c r="A47" s="256">
        <v>20052023</v>
      </c>
      <c r="B47" t="s">
        <v>583</v>
      </c>
      <c r="C47" t="s">
        <v>693</v>
      </c>
      <c r="D47" s="122">
        <v>45066</v>
      </c>
      <c r="F47" s="28" t="s">
        <v>2381</v>
      </c>
      <c r="G47" s="30" t="s">
        <v>2386</v>
      </c>
      <c r="H47" s="30" t="s">
        <v>2395</v>
      </c>
      <c r="I47" s="236">
        <v>29000</v>
      </c>
      <c r="J47" s="100">
        <f t="shared" ref="J47:J57" si="0">+I47*0.92</f>
        <v>26680</v>
      </c>
      <c r="K47" s="88" t="s">
        <v>17</v>
      </c>
      <c r="L47" s="122">
        <v>45107</v>
      </c>
      <c r="T47" t="s">
        <v>2050</v>
      </c>
      <c r="U47" s="14">
        <v>0.54722222222222217</v>
      </c>
      <c r="V47" s="14">
        <v>0.7090277777777777</v>
      </c>
    </row>
    <row r="48" spans="1:22" hidden="1" x14ac:dyDescent="0.25">
      <c r="A48" s="256">
        <v>27052023</v>
      </c>
      <c r="B48" t="s">
        <v>583</v>
      </c>
      <c r="C48" t="s">
        <v>410</v>
      </c>
      <c r="D48" s="122">
        <v>45073</v>
      </c>
      <c r="F48" s="28" t="s">
        <v>573</v>
      </c>
      <c r="G48" s="30" t="s">
        <v>2415</v>
      </c>
      <c r="H48" t="s">
        <v>2425</v>
      </c>
      <c r="I48" s="32">
        <v>34021.14</v>
      </c>
      <c r="J48" s="100">
        <f t="shared" si="0"/>
        <v>31299.448800000002</v>
      </c>
      <c r="K48" s="88" t="s">
        <v>17</v>
      </c>
      <c r="L48" s="122">
        <v>45107</v>
      </c>
      <c r="T48" t="s">
        <v>2380</v>
      </c>
      <c r="U48" s="14">
        <v>0.63611111111111118</v>
      </c>
      <c r="V48" s="14">
        <v>0.81111111111111101</v>
      </c>
    </row>
    <row r="49" spans="1:22" hidden="1" x14ac:dyDescent="0.25">
      <c r="A49" s="256">
        <v>30052023</v>
      </c>
      <c r="B49" t="s">
        <v>583</v>
      </c>
      <c r="C49" t="s">
        <v>693</v>
      </c>
      <c r="D49" s="374">
        <v>45076</v>
      </c>
      <c r="F49" s="28" t="s">
        <v>573</v>
      </c>
      <c r="G49" s="30" t="s">
        <v>2424</v>
      </c>
      <c r="H49" t="s">
        <v>2465</v>
      </c>
      <c r="I49" s="313">
        <v>26400</v>
      </c>
      <c r="J49" s="100">
        <f t="shared" si="0"/>
        <v>24288</v>
      </c>
      <c r="K49" s="88" t="s">
        <v>17</v>
      </c>
      <c r="L49" s="122">
        <v>45174</v>
      </c>
      <c r="T49" t="s">
        <v>2050</v>
      </c>
      <c r="U49" s="14">
        <v>0.28125</v>
      </c>
      <c r="V49" s="14">
        <v>0.5</v>
      </c>
    </row>
    <row r="50" spans="1:22" hidden="1" x14ac:dyDescent="0.25">
      <c r="A50" s="256">
        <v>19062023</v>
      </c>
      <c r="B50" t="s">
        <v>583</v>
      </c>
      <c r="C50" t="s">
        <v>809</v>
      </c>
      <c r="D50" s="374">
        <v>45096</v>
      </c>
      <c r="F50" s="28" t="s">
        <v>573</v>
      </c>
      <c r="G50" s="30" t="s">
        <v>2556</v>
      </c>
      <c r="H50" t="s">
        <v>2557</v>
      </c>
      <c r="I50" s="61">
        <v>26400</v>
      </c>
      <c r="J50" s="100">
        <f t="shared" si="0"/>
        <v>24288</v>
      </c>
      <c r="K50" s="88" t="s">
        <v>17</v>
      </c>
      <c r="L50" s="122">
        <v>45174</v>
      </c>
      <c r="T50" t="s">
        <v>894</v>
      </c>
    </row>
    <row r="51" spans="1:22" hidden="1" x14ac:dyDescent="0.25">
      <c r="A51" s="256">
        <v>21062023</v>
      </c>
      <c r="B51" t="s">
        <v>583</v>
      </c>
      <c r="C51" t="s">
        <v>809</v>
      </c>
      <c r="D51" s="374">
        <v>45098</v>
      </c>
      <c r="F51" s="28" t="s">
        <v>2173</v>
      </c>
      <c r="G51" s="30" t="s">
        <v>2558</v>
      </c>
      <c r="H51" t="s">
        <v>2559</v>
      </c>
      <c r="I51" s="368">
        <v>23300</v>
      </c>
      <c r="J51" s="100">
        <f t="shared" si="0"/>
        <v>21436</v>
      </c>
      <c r="K51" s="88" t="s">
        <v>17</v>
      </c>
      <c r="L51" s="122">
        <v>45175</v>
      </c>
      <c r="T51" s="14" t="s">
        <v>894</v>
      </c>
      <c r="U51" s="14">
        <v>0.3430555555555555</v>
      </c>
      <c r="V51" s="14">
        <v>0.4375</v>
      </c>
    </row>
    <row r="52" spans="1:22" hidden="1" x14ac:dyDescent="0.25">
      <c r="A52" s="256">
        <v>10072023</v>
      </c>
      <c r="B52" t="s">
        <v>583</v>
      </c>
      <c r="C52" t="s">
        <v>410</v>
      </c>
      <c r="D52" s="374">
        <v>45117</v>
      </c>
      <c r="F52" s="28" t="s">
        <v>2095</v>
      </c>
      <c r="G52" s="30" t="s">
        <v>2622</v>
      </c>
      <c r="H52" t="s">
        <v>2623</v>
      </c>
      <c r="I52" s="61">
        <v>53000</v>
      </c>
      <c r="J52" s="100">
        <f t="shared" si="0"/>
        <v>48760</v>
      </c>
      <c r="K52" s="88" t="s">
        <v>17</v>
      </c>
      <c r="L52" s="122">
        <v>45175</v>
      </c>
      <c r="T52" s="14" t="s">
        <v>916</v>
      </c>
      <c r="U52" s="14"/>
      <c r="V52" s="14"/>
    </row>
    <row r="53" spans="1:22" hidden="1" x14ac:dyDescent="0.25">
      <c r="A53" s="256">
        <v>16072023</v>
      </c>
      <c r="B53" t="s">
        <v>583</v>
      </c>
      <c r="C53" t="s">
        <v>13</v>
      </c>
      <c r="D53" s="374">
        <v>45123</v>
      </c>
      <c r="F53" s="28" t="s">
        <v>2095</v>
      </c>
      <c r="G53" s="30" t="s">
        <v>2659</v>
      </c>
      <c r="H53" s="30" t="s">
        <v>2658</v>
      </c>
      <c r="I53" s="368">
        <v>52000</v>
      </c>
      <c r="J53" s="100">
        <f t="shared" si="0"/>
        <v>47840</v>
      </c>
      <c r="K53" t="s">
        <v>17</v>
      </c>
      <c r="L53" s="122">
        <v>45177</v>
      </c>
      <c r="T53" s="14" t="s">
        <v>1644</v>
      </c>
      <c r="U53" s="14">
        <v>0.29583333333333334</v>
      </c>
      <c r="V53" s="14">
        <v>0.6743055555555556</v>
      </c>
    </row>
    <row r="54" spans="1:22" hidden="1" x14ac:dyDescent="0.25">
      <c r="A54" s="256">
        <v>27072023</v>
      </c>
      <c r="B54" t="s">
        <v>583</v>
      </c>
      <c r="C54" t="s">
        <v>809</v>
      </c>
      <c r="D54" s="374">
        <v>45134</v>
      </c>
      <c r="F54" s="28" t="s">
        <v>573</v>
      </c>
      <c r="G54" s="30" t="s">
        <v>2688</v>
      </c>
      <c r="H54" s="30" t="s">
        <v>3256</v>
      </c>
      <c r="I54" s="368">
        <v>26400</v>
      </c>
      <c r="J54" s="100">
        <f t="shared" si="0"/>
        <v>24288</v>
      </c>
      <c r="K54" t="s">
        <v>17</v>
      </c>
      <c r="L54" s="374">
        <v>45358</v>
      </c>
      <c r="T54" s="14" t="s">
        <v>1178</v>
      </c>
      <c r="U54" s="14">
        <v>0.39861111111111108</v>
      </c>
      <c r="V54" s="14">
        <v>0.48680555555555555</v>
      </c>
    </row>
    <row r="55" spans="1:22" hidden="1" x14ac:dyDescent="0.25">
      <c r="A55" s="256">
        <v>28072023</v>
      </c>
      <c r="B55" t="s">
        <v>583</v>
      </c>
      <c r="C55" t="s">
        <v>410</v>
      </c>
      <c r="D55" s="374">
        <v>45135</v>
      </c>
      <c r="F55" s="28" t="s">
        <v>236</v>
      </c>
      <c r="G55" s="30" t="s">
        <v>2689</v>
      </c>
      <c r="H55" s="30" t="s">
        <v>3255</v>
      </c>
      <c r="I55" s="236">
        <v>52000</v>
      </c>
      <c r="J55" s="100">
        <f t="shared" si="0"/>
        <v>47840</v>
      </c>
      <c r="K55" t="s">
        <v>17</v>
      </c>
      <c r="L55" s="374">
        <v>45359</v>
      </c>
      <c r="T55" s="14" t="s">
        <v>1656</v>
      </c>
      <c r="U55" s="14">
        <v>0.8965277777777777</v>
      </c>
      <c r="V55" s="14">
        <v>0.19652777777777777</v>
      </c>
    </row>
    <row r="56" spans="1:22" hidden="1" x14ac:dyDescent="0.25">
      <c r="A56" s="256" t="s">
        <v>2721</v>
      </c>
      <c r="B56" t="s">
        <v>583</v>
      </c>
      <c r="C56" t="s">
        <v>13</v>
      </c>
      <c r="D56" s="374">
        <v>45145</v>
      </c>
      <c r="F56" s="28" t="s">
        <v>2722</v>
      </c>
      <c r="G56" s="30" t="s">
        <v>2758</v>
      </c>
      <c r="H56" s="30" t="s">
        <v>2759</v>
      </c>
      <c r="I56" s="236">
        <v>33000</v>
      </c>
      <c r="J56" s="100">
        <f t="shared" si="0"/>
        <v>30360</v>
      </c>
      <c r="K56" t="s">
        <v>17</v>
      </c>
      <c r="L56" s="374">
        <v>45360</v>
      </c>
      <c r="T56" s="14" t="s">
        <v>1644</v>
      </c>
      <c r="U56" s="14">
        <v>0.29444444444444445</v>
      </c>
      <c r="V56" s="14"/>
    </row>
    <row r="57" spans="1:22" s="30" customFormat="1" hidden="1" x14ac:dyDescent="0.25">
      <c r="A57" s="256">
        <v>18082023</v>
      </c>
      <c r="B57" s="30" t="s">
        <v>583</v>
      </c>
      <c r="C57" s="30" t="s">
        <v>809</v>
      </c>
      <c r="D57" s="374">
        <v>45156</v>
      </c>
      <c r="F57" s="28" t="s">
        <v>573</v>
      </c>
      <c r="G57" s="30" t="s">
        <v>2771</v>
      </c>
      <c r="H57" s="30" t="s">
        <v>2772</v>
      </c>
      <c r="I57" s="236">
        <v>26400</v>
      </c>
      <c r="J57" s="100">
        <f t="shared" si="0"/>
        <v>24288</v>
      </c>
      <c r="K57" t="s">
        <v>17</v>
      </c>
      <c r="L57" s="374">
        <v>45358</v>
      </c>
      <c r="T57" s="360" t="s">
        <v>894</v>
      </c>
      <c r="U57" s="360">
        <v>0.32013888888888892</v>
      </c>
      <c r="V57" s="360">
        <v>0.50555555555555554</v>
      </c>
    </row>
    <row r="58" spans="1:22" hidden="1" x14ac:dyDescent="0.25">
      <c r="A58" s="256" t="s">
        <v>2888</v>
      </c>
      <c r="B58" t="s">
        <v>583</v>
      </c>
      <c r="C58" t="s">
        <v>13</v>
      </c>
      <c r="D58" s="122">
        <v>45177</v>
      </c>
      <c r="F58" s="28" t="s">
        <v>236</v>
      </c>
      <c r="G58" s="30" t="s">
        <v>2914</v>
      </c>
      <c r="H58" s="30" t="s">
        <v>2913</v>
      </c>
      <c r="I58" s="313">
        <v>52000</v>
      </c>
      <c r="J58" s="100">
        <f>+I58*0.92</f>
        <v>47840</v>
      </c>
      <c r="K58" t="s">
        <v>17</v>
      </c>
      <c r="L58" s="122">
        <v>45248</v>
      </c>
      <c r="T58" s="14" t="s">
        <v>893</v>
      </c>
      <c r="U58" s="14">
        <v>0.48333333333333334</v>
      </c>
      <c r="V58" s="14">
        <v>0.84930555555555554</v>
      </c>
    </row>
    <row r="59" spans="1:22" s="30" customFormat="1" x14ac:dyDescent="0.25">
      <c r="A59" s="256">
        <v>14102023</v>
      </c>
      <c r="B59" s="30" t="s">
        <v>583</v>
      </c>
      <c r="C59" s="30" t="s">
        <v>13</v>
      </c>
      <c r="D59" s="374">
        <v>45213</v>
      </c>
      <c r="F59" s="28" t="s">
        <v>236</v>
      </c>
      <c r="G59" s="30" t="s">
        <v>3071</v>
      </c>
      <c r="H59" s="30" t="s">
        <v>3072</v>
      </c>
      <c r="I59" s="313">
        <v>52000</v>
      </c>
      <c r="J59" s="3">
        <f>+I59-ROUND(I59*0.12,0)</f>
        <v>45760</v>
      </c>
      <c r="K59" t="s">
        <v>4001</v>
      </c>
      <c r="L59" s="374" t="s">
        <v>4002</v>
      </c>
      <c r="T59" s="360" t="s">
        <v>1644</v>
      </c>
      <c r="U59" s="360">
        <v>0.25972222222222224</v>
      </c>
      <c r="V59" s="360">
        <v>0.54375000000000007</v>
      </c>
    </row>
    <row r="60" spans="1:22" x14ac:dyDescent="0.25">
      <c r="A60" s="256">
        <v>23112023</v>
      </c>
      <c r="B60" t="s">
        <v>3220</v>
      </c>
      <c r="C60" t="s">
        <v>809</v>
      </c>
      <c r="D60" s="122">
        <v>45253</v>
      </c>
      <c r="F60" s="28" t="s">
        <v>3221</v>
      </c>
      <c r="G60" s="30" t="s">
        <v>5380</v>
      </c>
      <c r="H60" s="30" t="s">
        <v>3232</v>
      </c>
      <c r="I60" s="313">
        <v>21680</v>
      </c>
      <c r="J60" s="3">
        <f>+I60-ROUND(I60*0.12,0)</f>
        <v>19078</v>
      </c>
      <c r="K60" t="s">
        <v>4001</v>
      </c>
      <c r="L60" s="374" t="s">
        <v>4002</v>
      </c>
      <c r="T60" s="14" t="s">
        <v>3206</v>
      </c>
      <c r="U60" s="14">
        <v>0.7090277777777777</v>
      </c>
      <c r="V60" s="14">
        <v>0.7895833333333333</v>
      </c>
    </row>
    <row r="61" spans="1:22" x14ac:dyDescent="0.25">
      <c r="A61" s="256">
        <v>24112023</v>
      </c>
      <c r="B61" t="s">
        <v>3220</v>
      </c>
      <c r="C61" t="s">
        <v>13</v>
      </c>
      <c r="D61" s="122">
        <v>45254</v>
      </c>
      <c r="F61" s="28" t="s">
        <v>236</v>
      </c>
      <c r="G61" s="30" t="s">
        <v>3234</v>
      </c>
      <c r="H61" s="30" t="s">
        <v>3233</v>
      </c>
      <c r="I61" s="313">
        <v>52000</v>
      </c>
      <c r="J61" s="3">
        <f>+I61-ROUND(I61*0.12,0)</f>
        <v>45760</v>
      </c>
      <c r="K61" t="s">
        <v>4001</v>
      </c>
      <c r="L61" s="374" t="s">
        <v>4002</v>
      </c>
      <c r="T61" s="14" t="s">
        <v>922</v>
      </c>
      <c r="U61" s="14">
        <v>0.29097222222222224</v>
      </c>
      <c r="V61" s="14">
        <v>0.59027777777777779</v>
      </c>
    </row>
    <row r="62" spans="1:22" x14ac:dyDescent="0.25">
      <c r="A62" s="95"/>
      <c r="D62" s="122"/>
      <c r="I62" s="414"/>
      <c r="J62"/>
      <c r="L62" s="122"/>
      <c r="T62" s="14"/>
      <c r="U62" s="14"/>
      <c r="V62" s="14"/>
    </row>
    <row r="63" spans="1:22" x14ac:dyDescent="0.25">
      <c r="A63" s="256"/>
      <c r="D63" s="374"/>
      <c r="G63" s="30"/>
      <c r="H63" s="30"/>
      <c r="I63" s="236"/>
      <c r="J63" s="100"/>
      <c r="L63" s="32"/>
      <c r="T63" s="14"/>
      <c r="U63" s="14"/>
      <c r="V63" s="14"/>
    </row>
    <row r="64" spans="1:22" x14ac:dyDescent="0.25">
      <c r="A64" s="115"/>
      <c r="B64" s="169"/>
      <c r="C64" s="169"/>
      <c r="D64" s="374"/>
      <c r="E64" s="88"/>
      <c r="I64" s="160"/>
      <c r="J64" s="178"/>
      <c r="K64" s="160"/>
      <c r="L64" s="122"/>
      <c r="O64" s="21"/>
      <c r="P64" s="157"/>
      <c r="Q64" s="157"/>
    </row>
    <row r="65" spans="9:12" x14ac:dyDescent="0.25">
      <c r="I65" s="161">
        <f>SUBTOTAL(9,I3:I64)</f>
        <v>125680</v>
      </c>
      <c r="L65" s="122"/>
    </row>
    <row r="67" spans="9:12" x14ac:dyDescent="0.25">
      <c r="K67" s="340"/>
    </row>
  </sheetData>
  <autoFilter ref="A2:Q64" xr:uid="{00000000-0009-0000-0000-000030000000}">
    <filterColumn colId="10">
      <filters blank="1">
        <filter val="ENVIADO"/>
      </filters>
    </filterColumn>
    <filterColumn colId="13" showButton="0"/>
    <filterColumn colId="14" showButton="0"/>
    <filterColumn colId="15" showButton="0"/>
  </autoFilter>
  <mergeCells count="1">
    <mergeCell ref="N2:Q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7" r:id="rId4" name="Button 1">
              <controlPr defaultSize="0" print="0" autoFill="0" autoPict="0" macro="[0]!RETORNAR">
                <anchor moveWithCells="1" sizeWithCells="1">
                  <from>
                    <xdr:col>0</xdr:col>
                    <xdr:colOff>38100</xdr:colOff>
                    <xdr:row>0</xdr:row>
                    <xdr:rowOff>47625</xdr:rowOff>
                  </from>
                  <to>
                    <xdr:col>2</xdr:col>
                    <xdr:colOff>47625</xdr:colOff>
                    <xdr:row>0</xdr:row>
                    <xdr:rowOff>314325</xdr:rowOff>
                  </to>
                </anchor>
              </controlPr>
            </control>
          </mc:Choice>
        </mc:AlternateContent>
        <mc:AlternateContent xmlns:mc="http://schemas.openxmlformats.org/markup-compatibility/2006">
          <mc:Choice Requires="x14">
            <control shapeId="317461" r:id="rId5" name="Botón 21">
              <controlPr defaultSize="0" print="0" autoFill="0" autoPict="0" macro="[0]!IR_VENTAS_B200_2026">
                <anchor moveWithCells="1" sizeWithCells="1">
                  <from>
                    <xdr:col>1</xdr:col>
                    <xdr:colOff>28575</xdr:colOff>
                    <xdr:row>72</xdr:row>
                    <xdr:rowOff>76200</xdr:rowOff>
                  </from>
                  <to>
                    <xdr:col>2</xdr:col>
                    <xdr:colOff>381000</xdr:colOff>
                    <xdr:row>75</xdr:row>
                    <xdr:rowOff>104775</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Hoja51" filterMode="1"/>
  <dimension ref="A1:Q6"/>
  <sheetViews>
    <sheetView workbookViewId="0">
      <selection activeCell="A13" sqref="A13"/>
    </sheetView>
  </sheetViews>
  <sheetFormatPr baseColWidth="10" defaultColWidth="10.85546875" defaultRowHeight="15" x14ac:dyDescent="0.25"/>
  <cols>
    <col min="1" max="1" width="17.5703125" customWidth="1"/>
    <col min="2" max="2" width="33.7109375" customWidth="1"/>
    <col min="7" max="7" width="11.42578125" customWidth="1"/>
    <col min="10" max="10" width="11.85546875" style="32" bestFit="1" customWidth="1"/>
  </cols>
  <sheetData>
    <row r="1" spans="1:17" ht="29.1" customHeight="1" x14ac:dyDescent="0.25"/>
    <row r="2" spans="1:17" x14ac:dyDescent="0.25">
      <c r="A2" t="s">
        <v>706</v>
      </c>
      <c r="B2" s="1" t="s">
        <v>0</v>
      </c>
      <c r="C2" s="1" t="s">
        <v>1</v>
      </c>
      <c r="D2" s="1" t="s">
        <v>2</v>
      </c>
      <c r="E2" s="1"/>
      <c r="F2" s="1" t="s">
        <v>3</v>
      </c>
      <c r="G2" s="1" t="s">
        <v>4</v>
      </c>
      <c r="H2" s="1" t="s">
        <v>5</v>
      </c>
      <c r="I2" s="1" t="s">
        <v>6</v>
      </c>
      <c r="J2" s="1" t="s">
        <v>1780</v>
      </c>
      <c r="K2" s="1" t="s">
        <v>8</v>
      </c>
      <c r="L2" s="1" t="s">
        <v>3997</v>
      </c>
      <c r="M2" s="1" t="s">
        <v>10</v>
      </c>
      <c r="N2" s="1480" t="s">
        <v>11</v>
      </c>
      <c r="O2" s="1480"/>
      <c r="P2" s="1480"/>
      <c r="Q2" s="1480"/>
    </row>
    <row r="3" spans="1:17" hidden="1" x14ac:dyDescent="0.25">
      <c r="A3" s="116">
        <v>19082022</v>
      </c>
      <c r="B3" s="169" t="s">
        <v>1145</v>
      </c>
      <c r="C3" s="21" t="s">
        <v>410</v>
      </c>
      <c r="D3" s="123">
        <v>44792</v>
      </c>
      <c r="E3" s="88"/>
      <c r="F3" s="21" t="s">
        <v>1140</v>
      </c>
      <c r="G3" s="21" t="s">
        <v>1141</v>
      </c>
      <c r="J3" s="160">
        <v>4000</v>
      </c>
      <c r="K3" s="160" t="s">
        <v>17</v>
      </c>
      <c r="L3" s="2">
        <v>44799</v>
      </c>
      <c r="O3" s="163" t="s">
        <v>653</v>
      </c>
      <c r="P3" s="157">
        <v>0.5</v>
      </c>
      <c r="Q3" s="157">
        <v>0.6381944444444444</v>
      </c>
    </row>
    <row r="4" spans="1:17" hidden="1" x14ac:dyDescent="0.25">
      <c r="A4" s="115">
        <v>14122022</v>
      </c>
      <c r="B4" t="s">
        <v>1603</v>
      </c>
      <c r="C4" s="169" t="s">
        <v>693</v>
      </c>
      <c r="D4" s="122">
        <v>44908</v>
      </c>
      <c r="E4" s="88"/>
      <c r="F4" t="s">
        <v>726</v>
      </c>
      <c r="G4" s="21" t="s">
        <v>277</v>
      </c>
      <c r="H4" t="s">
        <v>1659</v>
      </c>
      <c r="J4" s="160">
        <v>4200</v>
      </c>
      <c r="K4" s="160" t="s">
        <v>17</v>
      </c>
      <c r="L4" s="2">
        <v>44924</v>
      </c>
      <c r="O4" t="s">
        <v>1029</v>
      </c>
      <c r="P4" s="157">
        <v>0.61944444444444446</v>
      </c>
      <c r="Q4" s="157">
        <v>0.74583333333333324</v>
      </c>
    </row>
    <row r="5" spans="1:17" x14ac:dyDescent="0.25">
      <c r="A5" s="116"/>
      <c r="D5" s="122"/>
      <c r="E5" s="32"/>
      <c r="H5" s="19"/>
      <c r="K5" s="32"/>
      <c r="P5" s="14"/>
      <c r="Q5" s="14"/>
    </row>
    <row r="6" spans="1:17" x14ac:dyDescent="0.25">
      <c r="H6" t="s">
        <v>423</v>
      </c>
      <c r="I6" s="3"/>
      <c r="J6" s="89">
        <f>SUBTOTAL(9,J3:J5)</f>
        <v>0</v>
      </c>
    </row>
  </sheetData>
  <autoFilter ref="A2:Q5" xr:uid="{00000000-0009-0000-0000-000031000000}">
    <filterColumn colId="10">
      <filters blank="1"/>
    </filterColumn>
    <filterColumn colId="13" showButton="0"/>
    <filterColumn colId="14" showButton="0"/>
    <filterColumn colId="15" showButton="0"/>
  </autoFilter>
  <mergeCells count="1">
    <mergeCell ref="N2: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50567" r:id="rId3" name="Button 1">
              <controlPr defaultSize="0" print="0" autoFill="0" autoPict="0" macro="[0]!RETORNAR">
                <anchor moveWithCells="1" sizeWithCells="1">
                  <from>
                    <xdr:col>0</xdr:col>
                    <xdr:colOff>38100</xdr:colOff>
                    <xdr:row>0</xdr:row>
                    <xdr:rowOff>47625</xdr:rowOff>
                  </from>
                  <to>
                    <xdr:col>1</xdr:col>
                    <xdr:colOff>619125</xdr:colOff>
                    <xdr:row>0</xdr:row>
                    <xdr:rowOff>314325</xdr:rowOff>
                  </to>
                </anchor>
              </controlPr>
            </control>
          </mc:Choice>
        </mc:AlternateContent>
        <mc:AlternateContent xmlns:mc="http://schemas.openxmlformats.org/markup-compatibility/2006">
          <mc:Choice Requires="x14">
            <control shapeId="450571" r:id="rId4" name="Botón 11">
              <controlPr defaultSize="0" print="0" autoFill="0" autoPict="0" macro="[0]!IR_VENTAS_B200_2026">
                <anchor moveWithCells="1" sizeWithCells="1">
                  <from>
                    <xdr:col>0</xdr:col>
                    <xdr:colOff>885825</xdr:colOff>
                    <xdr:row>12</xdr:row>
                    <xdr:rowOff>133350</xdr:rowOff>
                  </from>
                  <to>
                    <xdr:col>1</xdr:col>
                    <xdr:colOff>962025</xdr:colOff>
                    <xdr:row>15</xdr:row>
                    <xdr:rowOff>161925</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Hoja21" filterMode="1"/>
  <dimension ref="A1:V101"/>
  <sheetViews>
    <sheetView zoomScale="88" zoomScaleNormal="88" workbookViewId="0">
      <selection activeCell="H80" sqref="H80"/>
    </sheetView>
  </sheetViews>
  <sheetFormatPr baseColWidth="10" defaultColWidth="10.85546875" defaultRowHeight="15" x14ac:dyDescent="0.25"/>
  <cols>
    <col min="2" max="2" width="33.7109375" customWidth="1"/>
    <col min="7" max="7" width="46.140625" customWidth="1"/>
    <col min="8" max="8" width="13.85546875" customWidth="1"/>
    <col min="9" max="9" width="12.5703125" style="32" bestFit="1" customWidth="1"/>
    <col min="11" max="11" width="12" style="30" bestFit="1" customWidth="1"/>
  </cols>
  <sheetData>
    <row r="1" spans="1:21" ht="30" customHeight="1" x14ac:dyDescent="0.25"/>
    <row r="2" spans="1:21" x14ac:dyDescent="0.25">
      <c r="A2" s="1" t="s">
        <v>706</v>
      </c>
      <c r="B2" s="1" t="s">
        <v>0</v>
      </c>
      <c r="C2" s="1" t="s">
        <v>1</v>
      </c>
      <c r="D2" s="1" t="s">
        <v>2</v>
      </c>
      <c r="E2" s="1"/>
      <c r="F2" s="1" t="s">
        <v>3</v>
      </c>
      <c r="G2" s="1" t="s">
        <v>4</v>
      </c>
      <c r="H2" s="1" t="s">
        <v>5</v>
      </c>
      <c r="I2" s="87" t="s">
        <v>6</v>
      </c>
      <c r="J2" s="1" t="s">
        <v>1780</v>
      </c>
      <c r="K2" s="115" t="s">
        <v>8</v>
      </c>
      <c r="L2" s="1" t="s">
        <v>3997</v>
      </c>
      <c r="M2" s="1" t="s">
        <v>10</v>
      </c>
      <c r="N2" s="1"/>
      <c r="O2" s="1480" t="s">
        <v>11</v>
      </c>
      <c r="P2" s="1480"/>
      <c r="Q2" s="1480"/>
      <c r="R2" s="1480"/>
    </row>
    <row r="3" spans="1:21" hidden="1" x14ac:dyDescent="0.25">
      <c r="B3" t="s">
        <v>586</v>
      </c>
      <c r="C3" t="s">
        <v>27</v>
      </c>
      <c r="D3" s="122">
        <v>44615</v>
      </c>
      <c r="E3">
        <v>2.6</v>
      </c>
      <c r="F3" t="s">
        <v>545</v>
      </c>
      <c r="G3" t="s">
        <v>587</v>
      </c>
      <c r="H3" t="s">
        <v>592</v>
      </c>
      <c r="I3" s="32">
        <v>19300</v>
      </c>
      <c r="K3" s="30" t="s">
        <v>17</v>
      </c>
      <c r="L3" s="2">
        <v>44616</v>
      </c>
      <c r="M3" t="s">
        <v>18</v>
      </c>
    </row>
    <row r="4" spans="1:21" hidden="1" x14ac:dyDescent="0.25">
      <c r="B4" t="s">
        <v>586</v>
      </c>
      <c r="C4" t="s">
        <v>27</v>
      </c>
      <c r="D4" s="122">
        <v>44623</v>
      </c>
      <c r="E4" s="32">
        <v>2.6</v>
      </c>
      <c r="F4" t="s">
        <v>594</v>
      </c>
      <c r="G4" t="s">
        <v>647</v>
      </c>
      <c r="H4" t="s">
        <v>648</v>
      </c>
      <c r="I4" s="32">
        <f>19300+(500*1.18)</f>
        <v>19890</v>
      </c>
      <c r="K4" s="30" t="s">
        <v>17</v>
      </c>
      <c r="L4" s="2">
        <v>44623</v>
      </c>
      <c r="M4" t="s">
        <v>18</v>
      </c>
    </row>
    <row r="5" spans="1:21" hidden="1" x14ac:dyDescent="0.25">
      <c r="B5" t="s">
        <v>664</v>
      </c>
      <c r="C5" t="s">
        <v>67</v>
      </c>
      <c r="D5" s="122">
        <v>44640</v>
      </c>
      <c r="E5" s="32">
        <v>2.6</v>
      </c>
      <c r="F5" t="s">
        <v>545</v>
      </c>
      <c r="G5" t="s">
        <v>668</v>
      </c>
      <c r="H5" t="s">
        <v>667</v>
      </c>
      <c r="I5" s="32">
        <v>31250</v>
      </c>
      <c r="K5" s="30" t="s">
        <v>17</v>
      </c>
      <c r="L5" s="2">
        <v>44641</v>
      </c>
      <c r="M5" t="s">
        <v>18</v>
      </c>
      <c r="O5" t="s">
        <v>662</v>
      </c>
      <c r="P5" s="14">
        <v>0.35833333333333334</v>
      </c>
      <c r="Q5" s="14">
        <v>0.10486111111111111</v>
      </c>
    </row>
    <row r="6" spans="1:21" hidden="1" x14ac:dyDescent="0.25">
      <c r="B6" t="s">
        <v>586</v>
      </c>
      <c r="C6" t="s">
        <v>660</v>
      </c>
      <c r="D6" s="122">
        <v>44648</v>
      </c>
      <c r="E6" s="32">
        <v>2.6</v>
      </c>
      <c r="F6" t="s">
        <v>674</v>
      </c>
      <c r="G6" t="s">
        <v>717</v>
      </c>
      <c r="H6" t="s">
        <v>718</v>
      </c>
      <c r="I6" s="32">
        <f>19300+(500*1.18)</f>
        <v>19890</v>
      </c>
      <c r="K6" s="30" t="s">
        <v>17</v>
      </c>
      <c r="L6" s="2">
        <v>44648</v>
      </c>
      <c r="M6" t="s">
        <v>18</v>
      </c>
      <c r="O6" t="s">
        <v>653</v>
      </c>
      <c r="P6" s="14">
        <v>0.60416666666666663</v>
      </c>
      <c r="Q6" s="14"/>
      <c r="T6" t="s">
        <v>688</v>
      </c>
    </row>
    <row r="7" spans="1:21" hidden="1" x14ac:dyDescent="0.25">
      <c r="A7" s="116" t="s">
        <v>732</v>
      </c>
      <c r="B7" t="s">
        <v>586</v>
      </c>
      <c r="C7" t="s">
        <v>693</v>
      </c>
      <c r="D7" s="122">
        <v>44659</v>
      </c>
      <c r="E7" s="32">
        <v>2.6</v>
      </c>
      <c r="F7" t="s">
        <v>545</v>
      </c>
      <c r="G7" t="s">
        <v>835</v>
      </c>
      <c r="H7" t="s">
        <v>834</v>
      </c>
      <c r="I7" s="32">
        <v>10000</v>
      </c>
      <c r="J7" s="32"/>
      <c r="K7" s="368" t="s">
        <v>17</v>
      </c>
      <c r="L7" s="2">
        <v>44699</v>
      </c>
      <c r="M7" t="s">
        <v>850</v>
      </c>
      <c r="N7" t="s">
        <v>963</v>
      </c>
      <c r="O7" t="s">
        <v>1034</v>
      </c>
      <c r="P7" t="s">
        <v>652</v>
      </c>
      <c r="Q7" s="14">
        <v>0.36458333333333331</v>
      </c>
      <c r="R7" s="14">
        <v>0.57708333333333328</v>
      </c>
      <c r="U7" t="s">
        <v>727</v>
      </c>
    </row>
    <row r="8" spans="1:21" hidden="1" x14ac:dyDescent="0.25">
      <c r="A8" s="115">
        <v>28042022</v>
      </c>
      <c r="B8" t="s">
        <v>586</v>
      </c>
      <c r="C8" t="s">
        <v>693</v>
      </c>
      <c r="D8" s="122">
        <v>44679</v>
      </c>
      <c r="E8" s="32">
        <v>2.6</v>
      </c>
      <c r="F8" t="s">
        <v>545</v>
      </c>
      <c r="G8" t="s">
        <v>833</v>
      </c>
      <c r="H8" t="s">
        <v>832</v>
      </c>
      <c r="I8" s="32">
        <v>31500</v>
      </c>
      <c r="J8" s="32"/>
      <c r="K8" s="368" t="s">
        <v>297</v>
      </c>
      <c r="L8" s="2">
        <v>44679</v>
      </c>
      <c r="P8" t="s">
        <v>652</v>
      </c>
      <c r="Q8" s="14">
        <v>0.64861111111111114</v>
      </c>
      <c r="R8" s="14">
        <v>0.90833333333333333</v>
      </c>
    </row>
    <row r="9" spans="1:21" hidden="1" x14ac:dyDescent="0.25">
      <c r="A9" s="115">
        <v>18052022</v>
      </c>
      <c r="B9" t="s">
        <v>586</v>
      </c>
      <c r="C9" t="s">
        <v>693</v>
      </c>
      <c r="D9" s="122">
        <v>44699</v>
      </c>
      <c r="E9" s="32">
        <v>2.6</v>
      </c>
      <c r="F9" t="s">
        <v>594</v>
      </c>
      <c r="G9" t="s">
        <v>897</v>
      </c>
      <c r="H9" s="19" t="s">
        <v>898</v>
      </c>
      <c r="I9" s="140">
        <v>30000</v>
      </c>
      <c r="J9" s="140"/>
      <c r="K9" s="368" t="s">
        <v>297</v>
      </c>
      <c r="L9" s="2">
        <v>44699</v>
      </c>
      <c r="P9" t="s">
        <v>652</v>
      </c>
      <c r="Q9" s="14">
        <v>0.66527777777777775</v>
      </c>
      <c r="R9" s="14">
        <v>0.84930555555555554</v>
      </c>
    </row>
    <row r="10" spans="1:21" s="163" customFormat="1" hidden="1" x14ac:dyDescent="0.25">
      <c r="A10" s="164" t="s">
        <v>878</v>
      </c>
      <c r="B10" s="163" t="s">
        <v>586</v>
      </c>
      <c r="C10" s="163" t="s">
        <v>693</v>
      </c>
      <c r="D10" s="165">
        <v>44715</v>
      </c>
      <c r="E10" s="32">
        <v>2.6</v>
      </c>
      <c r="F10" s="163" t="s">
        <v>545</v>
      </c>
      <c r="G10" s="163" t="s">
        <v>896</v>
      </c>
      <c r="H10" s="19" t="s">
        <v>895</v>
      </c>
      <c r="I10" s="140">
        <v>30000</v>
      </c>
      <c r="J10" s="156"/>
      <c r="K10" s="638" t="s">
        <v>17</v>
      </c>
      <c r="L10" s="170">
        <v>44716</v>
      </c>
      <c r="P10" t="s">
        <v>879</v>
      </c>
      <c r="Q10"/>
      <c r="R10" t="s">
        <v>880</v>
      </c>
    </row>
    <row r="11" spans="1:21" hidden="1" x14ac:dyDescent="0.25">
      <c r="A11" s="115">
        <v>22062022</v>
      </c>
      <c r="B11" s="169" t="s">
        <v>586</v>
      </c>
      <c r="C11" s="21" t="s">
        <v>809</v>
      </c>
      <c r="D11" s="122">
        <v>44734</v>
      </c>
      <c r="E11" s="32">
        <v>2.6</v>
      </c>
      <c r="F11" s="163" t="s">
        <v>545</v>
      </c>
      <c r="G11" s="163" t="s">
        <v>983</v>
      </c>
      <c r="H11" t="s">
        <v>982</v>
      </c>
      <c r="I11" s="159">
        <v>18500</v>
      </c>
      <c r="J11" s="159"/>
      <c r="K11" s="368" t="s">
        <v>17</v>
      </c>
      <c r="L11" s="2">
        <v>44736</v>
      </c>
      <c r="O11" s="163" t="s">
        <v>978</v>
      </c>
    </row>
    <row r="12" spans="1:21" hidden="1" x14ac:dyDescent="0.25">
      <c r="A12" s="115">
        <v>30062022</v>
      </c>
      <c r="B12" s="169" t="s">
        <v>586</v>
      </c>
      <c r="C12" s="21" t="s">
        <v>410</v>
      </c>
      <c r="D12" s="122">
        <v>44742</v>
      </c>
      <c r="E12" s="32">
        <v>2.6</v>
      </c>
      <c r="F12" s="163" t="s">
        <v>545</v>
      </c>
      <c r="G12" s="163" t="s">
        <v>1066</v>
      </c>
      <c r="H12" t="s">
        <v>1065</v>
      </c>
      <c r="I12" s="159">
        <v>30000</v>
      </c>
      <c r="J12" s="159"/>
      <c r="K12" s="590" t="s">
        <v>17</v>
      </c>
      <c r="L12" s="2">
        <v>44741</v>
      </c>
      <c r="M12" t="s">
        <v>1034</v>
      </c>
      <c r="O12" s="163" t="s">
        <v>989</v>
      </c>
      <c r="P12" s="14">
        <v>0.45902777777777781</v>
      </c>
      <c r="Q12" s="14">
        <v>0.64861111111111114</v>
      </c>
    </row>
    <row r="13" spans="1:21" hidden="1" x14ac:dyDescent="0.25">
      <c r="A13" s="116">
        <v>7072022</v>
      </c>
      <c r="B13" s="169" t="s">
        <v>586</v>
      </c>
      <c r="C13" s="21" t="s">
        <v>410</v>
      </c>
      <c r="D13" s="122">
        <v>44749</v>
      </c>
      <c r="E13" s="32">
        <v>2.6</v>
      </c>
      <c r="F13" s="163" t="s">
        <v>545</v>
      </c>
      <c r="G13" s="163" t="s">
        <v>1060</v>
      </c>
      <c r="H13" t="s">
        <v>1061</v>
      </c>
      <c r="I13" s="159">
        <v>19800</v>
      </c>
      <c r="J13" s="159"/>
      <c r="K13" s="368" t="s">
        <v>17</v>
      </c>
      <c r="L13" s="2">
        <v>44750</v>
      </c>
      <c r="O13" s="163" t="s">
        <v>989</v>
      </c>
      <c r="P13" s="14">
        <v>0.4770833333333333</v>
      </c>
      <c r="Q13" s="14">
        <v>0.63124999999999998</v>
      </c>
    </row>
    <row r="14" spans="1:21" hidden="1" x14ac:dyDescent="0.25">
      <c r="A14" s="115">
        <v>14072022</v>
      </c>
      <c r="B14" s="169" t="s">
        <v>586</v>
      </c>
      <c r="C14" s="21" t="s">
        <v>410</v>
      </c>
      <c r="D14" s="122">
        <v>44756</v>
      </c>
      <c r="E14" s="32">
        <v>2.6</v>
      </c>
      <c r="F14" s="163" t="s">
        <v>545</v>
      </c>
      <c r="G14" s="163" t="s">
        <v>1067</v>
      </c>
      <c r="H14" t="s">
        <v>1068</v>
      </c>
      <c r="I14" s="159">
        <v>18500</v>
      </c>
      <c r="J14" s="159"/>
      <c r="K14" s="368" t="s">
        <v>17</v>
      </c>
      <c r="L14" s="2">
        <v>44756</v>
      </c>
      <c r="O14" s="163" t="s">
        <v>1029</v>
      </c>
      <c r="P14" s="14">
        <v>0.35138888888888892</v>
      </c>
      <c r="Q14" s="14">
        <v>0.47847222222222219</v>
      </c>
    </row>
    <row r="15" spans="1:21" hidden="1" x14ac:dyDescent="0.25">
      <c r="A15" s="116" t="s">
        <v>1008</v>
      </c>
      <c r="B15" s="169" t="s">
        <v>586</v>
      </c>
      <c r="C15">
        <v>2221</v>
      </c>
      <c r="D15" s="122">
        <v>44758</v>
      </c>
      <c r="E15" s="32">
        <v>2.6</v>
      </c>
      <c r="F15" s="163" t="s">
        <v>545</v>
      </c>
      <c r="G15" s="163" t="s">
        <v>277</v>
      </c>
      <c r="H15" t="s">
        <v>1064</v>
      </c>
      <c r="I15" s="159">
        <v>19800</v>
      </c>
      <c r="J15" s="159"/>
      <c r="K15" s="368" t="s">
        <v>17</v>
      </c>
      <c r="L15" s="2">
        <v>44758</v>
      </c>
      <c r="M15" t="s">
        <v>81</v>
      </c>
      <c r="O15" s="163" t="s">
        <v>923</v>
      </c>
    </row>
    <row r="16" spans="1:21" hidden="1" x14ac:dyDescent="0.25">
      <c r="A16" s="115">
        <v>30072022</v>
      </c>
      <c r="B16" s="169" t="s">
        <v>586</v>
      </c>
      <c r="C16" s="21" t="s">
        <v>410</v>
      </c>
      <c r="D16" s="122">
        <v>44772</v>
      </c>
      <c r="E16" s="32">
        <v>2.6</v>
      </c>
      <c r="F16" s="163" t="s">
        <v>545</v>
      </c>
      <c r="G16" s="163" t="s">
        <v>279</v>
      </c>
      <c r="H16" t="s">
        <v>1086</v>
      </c>
      <c r="I16" s="159">
        <v>30000</v>
      </c>
      <c r="J16" s="159"/>
      <c r="K16" s="590" t="s">
        <v>17</v>
      </c>
      <c r="L16" s="2">
        <v>44774</v>
      </c>
      <c r="M16" t="s">
        <v>81</v>
      </c>
      <c r="O16" s="163" t="s">
        <v>817</v>
      </c>
      <c r="P16" s="14">
        <v>0.18958333333333333</v>
      </c>
      <c r="Q16" s="14">
        <v>0.87638888888888899</v>
      </c>
    </row>
    <row r="17" spans="1:21" hidden="1" x14ac:dyDescent="0.25">
      <c r="A17" s="116" t="s">
        <v>1052</v>
      </c>
      <c r="B17" s="169" t="s">
        <v>586</v>
      </c>
      <c r="C17" s="21" t="s">
        <v>410</v>
      </c>
      <c r="D17" s="122">
        <v>44774</v>
      </c>
      <c r="E17" s="32">
        <v>2.6</v>
      </c>
      <c r="F17" s="163" t="s">
        <v>545</v>
      </c>
      <c r="G17" s="163" t="s">
        <v>277</v>
      </c>
      <c r="H17" t="s">
        <v>1087</v>
      </c>
      <c r="I17" s="159">
        <v>19800</v>
      </c>
      <c r="J17" s="159"/>
      <c r="K17" s="368" t="s">
        <v>17</v>
      </c>
      <c r="L17" s="32" t="s">
        <v>1117</v>
      </c>
      <c r="M17" t="s">
        <v>18</v>
      </c>
      <c r="O17" s="163" t="s">
        <v>769</v>
      </c>
      <c r="P17" s="14">
        <v>0.44791666666666669</v>
      </c>
      <c r="Q17" s="14"/>
    </row>
    <row r="18" spans="1:21" hidden="1" x14ac:dyDescent="0.25">
      <c r="A18" s="116" t="s">
        <v>1180</v>
      </c>
      <c r="B18" t="s">
        <v>586</v>
      </c>
      <c r="C18" s="169" t="s">
        <v>693</v>
      </c>
      <c r="D18" s="122">
        <v>44808</v>
      </c>
      <c r="E18" s="32">
        <v>2.6</v>
      </c>
      <c r="F18" t="s">
        <v>545</v>
      </c>
      <c r="G18" s="163" t="s">
        <v>1246</v>
      </c>
      <c r="H18" t="s">
        <v>1185</v>
      </c>
      <c r="I18" s="159">
        <v>30000</v>
      </c>
      <c r="J18" s="159"/>
      <c r="K18" s="590" t="s">
        <v>17</v>
      </c>
      <c r="O18" s="163" t="s">
        <v>893</v>
      </c>
      <c r="P18" s="157">
        <v>0.53611111111111109</v>
      </c>
      <c r="Q18" s="157">
        <v>0.72083333333333333</v>
      </c>
    </row>
    <row r="19" spans="1:21" hidden="1" x14ac:dyDescent="0.25">
      <c r="A19" s="115">
        <v>22092022</v>
      </c>
      <c r="B19" s="169" t="s">
        <v>586</v>
      </c>
      <c r="C19" s="30" t="s">
        <v>410</v>
      </c>
      <c r="D19" s="122">
        <v>44826</v>
      </c>
      <c r="E19" s="32">
        <v>2.6</v>
      </c>
      <c r="F19" t="s">
        <v>545</v>
      </c>
      <c r="G19" t="s">
        <v>1279</v>
      </c>
      <c r="H19" t="s">
        <v>1278</v>
      </c>
      <c r="I19" s="160">
        <v>19800</v>
      </c>
      <c r="J19" s="160"/>
      <c r="K19" s="236" t="s">
        <v>17</v>
      </c>
      <c r="L19" s="2">
        <v>44828</v>
      </c>
      <c r="O19" s="21"/>
      <c r="P19" s="157">
        <v>0.4368055555555555</v>
      </c>
      <c r="Q19" s="157">
        <v>0.57361111111111118</v>
      </c>
    </row>
    <row r="20" spans="1:21" hidden="1" x14ac:dyDescent="0.25">
      <c r="A20" s="115">
        <v>27092022</v>
      </c>
      <c r="B20" s="169" t="s">
        <v>586</v>
      </c>
      <c r="C20" s="30" t="s">
        <v>410</v>
      </c>
      <c r="D20" s="122">
        <v>44831</v>
      </c>
      <c r="E20" s="32">
        <v>2.6</v>
      </c>
      <c r="F20" t="s">
        <v>545</v>
      </c>
      <c r="G20" s="21" t="s">
        <v>1287</v>
      </c>
      <c r="H20" t="s">
        <v>1288</v>
      </c>
      <c r="I20" s="160">
        <v>30000</v>
      </c>
      <c r="J20" s="160"/>
      <c r="K20" s="236" t="s">
        <v>17</v>
      </c>
      <c r="L20" s="2">
        <v>44832</v>
      </c>
      <c r="O20" s="21" t="s">
        <v>893</v>
      </c>
      <c r="P20" s="157">
        <v>0.59305555555555556</v>
      </c>
      <c r="Q20" s="21"/>
    </row>
    <row r="21" spans="1:21" hidden="1" x14ac:dyDescent="0.25">
      <c r="A21" s="115">
        <v>30092022</v>
      </c>
      <c r="B21" s="169" t="s">
        <v>586</v>
      </c>
      <c r="C21" s="30" t="s">
        <v>410</v>
      </c>
      <c r="D21" s="122">
        <v>44834</v>
      </c>
      <c r="E21" s="32">
        <v>2.6</v>
      </c>
      <c r="F21" t="s">
        <v>545</v>
      </c>
      <c r="G21" s="21" t="s">
        <v>1307</v>
      </c>
      <c r="H21" t="s">
        <v>1308</v>
      </c>
      <c r="I21" s="160">
        <v>19800</v>
      </c>
      <c r="J21" s="160"/>
      <c r="K21" s="236" t="s">
        <v>17</v>
      </c>
      <c r="L21" s="2">
        <v>44839</v>
      </c>
      <c r="M21" t="s">
        <v>18</v>
      </c>
      <c r="O21" s="21" t="s">
        <v>989</v>
      </c>
      <c r="P21" s="157">
        <v>0.44166666666666665</v>
      </c>
      <c r="Q21" s="157">
        <v>0.82777777777777783</v>
      </c>
    </row>
    <row r="22" spans="1:21" hidden="1" x14ac:dyDescent="0.25">
      <c r="A22" s="116" t="s">
        <v>1318</v>
      </c>
      <c r="B22" s="169" t="s">
        <v>586</v>
      </c>
      <c r="C22" s="30" t="s">
        <v>410</v>
      </c>
      <c r="D22" s="122">
        <v>44839</v>
      </c>
      <c r="E22" s="88">
        <v>2.6</v>
      </c>
      <c r="F22" t="s">
        <v>545</v>
      </c>
      <c r="G22" s="21" t="s">
        <v>1342</v>
      </c>
      <c r="H22" t="s">
        <v>1343</v>
      </c>
      <c r="I22" s="160">
        <v>30000</v>
      </c>
      <c r="J22" s="160"/>
      <c r="K22" s="236" t="s">
        <v>17</v>
      </c>
      <c r="L22" s="2">
        <v>44840</v>
      </c>
      <c r="M22" t="s">
        <v>18</v>
      </c>
      <c r="O22" s="21" t="s">
        <v>989</v>
      </c>
      <c r="P22" s="157">
        <v>0.6430555555555556</v>
      </c>
      <c r="Q22" s="21"/>
    </row>
    <row r="23" spans="1:21" hidden="1" x14ac:dyDescent="0.25">
      <c r="A23" s="116" t="s">
        <v>1339</v>
      </c>
      <c r="B23" s="169" t="s">
        <v>586</v>
      </c>
      <c r="C23" s="169" t="s">
        <v>693</v>
      </c>
      <c r="D23" s="122">
        <v>44840</v>
      </c>
      <c r="E23" s="88">
        <v>2.6</v>
      </c>
      <c r="F23" t="s">
        <v>545</v>
      </c>
      <c r="G23" s="21" t="s">
        <v>1344</v>
      </c>
      <c r="H23" t="s">
        <v>1345</v>
      </c>
      <c r="I23" s="160">
        <v>30000</v>
      </c>
      <c r="J23" s="160"/>
      <c r="K23" s="236" t="s">
        <v>17</v>
      </c>
      <c r="L23" s="2">
        <v>44841</v>
      </c>
      <c r="O23" s="21" t="s">
        <v>1225</v>
      </c>
      <c r="P23" s="201">
        <v>0.34375</v>
      </c>
      <c r="Q23" s="21"/>
    </row>
    <row r="24" spans="1:21" hidden="1" x14ac:dyDescent="0.25">
      <c r="A24" s="116">
        <v>12102022</v>
      </c>
      <c r="B24" s="169" t="s">
        <v>586</v>
      </c>
      <c r="C24" s="30">
        <v>2221</v>
      </c>
      <c r="D24" s="122">
        <v>44846</v>
      </c>
      <c r="E24" s="88">
        <v>2.6</v>
      </c>
      <c r="F24" t="s">
        <v>545</v>
      </c>
      <c r="G24" s="21" t="s">
        <v>1367</v>
      </c>
      <c r="H24" t="s">
        <v>1368</v>
      </c>
      <c r="I24" s="160">
        <v>19800</v>
      </c>
      <c r="J24" s="160"/>
      <c r="K24" s="236" t="s">
        <v>17</v>
      </c>
      <c r="L24" s="2">
        <v>44848</v>
      </c>
      <c r="O24" s="21" t="s">
        <v>894</v>
      </c>
      <c r="P24" s="157">
        <v>0.71111111111111114</v>
      </c>
      <c r="Q24" s="21"/>
    </row>
    <row r="25" spans="1:21" hidden="1" x14ac:dyDescent="0.25">
      <c r="A25" s="116">
        <v>21102022</v>
      </c>
      <c r="B25" s="169" t="s">
        <v>586</v>
      </c>
      <c r="C25" s="30" t="s">
        <v>410</v>
      </c>
      <c r="D25" s="122">
        <v>44855</v>
      </c>
      <c r="E25" s="88">
        <v>2.6</v>
      </c>
      <c r="F25" t="s">
        <v>545</v>
      </c>
      <c r="G25" s="21" t="s">
        <v>279</v>
      </c>
      <c r="H25" t="s">
        <v>1762</v>
      </c>
      <c r="I25" s="160">
        <v>30000</v>
      </c>
      <c r="J25" s="160"/>
      <c r="K25" s="236" t="s">
        <v>17</v>
      </c>
      <c r="L25" s="2">
        <v>44863</v>
      </c>
      <c r="O25" s="21" t="s">
        <v>1225</v>
      </c>
      <c r="P25" s="157">
        <v>0.57361111111111118</v>
      </c>
      <c r="Q25" s="157"/>
    </row>
    <row r="26" spans="1:21" hidden="1" x14ac:dyDescent="0.25">
      <c r="A26" s="246">
        <v>13012023</v>
      </c>
      <c r="B26" t="s">
        <v>586</v>
      </c>
      <c r="C26" t="s">
        <v>809</v>
      </c>
      <c r="D26" s="122">
        <v>44939</v>
      </c>
      <c r="E26" s="88">
        <v>2.6</v>
      </c>
      <c r="F26" t="s">
        <v>545</v>
      </c>
      <c r="G26" t="s">
        <v>277</v>
      </c>
      <c r="H26" t="s">
        <v>1833</v>
      </c>
      <c r="I26" s="32">
        <v>20800</v>
      </c>
      <c r="J26" s="32"/>
      <c r="K26" s="236" t="s">
        <v>17</v>
      </c>
      <c r="M26" t="s">
        <v>719</v>
      </c>
      <c r="S26" t="s">
        <v>894</v>
      </c>
      <c r="T26" s="14">
        <v>0.36041666666666666</v>
      </c>
      <c r="U26" s="14">
        <v>0.4145833333333333</v>
      </c>
    </row>
    <row r="27" spans="1:21" hidden="1" x14ac:dyDescent="0.25">
      <c r="A27" s="246">
        <v>17012023</v>
      </c>
      <c r="B27" t="s">
        <v>586</v>
      </c>
      <c r="C27" t="s">
        <v>410</v>
      </c>
      <c r="D27" s="122">
        <v>44943</v>
      </c>
      <c r="E27" s="88">
        <v>2.6</v>
      </c>
      <c r="F27" t="s">
        <v>545</v>
      </c>
      <c r="G27" t="s">
        <v>1851</v>
      </c>
      <c r="H27" t="s">
        <v>1834</v>
      </c>
      <c r="I27" s="32">
        <v>33560</v>
      </c>
      <c r="J27" s="32"/>
      <c r="K27" s="639" t="s">
        <v>17</v>
      </c>
      <c r="L27" s="2">
        <v>44943</v>
      </c>
      <c r="S27" t="s">
        <v>1656</v>
      </c>
      <c r="T27" s="14">
        <v>0.31805555555555554</v>
      </c>
      <c r="U27" s="14">
        <v>0.4909722222222222</v>
      </c>
    </row>
    <row r="28" spans="1:21" hidden="1" x14ac:dyDescent="0.25">
      <c r="A28" s="246">
        <v>18012023</v>
      </c>
      <c r="B28" t="s">
        <v>586</v>
      </c>
      <c r="C28" t="s">
        <v>410</v>
      </c>
      <c r="D28" s="122">
        <v>44944</v>
      </c>
      <c r="E28" s="88">
        <v>2.6</v>
      </c>
      <c r="F28" t="s">
        <v>545</v>
      </c>
      <c r="G28" t="s">
        <v>1852</v>
      </c>
      <c r="H28" t="s">
        <v>1835</v>
      </c>
      <c r="I28" s="32">
        <v>33560</v>
      </c>
      <c r="J28" s="32"/>
      <c r="K28" s="639" t="s">
        <v>17</v>
      </c>
      <c r="L28" s="2">
        <v>44953</v>
      </c>
      <c r="S28" t="s">
        <v>1656</v>
      </c>
    </row>
    <row r="29" spans="1:21" hidden="1" x14ac:dyDescent="0.25">
      <c r="A29" s="246">
        <v>25012024</v>
      </c>
      <c r="B29" t="s">
        <v>586</v>
      </c>
      <c r="C29" t="s">
        <v>13</v>
      </c>
      <c r="D29" s="122">
        <v>44951</v>
      </c>
      <c r="E29" s="88">
        <v>2.6</v>
      </c>
      <c r="F29" t="s">
        <v>545</v>
      </c>
      <c r="G29" t="s">
        <v>1850</v>
      </c>
      <c r="H29" t="s">
        <v>1870</v>
      </c>
      <c r="I29" s="32">
        <v>33560</v>
      </c>
      <c r="J29" s="32"/>
      <c r="K29" s="639" t="s">
        <v>17</v>
      </c>
      <c r="L29" s="2">
        <v>44964</v>
      </c>
      <c r="S29" t="s">
        <v>922</v>
      </c>
      <c r="T29" s="14">
        <v>0.31111111111111112</v>
      </c>
    </row>
    <row r="30" spans="1:21" hidden="1" x14ac:dyDescent="0.25">
      <c r="A30" s="95" t="s">
        <v>1844</v>
      </c>
      <c r="B30" t="s">
        <v>586</v>
      </c>
      <c r="C30" t="s">
        <v>809</v>
      </c>
      <c r="D30" s="122">
        <v>44961</v>
      </c>
      <c r="E30" s="88">
        <v>2.6</v>
      </c>
      <c r="F30" t="s">
        <v>545</v>
      </c>
      <c r="G30" t="s">
        <v>1849</v>
      </c>
      <c r="H30" t="s">
        <v>2957</v>
      </c>
      <c r="I30" s="32">
        <v>33560</v>
      </c>
      <c r="J30" s="32"/>
      <c r="K30" s="368" t="s">
        <v>17</v>
      </c>
      <c r="L30" s="2">
        <v>44967</v>
      </c>
      <c r="S30" t="s">
        <v>1178</v>
      </c>
      <c r="T30" s="14">
        <v>0.5541666666666667</v>
      </c>
      <c r="U30" s="14">
        <v>0.61319444444444449</v>
      </c>
    </row>
    <row r="31" spans="1:21" hidden="1" x14ac:dyDescent="0.25">
      <c r="A31" s="95" t="s">
        <v>1863</v>
      </c>
      <c r="B31" t="s">
        <v>586</v>
      </c>
      <c r="C31" t="s">
        <v>809</v>
      </c>
      <c r="D31" s="122">
        <v>44964</v>
      </c>
      <c r="E31" s="88">
        <v>2.6</v>
      </c>
      <c r="F31" t="s">
        <v>545</v>
      </c>
      <c r="G31" t="s">
        <v>1861</v>
      </c>
      <c r="H31" t="s">
        <v>1871</v>
      </c>
      <c r="I31" s="32">
        <v>33560</v>
      </c>
      <c r="J31" s="88"/>
      <c r="K31" s="368" t="s">
        <v>17</v>
      </c>
      <c r="L31" s="2">
        <v>44968</v>
      </c>
      <c r="S31" t="s">
        <v>894</v>
      </c>
    </row>
    <row r="32" spans="1:21" hidden="1" x14ac:dyDescent="0.25">
      <c r="A32" s="256">
        <v>18022023</v>
      </c>
      <c r="B32" t="s">
        <v>586</v>
      </c>
      <c r="C32" t="s">
        <v>809</v>
      </c>
      <c r="D32" s="255">
        <v>44975</v>
      </c>
      <c r="E32">
        <v>2.6</v>
      </c>
      <c r="F32" t="s">
        <v>545</v>
      </c>
      <c r="G32" t="s">
        <v>1978</v>
      </c>
      <c r="H32" t="s">
        <v>1979</v>
      </c>
      <c r="I32" s="88">
        <v>20800</v>
      </c>
      <c r="J32" s="88"/>
      <c r="K32" s="368" t="s">
        <v>17</v>
      </c>
      <c r="L32" s="2">
        <v>44980</v>
      </c>
      <c r="S32" t="s">
        <v>1644</v>
      </c>
      <c r="T32" s="14">
        <v>0.56111111111111112</v>
      </c>
      <c r="U32" s="14">
        <v>0.61875000000000002</v>
      </c>
    </row>
    <row r="33" spans="1:22" hidden="1" x14ac:dyDescent="0.25">
      <c r="A33" s="256">
        <v>22022023</v>
      </c>
      <c r="B33" t="s">
        <v>586</v>
      </c>
      <c r="C33" t="s">
        <v>410</v>
      </c>
      <c r="D33" s="122">
        <v>44979</v>
      </c>
      <c r="E33">
        <v>2.6</v>
      </c>
      <c r="F33" t="s">
        <v>545</v>
      </c>
      <c r="G33" t="s">
        <v>1976</v>
      </c>
      <c r="H33" t="s">
        <v>1977</v>
      </c>
      <c r="I33" s="32">
        <v>33560</v>
      </c>
      <c r="J33" s="32"/>
      <c r="K33" s="368" t="s">
        <v>17</v>
      </c>
      <c r="L33" s="274">
        <v>44987</v>
      </c>
      <c r="S33" t="s">
        <v>989</v>
      </c>
      <c r="T33" s="14"/>
      <c r="U33" s="14"/>
    </row>
    <row r="34" spans="1:22" s="16" customFormat="1" hidden="1" x14ac:dyDescent="0.25">
      <c r="A34" s="441" t="s">
        <v>1975</v>
      </c>
      <c r="B34" s="16" t="s">
        <v>586</v>
      </c>
      <c r="C34" s="16" t="s">
        <v>1954</v>
      </c>
      <c r="D34" s="370">
        <v>44988</v>
      </c>
      <c r="E34" s="16">
        <v>2.6</v>
      </c>
      <c r="F34" s="16" t="s">
        <v>545</v>
      </c>
      <c r="G34" s="16" t="s">
        <v>2017</v>
      </c>
      <c r="H34" s="16" t="s">
        <v>2954</v>
      </c>
      <c r="I34" s="254">
        <v>20800</v>
      </c>
      <c r="J34" s="254"/>
      <c r="K34" s="566" t="s">
        <v>17</v>
      </c>
      <c r="L34" s="442">
        <v>44993</v>
      </c>
      <c r="S34" s="16" t="s">
        <v>1950</v>
      </c>
      <c r="T34" s="367">
        <v>0.3576388888888889</v>
      </c>
    </row>
    <row r="35" spans="1:22" hidden="1" x14ac:dyDescent="0.25">
      <c r="A35" s="95" t="s">
        <v>1991</v>
      </c>
      <c r="B35" t="s">
        <v>586</v>
      </c>
      <c r="C35" t="s">
        <v>13</v>
      </c>
      <c r="D35" s="122">
        <v>44991</v>
      </c>
      <c r="E35">
        <v>2.6</v>
      </c>
      <c r="F35" t="s">
        <v>545</v>
      </c>
      <c r="G35" t="s">
        <v>2016</v>
      </c>
      <c r="H35" t="s">
        <v>2089</v>
      </c>
      <c r="I35" s="32">
        <v>33560</v>
      </c>
      <c r="J35" s="32"/>
      <c r="K35" s="368" t="s">
        <v>17</v>
      </c>
      <c r="L35" s="2">
        <v>44994</v>
      </c>
      <c r="S35" t="s">
        <v>795</v>
      </c>
      <c r="T35" s="14">
        <v>0.38541666666666669</v>
      </c>
    </row>
    <row r="36" spans="1:22" hidden="1" x14ac:dyDescent="0.25">
      <c r="A36" s="256">
        <v>28032022</v>
      </c>
      <c r="B36" t="s">
        <v>586</v>
      </c>
      <c r="C36" t="s">
        <v>410</v>
      </c>
      <c r="D36" s="122">
        <v>45013</v>
      </c>
      <c r="E36">
        <v>2.6</v>
      </c>
      <c r="F36" t="s">
        <v>545</v>
      </c>
      <c r="G36" t="s">
        <v>2143</v>
      </c>
      <c r="H36" t="s">
        <v>2955</v>
      </c>
      <c r="I36" s="88">
        <v>20800</v>
      </c>
      <c r="K36" s="368" t="s">
        <v>17</v>
      </c>
      <c r="L36" s="2">
        <v>45015</v>
      </c>
      <c r="T36" t="s">
        <v>1816</v>
      </c>
      <c r="U36" s="14">
        <v>0.39583333333333331</v>
      </c>
      <c r="V36" s="14"/>
    </row>
    <row r="37" spans="1:22" hidden="1" x14ac:dyDescent="0.25">
      <c r="A37" s="256">
        <v>12042023</v>
      </c>
      <c r="B37" t="s">
        <v>586</v>
      </c>
      <c r="C37" t="s">
        <v>410</v>
      </c>
      <c r="D37" s="122">
        <v>45028</v>
      </c>
      <c r="F37" s="30" t="s">
        <v>2215</v>
      </c>
      <c r="G37" t="s">
        <v>2239</v>
      </c>
      <c r="H37" t="s">
        <v>2240</v>
      </c>
      <c r="I37" s="88">
        <v>33560</v>
      </c>
      <c r="K37" s="368" t="s">
        <v>17</v>
      </c>
      <c r="L37" s="122">
        <v>45034</v>
      </c>
      <c r="T37" t="s">
        <v>1656</v>
      </c>
      <c r="U37" s="14">
        <v>0.49513888888888885</v>
      </c>
      <c r="V37" s="14">
        <v>0.68680555555555556</v>
      </c>
    </row>
    <row r="38" spans="1:22" hidden="1" x14ac:dyDescent="0.25">
      <c r="A38" s="256">
        <v>19042023</v>
      </c>
      <c r="B38" t="s">
        <v>586</v>
      </c>
      <c r="C38" t="s">
        <v>693</v>
      </c>
      <c r="D38" s="122">
        <v>45035</v>
      </c>
      <c r="F38" s="30" t="s">
        <v>545</v>
      </c>
      <c r="G38" t="s">
        <v>2242</v>
      </c>
      <c r="H38" t="s">
        <v>2243</v>
      </c>
      <c r="I38" s="88">
        <v>33560</v>
      </c>
      <c r="K38" s="359" t="s">
        <v>17</v>
      </c>
      <c r="L38" s="122">
        <v>45037</v>
      </c>
      <c r="T38" t="s">
        <v>1644</v>
      </c>
      <c r="U38" s="14">
        <v>0.5180555555555556</v>
      </c>
      <c r="V38" s="14">
        <v>0.70138888888888884</v>
      </c>
    </row>
    <row r="39" spans="1:22" hidden="1" x14ac:dyDescent="0.25">
      <c r="A39" s="256">
        <v>20022023</v>
      </c>
      <c r="B39" t="s">
        <v>586</v>
      </c>
      <c r="C39" t="s">
        <v>693</v>
      </c>
      <c r="D39" s="122">
        <v>45036</v>
      </c>
      <c r="F39" s="30" t="s">
        <v>545</v>
      </c>
      <c r="G39" t="s">
        <v>2241</v>
      </c>
      <c r="H39" t="s">
        <v>2267</v>
      </c>
      <c r="I39" s="88">
        <v>33560</v>
      </c>
      <c r="K39" s="359" t="s">
        <v>17</v>
      </c>
      <c r="L39" s="122">
        <v>45038</v>
      </c>
      <c r="T39" t="s">
        <v>916</v>
      </c>
      <c r="U39" s="14">
        <v>0.3840277777777778</v>
      </c>
    </row>
    <row r="40" spans="1:22" hidden="1" x14ac:dyDescent="0.25">
      <c r="A40" s="256">
        <v>21042023</v>
      </c>
      <c r="B40" t="s">
        <v>586</v>
      </c>
      <c r="C40" t="s">
        <v>693</v>
      </c>
      <c r="D40" s="122">
        <v>45037</v>
      </c>
      <c r="F40" s="30" t="s">
        <v>545</v>
      </c>
      <c r="G40" s="30" t="s">
        <v>2263</v>
      </c>
      <c r="H40" t="s">
        <v>2268</v>
      </c>
      <c r="I40" s="313">
        <v>33560</v>
      </c>
      <c r="K40" s="359" t="s">
        <v>17</v>
      </c>
      <c r="L40" s="122">
        <v>45045</v>
      </c>
      <c r="T40" t="s">
        <v>922</v>
      </c>
      <c r="U40" s="14">
        <v>0.70138888888888884</v>
      </c>
      <c r="V40" s="14">
        <v>0.8354166666666667</v>
      </c>
    </row>
    <row r="41" spans="1:22" hidden="1" x14ac:dyDescent="0.25">
      <c r="A41" s="256">
        <v>23042023</v>
      </c>
      <c r="B41" t="s">
        <v>586</v>
      </c>
      <c r="C41" t="s">
        <v>410</v>
      </c>
      <c r="D41" s="122">
        <v>45039</v>
      </c>
      <c r="F41" s="30" t="s">
        <v>545</v>
      </c>
      <c r="G41" s="30" t="s">
        <v>2264</v>
      </c>
      <c r="H41" t="s">
        <v>2269</v>
      </c>
      <c r="I41" s="313">
        <v>33560</v>
      </c>
      <c r="J41" s="313"/>
      <c r="K41" s="30" t="s">
        <v>17</v>
      </c>
      <c r="L41" s="122">
        <v>45064</v>
      </c>
      <c r="T41" t="s">
        <v>893</v>
      </c>
      <c r="U41" s="14">
        <v>0.29166666666666669</v>
      </c>
      <c r="V41" s="14">
        <v>0.4458333333333333</v>
      </c>
    </row>
    <row r="42" spans="1:22" hidden="1" x14ac:dyDescent="0.25">
      <c r="A42" s="256">
        <v>10052023</v>
      </c>
      <c r="B42" t="s">
        <v>586</v>
      </c>
      <c r="C42" t="s">
        <v>693</v>
      </c>
      <c r="D42" s="122">
        <v>45056</v>
      </c>
      <c r="F42" s="30" t="s">
        <v>545</v>
      </c>
      <c r="G42" s="30" t="s">
        <v>2375</v>
      </c>
      <c r="H42" t="s">
        <v>2396</v>
      </c>
      <c r="I42" s="313">
        <v>33560</v>
      </c>
      <c r="K42" s="30" t="s">
        <v>17</v>
      </c>
      <c r="L42" s="122">
        <v>45068</v>
      </c>
      <c r="T42" t="s">
        <v>916</v>
      </c>
      <c r="U42" s="14">
        <v>0.71666666666666667</v>
      </c>
      <c r="V42" s="14">
        <v>0.92222222222222217</v>
      </c>
    </row>
    <row r="43" spans="1:22" hidden="1" x14ac:dyDescent="0.25">
      <c r="A43" s="256">
        <v>19052023</v>
      </c>
      <c r="B43" t="s">
        <v>586</v>
      </c>
      <c r="C43" t="s">
        <v>809</v>
      </c>
      <c r="D43" s="122">
        <v>45065</v>
      </c>
      <c r="F43" s="30" t="s">
        <v>545</v>
      </c>
      <c r="G43" s="30" t="s">
        <v>2388</v>
      </c>
      <c r="H43" s="373" t="s">
        <v>2397</v>
      </c>
      <c r="I43" s="375">
        <v>33560</v>
      </c>
      <c r="J43" s="5"/>
      <c r="K43" s="373" t="s">
        <v>17</v>
      </c>
      <c r="L43" s="257">
        <v>45100</v>
      </c>
      <c r="M43" t="s">
        <v>81</v>
      </c>
      <c r="T43" t="s">
        <v>1894</v>
      </c>
      <c r="U43" s="14"/>
      <c r="V43" s="14"/>
    </row>
    <row r="44" spans="1:22" hidden="1" x14ac:dyDescent="0.25">
      <c r="A44" s="256">
        <v>26052023</v>
      </c>
      <c r="B44" t="s">
        <v>586</v>
      </c>
      <c r="C44" t="s">
        <v>693</v>
      </c>
      <c r="D44" s="122">
        <v>45072</v>
      </c>
      <c r="F44" s="30" t="s">
        <v>545</v>
      </c>
      <c r="G44" s="30" t="s">
        <v>2413</v>
      </c>
      <c r="H44" s="30" t="s">
        <v>2416</v>
      </c>
      <c r="I44" s="236">
        <v>33560</v>
      </c>
      <c r="K44" s="30" t="s">
        <v>17</v>
      </c>
      <c r="L44" s="122">
        <v>45075</v>
      </c>
      <c r="T44" t="s">
        <v>893</v>
      </c>
      <c r="U44" s="14">
        <v>0.56944444444444442</v>
      </c>
      <c r="V44" s="14">
        <v>0.76388888888888884</v>
      </c>
    </row>
    <row r="45" spans="1:22" hidden="1" x14ac:dyDescent="0.25">
      <c r="A45" s="256">
        <v>30052023</v>
      </c>
      <c r="B45" t="s">
        <v>586</v>
      </c>
      <c r="C45" t="s">
        <v>809</v>
      </c>
      <c r="D45" s="122">
        <v>45076</v>
      </c>
      <c r="F45" s="30" t="s">
        <v>545</v>
      </c>
      <c r="G45" s="30" t="s">
        <v>2433</v>
      </c>
      <c r="H45" t="s">
        <v>2435</v>
      </c>
      <c r="I45" s="236">
        <v>20800</v>
      </c>
      <c r="K45" s="30" t="s">
        <v>17</v>
      </c>
      <c r="L45" s="122">
        <v>45077</v>
      </c>
      <c r="T45" t="s">
        <v>1178</v>
      </c>
      <c r="U45" s="14">
        <v>0.6694444444444444</v>
      </c>
      <c r="V45" s="14">
        <v>0.72499999999999998</v>
      </c>
    </row>
    <row r="46" spans="1:22" hidden="1" x14ac:dyDescent="0.25">
      <c r="A46" s="256">
        <v>30052023</v>
      </c>
      <c r="B46" t="s">
        <v>586</v>
      </c>
      <c r="C46" t="s">
        <v>693</v>
      </c>
      <c r="D46" s="122">
        <v>45076</v>
      </c>
      <c r="F46" s="30" t="s">
        <v>545</v>
      </c>
      <c r="G46" s="30" t="s">
        <v>2432</v>
      </c>
      <c r="H46" s="373" t="s">
        <v>2430</v>
      </c>
      <c r="I46" s="375">
        <v>33560</v>
      </c>
      <c r="J46" s="5"/>
      <c r="K46" s="490" t="s">
        <v>17</v>
      </c>
      <c r="L46" s="257">
        <v>45112</v>
      </c>
      <c r="T46" t="s">
        <v>893</v>
      </c>
      <c r="U46" s="14">
        <v>0.87222222222222223</v>
      </c>
      <c r="V46" s="14">
        <v>3.4722222222222224E-2</v>
      </c>
    </row>
    <row r="47" spans="1:22" hidden="1" x14ac:dyDescent="0.25">
      <c r="A47" s="256">
        <v>31052023</v>
      </c>
      <c r="B47" t="s">
        <v>586</v>
      </c>
      <c r="C47" t="s">
        <v>809</v>
      </c>
      <c r="D47" s="122">
        <v>45077</v>
      </c>
      <c r="F47" s="30" t="s">
        <v>545</v>
      </c>
      <c r="G47" s="30" t="s">
        <v>2431</v>
      </c>
      <c r="H47" s="373" t="s">
        <v>2434</v>
      </c>
      <c r="I47" s="375">
        <v>33560</v>
      </c>
      <c r="J47" s="5"/>
      <c r="K47" s="373" t="s">
        <v>17</v>
      </c>
      <c r="L47" s="257">
        <v>45113</v>
      </c>
      <c r="U47" s="14">
        <v>0.30624999999999997</v>
      </c>
      <c r="V47" s="14"/>
    </row>
    <row r="48" spans="1:22" hidden="1" x14ac:dyDescent="0.25">
      <c r="A48" s="95" t="s">
        <v>2470</v>
      </c>
      <c r="B48" t="s">
        <v>586</v>
      </c>
      <c r="C48" t="s">
        <v>410</v>
      </c>
      <c r="D48" s="122">
        <v>45084</v>
      </c>
      <c r="F48" s="30" t="s">
        <v>545</v>
      </c>
      <c r="G48" s="30" t="s">
        <v>2505</v>
      </c>
      <c r="H48" s="373" t="s">
        <v>2512</v>
      </c>
      <c r="I48" s="296">
        <v>33560</v>
      </c>
      <c r="J48" s="5"/>
      <c r="K48" s="373" t="s">
        <v>17</v>
      </c>
      <c r="L48" s="257">
        <v>45114</v>
      </c>
    </row>
    <row r="49" spans="1:22" hidden="1" x14ac:dyDescent="0.25">
      <c r="A49" s="256">
        <v>12062023</v>
      </c>
      <c r="B49" t="s">
        <v>586</v>
      </c>
      <c r="C49" t="s">
        <v>410</v>
      </c>
      <c r="D49" s="122">
        <v>45089</v>
      </c>
      <c r="F49" s="30" t="s">
        <v>545</v>
      </c>
      <c r="G49" s="30" t="s">
        <v>2506</v>
      </c>
      <c r="H49" s="30" t="s">
        <v>2513</v>
      </c>
      <c r="I49" s="236">
        <v>20800</v>
      </c>
      <c r="K49" s="30" t="s">
        <v>17</v>
      </c>
      <c r="L49" s="122">
        <v>45093</v>
      </c>
      <c r="T49" t="s">
        <v>916</v>
      </c>
      <c r="U49" s="14">
        <v>0.31041666666666667</v>
      </c>
      <c r="V49" s="14">
        <v>0.4291666666666667</v>
      </c>
    </row>
    <row r="50" spans="1:22" hidden="1" x14ac:dyDescent="0.25">
      <c r="A50" s="256">
        <v>22062023</v>
      </c>
      <c r="B50" t="s">
        <v>586</v>
      </c>
      <c r="C50" t="s">
        <v>693</v>
      </c>
      <c r="D50" s="122">
        <v>45099</v>
      </c>
      <c r="F50" s="30" t="s">
        <v>545</v>
      </c>
      <c r="G50" s="30" t="s">
        <v>2563</v>
      </c>
      <c r="H50" s="373" t="s">
        <v>2577</v>
      </c>
      <c r="I50" s="375">
        <v>33560</v>
      </c>
      <c r="J50" s="5"/>
      <c r="K50" s="373" t="s">
        <v>17</v>
      </c>
      <c r="L50" s="257">
        <v>45119</v>
      </c>
      <c r="T50" s="14" t="s">
        <v>1225</v>
      </c>
      <c r="U50" s="14">
        <v>0.30416666666666664</v>
      </c>
      <c r="V50" s="14">
        <v>0.50763888888888886</v>
      </c>
    </row>
    <row r="51" spans="1:22" hidden="1" x14ac:dyDescent="0.25">
      <c r="A51" s="256">
        <v>28062023</v>
      </c>
      <c r="B51" t="s">
        <v>586</v>
      </c>
      <c r="C51" t="s">
        <v>410</v>
      </c>
      <c r="D51" s="122">
        <v>45105</v>
      </c>
      <c r="F51" s="30" t="s">
        <v>545</v>
      </c>
      <c r="G51" s="30" t="s">
        <v>2587</v>
      </c>
      <c r="H51" s="30" t="s">
        <v>2590</v>
      </c>
      <c r="I51" s="61">
        <v>33560</v>
      </c>
      <c r="K51" s="30" t="s">
        <v>17</v>
      </c>
      <c r="L51" s="257">
        <v>45118</v>
      </c>
      <c r="T51" s="14" t="s">
        <v>1029</v>
      </c>
      <c r="U51" s="14">
        <v>0.65416666666666667</v>
      </c>
      <c r="V51" s="14">
        <v>0.83333333333333337</v>
      </c>
    </row>
    <row r="52" spans="1:22" hidden="1" x14ac:dyDescent="0.25">
      <c r="A52" s="256">
        <v>12072023</v>
      </c>
      <c r="B52" t="s">
        <v>586</v>
      </c>
      <c r="C52" t="s">
        <v>13</v>
      </c>
      <c r="D52" s="122">
        <v>45119</v>
      </c>
      <c r="F52" s="30" t="s">
        <v>545</v>
      </c>
      <c r="G52" s="30" t="s">
        <v>2621</v>
      </c>
      <c r="H52" s="30" t="s">
        <v>2620</v>
      </c>
      <c r="I52" s="368">
        <v>33560</v>
      </c>
      <c r="K52" s="30" t="s">
        <v>17</v>
      </c>
      <c r="L52" s="122">
        <v>45124</v>
      </c>
      <c r="M52" t="s">
        <v>18</v>
      </c>
      <c r="T52" s="14" t="s">
        <v>1644</v>
      </c>
      <c r="U52" s="14">
        <v>0.33680555555555558</v>
      </c>
      <c r="V52" s="14">
        <v>0.52083333333333337</v>
      </c>
    </row>
    <row r="53" spans="1:22" hidden="1" x14ac:dyDescent="0.25">
      <c r="A53" s="256">
        <v>13072023</v>
      </c>
      <c r="B53" t="s">
        <v>586</v>
      </c>
      <c r="C53" t="s">
        <v>410</v>
      </c>
      <c r="D53" s="122">
        <v>45120</v>
      </c>
      <c r="F53" s="30" t="s">
        <v>545</v>
      </c>
      <c r="G53" s="30" t="s">
        <v>2632</v>
      </c>
      <c r="H53" s="30" t="s">
        <v>2633</v>
      </c>
      <c r="I53" s="368">
        <v>33560</v>
      </c>
      <c r="K53" s="30" t="s">
        <v>17</v>
      </c>
      <c r="L53" s="122">
        <v>45133</v>
      </c>
      <c r="T53" s="14" t="s">
        <v>1029</v>
      </c>
      <c r="U53" s="14">
        <v>0.31875000000000003</v>
      </c>
      <c r="V53" s="14"/>
    </row>
    <row r="54" spans="1:22" hidden="1" x14ac:dyDescent="0.25">
      <c r="A54" s="256">
        <v>20072023</v>
      </c>
      <c r="B54" t="s">
        <v>586</v>
      </c>
      <c r="C54" t="s">
        <v>410</v>
      </c>
      <c r="D54" s="122">
        <v>45127</v>
      </c>
      <c r="F54" s="30" t="s">
        <v>545</v>
      </c>
      <c r="G54" s="30" t="s">
        <v>2657</v>
      </c>
      <c r="H54" s="30" t="s">
        <v>2664</v>
      </c>
      <c r="I54" s="368">
        <v>33560</v>
      </c>
      <c r="J54" s="368"/>
      <c r="K54" s="359" t="s">
        <v>17</v>
      </c>
      <c r="L54" s="122">
        <v>45138</v>
      </c>
      <c r="T54" s="14" t="s">
        <v>916</v>
      </c>
      <c r="U54" s="14">
        <v>0.69652777777777775</v>
      </c>
      <c r="V54" s="14">
        <v>0.87986111111111109</v>
      </c>
    </row>
    <row r="55" spans="1:22" s="30" customFormat="1" hidden="1" x14ac:dyDescent="0.25">
      <c r="A55" s="256">
        <v>30072023</v>
      </c>
      <c r="B55" s="30" t="s">
        <v>586</v>
      </c>
      <c r="C55" s="30" t="s">
        <v>809</v>
      </c>
      <c r="D55" s="374">
        <v>45137</v>
      </c>
      <c r="F55" s="30" t="s">
        <v>545</v>
      </c>
      <c r="G55" s="30" t="s">
        <v>2686</v>
      </c>
      <c r="H55" s="30" t="s">
        <v>2716</v>
      </c>
      <c r="I55" s="368">
        <v>33560</v>
      </c>
      <c r="K55" s="359" t="s">
        <v>17</v>
      </c>
      <c r="L55" s="122">
        <v>45139</v>
      </c>
      <c r="T55" s="360" t="s">
        <v>1178</v>
      </c>
      <c r="U55" s="360">
        <v>0.37361111111111112</v>
      </c>
      <c r="V55" s="360">
        <v>0.57430555555555551</v>
      </c>
    </row>
    <row r="56" spans="1:22" s="30" customFormat="1" hidden="1" x14ac:dyDescent="0.25">
      <c r="A56" s="256">
        <v>11082023</v>
      </c>
      <c r="B56" s="30" t="s">
        <v>586</v>
      </c>
      <c r="C56" s="30" t="s">
        <v>410</v>
      </c>
      <c r="D56" s="374">
        <v>45149</v>
      </c>
      <c r="F56" s="30" t="s">
        <v>545</v>
      </c>
      <c r="G56" s="30" t="s">
        <v>2787</v>
      </c>
      <c r="H56" s="30" t="s">
        <v>2788</v>
      </c>
      <c r="I56" s="236">
        <v>33560</v>
      </c>
      <c r="K56" s="30" t="s">
        <v>17</v>
      </c>
      <c r="L56" s="440">
        <v>45188</v>
      </c>
      <c r="M56" s="30" t="s">
        <v>18</v>
      </c>
      <c r="T56" s="360" t="s">
        <v>929</v>
      </c>
      <c r="U56" s="360">
        <v>0.4368055555555555</v>
      </c>
      <c r="V56" s="360"/>
    </row>
    <row r="57" spans="1:22" hidden="1" x14ac:dyDescent="0.25">
      <c r="A57" s="256">
        <v>11082023</v>
      </c>
      <c r="B57" t="s">
        <v>586</v>
      </c>
      <c r="C57" t="s">
        <v>410</v>
      </c>
      <c r="D57" s="374">
        <v>45149</v>
      </c>
      <c r="F57" t="s">
        <v>545</v>
      </c>
      <c r="G57" t="s">
        <v>2790</v>
      </c>
      <c r="H57" s="30" t="s">
        <v>2789</v>
      </c>
      <c r="I57" s="414">
        <v>33560</v>
      </c>
      <c r="J57" s="30"/>
      <c r="K57" s="30" t="s">
        <v>17</v>
      </c>
      <c r="L57" s="440">
        <v>45189</v>
      </c>
      <c r="M57" s="30" t="s">
        <v>18</v>
      </c>
      <c r="T57" s="14" t="s">
        <v>929</v>
      </c>
      <c r="U57" s="14">
        <v>0.4368055555555555</v>
      </c>
      <c r="V57" s="14">
        <v>0.6020833333333333</v>
      </c>
    </row>
    <row r="58" spans="1:22" hidden="1" x14ac:dyDescent="0.25">
      <c r="A58" s="256">
        <v>16082023</v>
      </c>
      <c r="B58" t="s">
        <v>586</v>
      </c>
      <c r="C58" t="s">
        <v>13</v>
      </c>
      <c r="D58" s="374">
        <v>45154</v>
      </c>
      <c r="F58" s="30" t="s">
        <v>545</v>
      </c>
      <c r="G58" s="30" t="s">
        <v>2791</v>
      </c>
      <c r="H58" s="30" t="s">
        <v>2808</v>
      </c>
      <c r="I58" s="313">
        <v>33560</v>
      </c>
      <c r="J58" s="30"/>
      <c r="K58" s="30" t="s">
        <v>17</v>
      </c>
      <c r="L58" s="440">
        <v>45190</v>
      </c>
      <c r="M58" s="30" t="s">
        <v>18</v>
      </c>
      <c r="T58" s="14" t="s">
        <v>916</v>
      </c>
      <c r="U58" s="14">
        <v>0.52152777777777781</v>
      </c>
      <c r="V58" s="14"/>
    </row>
    <row r="59" spans="1:22" s="30" customFormat="1" hidden="1" x14ac:dyDescent="0.25">
      <c r="A59" s="30">
        <v>26082023</v>
      </c>
      <c r="B59" s="30" t="s">
        <v>1847</v>
      </c>
      <c r="C59" s="30" t="s">
        <v>13</v>
      </c>
      <c r="D59" s="374">
        <v>45164</v>
      </c>
      <c r="F59" s="30" t="s">
        <v>545</v>
      </c>
      <c r="G59" t="s">
        <v>2807</v>
      </c>
      <c r="H59" s="30" t="s">
        <v>2806</v>
      </c>
      <c r="I59" s="176">
        <v>33560</v>
      </c>
      <c r="K59" s="30" t="s">
        <v>17</v>
      </c>
      <c r="L59" s="443">
        <v>45191</v>
      </c>
      <c r="M59" s="30" t="s">
        <v>18</v>
      </c>
      <c r="T59" s="360" t="s">
        <v>929</v>
      </c>
      <c r="U59" s="360">
        <v>0.78055555555555556</v>
      </c>
      <c r="V59" s="360">
        <v>0.94166666666666676</v>
      </c>
    </row>
    <row r="60" spans="1:22" s="30" customFormat="1" hidden="1" x14ac:dyDescent="0.25">
      <c r="A60" s="30">
        <v>29082023</v>
      </c>
      <c r="B60" s="30" t="s">
        <v>1847</v>
      </c>
      <c r="C60" s="30" t="s">
        <v>410</v>
      </c>
      <c r="D60" s="374">
        <v>45167</v>
      </c>
      <c r="F60" s="30" t="s">
        <v>545</v>
      </c>
      <c r="G60" s="30" t="s">
        <v>2822</v>
      </c>
      <c r="H60" s="30" t="s">
        <v>2830</v>
      </c>
      <c r="I60" s="236">
        <v>33560</v>
      </c>
      <c r="K60" s="30" t="s">
        <v>17</v>
      </c>
      <c r="L60" s="443">
        <v>45196</v>
      </c>
      <c r="M60" s="30" t="s">
        <v>18</v>
      </c>
      <c r="T60" s="360" t="s">
        <v>1029</v>
      </c>
      <c r="U60" s="360"/>
      <c r="V60" s="360"/>
    </row>
    <row r="61" spans="1:22" s="30" customFormat="1" hidden="1" x14ac:dyDescent="0.25">
      <c r="A61" s="256">
        <v>28092023</v>
      </c>
      <c r="B61" s="30" t="s">
        <v>586</v>
      </c>
      <c r="C61" s="30" t="s">
        <v>13</v>
      </c>
      <c r="D61" s="374">
        <v>45197</v>
      </c>
      <c r="F61" s="30" t="s">
        <v>545</v>
      </c>
      <c r="G61" s="30" t="s">
        <v>3002</v>
      </c>
      <c r="H61" s="30" t="s">
        <v>3003</v>
      </c>
      <c r="I61" s="236">
        <v>33560</v>
      </c>
      <c r="K61" s="236" t="s">
        <v>17</v>
      </c>
      <c r="L61" s="374">
        <v>45264</v>
      </c>
      <c r="M61" s="374"/>
      <c r="T61" s="360" t="s">
        <v>1644</v>
      </c>
      <c r="U61" s="360">
        <v>0.33263888888888887</v>
      </c>
      <c r="V61" s="360">
        <v>0.51041666666666663</v>
      </c>
    </row>
    <row r="62" spans="1:22" s="30" customFormat="1" hidden="1" x14ac:dyDescent="0.25">
      <c r="A62" s="256" t="s">
        <v>2993</v>
      </c>
      <c r="B62" s="30" t="s">
        <v>1847</v>
      </c>
      <c r="C62" s="30" t="s">
        <v>13</v>
      </c>
      <c r="D62" s="374">
        <v>45203</v>
      </c>
      <c r="F62" s="30" t="s">
        <v>545</v>
      </c>
      <c r="G62" s="30" t="s">
        <v>3004</v>
      </c>
      <c r="H62" s="30" t="s">
        <v>3005</v>
      </c>
      <c r="I62" s="236">
        <v>33560</v>
      </c>
      <c r="K62" s="30" t="s">
        <v>17</v>
      </c>
      <c r="L62" s="374">
        <v>45266</v>
      </c>
      <c r="T62" s="360" t="s">
        <v>1225</v>
      </c>
      <c r="U62" s="360">
        <v>0.55138888888888882</v>
      </c>
      <c r="V62" s="360"/>
    </row>
    <row r="63" spans="1:22" hidden="1" x14ac:dyDescent="0.25">
      <c r="A63" s="430" t="s">
        <v>3407</v>
      </c>
      <c r="B63" t="s">
        <v>586</v>
      </c>
      <c r="C63" t="s">
        <v>13</v>
      </c>
      <c r="D63" s="122">
        <v>45657</v>
      </c>
      <c r="F63" s="28" t="s">
        <v>545</v>
      </c>
      <c r="G63" s="30" t="s">
        <v>3474</v>
      </c>
      <c r="H63" s="30" t="s">
        <v>3529</v>
      </c>
      <c r="I63" s="368">
        <v>33560</v>
      </c>
      <c r="K63" s="30" t="s">
        <v>17</v>
      </c>
      <c r="L63" s="122">
        <v>45299</v>
      </c>
      <c r="T63" s="14" t="s">
        <v>2050</v>
      </c>
      <c r="U63" s="14">
        <v>0.60763888888888895</v>
      </c>
      <c r="V63" s="14">
        <v>0.8041666666666667</v>
      </c>
    </row>
    <row r="64" spans="1:22" hidden="1" x14ac:dyDescent="0.25">
      <c r="A64" s="483" t="s">
        <v>3412</v>
      </c>
      <c r="B64" s="28" t="s">
        <v>586</v>
      </c>
      <c r="C64" s="28" t="s">
        <v>3414</v>
      </c>
      <c r="D64" s="233">
        <v>45293</v>
      </c>
      <c r="F64" s="28" t="s">
        <v>545</v>
      </c>
      <c r="G64" s="28" t="s">
        <v>3473</v>
      </c>
      <c r="H64" s="30" t="s">
        <v>3530</v>
      </c>
      <c r="I64" s="368">
        <v>33560</v>
      </c>
      <c r="K64" s="236" t="s">
        <v>17</v>
      </c>
      <c r="L64" s="122">
        <v>45308</v>
      </c>
      <c r="T64" s="14" t="s">
        <v>1029</v>
      </c>
      <c r="U64" s="360">
        <v>0.61319444444444449</v>
      </c>
      <c r="V64" s="360">
        <v>0.77361111111111114</v>
      </c>
    </row>
    <row r="65" spans="1:22" hidden="1" x14ac:dyDescent="0.25">
      <c r="A65" s="509">
        <v>12022023</v>
      </c>
      <c r="B65" s="30" t="s">
        <v>586</v>
      </c>
      <c r="C65" s="28" t="s">
        <v>410</v>
      </c>
      <c r="D65" s="233">
        <v>45334</v>
      </c>
      <c r="F65" s="28" t="s">
        <v>545</v>
      </c>
      <c r="G65" s="30" t="s">
        <v>3826</v>
      </c>
      <c r="H65" t="s">
        <v>3704</v>
      </c>
      <c r="I65" s="251">
        <v>33560</v>
      </c>
      <c r="K65" s="236" t="s">
        <v>17</v>
      </c>
      <c r="L65" s="122">
        <v>45341</v>
      </c>
      <c r="T65" s="14" t="s">
        <v>3151</v>
      </c>
      <c r="U65" s="360">
        <v>0.33055555555555555</v>
      </c>
      <c r="V65" s="360">
        <v>0.50069444444444444</v>
      </c>
    </row>
    <row r="66" spans="1:22" hidden="1" x14ac:dyDescent="0.25">
      <c r="A66" s="509" t="s">
        <v>3800</v>
      </c>
      <c r="B66" s="30" t="s">
        <v>586</v>
      </c>
      <c r="C66" s="28" t="s">
        <v>13</v>
      </c>
      <c r="D66" s="233">
        <v>45352</v>
      </c>
      <c r="F66" s="28" t="s">
        <v>545</v>
      </c>
      <c r="G66" s="357" t="s">
        <v>3827</v>
      </c>
      <c r="H66" s="30" t="s">
        <v>3825</v>
      </c>
      <c r="I66" s="237">
        <v>32200</v>
      </c>
      <c r="K66" s="30" t="s">
        <v>17</v>
      </c>
      <c r="L66" s="122">
        <v>45352</v>
      </c>
      <c r="T66" s="14" t="s">
        <v>922</v>
      </c>
      <c r="U66" s="360"/>
      <c r="V66" s="360"/>
    </row>
    <row r="67" spans="1:22" hidden="1" x14ac:dyDescent="0.25">
      <c r="A67" s="483">
        <v>20072024</v>
      </c>
      <c r="B67" t="s">
        <v>586</v>
      </c>
      <c r="C67" s="28" t="s">
        <v>13</v>
      </c>
      <c r="D67" s="233">
        <v>45493</v>
      </c>
      <c r="F67" s="28" t="s">
        <v>545</v>
      </c>
      <c r="G67" s="30" t="s">
        <v>4566</v>
      </c>
      <c r="H67" t="s">
        <v>4567</v>
      </c>
      <c r="I67" s="313">
        <v>32200</v>
      </c>
      <c r="K67" s="236" t="s">
        <v>17</v>
      </c>
      <c r="L67" s="233">
        <v>45493</v>
      </c>
      <c r="T67" s="14" t="s">
        <v>3151</v>
      </c>
      <c r="U67" s="360">
        <v>0.5229166666666667</v>
      </c>
      <c r="V67" s="360">
        <v>0.69027777777777777</v>
      </c>
    </row>
    <row r="68" spans="1:22" hidden="1" x14ac:dyDescent="0.25">
      <c r="A68" s="483">
        <v>20072024</v>
      </c>
      <c r="B68" t="s">
        <v>586</v>
      </c>
      <c r="C68" s="28" t="s">
        <v>13</v>
      </c>
      <c r="D68" s="233">
        <v>45493</v>
      </c>
      <c r="F68" s="28" t="s">
        <v>545</v>
      </c>
      <c r="G68" s="30" t="s">
        <v>4570</v>
      </c>
      <c r="H68" t="s">
        <v>4568</v>
      </c>
      <c r="I68" s="313">
        <v>32200</v>
      </c>
      <c r="K68" s="236" t="s">
        <v>17</v>
      </c>
      <c r="L68" s="233">
        <v>45494</v>
      </c>
      <c r="T68" s="14" t="s">
        <v>4022</v>
      </c>
      <c r="U68" s="360">
        <v>0.71180555555555547</v>
      </c>
      <c r="V68" s="360">
        <v>0.8847222222222223</v>
      </c>
    </row>
    <row r="69" spans="1:22" hidden="1" x14ac:dyDescent="0.25">
      <c r="A69" s="483">
        <v>22072024</v>
      </c>
      <c r="B69" t="s">
        <v>586</v>
      </c>
      <c r="C69" s="28" t="s">
        <v>13</v>
      </c>
      <c r="D69" s="233">
        <v>45495</v>
      </c>
      <c r="F69" s="28" t="s">
        <v>545</v>
      </c>
      <c r="G69" s="30" t="s">
        <v>4571</v>
      </c>
      <c r="H69" t="s">
        <v>4569</v>
      </c>
      <c r="I69" s="313">
        <v>32200</v>
      </c>
      <c r="K69" s="236" t="s">
        <v>17</v>
      </c>
      <c r="L69" s="233">
        <v>45495</v>
      </c>
      <c r="T69" s="14" t="s">
        <v>4022</v>
      </c>
      <c r="U69" s="360">
        <v>0.33124999999999999</v>
      </c>
      <c r="V69" s="360">
        <v>0.49236111111111108</v>
      </c>
    </row>
    <row r="70" spans="1:22" hidden="1" x14ac:dyDescent="0.25">
      <c r="A70" s="483">
        <v>31072024</v>
      </c>
      <c r="B70" t="s">
        <v>586</v>
      </c>
      <c r="C70" s="28" t="s">
        <v>13</v>
      </c>
      <c r="D70" s="233">
        <v>45504</v>
      </c>
      <c r="F70" s="28" t="s">
        <v>545</v>
      </c>
      <c r="G70" s="30" t="s">
        <v>4572</v>
      </c>
      <c r="H70" s="30" t="s">
        <v>4575</v>
      </c>
      <c r="I70" s="236">
        <v>32200</v>
      </c>
      <c r="K70" s="30" t="s">
        <v>17</v>
      </c>
      <c r="L70" s="233">
        <v>45504</v>
      </c>
      <c r="T70" s="14" t="s">
        <v>4138</v>
      </c>
      <c r="U70" s="360">
        <v>0.29375000000000001</v>
      </c>
      <c r="V70" s="360"/>
    </row>
    <row r="71" spans="1:22" hidden="1" x14ac:dyDescent="0.25">
      <c r="A71" s="95">
        <v>13082024</v>
      </c>
      <c r="B71" t="s">
        <v>586</v>
      </c>
      <c r="C71" s="28" t="s">
        <v>13</v>
      </c>
      <c r="D71" s="233">
        <v>45517</v>
      </c>
      <c r="F71" s="28" t="s">
        <v>545</v>
      </c>
      <c r="G71" s="30" t="s">
        <v>4631</v>
      </c>
      <c r="H71" s="30" t="s">
        <v>4630</v>
      </c>
      <c r="I71" s="368">
        <v>32200</v>
      </c>
      <c r="K71" t="s">
        <v>17</v>
      </c>
      <c r="L71" s="233">
        <v>45517</v>
      </c>
      <c r="T71" t="s">
        <v>4617</v>
      </c>
      <c r="U71" s="360">
        <v>0.48680555555555555</v>
      </c>
      <c r="V71" s="360">
        <v>0.68472222222222223</v>
      </c>
    </row>
    <row r="72" spans="1:22" hidden="1" x14ac:dyDescent="0.25">
      <c r="A72" s="483">
        <v>31012025</v>
      </c>
      <c r="B72" t="s">
        <v>586</v>
      </c>
      <c r="C72" s="28" t="s">
        <v>4218</v>
      </c>
      <c r="D72" s="233">
        <v>45688</v>
      </c>
      <c r="E72" s="28"/>
      <c r="F72" s="28" t="s">
        <v>545</v>
      </c>
      <c r="G72" s="30" t="s">
        <v>5695</v>
      </c>
      <c r="H72" s="30" t="s">
        <v>5657</v>
      </c>
      <c r="I72" s="313">
        <v>31000</v>
      </c>
      <c r="K72" t="s">
        <v>17</v>
      </c>
      <c r="L72" s="233">
        <v>45688</v>
      </c>
      <c r="T72" t="s">
        <v>5021</v>
      </c>
      <c r="U72" s="360">
        <v>0.29236111111111113</v>
      </c>
      <c r="V72" s="360">
        <v>0.46875</v>
      </c>
    </row>
    <row r="73" spans="1:22" hidden="1" x14ac:dyDescent="0.25">
      <c r="A73" s="483" t="s">
        <v>5642</v>
      </c>
      <c r="B73" t="s">
        <v>586</v>
      </c>
      <c r="C73" s="127" t="s">
        <v>13</v>
      </c>
      <c r="D73" s="494">
        <v>45696</v>
      </c>
      <c r="E73" s="127"/>
      <c r="F73" s="127" t="s">
        <v>545</v>
      </c>
      <c r="G73" s="373" t="s">
        <v>5702</v>
      </c>
      <c r="H73" s="373" t="s">
        <v>5658</v>
      </c>
      <c r="I73" s="935">
        <v>33560</v>
      </c>
      <c r="J73" s="5"/>
      <c r="K73" s="5" t="s">
        <v>17</v>
      </c>
      <c r="L73" s="494">
        <v>45737</v>
      </c>
      <c r="M73" s="5"/>
      <c r="T73" t="s">
        <v>1506</v>
      </c>
      <c r="U73" s="360">
        <v>0.29583333333333334</v>
      </c>
      <c r="V73" s="360">
        <v>0.46527777777777773</v>
      </c>
    </row>
    <row r="74" spans="1:22" x14ac:dyDescent="0.25">
      <c r="A74" s="483" t="s">
        <v>5642</v>
      </c>
      <c r="B74" t="s">
        <v>586</v>
      </c>
      <c r="C74" s="28" t="s">
        <v>13</v>
      </c>
      <c r="D74" s="233">
        <v>45696</v>
      </c>
      <c r="E74" s="28"/>
      <c r="F74" s="28" t="s">
        <v>545</v>
      </c>
      <c r="G74" s="30" t="s">
        <v>5701</v>
      </c>
      <c r="H74" s="30" t="s">
        <v>5656</v>
      </c>
      <c r="I74" s="798">
        <f>33560-20500</f>
        <v>13060</v>
      </c>
      <c r="K74" t="s">
        <v>5703</v>
      </c>
      <c r="L74" s="233"/>
      <c r="T74" t="s">
        <v>5640</v>
      </c>
      <c r="U74" s="360">
        <v>0.54097222222222219</v>
      </c>
      <c r="V74" s="360">
        <v>0.75694444444444453</v>
      </c>
    </row>
    <row r="75" spans="1:22" x14ac:dyDescent="0.25">
      <c r="A75" s="483">
        <v>12022024</v>
      </c>
      <c r="B75" t="s">
        <v>586</v>
      </c>
      <c r="C75" s="28" t="s">
        <v>13</v>
      </c>
      <c r="D75" s="233">
        <v>45700</v>
      </c>
      <c r="E75" s="28"/>
      <c r="F75" s="28" t="s">
        <v>545</v>
      </c>
      <c r="G75" s="30" t="s">
        <v>5700</v>
      </c>
      <c r="H75" s="30" t="s">
        <v>5699</v>
      </c>
      <c r="I75" s="798">
        <v>33560</v>
      </c>
      <c r="K75" t="s">
        <v>5703</v>
      </c>
      <c r="L75" s="88"/>
      <c r="T75" t="s">
        <v>5026</v>
      </c>
      <c r="U75" s="360">
        <v>0.68125000000000002</v>
      </c>
      <c r="V75" s="360">
        <v>0.86041666666666661</v>
      </c>
    </row>
    <row r="76" spans="1:22" ht="14.1" hidden="1" customHeight="1" x14ac:dyDescent="0.25">
      <c r="A76" s="483">
        <v>15022024</v>
      </c>
      <c r="B76" t="s">
        <v>586</v>
      </c>
      <c r="C76" s="28" t="s">
        <v>4218</v>
      </c>
      <c r="D76" s="233">
        <v>45703</v>
      </c>
      <c r="E76" s="28"/>
      <c r="F76" s="28" t="s">
        <v>545</v>
      </c>
      <c r="G76" s="30" t="s">
        <v>5698</v>
      </c>
      <c r="H76" s="30" t="s">
        <v>5696</v>
      </c>
      <c r="I76" s="368">
        <v>32200</v>
      </c>
      <c r="K76" t="s">
        <v>17</v>
      </c>
      <c r="L76" s="233">
        <v>45729</v>
      </c>
      <c r="T76" t="s">
        <v>4867</v>
      </c>
      <c r="U76" s="360">
        <v>0.28750000000000003</v>
      </c>
      <c r="V76" s="360">
        <v>0.45555555555555555</v>
      </c>
    </row>
    <row r="77" spans="1:22" hidden="1" x14ac:dyDescent="0.25">
      <c r="A77" s="483">
        <v>19022024</v>
      </c>
      <c r="B77" t="s">
        <v>586</v>
      </c>
      <c r="C77" s="28" t="s">
        <v>410</v>
      </c>
      <c r="D77" s="233">
        <v>45707</v>
      </c>
      <c r="E77" s="28"/>
      <c r="F77" s="28" t="s">
        <v>545</v>
      </c>
      <c r="G77" s="30" t="s">
        <v>5692</v>
      </c>
      <c r="H77" s="30" t="s">
        <v>5697</v>
      </c>
      <c r="I77" s="798">
        <v>32200</v>
      </c>
      <c r="K77" t="s">
        <v>17</v>
      </c>
      <c r="L77" s="233">
        <v>45730</v>
      </c>
      <c r="T77" s="504" t="s">
        <v>4911</v>
      </c>
      <c r="U77" s="360">
        <v>0.68263888888888891</v>
      </c>
      <c r="V77" s="360"/>
    </row>
    <row r="78" spans="1:22" hidden="1" x14ac:dyDescent="0.25">
      <c r="A78" s="483">
        <v>27022025</v>
      </c>
      <c r="B78" t="s">
        <v>586</v>
      </c>
      <c r="C78" s="28" t="s">
        <v>13</v>
      </c>
      <c r="D78" s="233">
        <v>45715</v>
      </c>
      <c r="E78" s="28"/>
      <c r="F78" s="28" t="s">
        <v>545</v>
      </c>
      <c r="G78" s="30" t="s">
        <v>5814</v>
      </c>
      <c r="H78" s="30" t="s">
        <v>5815</v>
      </c>
      <c r="I78" s="313">
        <v>32200</v>
      </c>
      <c r="K78" t="s">
        <v>17</v>
      </c>
      <c r="L78" s="233">
        <v>45734</v>
      </c>
      <c r="T78" t="s">
        <v>2050</v>
      </c>
      <c r="U78" s="360">
        <v>0.30833333333333335</v>
      </c>
      <c r="V78" s="30"/>
    </row>
    <row r="79" spans="1:22" x14ac:dyDescent="0.25">
      <c r="A79" s="95"/>
      <c r="D79" s="122"/>
      <c r="I79" s="414"/>
      <c r="L79" s="233"/>
      <c r="T79" s="14"/>
      <c r="U79" s="14"/>
      <c r="V79" s="14"/>
    </row>
    <row r="80" spans="1:22" ht="15.75" thickBot="1" x14ac:dyDescent="0.3">
      <c r="A80" s="246"/>
      <c r="D80" s="122"/>
      <c r="I80" s="88"/>
      <c r="J80" s="88"/>
      <c r="K80" s="359"/>
      <c r="L80" s="233"/>
      <c r="T80" s="14"/>
      <c r="U80" s="14"/>
    </row>
    <row r="81" spans="7:12" ht="15.75" thickBot="1" x14ac:dyDescent="0.3">
      <c r="G81" s="30" t="s">
        <v>1292</v>
      </c>
      <c r="I81" s="242">
        <f>SUBTOTAL(9,I3:I80)</f>
        <v>46620</v>
      </c>
      <c r="K81" s="359"/>
      <c r="L81" s="233"/>
    </row>
    <row r="82" spans="7:12" x14ac:dyDescent="0.25">
      <c r="I82" s="88"/>
      <c r="K82" s="359"/>
      <c r="L82" s="233"/>
    </row>
    <row r="83" spans="7:12" x14ac:dyDescent="0.25">
      <c r="L83" s="233"/>
    </row>
    <row r="84" spans="7:12" x14ac:dyDescent="0.25">
      <c r="L84" s="233"/>
    </row>
    <row r="85" spans="7:12" x14ac:dyDescent="0.25">
      <c r="J85" t="s">
        <v>7834</v>
      </c>
      <c r="L85" s="233"/>
    </row>
    <row r="86" spans="7:12" x14ac:dyDescent="0.25">
      <c r="I86" s="32">
        <f>-5000-4000-3000-3000-3000-2500</f>
        <v>-20500</v>
      </c>
      <c r="L86" s="233"/>
    </row>
    <row r="87" spans="7:12" x14ac:dyDescent="0.25">
      <c r="L87" s="233"/>
    </row>
    <row r="88" spans="7:12" x14ac:dyDescent="0.25">
      <c r="L88" s="233"/>
    </row>
    <row r="89" spans="7:12" x14ac:dyDescent="0.25">
      <c r="L89" s="233"/>
    </row>
    <row r="90" spans="7:12" x14ac:dyDescent="0.25">
      <c r="L90" s="233"/>
    </row>
    <row r="91" spans="7:12" x14ac:dyDescent="0.25">
      <c r="L91" s="233"/>
    </row>
    <row r="92" spans="7:12" x14ac:dyDescent="0.25">
      <c r="L92" s="233"/>
    </row>
    <row r="93" spans="7:12" x14ac:dyDescent="0.25">
      <c r="L93" s="233"/>
    </row>
    <row r="94" spans="7:12" x14ac:dyDescent="0.25">
      <c r="L94" s="233"/>
    </row>
    <row r="95" spans="7:12" x14ac:dyDescent="0.25">
      <c r="L95" s="233"/>
    </row>
    <row r="96" spans="7:12" x14ac:dyDescent="0.25">
      <c r="L96" s="233"/>
    </row>
    <row r="97" spans="12:12" x14ac:dyDescent="0.25">
      <c r="L97" s="233"/>
    </row>
    <row r="98" spans="12:12" x14ac:dyDescent="0.25">
      <c r="L98" s="233"/>
    </row>
    <row r="99" spans="12:12" x14ac:dyDescent="0.25">
      <c r="L99" s="233"/>
    </row>
    <row r="100" spans="12:12" x14ac:dyDescent="0.25">
      <c r="L100" s="233"/>
    </row>
    <row r="101" spans="12:12" x14ac:dyDescent="0.25">
      <c r="L101" s="233"/>
    </row>
  </sheetData>
  <autoFilter ref="A2:R80" xr:uid="{00000000-0009-0000-0000-000032000000}">
    <filterColumn colId="10">
      <filters blank="1">
        <filter val="ENVIADA WHATSAPP SR. JORGE"/>
      </filters>
    </filterColumn>
    <filterColumn colId="14" showButton="0"/>
    <filterColumn colId="15" showButton="0"/>
    <filterColumn colId="16" showButton="0"/>
  </autoFilter>
  <mergeCells count="1">
    <mergeCell ref="O2:R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352" r:id="rId4" name="Button 1">
              <controlPr defaultSize="0" print="0" autoFill="0" autoPict="0" macro="[0]!RETORNAR">
                <anchor moveWithCells="1" sizeWithCells="1">
                  <from>
                    <xdr:col>0</xdr:col>
                    <xdr:colOff>38100</xdr:colOff>
                    <xdr:row>0</xdr:row>
                    <xdr:rowOff>47625</xdr:rowOff>
                  </from>
                  <to>
                    <xdr:col>1</xdr:col>
                    <xdr:colOff>1095375</xdr:colOff>
                    <xdr:row>0</xdr:row>
                    <xdr:rowOff>314325</xdr:rowOff>
                  </to>
                </anchor>
              </controlPr>
            </control>
          </mc:Choice>
        </mc:AlternateContent>
        <mc:AlternateContent xmlns:mc="http://schemas.openxmlformats.org/markup-compatibility/2006">
          <mc:Choice Requires="x14">
            <control shapeId="99360" r:id="rId5" name="Botón 32">
              <controlPr defaultSize="0" print="0" autoFill="0" autoPict="0" macro="[0]!IR_VENTAS_B200_2026">
                <anchor moveWithCells="1" sizeWithCells="1">
                  <from>
                    <xdr:col>1</xdr:col>
                    <xdr:colOff>123825</xdr:colOff>
                    <xdr:row>86</xdr:row>
                    <xdr:rowOff>104775</xdr:rowOff>
                  </from>
                  <to>
                    <xdr:col>1</xdr:col>
                    <xdr:colOff>1428750</xdr:colOff>
                    <xdr:row>89</xdr:row>
                    <xdr:rowOff>142875</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Hoja56" filterMode="1"/>
  <dimension ref="A1:AD434"/>
  <sheetViews>
    <sheetView topLeftCell="A296" zoomScale="78" zoomScaleNormal="78" workbookViewId="0">
      <selection activeCell="L2" sqref="L2"/>
    </sheetView>
  </sheetViews>
  <sheetFormatPr baseColWidth="10" defaultColWidth="10.85546875" defaultRowHeight="15" x14ac:dyDescent="0.25"/>
  <cols>
    <col min="1" max="1" width="10.85546875" style="30"/>
    <col min="2" max="2" width="33.7109375" customWidth="1"/>
    <col min="3" max="3" width="12.42578125" hidden="1" customWidth="1"/>
    <col min="4" max="4" width="10.85546875" style="28"/>
    <col min="6" max="6" width="10.85546875" style="28"/>
    <col min="7" max="7" width="63" customWidth="1"/>
    <col min="8" max="8" width="18.5703125" bestFit="1" customWidth="1"/>
    <col min="9" max="9" width="23.7109375" style="88" bestFit="1" customWidth="1"/>
    <col min="10" max="10" width="21" style="88" customWidth="1"/>
    <col min="11" max="11" width="28.7109375" customWidth="1"/>
    <col min="12" max="12" width="25.140625" style="233" bestFit="1" customWidth="1"/>
    <col min="13" max="13" width="13.5703125" customWidth="1"/>
    <col min="14" max="16" width="10.85546875" customWidth="1"/>
    <col min="17" max="17" width="12.42578125" customWidth="1"/>
    <col min="18" max="18" width="18.5703125" customWidth="1"/>
    <col min="19" max="19" width="16.42578125" customWidth="1"/>
    <col min="20" max="30" width="10.85546875" customWidth="1"/>
  </cols>
  <sheetData>
    <row r="1" spans="1:20" ht="35.1" customHeight="1" x14ac:dyDescent="0.25"/>
    <row r="2" spans="1:20" x14ac:dyDescent="0.25">
      <c r="A2" s="115" t="s">
        <v>706</v>
      </c>
      <c r="B2" s="1" t="s">
        <v>0</v>
      </c>
      <c r="C2" s="1" t="s">
        <v>1</v>
      </c>
      <c r="D2" s="25" t="s">
        <v>2</v>
      </c>
      <c r="E2" s="1"/>
      <c r="F2" s="25" t="s">
        <v>3</v>
      </c>
      <c r="G2" s="1" t="s">
        <v>4</v>
      </c>
      <c r="H2" s="1" t="s">
        <v>5</v>
      </c>
      <c r="I2" s="86" t="s">
        <v>6</v>
      </c>
      <c r="J2" s="86" t="s">
        <v>1779</v>
      </c>
      <c r="K2" s="1" t="s">
        <v>8</v>
      </c>
      <c r="L2" s="781" t="s">
        <v>3997</v>
      </c>
      <c r="M2" s="1" t="s">
        <v>1789</v>
      </c>
      <c r="N2" s="1480" t="s">
        <v>11</v>
      </c>
      <c r="O2" s="1480"/>
      <c r="P2" s="1480"/>
      <c r="Q2" s="1480"/>
    </row>
    <row r="3" spans="1:20" hidden="1" x14ac:dyDescent="0.25">
      <c r="A3" s="95" t="s">
        <v>1719</v>
      </c>
      <c r="B3" t="s">
        <v>1720</v>
      </c>
      <c r="C3" t="s">
        <v>410</v>
      </c>
      <c r="D3" s="122">
        <v>44928</v>
      </c>
      <c r="F3" s="28" t="s">
        <v>545</v>
      </c>
      <c r="G3" t="s">
        <v>1764</v>
      </c>
      <c r="H3" t="s">
        <v>1767</v>
      </c>
      <c r="I3" s="383">
        <v>34456</v>
      </c>
      <c r="J3" s="3">
        <f t="shared" ref="J3:J66" si="0">+I3-ROUND(I3*0.12,0)</f>
        <v>30321</v>
      </c>
      <c r="K3" s="30" t="s">
        <v>17</v>
      </c>
      <c r="L3" s="766">
        <v>44994</v>
      </c>
      <c r="M3" t="s">
        <v>1790</v>
      </c>
      <c r="R3" t="s">
        <v>1506</v>
      </c>
      <c r="S3" s="14">
        <v>0.48958333333333331</v>
      </c>
    </row>
    <row r="4" spans="1:20" hidden="1" x14ac:dyDescent="0.25">
      <c r="A4" s="95" t="s">
        <v>1725</v>
      </c>
      <c r="B4" t="s">
        <v>1720</v>
      </c>
      <c r="C4" t="s">
        <v>13</v>
      </c>
      <c r="D4" s="122">
        <v>44929</v>
      </c>
      <c r="F4" s="28" t="s">
        <v>545</v>
      </c>
      <c r="G4" t="s">
        <v>1763</v>
      </c>
      <c r="H4" t="s">
        <v>1768</v>
      </c>
      <c r="I4" s="383">
        <v>34456</v>
      </c>
      <c r="J4" s="3">
        <f t="shared" si="0"/>
        <v>30321</v>
      </c>
      <c r="K4" s="30" t="s">
        <v>17</v>
      </c>
      <c r="L4" s="766">
        <v>44994</v>
      </c>
      <c r="M4" t="s">
        <v>1791</v>
      </c>
      <c r="R4" t="s">
        <v>1029</v>
      </c>
      <c r="S4" s="14"/>
    </row>
    <row r="5" spans="1:20" hidden="1" x14ac:dyDescent="0.25">
      <c r="A5" s="95" t="s">
        <v>1739</v>
      </c>
      <c r="B5" t="s">
        <v>1720</v>
      </c>
      <c r="C5" t="s">
        <v>410</v>
      </c>
      <c r="D5" s="122">
        <v>44932</v>
      </c>
      <c r="F5" s="28" t="s">
        <v>545</v>
      </c>
      <c r="G5" t="s">
        <v>1765</v>
      </c>
      <c r="H5" t="s">
        <v>1766</v>
      </c>
      <c r="I5" s="383">
        <v>25016</v>
      </c>
      <c r="J5" s="3">
        <f t="shared" si="0"/>
        <v>22014</v>
      </c>
      <c r="K5" s="30" t="s">
        <v>17</v>
      </c>
      <c r="L5" s="766">
        <v>44994</v>
      </c>
      <c r="M5" t="s">
        <v>1792</v>
      </c>
      <c r="R5" t="s">
        <v>1042</v>
      </c>
      <c r="S5" s="14">
        <v>0.56597222222222221</v>
      </c>
      <c r="T5" s="14">
        <v>0.7090277777777777</v>
      </c>
    </row>
    <row r="6" spans="1:20" hidden="1" x14ac:dyDescent="0.25">
      <c r="A6" s="246">
        <v>13012023</v>
      </c>
      <c r="B6" t="s">
        <v>1720</v>
      </c>
      <c r="C6" t="s">
        <v>410</v>
      </c>
      <c r="D6" s="122">
        <v>44939</v>
      </c>
      <c r="F6" s="28" t="s">
        <v>545</v>
      </c>
      <c r="G6" t="s">
        <v>1770</v>
      </c>
      <c r="H6" t="s">
        <v>1771</v>
      </c>
      <c r="I6" s="383">
        <v>34456</v>
      </c>
      <c r="J6" s="3">
        <f t="shared" si="0"/>
        <v>30321</v>
      </c>
      <c r="K6" s="30" t="s">
        <v>17</v>
      </c>
      <c r="L6" s="766">
        <v>44994</v>
      </c>
      <c r="M6" t="s">
        <v>1793</v>
      </c>
      <c r="R6" t="s">
        <v>1656</v>
      </c>
      <c r="S6" s="14">
        <v>0.69236111111111109</v>
      </c>
      <c r="T6" s="14">
        <v>0.87569444444444444</v>
      </c>
    </row>
    <row r="7" spans="1:20" hidden="1" x14ac:dyDescent="0.25">
      <c r="A7" s="246">
        <v>15012023</v>
      </c>
      <c r="B7" t="s">
        <v>1720</v>
      </c>
      <c r="C7" t="s">
        <v>809</v>
      </c>
      <c r="D7" s="122">
        <v>44941</v>
      </c>
      <c r="F7" s="28" t="s">
        <v>545</v>
      </c>
      <c r="G7" t="s">
        <v>1769</v>
      </c>
      <c r="H7" t="s">
        <v>1788</v>
      </c>
      <c r="I7" s="383">
        <v>25016</v>
      </c>
      <c r="J7" s="3">
        <f t="shared" si="0"/>
        <v>22014</v>
      </c>
      <c r="K7" s="30" t="s">
        <v>17</v>
      </c>
      <c r="L7" s="766">
        <v>44994</v>
      </c>
      <c r="M7" t="s">
        <v>1794</v>
      </c>
      <c r="R7" t="s">
        <v>894</v>
      </c>
      <c r="S7" s="14">
        <v>0.65972222222222221</v>
      </c>
      <c r="T7" s="14">
        <v>0.71319444444444446</v>
      </c>
    </row>
    <row r="8" spans="1:20" hidden="1" x14ac:dyDescent="0.25">
      <c r="A8" s="246">
        <v>17012023</v>
      </c>
      <c r="B8" t="s">
        <v>1720</v>
      </c>
      <c r="C8" t="s">
        <v>410</v>
      </c>
      <c r="D8" s="122">
        <v>44943</v>
      </c>
      <c r="F8" s="28" t="s">
        <v>545</v>
      </c>
      <c r="G8" t="s">
        <v>1786</v>
      </c>
      <c r="H8" t="s">
        <v>1787</v>
      </c>
      <c r="I8" s="383">
        <v>34456</v>
      </c>
      <c r="J8" s="3">
        <f t="shared" si="0"/>
        <v>30321</v>
      </c>
      <c r="K8" s="30" t="s">
        <v>17</v>
      </c>
      <c r="L8" s="766">
        <v>44994</v>
      </c>
      <c r="M8" t="s">
        <v>1795</v>
      </c>
      <c r="R8" t="s">
        <v>1225</v>
      </c>
    </row>
    <row r="9" spans="1:20" hidden="1" x14ac:dyDescent="0.25">
      <c r="A9" s="246">
        <v>21012023</v>
      </c>
      <c r="B9" t="s">
        <v>1720</v>
      </c>
      <c r="C9" t="s">
        <v>13</v>
      </c>
      <c r="D9" s="122">
        <v>44947</v>
      </c>
      <c r="F9" s="28" t="s">
        <v>545</v>
      </c>
      <c r="G9" t="s">
        <v>1801</v>
      </c>
      <c r="H9" t="s">
        <v>1836</v>
      </c>
      <c r="I9" s="383">
        <v>34456</v>
      </c>
      <c r="J9" s="3">
        <f t="shared" si="0"/>
        <v>30321</v>
      </c>
      <c r="K9" s="30" t="s">
        <v>17</v>
      </c>
      <c r="L9" s="766">
        <v>44994</v>
      </c>
      <c r="R9" t="s">
        <v>916</v>
      </c>
      <c r="S9" s="14">
        <v>0.65069444444444446</v>
      </c>
      <c r="T9" s="14">
        <v>0.82291666666666663</v>
      </c>
    </row>
    <row r="10" spans="1:20" hidden="1" x14ac:dyDescent="0.25">
      <c r="A10" s="246">
        <v>21012023</v>
      </c>
      <c r="B10" t="s">
        <v>1720</v>
      </c>
      <c r="C10" t="s">
        <v>410</v>
      </c>
      <c r="D10" s="122">
        <v>44947</v>
      </c>
      <c r="F10" s="28" t="s">
        <v>545</v>
      </c>
      <c r="G10" t="s">
        <v>1802</v>
      </c>
      <c r="H10" t="s">
        <v>1837</v>
      </c>
      <c r="I10" s="383">
        <v>34456</v>
      </c>
      <c r="J10" s="3">
        <f t="shared" si="0"/>
        <v>30321</v>
      </c>
      <c r="K10" s="30" t="s">
        <v>17</v>
      </c>
      <c r="L10" s="766">
        <v>44994</v>
      </c>
      <c r="R10" t="s">
        <v>1029</v>
      </c>
      <c r="S10" s="14">
        <v>0.77569444444444446</v>
      </c>
      <c r="T10" s="14">
        <v>0.94097222222222221</v>
      </c>
    </row>
    <row r="11" spans="1:20" hidden="1" x14ac:dyDescent="0.25">
      <c r="A11" s="246">
        <v>21012023</v>
      </c>
      <c r="B11" t="s">
        <v>1720</v>
      </c>
      <c r="C11" t="s">
        <v>809</v>
      </c>
      <c r="D11" s="122">
        <v>44947</v>
      </c>
      <c r="F11" s="28" t="s">
        <v>545</v>
      </c>
      <c r="G11" t="s">
        <v>1803</v>
      </c>
      <c r="H11" t="s">
        <v>1838</v>
      </c>
      <c r="I11" s="383">
        <v>25016</v>
      </c>
      <c r="J11" s="3">
        <f t="shared" si="0"/>
        <v>22014</v>
      </c>
      <c r="K11" s="30" t="s">
        <v>17</v>
      </c>
      <c r="L11" s="766">
        <v>44994</v>
      </c>
      <c r="R11" t="s">
        <v>1178</v>
      </c>
      <c r="S11" s="14">
        <v>0.68819444444444444</v>
      </c>
      <c r="T11" s="14">
        <v>0.74652777777777779</v>
      </c>
    </row>
    <row r="12" spans="1:20" hidden="1" x14ac:dyDescent="0.25">
      <c r="A12" s="246">
        <v>26012023</v>
      </c>
      <c r="B12" t="s">
        <v>1720</v>
      </c>
      <c r="C12" t="s">
        <v>13</v>
      </c>
      <c r="D12" s="122">
        <v>44952</v>
      </c>
      <c r="F12" s="28" t="s">
        <v>545</v>
      </c>
      <c r="G12" t="s">
        <v>1811</v>
      </c>
      <c r="H12" t="s">
        <v>1839</v>
      </c>
      <c r="I12" s="383">
        <v>34456</v>
      </c>
      <c r="J12" s="3">
        <f t="shared" si="0"/>
        <v>30321</v>
      </c>
      <c r="K12" s="30" t="s">
        <v>17</v>
      </c>
      <c r="L12" s="766">
        <v>44994</v>
      </c>
      <c r="R12" t="s">
        <v>1644</v>
      </c>
      <c r="S12" s="14">
        <v>0.76874999999999993</v>
      </c>
      <c r="T12" s="14">
        <v>0.93402777777777779</v>
      </c>
    </row>
    <row r="13" spans="1:20" hidden="1" x14ac:dyDescent="0.25">
      <c r="A13" s="246">
        <v>28012023</v>
      </c>
      <c r="B13" t="s">
        <v>1720</v>
      </c>
      <c r="C13" t="s">
        <v>809</v>
      </c>
      <c r="D13" s="122">
        <v>44954</v>
      </c>
      <c r="F13" s="28" t="s">
        <v>545</v>
      </c>
      <c r="G13" t="s">
        <v>1818</v>
      </c>
      <c r="H13" t="s">
        <v>1840</v>
      </c>
      <c r="I13" s="383">
        <v>25016</v>
      </c>
      <c r="J13" s="3">
        <f t="shared" si="0"/>
        <v>22014</v>
      </c>
      <c r="K13" s="30" t="s">
        <v>17</v>
      </c>
      <c r="L13" s="766">
        <v>44994</v>
      </c>
      <c r="R13" t="s">
        <v>1178</v>
      </c>
      <c r="S13" s="14">
        <v>0.46180555555555558</v>
      </c>
      <c r="T13" s="14">
        <v>0.51874999999999993</v>
      </c>
    </row>
    <row r="14" spans="1:20" hidden="1" x14ac:dyDescent="0.25">
      <c r="A14" s="95" t="s">
        <v>1854</v>
      </c>
      <c r="B14" t="s">
        <v>1720</v>
      </c>
      <c r="C14" t="s">
        <v>809</v>
      </c>
      <c r="D14" s="122">
        <v>44963</v>
      </c>
      <c r="F14" s="28" t="s">
        <v>545</v>
      </c>
      <c r="G14" t="s">
        <v>1891</v>
      </c>
      <c r="H14" t="s">
        <v>1892</v>
      </c>
      <c r="I14" s="89">
        <v>34456</v>
      </c>
      <c r="J14" s="3">
        <f t="shared" si="0"/>
        <v>30321</v>
      </c>
      <c r="K14" s="30" t="s">
        <v>17</v>
      </c>
      <c r="L14" s="494">
        <v>45033</v>
      </c>
      <c r="M14" t="s">
        <v>2190</v>
      </c>
      <c r="N14" t="s">
        <v>2014</v>
      </c>
      <c r="R14" t="s">
        <v>894</v>
      </c>
    </row>
    <row r="15" spans="1:20" hidden="1" x14ac:dyDescent="0.25">
      <c r="A15" s="256">
        <v>10022023</v>
      </c>
      <c r="B15" t="s">
        <v>1720</v>
      </c>
      <c r="C15" t="s">
        <v>410</v>
      </c>
      <c r="D15" s="255">
        <v>44967</v>
      </c>
      <c r="F15" s="28" t="s">
        <v>545</v>
      </c>
      <c r="G15" t="s">
        <v>1893</v>
      </c>
      <c r="H15" t="s">
        <v>1910</v>
      </c>
      <c r="I15" s="89">
        <v>25016</v>
      </c>
      <c r="J15" s="3">
        <f t="shared" si="0"/>
        <v>22014</v>
      </c>
      <c r="K15" s="30" t="s">
        <v>17</v>
      </c>
      <c r="L15" s="494">
        <v>45033</v>
      </c>
      <c r="M15" t="s">
        <v>2191</v>
      </c>
      <c r="R15" t="s">
        <v>916</v>
      </c>
      <c r="S15" s="14">
        <v>0.62083333333333335</v>
      </c>
      <c r="T15" s="14"/>
    </row>
    <row r="16" spans="1:20" hidden="1" x14ac:dyDescent="0.25">
      <c r="A16" s="256">
        <v>13022023</v>
      </c>
      <c r="B16" t="s">
        <v>1720</v>
      </c>
      <c r="C16" t="s">
        <v>410</v>
      </c>
      <c r="D16" s="255">
        <v>44970</v>
      </c>
      <c r="F16" s="28" t="s">
        <v>545</v>
      </c>
      <c r="G16" t="s">
        <v>1896</v>
      </c>
      <c r="H16" t="s">
        <v>1911</v>
      </c>
      <c r="I16" s="89">
        <v>25016</v>
      </c>
      <c r="J16" s="3">
        <f t="shared" si="0"/>
        <v>22014</v>
      </c>
      <c r="K16" s="30" t="s">
        <v>17</v>
      </c>
      <c r="L16" s="494">
        <v>45033</v>
      </c>
      <c r="M16" t="s">
        <v>2192</v>
      </c>
      <c r="R16" t="s">
        <v>893</v>
      </c>
      <c r="S16" s="14">
        <v>0.54166666666666663</v>
      </c>
      <c r="T16" s="14">
        <v>0.72291666666666676</v>
      </c>
    </row>
    <row r="17" spans="1:20" hidden="1" x14ac:dyDescent="0.25">
      <c r="A17" s="256">
        <v>14022023</v>
      </c>
      <c r="B17" t="s">
        <v>1720</v>
      </c>
      <c r="C17" t="s">
        <v>13</v>
      </c>
      <c r="D17" s="255">
        <v>44971</v>
      </c>
      <c r="F17" s="28" t="s">
        <v>545</v>
      </c>
      <c r="G17" t="s">
        <v>1897</v>
      </c>
      <c r="H17" t="s">
        <v>1912</v>
      </c>
      <c r="I17" s="88">
        <v>25016</v>
      </c>
      <c r="J17" s="842">
        <f t="shared" si="0"/>
        <v>22014</v>
      </c>
      <c r="K17" s="30" t="s">
        <v>17</v>
      </c>
      <c r="L17" s="838">
        <v>45042</v>
      </c>
      <c r="M17" t="s">
        <v>2193</v>
      </c>
      <c r="R17" t="s">
        <v>916</v>
      </c>
      <c r="S17" s="14">
        <v>0.4597222222222222</v>
      </c>
      <c r="T17" s="14">
        <v>0.57430555555555551</v>
      </c>
    </row>
    <row r="18" spans="1:20" hidden="1" x14ac:dyDescent="0.25">
      <c r="A18" s="256">
        <v>14022023</v>
      </c>
      <c r="B18" t="s">
        <v>1720</v>
      </c>
      <c r="C18" t="s">
        <v>410</v>
      </c>
      <c r="D18" s="255">
        <v>44971</v>
      </c>
      <c r="F18" s="28" t="s">
        <v>545</v>
      </c>
      <c r="G18" t="s">
        <v>1898</v>
      </c>
      <c r="H18" t="s">
        <v>1913</v>
      </c>
      <c r="I18" s="88">
        <v>25016</v>
      </c>
      <c r="J18" s="841">
        <f t="shared" si="0"/>
        <v>22014</v>
      </c>
      <c r="K18" s="30" t="s">
        <v>17</v>
      </c>
      <c r="L18" s="606">
        <v>45034</v>
      </c>
      <c r="M18" t="s">
        <v>2194</v>
      </c>
      <c r="R18" t="s">
        <v>916</v>
      </c>
      <c r="S18" s="14">
        <v>0.58333333333333337</v>
      </c>
      <c r="T18" s="14">
        <v>0.7368055555555556</v>
      </c>
    </row>
    <row r="19" spans="1:20" hidden="1" x14ac:dyDescent="0.25">
      <c r="A19" s="256">
        <v>15022023</v>
      </c>
      <c r="B19" t="s">
        <v>1720</v>
      </c>
      <c r="C19" t="s">
        <v>410</v>
      </c>
      <c r="D19" s="255">
        <v>44972</v>
      </c>
      <c r="F19" s="28" t="s">
        <v>545</v>
      </c>
      <c r="G19" t="s">
        <v>1902</v>
      </c>
      <c r="H19" t="s">
        <v>1914</v>
      </c>
      <c r="I19" s="88">
        <v>25016</v>
      </c>
      <c r="J19" s="842">
        <f t="shared" si="0"/>
        <v>22014</v>
      </c>
      <c r="K19" s="30" t="s">
        <v>17</v>
      </c>
      <c r="L19" s="838">
        <v>45042</v>
      </c>
      <c r="M19" t="s">
        <v>2195</v>
      </c>
      <c r="R19" t="s">
        <v>1506</v>
      </c>
      <c r="S19" s="14"/>
      <c r="T19" s="14"/>
    </row>
    <row r="20" spans="1:20" hidden="1" x14ac:dyDescent="0.25">
      <c r="A20" s="256">
        <v>20022023</v>
      </c>
      <c r="B20" t="s">
        <v>1720</v>
      </c>
      <c r="C20" t="s">
        <v>13</v>
      </c>
      <c r="D20" s="122">
        <v>44977</v>
      </c>
      <c r="F20" s="28" t="s">
        <v>545</v>
      </c>
      <c r="G20" t="s">
        <v>1915</v>
      </c>
      <c r="H20" t="s">
        <v>1947</v>
      </c>
      <c r="I20" s="88">
        <v>34456</v>
      </c>
      <c r="J20" s="843">
        <f t="shared" si="0"/>
        <v>30321</v>
      </c>
      <c r="K20" s="30" t="s">
        <v>17</v>
      </c>
      <c r="L20" s="839">
        <v>45055</v>
      </c>
      <c r="M20" t="s">
        <v>2196</v>
      </c>
      <c r="R20" t="s">
        <v>1225</v>
      </c>
      <c r="S20" s="14"/>
      <c r="T20" s="14"/>
    </row>
    <row r="21" spans="1:20" hidden="1" x14ac:dyDescent="0.25">
      <c r="A21" s="256">
        <v>21022023</v>
      </c>
      <c r="B21" t="s">
        <v>1720</v>
      </c>
      <c r="C21" t="s">
        <v>13</v>
      </c>
      <c r="D21" s="122">
        <v>44978</v>
      </c>
      <c r="F21" s="28" t="s">
        <v>545</v>
      </c>
      <c r="G21" t="s">
        <v>1916</v>
      </c>
      <c r="H21" t="s">
        <v>1946</v>
      </c>
      <c r="I21" s="88">
        <v>25016</v>
      </c>
      <c r="J21" s="843">
        <f t="shared" si="0"/>
        <v>22014</v>
      </c>
      <c r="K21" s="30" t="s">
        <v>17</v>
      </c>
      <c r="L21" s="839">
        <v>45055</v>
      </c>
      <c r="M21" t="s">
        <v>2197</v>
      </c>
      <c r="R21" t="s">
        <v>1816</v>
      </c>
      <c r="S21" s="14">
        <v>0.60138888888888886</v>
      </c>
      <c r="T21" s="14"/>
    </row>
    <row r="22" spans="1:20" hidden="1" x14ac:dyDescent="0.25">
      <c r="A22" s="256">
        <v>23022023</v>
      </c>
      <c r="B22" t="s">
        <v>1720</v>
      </c>
      <c r="C22" t="s">
        <v>13</v>
      </c>
      <c r="D22" s="122">
        <v>44980</v>
      </c>
      <c r="F22" s="28" t="s">
        <v>545</v>
      </c>
      <c r="G22" t="s">
        <v>1945</v>
      </c>
      <c r="H22" t="s">
        <v>1942</v>
      </c>
      <c r="I22" s="88">
        <v>25016</v>
      </c>
      <c r="J22" s="843">
        <f t="shared" si="0"/>
        <v>22014</v>
      </c>
      <c r="K22" s="30" t="s">
        <v>17</v>
      </c>
      <c r="L22" s="839">
        <v>45055</v>
      </c>
      <c r="M22" t="s">
        <v>2198</v>
      </c>
      <c r="R22" t="s">
        <v>929</v>
      </c>
      <c r="S22" s="14">
        <v>0.90902777777777777</v>
      </c>
      <c r="T22" s="14"/>
    </row>
    <row r="23" spans="1:20" hidden="1" x14ac:dyDescent="0.25">
      <c r="A23" s="256">
        <v>23022023</v>
      </c>
      <c r="B23" t="s">
        <v>1720</v>
      </c>
      <c r="C23" t="s">
        <v>410</v>
      </c>
      <c r="D23" s="122">
        <v>44980</v>
      </c>
      <c r="F23" s="28" t="s">
        <v>545</v>
      </c>
      <c r="G23" t="s">
        <v>1944</v>
      </c>
      <c r="H23" t="s">
        <v>1943</v>
      </c>
      <c r="I23" s="88">
        <v>25016</v>
      </c>
      <c r="J23" s="843">
        <f t="shared" si="0"/>
        <v>22014</v>
      </c>
      <c r="K23" s="30" t="s">
        <v>17</v>
      </c>
      <c r="L23" s="839">
        <v>45055</v>
      </c>
      <c r="M23" t="s">
        <v>2198</v>
      </c>
      <c r="R23" t="s">
        <v>1644</v>
      </c>
      <c r="S23" s="14"/>
      <c r="T23" s="14"/>
    </row>
    <row r="24" spans="1:20" hidden="1" x14ac:dyDescent="0.25">
      <c r="A24" s="256">
        <v>25022023</v>
      </c>
      <c r="B24" t="s">
        <v>1720</v>
      </c>
      <c r="C24" t="s">
        <v>13</v>
      </c>
      <c r="D24" s="122">
        <v>44982</v>
      </c>
      <c r="F24" s="28" t="s">
        <v>545</v>
      </c>
      <c r="G24" t="s">
        <v>1941</v>
      </c>
      <c r="H24" t="s">
        <v>1987</v>
      </c>
      <c r="I24" s="88">
        <v>34456</v>
      </c>
      <c r="J24" s="843">
        <f t="shared" si="0"/>
        <v>30321</v>
      </c>
      <c r="K24" s="30" t="s">
        <v>17</v>
      </c>
      <c r="L24" s="839">
        <v>45055</v>
      </c>
      <c r="M24" t="s">
        <v>2199</v>
      </c>
      <c r="R24" t="s">
        <v>893</v>
      </c>
      <c r="S24" s="14">
        <v>0.55277777777777781</v>
      </c>
      <c r="T24" s="14">
        <v>0.75277777777777777</v>
      </c>
    </row>
    <row r="25" spans="1:20" hidden="1" x14ac:dyDescent="0.25">
      <c r="A25" s="95" t="s">
        <v>1995</v>
      </c>
      <c r="B25" t="s">
        <v>1720</v>
      </c>
      <c r="C25" t="s">
        <v>13</v>
      </c>
      <c r="D25" s="122">
        <v>44992</v>
      </c>
      <c r="F25" s="28" t="s">
        <v>545</v>
      </c>
      <c r="G25" t="s">
        <v>2031</v>
      </c>
      <c r="H25" t="s">
        <v>2033</v>
      </c>
      <c r="I25" s="88">
        <v>25016</v>
      </c>
      <c r="J25" s="842">
        <f t="shared" si="0"/>
        <v>22014</v>
      </c>
      <c r="K25" s="30" t="s">
        <v>17</v>
      </c>
      <c r="L25" s="838">
        <v>45042</v>
      </c>
      <c r="M25" t="s">
        <v>2200</v>
      </c>
      <c r="R25" t="s">
        <v>1042</v>
      </c>
      <c r="S25" s="14">
        <v>0.68333333333333324</v>
      </c>
    </row>
    <row r="26" spans="1:20" hidden="1" x14ac:dyDescent="0.25">
      <c r="A26" s="256">
        <v>11032023</v>
      </c>
      <c r="B26" t="s">
        <v>1720</v>
      </c>
      <c r="C26" t="s">
        <v>1954</v>
      </c>
      <c r="D26" s="122">
        <v>44996</v>
      </c>
      <c r="F26" s="28" t="s">
        <v>545</v>
      </c>
      <c r="G26" t="s">
        <v>2032</v>
      </c>
      <c r="H26" t="s">
        <v>2034</v>
      </c>
      <c r="I26" s="88">
        <v>25016</v>
      </c>
      <c r="J26" s="842">
        <f t="shared" si="0"/>
        <v>22014</v>
      </c>
      <c r="K26" s="30" t="s">
        <v>17</v>
      </c>
      <c r="L26" s="838">
        <v>45042</v>
      </c>
      <c r="M26" t="s">
        <v>2201</v>
      </c>
      <c r="R26" t="s">
        <v>894</v>
      </c>
      <c r="S26" s="14">
        <v>0.66249999999999998</v>
      </c>
      <c r="T26" s="14">
        <v>0.71875</v>
      </c>
    </row>
    <row r="27" spans="1:20" hidden="1" x14ac:dyDescent="0.25">
      <c r="A27" s="256">
        <v>22032023</v>
      </c>
      <c r="B27" t="s">
        <v>1720</v>
      </c>
      <c r="C27" t="s">
        <v>1954</v>
      </c>
      <c r="D27" s="122">
        <v>45007</v>
      </c>
      <c r="F27" s="28" t="s">
        <v>545</v>
      </c>
      <c r="G27" t="s">
        <v>2101</v>
      </c>
      <c r="H27" t="s">
        <v>2102</v>
      </c>
      <c r="I27" s="88">
        <v>25016</v>
      </c>
      <c r="J27" s="844">
        <f t="shared" si="0"/>
        <v>22014</v>
      </c>
      <c r="K27" s="30" t="s">
        <v>17</v>
      </c>
      <c r="L27" s="548">
        <v>45062</v>
      </c>
      <c r="M27" s="13" t="s">
        <v>2202</v>
      </c>
      <c r="R27" t="s">
        <v>1894</v>
      </c>
      <c r="S27" s="14"/>
      <c r="T27" s="14"/>
    </row>
    <row r="28" spans="1:20" hidden="1" x14ac:dyDescent="0.25">
      <c r="A28" s="256">
        <v>24032023</v>
      </c>
      <c r="B28" t="s">
        <v>1720</v>
      </c>
      <c r="C28" t="s">
        <v>410</v>
      </c>
      <c r="D28" s="122">
        <v>45009</v>
      </c>
      <c r="F28" s="28" t="s">
        <v>545</v>
      </c>
      <c r="G28" t="s">
        <v>2097</v>
      </c>
      <c r="H28" t="s">
        <v>2098</v>
      </c>
      <c r="I28" s="88">
        <v>25016</v>
      </c>
      <c r="J28" s="844">
        <f t="shared" si="0"/>
        <v>22014</v>
      </c>
      <c r="K28" s="30" t="s">
        <v>17</v>
      </c>
      <c r="L28" s="548">
        <v>45062</v>
      </c>
      <c r="M28" s="13" t="s">
        <v>2203</v>
      </c>
      <c r="R28" t="s">
        <v>1042</v>
      </c>
      <c r="S28" s="14">
        <v>0.62222222222222223</v>
      </c>
      <c r="T28" s="14"/>
    </row>
    <row r="29" spans="1:20" hidden="1" x14ac:dyDescent="0.25">
      <c r="A29" s="256">
        <v>25032023</v>
      </c>
      <c r="B29" t="s">
        <v>1720</v>
      </c>
      <c r="C29" t="s">
        <v>1954</v>
      </c>
      <c r="D29" s="122">
        <v>45010</v>
      </c>
      <c r="F29" s="28" t="s">
        <v>545</v>
      </c>
      <c r="G29" t="s">
        <v>2099</v>
      </c>
      <c r="H29" t="s">
        <v>2100</v>
      </c>
      <c r="I29" s="88">
        <v>25016</v>
      </c>
      <c r="J29" s="844">
        <f t="shared" si="0"/>
        <v>22014</v>
      </c>
      <c r="K29" s="30" t="s">
        <v>17</v>
      </c>
      <c r="L29" s="548">
        <v>45062</v>
      </c>
      <c r="M29" s="13" t="s">
        <v>2204</v>
      </c>
      <c r="R29" t="s">
        <v>1950</v>
      </c>
      <c r="S29" s="14">
        <v>0.69166666666666676</v>
      </c>
      <c r="T29" s="14">
        <v>0.57777777777777783</v>
      </c>
    </row>
    <row r="30" spans="1:20" hidden="1" x14ac:dyDescent="0.25">
      <c r="A30" s="256">
        <v>26032023</v>
      </c>
      <c r="B30" t="s">
        <v>1720</v>
      </c>
      <c r="C30" t="s">
        <v>410</v>
      </c>
      <c r="D30" s="122">
        <v>45011</v>
      </c>
      <c r="F30" s="28" t="s">
        <v>545</v>
      </c>
      <c r="G30" t="s">
        <v>2118</v>
      </c>
      <c r="H30" t="s">
        <v>2115</v>
      </c>
      <c r="I30" s="88">
        <v>25016</v>
      </c>
      <c r="J30" s="840">
        <f t="shared" si="0"/>
        <v>22014</v>
      </c>
      <c r="K30" s="30" t="s">
        <v>17</v>
      </c>
      <c r="L30" s="830">
        <v>45091</v>
      </c>
      <c r="M30" s="13" t="s">
        <v>2205</v>
      </c>
      <c r="R30" t="s">
        <v>1506</v>
      </c>
      <c r="S30" s="14">
        <v>0.64374999999999993</v>
      </c>
      <c r="T30" s="14"/>
    </row>
    <row r="31" spans="1:20" hidden="1" x14ac:dyDescent="0.25">
      <c r="A31" s="256">
        <v>27032023</v>
      </c>
      <c r="B31" t="s">
        <v>1720</v>
      </c>
      <c r="C31" t="s">
        <v>1954</v>
      </c>
      <c r="D31" s="122">
        <v>45012</v>
      </c>
      <c r="F31" s="28" t="s">
        <v>545</v>
      </c>
      <c r="G31" t="s">
        <v>2124</v>
      </c>
      <c r="H31" t="s">
        <v>2125</v>
      </c>
      <c r="I31" s="88">
        <v>25016</v>
      </c>
      <c r="J31" s="844">
        <f t="shared" si="0"/>
        <v>22014</v>
      </c>
      <c r="K31" s="30" t="s">
        <v>17</v>
      </c>
      <c r="L31" s="548">
        <v>45062</v>
      </c>
      <c r="M31" s="13" t="s">
        <v>2206</v>
      </c>
      <c r="R31" t="s">
        <v>1950</v>
      </c>
      <c r="S31" s="14">
        <v>0.69930555555555562</v>
      </c>
      <c r="T31" s="14"/>
    </row>
    <row r="32" spans="1:20" hidden="1" x14ac:dyDescent="0.25">
      <c r="A32" s="256">
        <v>30032023</v>
      </c>
      <c r="B32" t="s">
        <v>1720</v>
      </c>
      <c r="C32" t="s">
        <v>410</v>
      </c>
      <c r="D32" s="122">
        <v>45015</v>
      </c>
      <c r="F32" s="28" t="s">
        <v>545</v>
      </c>
      <c r="G32" t="s">
        <v>2139</v>
      </c>
      <c r="H32" t="s">
        <v>2141</v>
      </c>
      <c r="I32" s="88">
        <v>25016</v>
      </c>
      <c r="J32" s="844">
        <f t="shared" si="0"/>
        <v>22014</v>
      </c>
      <c r="K32" s="30" t="s">
        <v>17</v>
      </c>
      <c r="L32" s="548">
        <v>45062</v>
      </c>
      <c r="M32" s="13" t="s">
        <v>2184</v>
      </c>
      <c r="R32" t="s">
        <v>2050</v>
      </c>
      <c r="S32" s="14">
        <v>0.43055555555555558</v>
      </c>
    </row>
    <row r="33" spans="1:30" hidden="1" x14ac:dyDescent="0.25">
      <c r="A33" s="256">
        <v>30032023</v>
      </c>
      <c r="B33" t="s">
        <v>1720</v>
      </c>
      <c r="C33" t="s">
        <v>1954</v>
      </c>
      <c r="D33" s="233">
        <v>45015</v>
      </c>
      <c r="F33" s="28" t="s">
        <v>545</v>
      </c>
      <c r="G33" t="s">
        <v>2140</v>
      </c>
      <c r="H33" t="s">
        <v>2142</v>
      </c>
      <c r="I33" s="88">
        <v>25016</v>
      </c>
      <c r="J33" s="1383">
        <f t="shared" si="0"/>
        <v>22014</v>
      </c>
      <c r="K33" s="359" t="s">
        <v>17</v>
      </c>
      <c r="L33" s="1246">
        <v>45071</v>
      </c>
      <c r="M33" s="13" t="s">
        <v>2185</v>
      </c>
      <c r="R33" t="s">
        <v>1178</v>
      </c>
      <c r="S33" s="14"/>
    </row>
    <row r="34" spans="1:30" hidden="1" x14ac:dyDescent="0.25">
      <c r="A34" s="95" t="s">
        <v>2145</v>
      </c>
      <c r="B34" t="s">
        <v>1720</v>
      </c>
      <c r="C34" t="s">
        <v>410</v>
      </c>
      <c r="D34" s="122">
        <v>45017</v>
      </c>
      <c r="F34" s="28" t="s">
        <v>545</v>
      </c>
      <c r="G34" t="s">
        <v>2153</v>
      </c>
      <c r="H34" t="s">
        <v>2154</v>
      </c>
      <c r="I34" s="88">
        <v>25016</v>
      </c>
      <c r="J34" s="844">
        <f t="shared" si="0"/>
        <v>22014</v>
      </c>
      <c r="K34" s="30" t="s">
        <v>17</v>
      </c>
      <c r="L34" s="548">
        <v>45062</v>
      </c>
      <c r="M34" s="13" t="s">
        <v>2186</v>
      </c>
      <c r="R34" t="s">
        <v>893</v>
      </c>
      <c r="S34" s="14">
        <v>0.38194444444444442</v>
      </c>
      <c r="T34" s="14">
        <v>0.52500000000000002</v>
      </c>
    </row>
    <row r="35" spans="1:30" hidden="1" x14ac:dyDescent="0.25">
      <c r="A35" s="95" t="s">
        <v>2157</v>
      </c>
      <c r="B35" t="s">
        <v>1720</v>
      </c>
      <c r="C35" s="30">
        <v>2221</v>
      </c>
      <c r="D35" s="233">
        <v>45018</v>
      </c>
      <c r="F35" s="28" t="s">
        <v>545</v>
      </c>
      <c r="G35" t="s">
        <v>2151</v>
      </c>
      <c r="H35" t="s">
        <v>2155</v>
      </c>
      <c r="I35" s="88">
        <v>25016</v>
      </c>
      <c r="J35" s="840">
        <f t="shared" si="0"/>
        <v>22014</v>
      </c>
      <c r="K35" s="359" t="s">
        <v>17</v>
      </c>
      <c r="L35" s="830">
        <v>45091</v>
      </c>
      <c r="M35" s="13" t="s">
        <v>2187</v>
      </c>
      <c r="R35" t="s">
        <v>2148</v>
      </c>
      <c r="S35" s="14">
        <v>0.70138888888888884</v>
      </c>
      <c r="T35" s="14">
        <v>0.7631944444444444</v>
      </c>
    </row>
    <row r="36" spans="1:30" hidden="1" x14ac:dyDescent="0.25">
      <c r="A36" s="95" t="s">
        <v>2159</v>
      </c>
      <c r="B36" t="s">
        <v>2164</v>
      </c>
      <c r="C36" s="30" t="s">
        <v>2026</v>
      </c>
      <c r="D36" s="122">
        <v>45020</v>
      </c>
      <c r="F36" s="28" t="s">
        <v>545</v>
      </c>
      <c r="G36" t="s">
        <v>2179</v>
      </c>
      <c r="H36" t="s">
        <v>2180</v>
      </c>
      <c r="I36" s="88">
        <v>25016</v>
      </c>
      <c r="J36" s="844">
        <f t="shared" si="0"/>
        <v>22014</v>
      </c>
      <c r="K36" s="30" t="s">
        <v>17</v>
      </c>
      <c r="L36" s="548">
        <v>45062</v>
      </c>
      <c r="M36" s="13" t="s">
        <v>2188</v>
      </c>
      <c r="R36" t="s">
        <v>2148</v>
      </c>
      <c r="S36" s="14">
        <v>0.70138888888888884</v>
      </c>
    </row>
    <row r="37" spans="1:30" hidden="1" x14ac:dyDescent="0.25">
      <c r="A37" s="95" t="s">
        <v>2172</v>
      </c>
      <c r="B37" t="s">
        <v>1720</v>
      </c>
      <c r="C37" t="s">
        <v>693</v>
      </c>
      <c r="D37" s="122">
        <v>45022</v>
      </c>
      <c r="F37" s="28" t="s">
        <v>545</v>
      </c>
      <c r="G37" t="s">
        <v>2178</v>
      </c>
      <c r="H37" t="s">
        <v>2181</v>
      </c>
      <c r="I37" s="88">
        <v>34456</v>
      </c>
      <c r="J37" s="844">
        <f t="shared" si="0"/>
        <v>30321</v>
      </c>
      <c r="K37" s="30" t="s">
        <v>17</v>
      </c>
      <c r="L37" s="548">
        <v>45062</v>
      </c>
      <c r="M37" s="13" t="s">
        <v>2189</v>
      </c>
      <c r="R37" t="s">
        <v>1225</v>
      </c>
      <c r="S37" s="14">
        <v>0.73263888888888884</v>
      </c>
      <c r="T37" s="14">
        <v>0.92291666666666661</v>
      </c>
    </row>
    <row r="38" spans="1:30" hidden="1" x14ac:dyDescent="0.25">
      <c r="A38" s="256">
        <v>16042023</v>
      </c>
      <c r="B38" t="s">
        <v>1720</v>
      </c>
      <c r="C38" t="s">
        <v>2026</v>
      </c>
      <c r="D38" s="233">
        <v>45032</v>
      </c>
      <c r="F38" s="28" t="s">
        <v>545</v>
      </c>
      <c r="G38" s="30" t="s">
        <v>2234</v>
      </c>
      <c r="H38" t="s">
        <v>2233</v>
      </c>
      <c r="I38" s="88">
        <v>25016</v>
      </c>
      <c r="J38" s="840">
        <f t="shared" si="0"/>
        <v>22014</v>
      </c>
      <c r="K38" s="359" t="s">
        <v>17</v>
      </c>
      <c r="L38" s="830">
        <v>45091</v>
      </c>
      <c r="M38" s="13" t="s">
        <v>2273</v>
      </c>
      <c r="R38" t="s">
        <v>2228</v>
      </c>
      <c r="S38" s="14">
        <v>0.40138888888888885</v>
      </c>
      <c r="T38" s="14">
        <v>0.54027777777777775</v>
      </c>
    </row>
    <row r="39" spans="1:30" hidden="1" x14ac:dyDescent="0.25">
      <c r="A39" s="256">
        <v>21042023</v>
      </c>
      <c r="B39" t="s">
        <v>1720</v>
      </c>
      <c r="C39" t="s">
        <v>410</v>
      </c>
      <c r="D39" s="233">
        <v>45037</v>
      </c>
      <c r="F39" s="28" t="s">
        <v>545</v>
      </c>
      <c r="G39" t="s">
        <v>2328</v>
      </c>
      <c r="H39" t="s">
        <v>2641</v>
      </c>
      <c r="I39" s="88">
        <v>25016</v>
      </c>
      <c r="J39" s="847">
        <f t="shared" si="0"/>
        <v>22014</v>
      </c>
      <c r="K39" s="359" t="s">
        <v>17</v>
      </c>
      <c r="L39" s="846">
        <v>45112</v>
      </c>
      <c r="M39" s="13" t="s">
        <v>2335</v>
      </c>
      <c r="S39" s="14" t="s">
        <v>1656</v>
      </c>
      <c r="T39" s="14">
        <v>0.62847222222222221</v>
      </c>
      <c r="U39">
        <v>0.4861111111111111</v>
      </c>
    </row>
    <row r="40" spans="1:30" hidden="1" x14ac:dyDescent="0.25">
      <c r="A40" s="256">
        <v>22042023</v>
      </c>
      <c r="B40" t="s">
        <v>1720</v>
      </c>
      <c r="C40" t="s">
        <v>2026</v>
      </c>
      <c r="D40" s="233">
        <v>45038</v>
      </c>
      <c r="F40" s="28" t="s">
        <v>545</v>
      </c>
      <c r="G40" s="30" t="s">
        <v>2261</v>
      </c>
      <c r="H40" t="s">
        <v>2262</v>
      </c>
      <c r="I40" s="313">
        <v>25016</v>
      </c>
      <c r="J40" s="840">
        <f t="shared" si="0"/>
        <v>22014</v>
      </c>
      <c r="K40" s="359" t="s">
        <v>17</v>
      </c>
      <c r="L40" s="830">
        <v>45091</v>
      </c>
      <c r="M40" s="13" t="s">
        <v>2336</v>
      </c>
      <c r="S40" t="s">
        <v>2148</v>
      </c>
      <c r="T40" s="14">
        <v>0.72986111111111107</v>
      </c>
      <c r="U40" s="14">
        <v>0.87777777777777777</v>
      </c>
    </row>
    <row r="41" spans="1:30" hidden="1" x14ac:dyDescent="0.25">
      <c r="A41" s="256">
        <v>28042023</v>
      </c>
      <c r="B41" t="s">
        <v>1720</v>
      </c>
      <c r="C41" t="s">
        <v>410</v>
      </c>
      <c r="D41" s="233">
        <v>45044</v>
      </c>
      <c r="F41" s="28" t="s">
        <v>545</v>
      </c>
      <c r="G41" s="30" t="s">
        <v>2317</v>
      </c>
      <c r="H41" t="s">
        <v>2318</v>
      </c>
      <c r="I41" s="313">
        <v>25016</v>
      </c>
      <c r="J41" s="840">
        <f t="shared" si="0"/>
        <v>22014</v>
      </c>
      <c r="K41" s="359" t="s">
        <v>17</v>
      </c>
      <c r="L41" s="830">
        <v>45091</v>
      </c>
      <c r="M41" s="13" t="s">
        <v>2330</v>
      </c>
      <c r="S41" t="s">
        <v>922</v>
      </c>
    </row>
    <row r="42" spans="1:30" hidden="1" x14ac:dyDescent="0.25">
      <c r="A42" s="256" t="s">
        <v>2326</v>
      </c>
      <c r="B42" t="s">
        <v>2325</v>
      </c>
      <c r="C42" t="s">
        <v>693</v>
      </c>
      <c r="D42" s="233">
        <v>45049</v>
      </c>
      <c r="F42" s="28" t="s">
        <v>2301</v>
      </c>
      <c r="G42" t="s">
        <v>2333</v>
      </c>
      <c r="H42" t="s">
        <v>2332</v>
      </c>
      <c r="I42" s="88">
        <v>25016</v>
      </c>
      <c r="J42" s="840">
        <f t="shared" si="0"/>
        <v>22014</v>
      </c>
      <c r="K42" s="359" t="s">
        <v>17</v>
      </c>
      <c r="L42" s="830">
        <v>45091</v>
      </c>
      <c r="M42" s="13" t="s">
        <v>2331</v>
      </c>
      <c r="S42" t="s">
        <v>929</v>
      </c>
      <c r="T42">
        <v>0.69652777777777775</v>
      </c>
      <c r="U42">
        <v>0.82986111111111116</v>
      </c>
    </row>
    <row r="43" spans="1:30" hidden="1" x14ac:dyDescent="0.25">
      <c r="A43" s="256" t="s">
        <v>2327</v>
      </c>
      <c r="B43" t="s">
        <v>2325</v>
      </c>
      <c r="C43" t="s">
        <v>410</v>
      </c>
      <c r="D43" s="233">
        <v>45050</v>
      </c>
      <c r="F43" s="28" t="s">
        <v>2301</v>
      </c>
      <c r="G43" s="30" t="s">
        <v>2334</v>
      </c>
      <c r="H43" t="s">
        <v>2644</v>
      </c>
      <c r="I43" s="88">
        <v>25016</v>
      </c>
      <c r="J43" s="840">
        <f t="shared" si="0"/>
        <v>22014</v>
      </c>
      <c r="K43" s="359" t="s">
        <v>17</v>
      </c>
      <c r="L43" s="830">
        <v>45091</v>
      </c>
      <c r="M43" s="13" t="s">
        <v>2331</v>
      </c>
      <c r="S43" t="s">
        <v>1029</v>
      </c>
      <c r="T43" s="14">
        <v>0.51458333333333328</v>
      </c>
      <c r="U43" s="14">
        <v>0.57152777777777775</v>
      </c>
    </row>
    <row r="44" spans="1:30" hidden="1" x14ac:dyDescent="0.25">
      <c r="A44" s="256" t="s">
        <v>2337</v>
      </c>
      <c r="B44" t="s">
        <v>1720</v>
      </c>
      <c r="C44" t="s">
        <v>410</v>
      </c>
      <c r="D44" s="233">
        <v>45051</v>
      </c>
      <c r="F44" s="28" t="s">
        <v>2301</v>
      </c>
      <c r="G44" s="30" t="s">
        <v>2345</v>
      </c>
      <c r="H44" t="s">
        <v>2346</v>
      </c>
      <c r="I44" s="313">
        <v>25016</v>
      </c>
      <c r="J44" s="840">
        <f t="shared" si="0"/>
        <v>22014</v>
      </c>
      <c r="K44" s="236" t="s">
        <v>17</v>
      </c>
      <c r="L44" s="830">
        <v>45091</v>
      </c>
      <c r="M44" s="13" t="s">
        <v>2541</v>
      </c>
      <c r="S44" t="s">
        <v>1644</v>
      </c>
      <c r="T44" s="14">
        <v>0.46736111111111112</v>
      </c>
      <c r="U44" s="14"/>
    </row>
    <row r="45" spans="1:30" hidden="1" x14ac:dyDescent="0.25">
      <c r="A45" s="256" t="s">
        <v>2343</v>
      </c>
      <c r="B45" t="s">
        <v>1720</v>
      </c>
      <c r="C45" t="s">
        <v>410</v>
      </c>
      <c r="D45" s="233">
        <v>45054</v>
      </c>
      <c r="F45" s="28" t="s">
        <v>545</v>
      </c>
      <c r="G45" t="s">
        <v>2351</v>
      </c>
      <c r="H45" t="s">
        <v>2642</v>
      </c>
      <c r="I45" s="88">
        <v>34456</v>
      </c>
      <c r="J45" s="847">
        <f t="shared" si="0"/>
        <v>30321</v>
      </c>
      <c r="K45" s="236" t="s">
        <v>17</v>
      </c>
      <c r="L45" s="846">
        <v>45112</v>
      </c>
      <c r="M45" s="13" t="s">
        <v>2543</v>
      </c>
      <c r="S45" t="s">
        <v>2348</v>
      </c>
      <c r="T45" s="14">
        <v>0.70624999999999993</v>
      </c>
      <c r="U45" s="14">
        <v>0.87638888888888899</v>
      </c>
    </row>
    <row r="46" spans="1:30" hidden="1" x14ac:dyDescent="0.25">
      <c r="A46" s="256" t="s">
        <v>2347</v>
      </c>
      <c r="B46" t="s">
        <v>2350</v>
      </c>
      <c r="C46" t="s">
        <v>809</v>
      </c>
      <c r="D46" s="233">
        <v>45055</v>
      </c>
      <c r="F46" s="28" t="s">
        <v>545</v>
      </c>
      <c r="G46" s="30" t="s">
        <v>2542</v>
      </c>
      <c r="H46" t="s">
        <v>2717</v>
      </c>
      <c r="I46" s="313">
        <v>25016</v>
      </c>
      <c r="J46" s="745">
        <f t="shared" si="0"/>
        <v>22014</v>
      </c>
      <c r="K46" s="236" t="s">
        <v>17</v>
      </c>
      <c r="L46" s="848">
        <v>45133</v>
      </c>
      <c r="M46" s="13" t="s">
        <v>2371</v>
      </c>
      <c r="S46" t="s">
        <v>894</v>
      </c>
      <c r="T46" s="14">
        <v>0.6645833333333333</v>
      </c>
      <c r="U46" s="14">
        <v>0.72291666666666676</v>
      </c>
    </row>
    <row r="47" spans="1:30" hidden="1" x14ac:dyDescent="0.25">
      <c r="A47" s="256">
        <v>10052023</v>
      </c>
      <c r="B47" t="s">
        <v>2325</v>
      </c>
      <c r="C47" s="120" t="s">
        <v>809</v>
      </c>
      <c r="D47" s="233">
        <v>45056</v>
      </c>
      <c r="F47" s="28" t="s">
        <v>545</v>
      </c>
      <c r="G47" s="30" t="s">
        <v>2368</v>
      </c>
      <c r="H47" t="s">
        <v>2637</v>
      </c>
      <c r="I47" s="313">
        <v>25016</v>
      </c>
      <c r="J47" s="745">
        <f t="shared" si="0"/>
        <v>22014</v>
      </c>
      <c r="K47" s="236" t="s">
        <v>17</v>
      </c>
      <c r="L47" s="848">
        <v>45133</v>
      </c>
      <c r="M47" s="429" t="s">
        <v>2371</v>
      </c>
      <c r="N47" s="120"/>
      <c r="O47" s="120" t="s">
        <v>2638</v>
      </c>
      <c r="P47" s="120"/>
      <c r="Q47" s="120"/>
      <c r="R47" s="120"/>
      <c r="S47" s="120" t="s">
        <v>894</v>
      </c>
      <c r="T47" s="336"/>
      <c r="U47" s="336"/>
      <c r="V47" s="120"/>
      <c r="W47" s="120"/>
      <c r="X47" s="120"/>
      <c r="Y47" s="120"/>
      <c r="Z47" s="120"/>
      <c r="AA47" s="120"/>
      <c r="AB47" s="120"/>
      <c r="AC47" s="120"/>
      <c r="AD47" s="120"/>
    </row>
    <row r="48" spans="1:30" s="30" customFormat="1" hidden="1" x14ac:dyDescent="0.25">
      <c r="A48" s="256">
        <v>15052023</v>
      </c>
      <c r="B48" s="30" t="s">
        <v>2325</v>
      </c>
      <c r="C48" s="30" t="s">
        <v>693</v>
      </c>
      <c r="D48" s="233">
        <v>45061</v>
      </c>
      <c r="F48" s="28" t="s">
        <v>545</v>
      </c>
      <c r="G48" s="30" t="s">
        <v>2372</v>
      </c>
      <c r="H48" t="s">
        <v>2643</v>
      </c>
      <c r="I48" s="236">
        <v>25016</v>
      </c>
      <c r="J48" s="847">
        <f t="shared" si="0"/>
        <v>22014</v>
      </c>
      <c r="K48" s="236" t="s">
        <v>17</v>
      </c>
      <c r="L48" s="846">
        <v>45112</v>
      </c>
      <c r="S48" s="30" t="s">
        <v>2037</v>
      </c>
      <c r="T48" s="360">
        <v>0.65902777777777777</v>
      </c>
      <c r="U48" s="360">
        <v>0.83333333333333337</v>
      </c>
    </row>
    <row r="49" spans="1:21" hidden="1" x14ac:dyDescent="0.25">
      <c r="A49" s="256">
        <v>18052023</v>
      </c>
      <c r="B49" t="s">
        <v>2325</v>
      </c>
      <c r="D49" s="233">
        <v>45064</v>
      </c>
      <c r="F49" s="28" t="s">
        <v>545</v>
      </c>
      <c r="G49" s="30" t="s">
        <v>2391</v>
      </c>
      <c r="H49" t="s">
        <v>2510</v>
      </c>
      <c r="I49" s="313">
        <v>25016</v>
      </c>
      <c r="J49" s="847">
        <f t="shared" si="0"/>
        <v>22014</v>
      </c>
      <c r="K49" s="236" t="s">
        <v>17</v>
      </c>
      <c r="L49" s="846">
        <v>45112</v>
      </c>
      <c r="M49" s="13" t="s">
        <v>2511</v>
      </c>
      <c r="T49" s="14"/>
      <c r="U49" s="14"/>
    </row>
    <row r="50" spans="1:21" hidden="1" x14ac:dyDescent="0.25">
      <c r="A50" s="256">
        <v>18052023</v>
      </c>
      <c r="B50" t="s">
        <v>2325</v>
      </c>
      <c r="D50" s="233">
        <v>45064</v>
      </c>
      <c r="F50" s="28" t="s">
        <v>545</v>
      </c>
      <c r="G50" s="30" t="s">
        <v>2392</v>
      </c>
      <c r="H50" t="s">
        <v>2639</v>
      </c>
      <c r="I50" s="313">
        <v>25016</v>
      </c>
      <c r="J50" s="847">
        <f t="shared" si="0"/>
        <v>22014</v>
      </c>
      <c r="K50" s="236" t="s">
        <v>17</v>
      </c>
      <c r="L50" s="846">
        <v>45112</v>
      </c>
      <c r="T50" s="14"/>
      <c r="U50" s="14"/>
    </row>
    <row r="51" spans="1:21" hidden="1" x14ac:dyDescent="0.25">
      <c r="A51" s="256">
        <v>19052023</v>
      </c>
      <c r="B51" t="s">
        <v>2325</v>
      </c>
      <c r="C51" t="s">
        <v>809</v>
      </c>
      <c r="D51" s="233">
        <v>45065</v>
      </c>
      <c r="F51" s="28" t="s">
        <v>545</v>
      </c>
      <c r="G51" s="30" t="s">
        <v>2393</v>
      </c>
      <c r="H51" t="s">
        <v>2860</v>
      </c>
      <c r="I51" s="251">
        <v>25016</v>
      </c>
      <c r="J51" s="823">
        <f t="shared" si="0"/>
        <v>22014</v>
      </c>
      <c r="K51" s="236" t="s">
        <v>17</v>
      </c>
      <c r="L51" s="499">
        <v>45174</v>
      </c>
      <c r="S51" t="s">
        <v>1894</v>
      </c>
      <c r="T51" s="14">
        <v>0.46249999999999997</v>
      </c>
      <c r="U51" s="14"/>
    </row>
    <row r="52" spans="1:21" hidden="1" x14ac:dyDescent="0.25">
      <c r="A52" s="256">
        <v>22052023</v>
      </c>
      <c r="B52" t="s">
        <v>1720</v>
      </c>
      <c r="C52" t="s">
        <v>410</v>
      </c>
      <c r="D52" s="233">
        <v>45068</v>
      </c>
      <c r="F52" s="28" t="s">
        <v>545</v>
      </c>
      <c r="G52" s="30" t="s">
        <v>2390</v>
      </c>
      <c r="H52" t="s">
        <v>2640</v>
      </c>
      <c r="I52" s="313">
        <v>25016</v>
      </c>
      <c r="J52" s="845">
        <f t="shared" si="0"/>
        <v>22014</v>
      </c>
      <c r="K52" s="236" t="s">
        <v>17</v>
      </c>
      <c r="L52" s="831">
        <v>45105</v>
      </c>
      <c r="M52" s="13" t="s">
        <v>2398</v>
      </c>
      <c r="N52" s="122"/>
      <c r="S52" t="s">
        <v>893</v>
      </c>
      <c r="T52" s="204" t="s">
        <v>2389</v>
      </c>
      <c r="U52" s="14">
        <v>0.66319444444444442</v>
      </c>
    </row>
    <row r="53" spans="1:21" s="30" customFormat="1" hidden="1" x14ac:dyDescent="0.25">
      <c r="A53" s="256">
        <v>26052023</v>
      </c>
      <c r="B53" t="s">
        <v>2325</v>
      </c>
      <c r="C53" s="30" t="s">
        <v>693</v>
      </c>
      <c r="D53" s="233">
        <v>45072</v>
      </c>
      <c r="F53" s="28" t="s">
        <v>545</v>
      </c>
      <c r="G53" s="30" t="s">
        <v>2426</v>
      </c>
      <c r="H53" s="30" t="s">
        <v>2861</v>
      </c>
      <c r="I53" s="237">
        <v>25016</v>
      </c>
      <c r="J53" s="823">
        <f t="shared" si="0"/>
        <v>22014</v>
      </c>
      <c r="K53" s="236" t="s">
        <v>17</v>
      </c>
      <c r="L53" s="499">
        <v>45174</v>
      </c>
      <c r="M53" s="13" t="s">
        <v>2427</v>
      </c>
      <c r="S53" s="30" t="s">
        <v>893</v>
      </c>
      <c r="T53" s="360">
        <v>0.80694444444444446</v>
      </c>
      <c r="U53" s="360">
        <v>0.9375</v>
      </c>
    </row>
    <row r="54" spans="1:21" hidden="1" x14ac:dyDescent="0.25">
      <c r="A54" s="256">
        <v>30052023</v>
      </c>
      <c r="B54" t="s">
        <v>2325</v>
      </c>
      <c r="C54" t="s">
        <v>2420</v>
      </c>
      <c r="D54" s="233">
        <v>45076</v>
      </c>
      <c r="F54" s="28" t="s">
        <v>545</v>
      </c>
      <c r="G54" s="30" t="s">
        <v>2428</v>
      </c>
      <c r="H54" t="s">
        <v>2862</v>
      </c>
      <c r="I54" s="237">
        <v>25016</v>
      </c>
      <c r="J54" s="823">
        <f t="shared" si="0"/>
        <v>22014</v>
      </c>
      <c r="K54" s="236" t="s">
        <v>17</v>
      </c>
      <c r="L54" s="499">
        <v>45174</v>
      </c>
      <c r="M54" s="13" t="s">
        <v>2516</v>
      </c>
      <c r="T54" s="14"/>
      <c r="U54" s="14">
        <v>0.84513888888888899</v>
      </c>
    </row>
    <row r="55" spans="1:21" hidden="1" x14ac:dyDescent="0.25">
      <c r="A55" s="256">
        <v>31052023</v>
      </c>
      <c r="B55" t="s">
        <v>2325</v>
      </c>
      <c r="C55" t="s">
        <v>410</v>
      </c>
      <c r="D55" s="359">
        <v>45077</v>
      </c>
      <c r="E55" s="30"/>
      <c r="F55" s="28" t="s">
        <v>545</v>
      </c>
      <c r="G55" s="30" t="s">
        <v>2486</v>
      </c>
      <c r="H55" s="30" t="s">
        <v>2863</v>
      </c>
      <c r="I55" s="237">
        <v>25016</v>
      </c>
      <c r="J55" s="823">
        <f t="shared" si="0"/>
        <v>22014</v>
      </c>
      <c r="K55" s="236" t="s">
        <v>17</v>
      </c>
      <c r="L55" s="499">
        <v>45174</v>
      </c>
      <c r="M55" s="13" t="s">
        <v>2515</v>
      </c>
      <c r="S55" t="s">
        <v>2380</v>
      </c>
      <c r="T55" s="14">
        <v>0.8652777777777777</v>
      </c>
      <c r="U55" s="14">
        <v>0.90069444444444446</v>
      </c>
    </row>
    <row r="56" spans="1:21" hidden="1" x14ac:dyDescent="0.25">
      <c r="A56" s="95" t="s">
        <v>2451</v>
      </c>
      <c r="B56" t="s">
        <v>1720</v>
      </c>
      <c r="C56" t="s">
        <v>809</v>
      </c>
      <c r="D56" s="359">
        <v>45080</v>
      </c>
      <c r="F56" s="28" t="s">
        <v>545</v>
      </c>
      <c r="G56" s="30" t="s">
        <v>2485</v>
      </c>
      <c r="H56" t="s">
        <v>2864</v>
      </c>
      <c r="I56" s="251">
        <v>25016</v>
      </c>
      <c r="J56" s="823">
        <f t="shared" si="0"/>
        <v>22014</v>
      </c>
      <c r="K56" s="236" t="s">
        <v>17</v>
      </c>
      <c r="L56" s="499">
        <v>45174</v>
      </c>
      <c r="M56" s="13" t="s">
        <v>2517</v>
      </c>
      <c r="S56" t="s">
        <v>1178</v>
      </c>
      <c r="T56" s="14">
        <v>0.67152777777777783</v>
      </c>
      <c r="U56" s="14">
        <v>0.7319444444444444</v>
      </c>
    </row>
    <row r="57" spans="1:21" hidden="1" x14ac:dyDescent="0.25">
      <c r="A57" s="95" t="s">
        <v>2466</v>
      </c>
      <c r="B57" t="s">
        <v>1720</v>
      </c>
      <c r="C57" t="s">
        <v>809</v>
      </c>
      <c r="D57" s="359">
        <v>45083</v>
      </c>
      <c r="F57" s="28" t="s">
        <v>545</v>
      </c>
      <c r="G57" s="30" t="s">
        <v>2507</v>
      </c>
      <c r="H57" s="30" t="s">
        <v>2865</v>
      </c>
      <c r="I57" s="251">
        <v>25016</v>
      </c>
      <c r="J57" s="823">
        <f t="shared" si="0"/>
        <v>22014</v>
      </c>
      <c r="K57" s="236" t="s">
        <v>17</v>
      </c>
      <c r="L57" s="499">
        <v>45174</v>
      </c>
      <c r="M57" s="13" t="s">
        <v>2514</v>
      </c>
      <c r="S57" t="s">
        <v>2148</v>
      </c>
    </row>
    <row r="58" spans="1:21" hidden="1" x14ac:dyDescent="0.25">
      <c r="A58" s="95" t="s">
        <v>2499</v>
      </c>
      <c r="B58" t="s">
        <v>1720</v>
      </c>
      <c r="C58" t="s">
        <v>410</v>
      </c>
      <c r="D58" s="359">
        <v>45086</v>
      </c>
      <c r="E58" s="30"/>
      <c r="F58" s="28" t="s">
        <v>545</v>
      </c>
      <c r="G58" s="30" t="s">
        <v>2538</v>
      </c>
      <c r="H58" s="30" t="s">
        <v>2866</v>
      </c>
      <c r="I58" s="251">
        <v>34456</v>
      </c>
      <c r="J58" s="849">
        <f t="shared" si="0"/>
        <v>30321</v>
      </c>
      <c r="K58" s="236" t="s">
        <v>17</v>
      </c>
      <c r="L58" s="826">
        <v>45177</v>
      </c>
      <c r="S58" t="s">
        <v>2500</v>
      </c>
    </row>
    <row r="59" spans="1:21" hidden="1" x14ac:dyDescent="0.25">
      <c r="A59" s="256">
        <v>10062023</v>
      </c>
      <c r="B59" t="s">
        <v>1720</v>
      </c>
      <c r="C59" t="s">
        <v>410</v>
      </c>
      <c r="D59" s="359">
        <v>45087</v>
      </c>
      <c r="F59" s="28" t="s">
        <v>545</v>
      </c>
      <c r="G59" s="30" t="s">
        <v>2508</v>
      </c>
      <c r="H59" s="30" t="s">
        <v>2867</v>
      </c>
      <c r="I59" s="251">
        <v>25016</v>
      </c>
      <c r="J59" s="823">
        <f t="shared" si="0"/>
        <v>22014</v>
      </c>
      <c r="K59" s="236" t="s">
        <v>17</v>
      </c>
      <c r="L59" s="499">
        <v>45174</v>
      </c>
      <c r="S59" t="s">
        <v>916</v>
      </c>
      <c r="T59" s="14">
        <v>0.74861111111111101</v>
      </c>
      <c r="U59" s="14">
        <v>0.86458333333333337</v>
      </c>
    </row>
    <row r="60" spans="1:21" hidden="1" x14ac:dyDescent="0.25">
      <c r="A60" s="256">
        <v>14062023</v>
      </c>
      <c r="B60" t="s">
        <v>1720</v>
      </c>
      <c r="C60" t="s">
        <v>693</v>
      </c>
      <c r="D60" s="359">
        <v>45091</v>
      </c>
      <c r="E60" s="30"/>
      <c r="F60" s="28" t="s">
        <v>545</v>
      </c>
      <c r="G60" s="30" t="s">
        <v>2537</v>
      </c>
      <c r="H60" s="30" t="s">
        <v>2868</v>
      </c>
      <c r="I60" s="251">
        <v>25016</v>
      </c>
      <c r="J60" s="823">
        <f t="shared" si="0"/>
        <v>22014</v>
      </c>
      <c r="K60" s="236" t="s">
        <v>17</v>
      </c>
      <c r="L60" s="499">
        <v>45174</v>
      </c>
    </row>
    <row r="61" spans="1:21" hidden="1" x14ac:dyDescent="0.25">
      <c r="A61" s="256">
        <v>15062023</v>
      </c>
      <c r="B61" t="s">
        <v>1720</v>
      </c>
      <c r="C61" t="s">
        <v>693</v>
      </c>
      <c r="D61" s="359">
        <v>45092</v>
      </c>
      <c r="F61" s="28" t="s">
        <v>545</v>
      </c>
      <c r="G61" s="30" t="s">
        <v>2520</v>
      </c>
      <c r="H61" t="s">
        <v>2869</v>
      </c>
      <c r="I61" s="251">
        <v>34456</v>
      </c>
      <c r="J61" s="849">
        <f t="shared" si="0"/>
        <v>30321</v>
      </c>
      <c r="K61" s="236" t="s">
        <v>17</v>
      </c>
      <c r="L61" s="826">
        <v>45177</v>
      </c>
      <c r="S61" t="s">
        <v>1816</v>
      </c>
      <c r="T61" s="14">
        <v>0.57500000000000007</v>
      </c>
      <c r="U61" s="14">
        <v>0.80902777777777779</v>
      </c>
    </row>
    <row r="62" spans="1:21" hidden="1" x14ac:dyDescent="0.25">
      <c r="A62" s="256">
        <v>16062023</v>
      </c>
      <c r="B62" t="s">
        <v>1720</v>
      </c>
      <c r="C62" t="s">
        <v>410</v>
      </c>
      <c r="D62" s="359">
        <v>45093</v>
      </c>
      <c r="F62" s="28" t="s">
        <v>545</v>
      </c>
      <c r="G62" s="30" t="s">
        <v>2536</v>
      </c>
      <c r="H62" t="s">
        <v>2870</v>
      </c>
      <c r="I62" s="251">
        <v>25016</v>
      </c>
      <c r="J62" s="823">
        <f t="shared" si="0"/>
        <v>22014</v>
      </c>
      <c r="K62" s="236" t="s">
        <v>17</v>
      </c>
      <c r="L62" s="499">
        <v>45174</v>
      </c>
      <c r="M62" s="13" t="s">
        <v>2514</v>
      </c>
      <c r="S62" t="s">
        <v>922</v>
      </c>
      <c r="T62" s="14">
        <v>0.75347222222222221</v>
      </c>
      <c r="U62" s="14">
        <v>0.89722222222222225</v>
      </c>
    </row>
    <row r="63" spans="1:21" hidden="1" x14ac:dyDescent="0.25">
      <c r="A63" s="256">
        <v>17062023</v>
      </c>
      <c r="B63" t="s">
        <v>1720</v>
      </c>
      <c r="C63" t="s">
        <v>410</v>
      </c>
      <c r="D63" s="359">
        <v>45094</v>
      </c>
      <c r="F63" s="28" t="s">
        <v>545</v>
      </c>
      <c r="G63" s="30" t="s">
        <v>2534</v>
      </c>
      <c r="H63" s="30" t="s">
        <v>2871</v>
      </c>
      <c r="I63" s="251">
        <v>34456</v>
      </c>
      <c r="J63" s="823">
        <f t="shared" si="0"/>
        <v>30321</v>
      </c>
      <c r="K63" s="236" t="s">
        <v>17</v>
      </c>
      <c r="L63" s="499">
        <v>45174</v>
      </c>
      <c r="M63" s="13" t="s">
        <v>2539</v>
      </c>
      <c r="S63" t="s">
        <v>1644</v>
      </c>
      <c r="T63" s="14">
        <v>0.30416666666666664</v>
      </c>
      <c r="U63" s="14">
        <v>0.51736111111111105</v>
      </c>
    </row>
    <row r="64" spans="1:21" hidden="1" x14ac:dyDescent="0.25">
      <c r="A64" s="256">
        <v>18062023</v>
      </c>
      <c r="B64" t="s">
        <v>1720</v>
      </c>
      <c r="C64" t="s">
        <v>410</v>
      </c>
      <c r="D64" s="359">
        <v>45095</v>
      </c>
      <c r="F64" s="28" t="s">
        <v>545</v>
      </c>
      <c r="G64" s="30" t="s">
        <v>2535</v>
      </c>
      <c r="H64" s="30" t="s">
        <v>2872</v>
      </c>
      <c r="I64" s="251">
        <v>34456</v>
      </c>
      <c r="J64" s="823">
        <f t="shared" si="0"/>
        <v>30321</v>
      </c>
      <c r="K64" s="236" t="s">
        <v>17</v>
      </c>
      <c r="L64" s="499">
        <v>45174</v>
      </c>
      <c r="M64" s="13" t="s">
        <v>2540</v>
      </c>
      <c r="S64" s="14" t="s">
        <v>2380</v>
      </c>
      <c r="T64" s="14">
        <v>0.60763888888888895</v>
      </c>
      <c r="U64" s="14">
        <v>0.8041666666666667</v>
      </c>
    </row>
    <row r="65" spans="1:21" s="30" customFormat="1" hidden="1" x14ac:dyDescent="0.25">
      <c r="A65" s="256">
        <v>22062023</v>
      </c>
      <c r="B65" s="30" t="s">
        <v>1720</v>
      </c>
      <c r="C65" s="30" t="s">
        <v>809</v>
      </c>
      <c r="D65" s="359">
        <v>45099</v>
      </c>
      <c r="F65" s="28" t="s">
        <v>545</v>
      </c>
      <c r="G65" s="30" t="s">
        <v>2572</v>
      </c>
      <c r="H65" s="30" t="s">
        <v>2873</v>
      </c>
      <c r="I65" s="237">
        <v>25016</v>
      </c>
      <c r="J65" s="823">
        <f t="shared" si="0"/>
        <v>22014</v>
      </c>
      <c r="K65" s="236" t="s">
        <v>17</v>
      </c>
      <c r="L65" s="499">
        <v>45174</v>
      </c>
      <c r="S65" s="360" t="s">
        <v>2571</v>
      </c>
      <c r="T65" s="360">
        <v>0.69513888888888886</v>
      </c>
      <c r="U65" s="360">
        <v>0.75416666666666676</v>
      </c>
    </row>
    <row r="66" spans="1:21" hidden="1" x14ac:dyDescent="0.25">
      <c r="A66" s="256">
        <v>23062023</v>
      </c>
      <c r="B66" t="s">
        <v>1720</v>
      </c>
      <c r="C66" t="s">
        <v>693</v>
      </c>
      <c r="D66" s="359">
        <v>45100</v>
      </c>
      <c r="F66" s="28" t="s">
        <v>545</v>
      </c>
      <c r="G66" s="30" t="s">
        <v>2570</v>
      </c>
      <c r="H66" s="30" t="s">
        <v>2874</v>
      </c>
      <c r="I66" s="251">
        <v>25016</v>
      </c>
      <c r="J66" s="849">
        <f t="shared" si="0"/>
        <v>22014</v>
      </c>
      <c r="K66" s="236" t="s">
        <v>17</v>
      </c>
      <c r="L66" s="826">
        <v>45177</v>
      </c>
      <c r="S66" s="14" t="s">
        <v>1225</v>
      </c>
      <c r="T66" s="14">
        <v>0.84513888888888899</v>
      </c>
      <c r="U66" s="14">
        <v>0.96319444444444446</v>
      </c>
    </row>
    <row r="67" spans="1:21" hidden="1" x14ac:dyDescent="0.25">
      <c r="A67" s="256">
        <v>23062023</v>
      </c>
      <c r="B67" t="s">
        <v>1720</v>
      </c>
      <c r="C67" t="s">
        <v>809</v>
      </c>
      <c r="D67" s="359">
        <v>45100</v>
      </c>
      <c r="F67" s="28" t="s">
        <v>545</v>
      </c>
      <c r="G67" s="30" t="s">
        <v>2569</v>
      </c>
      <c r="H67" t="s">
        <v>2827</v>
      </c>
      <c r="I67" s="251">
        <v>25016</v>
      </c>
      <c r="J67" s="849">
        <f t="shared" ref="J67:J130" si="1">+I67-ROUND(I67*0.12,0)</f>
        <v>22014</v>
      </c>
      <c r="K67" s="236" t="s">
        <v>17</v>
      </c>
      <c r="L67" s="826">
        <v>45177</v>
      </c>
      <c r="S67" s="14" t="s">
        <v>894</v>
      </c>
      <c r="T67" s="14">
        <v>0.56111111111111112</v>
      </c>
      <c r="U67" s="14">
        <v>0.62013888888888891</v>
      </c>
    </row>
    <row r="68" spans="1:21" hidden="1" x14ac:dyDescent="0.25">
      <c r="A68" s="256">
        <v>25062023</v>
      </c>
      <c r="B68" t="s">
        <v>1720</v>
      </c>
      <c r="C68" t="s">
        <v>410</v>
      </c>
      <c r="D68" s="359">
        <v>45102</v>
      </c>
      <c r="F68" s="28" t="s">
        <v>545</v>
      </c>
      <c r="G68" s="30" t="s">
        <v>2575</v>
      </c>
      <c r="H68" s="30" t="s">
        <v>2875</v>
      </c>
      <c r="I68" s="237">
        <v>25016</v>
      </c>
      <c r="J68" s="823">
        <f t="shared" si="1"/>
        <v>22014</v>
      </c>
      <c r="K68" s="236" t="s">
        <v>17</v>
      </c>
      <c r="L68" s="499">
        <v>45174</v>
      </c>
      <c r="S68" s="14" t="s">
        <v>893</v>
      </c>
      <c r="T68" s="14">
        <v>0.7270833333333333</v>
      </c>
      <c r="U68" s="14">
        <v>0.90277777777777779</v>
      </c>
    </row>
    <row r="69" spans="1:21" hidden="1" x14ac:dyDescent="0.25">
      <c r="A69" s="256">
        <v>26062023</v>
      </c>
      <c r="B69" t="s">
        <v>1720</v>
      </c>
      <c r="C69" t="s">
        <v>410</v>
      </c>
      <c r="D69" s="359">
        <v>45103</v>
      </c>
      <c r="F69" s="28" t="s">
        <v>545</v>
      </c>
      <c r="G69" s="30" t="s">
        <v>2576</v>
      </c>
      <c r="H69" s="30" t="s">
        <v>2876</v>
      </c>
      <c r="I69" s="237">
        <v>25016</v>
      </c>
      <c r="J69" s="823">
        <f t="shared" si="1"/>
        <v>22014</v>
      </c>
      <c r="K69" s="236" t="s">
        <v>17</v>
      </c>
      <c r="L69" s="499">
        <v>45174</v>
      </c>
      <c r="S69" s="14" t="s">
        <v>1029</v>
      </c>
      <c r="T69" s="14">
        <v>0.80694444444444446</v>
      </c>
      <c r="U69" s="14">
        <v>0.84513888888888899</v>
      </c>
    </row>
    <row r="70" spans="1:21" hidden="1" x14ac:dyDescent="0.25">
      <c r="A70" s="256" t="s">
        <v>2589</v>
      </c>
      <c r="B70" t="s">
        <v>1720</v>
      </c>
      <c r="C70" s="28">
        <v>828</v>
      </c>
      <c r="D70" s="359">
        <v>45113</v>
      </c>
      <c r="F70" s="28" t="s">
        <v>545</v>
      </c>
      <c r="G70" s="30" t="s">
        <v>2616</v>
      </c>
      <c r="H70" s="30" t="s">
        <v>2877</v>
      </c>
      <c r="I70" s="251">
        <v>25016</v>
      </c>
      <c r="J70" s="823">
        <f t="shared" si="1"/>
        <v>22014</v>
      </c>
      <c r="K70" s="236" t="s">
        <v>17</v>
      </c>
      <c r="L70" s="499">
        <v>45174</v>
      </c>
      <c r="S70" s="14"/>
      <c r="T70" s="14">
        <v>0.7680555555555556</v>
      </c>
      <c r="U70" s="14">
        <v>0.91249999999999998</v>
      </c>
    </row>
    <row r="71" spans="1:21" hidden="1" x14ac:dyDescent="0.25">
      <c r="A71" s="256" t="s">
        <v>2596</v>
      </c>
      <c r="B71" t="s">
        <v>1720</v>
      </c>
      <c r="C71" t="s">
        <v>809</v>
      </c>
      <c r="D71" s="359">
        <v>45114</v>
      </c>
      <c r="F71" s="28" t="s">
        <v>545</v>
      </c>
      <c r="G71" s="30" t="s">
        <v>2615</v>
      </c>
      <c r="H71" s="30" t="s">
        <v>2878</v>
      </c>
      <c r="I71" s="237">
        <v>25016</v>
      </c>
      <c r="J71" s="823">
        <f t="shared" si="1"/>
        <v>22014</v>
      </c>
      <c r="K71" s="236" t="s">
        <v>17</v>
      </c>
      <c r="L71" s="499">
        <v>45174</v>
      </c>
      <c r="S71" s="14" t="s">
        <v>1894</v>
      </c>
      <c r="T71" s="14">
        <v>0.8340277777777777</v>
      </c>
      <c r="U71" s="14">
        <v>0.90972222222222221</v>
      </c>
    </row>
    <row r="72" spans="1:21" hidden="1" x14ac:dyDescent="0.25">
      <c r="A72" s="256" t="s">
        <v>2599</v>
      </c>
      <c r="B72" t="s">
        <v>1720</v>
      </c>
      <c r="C72" t="s">
        <v>410</v>
      </c>
      <c r="D72" s="359">
        <v>45115</v>
      </c>
      <c r="F72" s="28" t="s">
        <v>545</v>
      </c>
      <c r="G72" s="30" t="s">
        <v>2613</v>
      </c>
      <c r="H72" s="30" t="s">
        <v>2879</v>
      </c>
      <c r="I72" s="237">
        <v>25016</v>
      </c>
      <c r="J72" s="849">
        <f t="shared" si="1"/>
        <v>22014</v>
      </c>
      <c r="K72" s="236" t="s">
        <v>17</v>
      </c>
      <c r="L72" s="826">
        <v>45177</v>
      </c>
      <c r="S72" s="14" t="s">
        <v>1816</v>
      </c>
      <c r="T72" s="14">
        <v>0.76944444444444438</v>
      </c>
      <c r="U72" s="14">
        <v>0.91041666666666676</v>
      </c>
    </row>
    <row r="73" spans="1:21" hidden="1" x14ac:dyDescent="0.25">
      <c r="A73" s="256" t="s">
        <v>2600</v>
      </c>
      <c r="B73" t="s">
        <v>1720</v>
      </c>
      <c r="C73" t="s">
        <v>13</v>
      </c>
      <c r="D73" s="359">
        <v>45116</v>
      </c>
      <c r="F73" s="28" t="s">
        <v>545</v>
      </c>
      <c r="G73" s="30" t="s">
        <v>2614</v>
      </c>
      <c r="H73" s="30" t="s">
        <v>2880</v>
      </c>
      <c r="I73" s="237">
        <v>25016</v>
      </c>
      <c r="J73" s="849">
        <f t="shared" si="1"/>
        <v>22014</v>
      </c>
      <c r="K73" s="236" t="s">
        <v>17</v>
      </c>
      <c r="L73" s="826">
        <v>45177</v>
      </c>
      <c r="S73" s="14" t="s">
        <v>893</v>
      </c>
      <c r="T73" s="14">
        <v>0.72569444444444453</v>
      </c>
      <c r="U73" s="14">
        <v>0.90972222222222221</v>
      </c>
    </row>
    <row r="74" spans="1:21" hidden="1" x14ac:dyDescent="0.25">
      <c r="A74" s="256">
        <v>10072023</v>
      </c>
      <c r="B74" t="s">
        <v>1720</v>
      </c>
      <c r="C74" t="s">
        <v>809</v>
      </c>
      <c r="D74" s="359">
        <v>45117</v>
      </c>
      <c r="F74" s="28" t="s">
        <v>545</v>
      </c>
      <c r="G74" s="30" t="s">
        <v>2645</v>
      </c>
      <c r="H74" s="30" t="s">
        <v>2881</v>
      </c>
      <c r="I74" s="237">
        <v>25016</v>
      </c>
      <c r="J74" s="823">
        <f t="shared" si="1"/>
        <v>22014</v>
      </c>
      <c r="K74" s="236" t="s">
        <v>17</v>
      </c>
      <c r="L74" s="499">
        <v>45174</v>
      </c>
      <c r="S74" s="14" t="s">
        <v>1894</v>
      </c>
      <c r="T74" s="14">
        <v>0.88263888888888886</v>
      </c>
      <c r="U74" s="14">
        <v>0.94374999999999998</v>
      </c>
    </row>
    <row r="75" spans="1:21" hidden="1" x14ac:dyDescent="0.25">
      <c r="A75" s="256">
        <v>20072023</v>
      </c>
      <c r="B75" t="s">
        <v>1720</v>
      </c>
      <c r="C75" t="s">
        <v>809</v>
      </c>
      <c r="D75" s="359">
        <v>45127</v>
      </c>
      <c r="F75" s="28" t="s">
        <v>545</v>
      </c>
      <c r="G75" s="30" t="s">
        <v>2676</v>
      </c>
      <c r="H75" s="30" t="s">
        <v>2677</v>
      </c>
      <c r="I75" s="237">
        <v>25016</v>
      </c>
      <c r="J75" s="823">
        <f t="shared" si="1"/>
        <v>22014</v>
      </c>
      <c r="K75" s="236" t="s">
        <v>17</v>
      </c>
      <c r="L75" s="499">
        <v>45174</v>
      </c>
      <c r="R75" s="14" t="s">
        <v>894</v>
      </c>
      <c r="S75" s="14">
        <v>0.75069444444444444</v>
      </c>
      <c r="T75" s="14">
        <v>0.80694444444444446</v>
      </c>
    </row>
    <row r="76" spans="1:21" hidden="1" x14ac:dyDescent="0.25">
      <c r="A76" s="256">
        <v>21072023</v>
      </c>
      <c r="B76" t="s">
        <v>1720</v>
      </c>
      <c r="C76" t="s">
        <v>13</v>
      </c>
      <c r="D76" s="359">
        <v>45128</v>
      </c>
      <c r="F76" s="28" t="s">
        <v>545</v>
      </c>
      <c r="G76" s="30" t="s">
        <v>2649</v>
      </c>
      <c r="H76" s="30" t="s">
        <v>2678</v>
      </c>
      <c r="I76" s="237">
        <v>34456</v>
      </c>
      <c r="J76" s="823">
        <f t="shared" si="1"/>
        <v>30321</v>
      </c>
      <c r="K76" s="236" t="s">
        <v>17</v>
      </c>
      <c r="L76" s="499">
        <v>45174</v>
      </c>
      <c r="R76" s="14" t="s">
        <v>922</v>
      </c>
      <c r="S76" s="14"/>
      <c r="T76" s="14"/>
    </row>
    <row r="77" spans="1:21" hidden="1" x14ac:dyDescent="0.25">
      <c r="A77" s="256">
        <v>24072023</v>
      </c>
      <c r="B77" t="s">
        <v>1720</v>
      </c>
      <c r="C77" t="s">
        <v>809</v>
      </c>
      <c r="D77" s="359">
        <v>45131</v>
      </c>
      <c r="F77" s="28" t="s">
        <v>545</v>
      </c>
      <c r="G77" s="30" t="s">
        <v>2675</v>
      </c>
      <c r="H77" s="30" t="s">
        <v>2882</v>
      </c>
      <c r="I77" s="237">
        <v>25016</v>
      </c>
      <c r="J77" s="849">
        <f t="shared" si="1"/>
        <v>22014</v>
      </c>
      <c r="K77" s="236" t="s">
        <v>17</v>
      </c>
      <c r="L77" s="826">
        <v>45177</v>
      </c>
      <c r="R77" s="14" t="s">
        <v>1178</v>
      </c>
      <c r="S77" s="14">
        <v>0.75624999999999998</v>
      </c>
      <c r="T77" s="14">
        <v>0.81597222222222221</v>
      </c>
    </row>
    <row r="78" spans="1:21" hidden="1" x14ac:dyDescent="0.25">
      <c r="A78" s="256">
        <v>26072023</v>
      </c>
      <c r="B78" t="s">
        <v>1720</v>
      </c>
      <c r="C78" t="s">
        <v>410</v>
      </c>
      <c r="D78" s="359">
        <v>45133</v>
      </c>
      <c r="E78" s="30"/>
      <c r="F78" s="28" t="s">
        <v>545</v>
      </c>
      <c r="G78" s="30" t="s">
        <v>2691</v>
      </c>
      <c r="H78" s="30" t="s">
        <v>2692</v>
      </c>
      <c r="I78" s="251">
        <v>25016</v>
      </c>
      <c r="J78" s="823">
        <f t="shared" si="1"/>
        <v>22014</v>
      </c>
      <c r="K78" s="236" t="s">
        <v>17</v>
      </c>
      <c r="L78" s="499">
        <v>45174</v>
      </c>
      <c r="R78" s="14" t="s">
        <v>1656</v>
      </c>
      <c r="S78" s="14">
        <v>0.90416666666666667</v>
      </c>
      <c r="T78" s="14">
        <v>9.7222222222222224E-3</v>
      </c>
    </row>
    <row r="79" spans="1:21" hidden="1" x14ac:dyDescent="0.25">
      <c r="A79" s="256">
        <v>28072023</v>
      </c>
      <c r="B79" t="s">
        <v>1720</v>
      </c>
      <c r="C79" t="s">
        <v>809</v>
      </c>
      <c r="D79" s="359">
        <v>45135</v>
      </c>
      <c r="E79" s="30"/>
      <c r="F79" s="28" t="s">
        <v>545</v>
      </c>
      <c r="G79" s="30" t="s">
        <v>2690</v>
      </c>
      <c r="H79" s="30" t="s">
        <v>2693</v>
      </c>
      <c r="I79" s="237">
        <v>25016</v>
      </c>
      <c r="J79" s="823">
        <f t="shared" si="1"/>
        <v>22014</v>
      </c>
      <c r="K79" s="236" t="s">
        <v>17</v>
      </c>
      <c r="L79" s="499">
        <v>45174</v>
      </c>
      <c r="R79" s="14" t="s">
        <v>1178</v>
      </c>
      <c r="S79" s="14">
        <v>0.56041666666666667</v>
      </c>
      <c r="T79" s="14">
        <v>0.62222222222222223</v>
      </c>
    </row>
    <row r="80" spans="1:21" s="30" customFormat="1" hidden="1" x14ac:dyDescent="0.25">
      <c r="A80" s="256">
        <v>31072023</v>
      </c>
      <c r="B80" s="30" t="s">
        <v>1720</v>
      </c>
      <c r="C80" s="30" t="s">
        <v>410</v>
      </c>
      <c r="D80" s="359">
        <v>45138</v>
      </c>
      <c r="F80" s="28" t="s">
        <v>545</v>
      </c>
      <c r="G80" s="30" t="s">
        <v>2700</v>
      </c>
      <c r="H80" s="30" t="s">
        <v>2699</v>
      </c>
      <c r="I80" s="237">
        <v>34456</v>
      </c>
      <c r="J80" s="823">
        <f t="shared" si="1"/>
        <v>30321</v>
      </c>
      <c r="K80" s="236" t="s">
        <v>17</v>
      </c>
      <c r="L80" s="499">
        <v>45174</v>
      </c>
      <c r="R80" s="360" t="s">
        <v>929</v>
      </c>
      <c r="S80" s="360">
        <v>0.64097222222222217</v>
      </c>
      <c r="T80" s="360">
        <v>0.83750000000000002</v>
      </c>
    </row>
    <row r="81" spans="1:20" s="30" customFormat="1" hidden="1" x14ac:dyDescent="0.25">
      <c r="A81" s="256">
        <v>31072023</v>
      </c>
      <c r="B81" s="30" t="s">
        <v>1720</v>
      </c>
      <c r="C81" s="30" t="s">
        <v>809</v>
      </c>
      <c r="D81" s="359">
        <v>45138</v>
      </c>
      <c r="F81" s="28" t="s">
        <v>545</v>
      </c>
      <c r="G81" s="30" t="s">
        <v>2701</v>
      </c>
      <c r="H81" s="30" t="s">
        <v>2702</v>
      </c>
      <c r="I81" s="237">
        <v>25016</v>
      </c>
      <c r="J81" s="823">
        <f t="shared" si="1"/>
        <v>22014</v>
      </c>
      <c r="K81" s="236" t="s">
        <v>17</v>
      </c>
      <c r="L81" s="499">
        <v>45174</v>
      </c>
      <c r="R81" s="360" t="s">
        <v>1178</v>
      </c>
      <c r="S81" s="360">
        <v>0.76597222222222217</v>
      </c>
      <c r="T81" s="360">
        <v>0.83124999999999993</v>
      </c>
    </row>
    <row r="82" spans="1:20" s="30" customFormat="1" hidden="1" x14ac:dyDescent="0.25">
      <c r="A82" s="256" t="s">
        <v>2698</v>
      </c>
      <c r="B82" s="30" t="s">
        <v>1720</v>
      </c>
      <c r="C82" s="30" t="s">
        <v>809</v>
      </c>
      <c r="D82" s="359">
        <v>45140</v>
      </c>
      <c r="F82" s="28" t="s">
        <v>545</v>
      </c>
      <c r="G82" s="30" t="s">
        <v>2735</v>
      </c>
      <c r="H82" s="30" t="s">
        <v>2736</v>
      </c>
      <c r="I82" s="851">
        <v>25016</v>
      </c>
      <c r="J82" s="3">
        <f t="shared" si="1"/>
        <v>22014</v>
      </c>
      <c r="K82" s="236" t="s">
        <v>17</v>
      </c>
      <c r="L82" s="850">
        <v>45197</v>
      </c>
      <c r="R82" s="360" t="s">
        <v>2148</v>
      </c>
      <c r="S82" s="360"/>
      <c r="T82" s="360"/>
    </row>
    <row r="83" spans="1:20" hidden="1" x14ac:dyDescent="0.25">
      <c r="A83" s="256" t="s">
        <v>2721</v>
      </c>
      <c r="B83" t="s">
        <v>1720</v>
      </c>
      <c r="C83" t="s">
        <v>809</v>
      </c>
      <c r="D83" s="359">
        <v>45145</v>
      </c>
      <c r="F83" s="28" t="s">
        <v>545</v>
      </c>
      <c r="G83" s="30" t="s">
        <v>2733</v>
      </c>
      <c r="H83" s="30" t="s">
        <v>2734</v>
      </c>
      <c r="I83" s="852">
        <v>25016</v>
      </c>
      <c r="J83" s="3">
        <f t="shared" si="1"/>
        <v>22014</v>
      </c>
      <c r="K83" s="236" t="s">
        <v>17</v>
      </c>
      <c r="L83" s="850">
        <v>45197</v>
      </c>
      <c r="R83" s="14" t="s">
        <v>2148</v>
      </c>
      <c r="S83" s="14">
        <v>0.76388888888888884</v>
      </c>
      <c r="T83" s="14">
        <v>0.82500000000000007</v>
      </c>
    </row>
    <row r="84" spans="1:20" hidden="1" x14ac:dyDescent="0.25">
      <c r="A84" s="256">
        <v>17082023</v>
      </c>
      <c r="B84" t="s">
        <v>1720</v>
      </c>
      <c r="C84" t="s">
        <v>809</v>
      </c>
      <c r="D84" s="359">
        <v>45155</v>
      </c>
      <c r="E84" s="30"/>
      <c r="F84" s="28" t="s">
        <v>545</v>
      </c>
      <c r="G84" s="30" t="s">
        <v>2775</v>
      </c>
      <c r="H84" s="30" t="s">
        <v>2776</v>
      </c>
      <c r="I84" s="852">
        <v>25016</v>
      </c>
      <c r="J84" s="3">
        <f t="shared" si="1"/>
        <v>22014</v>
      </c>
      <c r="K84" s="236" t="s">
        <v>17</v>
      </c>
      <c r="L84" s="850">
        <v>45197</v>
      </c>
      <c r="R84" s="14" t="s">
        <v>894</v>
      </c>
      <c r="S84" s="14">
        <v>0.43402777777777773</v>
      </c>
      <c r="T84" s="14">
        <v>0.4916666666666667</v>
      </c>
    </row>
    <row r="85" spans="1:20" s="30" customFormat="1" hidden="1" x14ac:dyDescent="0.25">
      <c r="A85" s="256">
        <v>18082023</v>
      </c>
      <c r="B85" s="30" t="s">
        <v>1720</v>
      </c>
      <c r="C85" s="30" t="s">
        <v>410</v>
      </c>
      <c r="D85" s="359">
        <v>45156</v>
      </c>
      <c r="F85" s="28" t="s">
        <v>545</v>
      </c>
      <c r="G85" s="30" t="s">
        <v>2773</v>
      </c>
      <c r="H85" s="30" t="s">
        <v>2774</v>
      </c>
      <c r="I85" s="852">
        <v>25016</v>
      </c>
      <c r="J85" s="3">
        <f t="shared" si="1"/>
        <v>22014</v>
      </c>
      <c r="K85" s="236" t="s">
        <v>17</v>
      </c>
      <c r="L85" s="850">
        <v>45197</v>
      </c>
      <c r="R85" s="360" t="s">
        <v>916</v>
      </c>
      <c r="S85" s="360">
        <v>0.76944444444444438</v>
      </c>
      <c r="T85" s="360">
        <v>0.90833333333333333</v>
      </c>
    </row>
    <row r="86" spans="1:20" hidden="1" x14ac:dyDescent="0.25">
      <c r="A86" s="256">
        <v>23082023</v>
      </c>
      <c r="B86" t="s">
        <v>1720</v>
      </c>
      <c r="C86" t="s">
        <v>809</v>
      </c>
      <c r="D86" s="359">
        <v>45161</v>
      </c>
      <c r="F86" s="28" t="s">
        <v>545</v>
      </c>
      <c r="G86" s="30" t="s">
        <v>2942</v>
      </c>
      <c r="H86" s="30" t="s">
        <v>2941</v>
      </c>
      <c r="I86" s="236">
        <v>25016</v>
      </c>
      <c r="J86" s="855">
        <f t="shared" si="1"/>
        <v>22014</v>
      </c>
      <c r="K86" s="236" t="s">
        <v>17</v>
      </c>
      <c r="L86" s="856">
        <v>45245</v>
      </c>
      <c r="R86" s="14" t="s">
        <v>1894</v>
      </c>
      <c r="S86" s="14"/>
      <c r="T86" s="14"/>
    </row>
    <row r="87" spans="1:20" hidden="1" x14ac:dyDescent="0.25">
      <c r="A87" s="30">
        <v>29082023</v>
      </c>
      <c r="B87" t="s">
        <v>1720</v>
      </c>
      <c r="C87" t="s">
        <v>809</v>
      </c>
      <c r="D87" s="359">
        <v>45167</v>
      </c>
      <c r="E87" s="30"/>
      <c r="F87" s="28" t="s">
        <v>545</v>
      </c>
      <c r="G87" s="30" t="s">
        <v>2826</v>
      </c>
      <c r="H87" s="30" t="s">
        <v>2825</v>
      </c>
      <c r="I87" s="313">
        <v>25016</v>
      </c>
      <c r="J87" s="855">
        <f t="shared" si="1"/>
        <v>22014</v>
      </c>
      <c r="K87" s="236" t="s">
        <v>17</v>
      </c>
      <c r="L87" s="856">
        <v>45245</v>
      </c>
      <c r="R87" s="14" t="s">
        <v>1894</v>
      </c>
      <c r="S87" s="14">
        <v>0.7583333333333333</v>
      </c>
      <c r="T87" s="14">
        <v>0.81666666666666676</v>
      </c>
    </row>
    <row r="88" spans="1:20" s="30" customFormat="1" hidden="1" x14ac:dyDescent="0.25">
      <c r="A88" s="30">
        <v>31082023</v>
      </c>
      <c r="B88" s="30" t="s">
        <v>1720</v>
      </c>
      <c r="C88" s="30" t="s">
        <v>809</v>
      </c>
      <c r="D88" s="359">
        <v>45169</v>
      </c>
      <c r="F88" s="28" t="s">
        <v>545</v>
      </c>
      <c r="G88" s="30" t="s">
        <v>2847</v>
      </c>
      <c r="H88" s="30" t="s">
        <v>2856</v>
      </c>
      <c r="I88" s="236">
        <v>25016</v>
      </c>
      <c r="J88" s="853">
        <f t="shared" si="1"/>
        <v>22014</v>
      </c>
      <c r="K88" s="236" t="s">
        <v>17</v>
      </c>
      <c r="L88" s="854">
        <v>45238</v>
      </c>
      <c r="R88" s="360" t="s">
        <v>894</v>
      </c>
      <c r="S88" s="360">
        <v>0.6875</v>
      </c>
      <c r="T88" s="360"/>
    </row>
    <row r="89" spans="1:20" hidden="1" x14ac:dyDescent="0.25">
      <c r="A89" s="95" t="s">
        <v>2886</v>
      </c>
      <c r="B89" t="s">
        <v>1720</v>
      </c>
      <c r="C89" t="s">
        <v>809</v>
      </c>
      <c r="D89" s="359">
        <v>45174</v>
      </c>
      <c r="F89" s="28" t="s">
        <v>545</v>
      </c>
      <c r="G89" t="s">
        <v>2896</v>
      </c>
      <c r="H89" s="30" t="s">
        <v>2897</v>
      </c>
      <c r="I89" s="414">
        <v>25016</v>
      </c>
      <c r="J89" s="853">
        <f t="shared" si="1"/>
        <v>22014</v>
      </c>
      <c r="K89" s="236" t="s">
        <v>17</v>
      </c>
      <c r="L89" s="854">
        <v>45238</v>
      </c>
      <c r="R89" s="14" t="s">
        <v>1178</v>
      </c>
      <c r="S89" s="14">
        <v>0.5625</v>
      </c>
      <c r="T89" s="14">
        <v>0.62847222222222221</v>
      </c>
    </row>
    <row r="90" spans="1:20" hidden="1" x14ac:dyDescent="0.25">
      <c r="A90" s="256">
        <v>10092023</v>
      </c>
      <c r="B90" s="30" t="s">
        <v>1720</v>
      </c>
      <c r="C90" s="30" t="s">
        <v>809</v>
      </c>
      <c r="D90" s="359">
        <v>45179</v>
      </c>
      <c r="E90" s="30"/>
      <c r="F90" s="28" t="s">
        <v>545</v>
      </c>
      <c r="G90" s="30" t="s">
        <v>2898</v>
      </c>
      <c r="H90" s="30" t="s">
        <v>2899</v>
      </c>
      <c r="I90" s="236">
        <v>25016</v>
      </c>
      <c r="J90" s="853">
        <f t="shared" si="1"/>
        <v>22014</v>
      </c>
      <c r="K90" s="236" t="s">
        <v>17</v>
      </c>
      <c r="L90" s="854">
        <v>45238</v>
      </c>
      <c r="R90" s="14" t="s">
        <v>2148</v>
      </c>
      <c r="S90" s="14">
        <v>0.75902777777777775</v>
      </c>
      <c r="T90" s="14">
        <v>0.81874999999999998</v>
      </c>
    </row>
    <row r="91" spans="1:20" hidden="1" x14ac:dyDescent="0.25">
      <c r="A91" s="256">
        <v>11092023</v>
      </c>
      <c r="B91" s="30" t="s">
        <v>1720</v>
      </c>
      <c r="C91" s="30" t="s">
        <v>410</v>
      </c>
      <c r="D91" s="359">
        <v>45180</v>
      </c>
      <c r="E91" s="30"/>
      <c r="F91" s="28" t="s">
        <v>545</v>
      </c>
      <c r="G91" t="s">
        <v>2900</v>
      </c>
      <c r="H91" s="30" t="s">
        <v>2901</v>
      </c>
      <c r="I91" s="414">
        <v>25016</v>
      </c>
      <c r="J91" s="853">
        <f t="shared" si="1"/>
        <v>22014</v>
      </c>
      <c r="K91" s="236" t="s">
        <v>17</v>
      </c>
      <c r="L91" s="854">
        <v>45238</v>
      </c>
      <c r="R91" s="14" t="s">
        <v>1656</v>
      </c>
      <c r="S91" s="14">
        <v>0.66666666666666663</v>
      </c>
      <c r="T91" s="14">
        <v>0.83750000000000002</v>
      </c>
    </row>
    <row r="92" spans="1:20" s="30" customFormat="1" hidden="1" x14ac:dyDescent="0.25">
      <c r="A92" s="256">
        <v>16092023</v>
      </c>
      <c r="B92" s="30" t="s">
        <v>1720</v>
      </c>
      <c r="C92" s="30" t="s">
        <v>809</v>
      </c>
      <c r="D92" s="359">
        <v>45185</v>
      </c>
      <c r="F92" s="28" t="s">
        <v>545</v>
      </c>
      <c r="G92" s="30" t="s">
        <v>2916</v>
      </c>
      <c r="H92" s="30" t="s">
        <v>2917</v>
      </c>
      <c r="I92" s="236">
        <v>25016</v>
      </c>
      <c r="J92" s="853">
        <f t="shared" si="1"/>
        <v>22014</v>
      </c>
      <c r="K92" s="236" t="s">
        <v>17</v>
      </c>
      <c r="L92" s="854">
        <v>45238</v>
      </c>
      <c r="R92" s="360" t="s">
        <v>1178</v>
      </c>
      <c r="S92" s="360">
        <v>0.78749999999999998</v>
      </c>
      <c r="T92" s="360">
        <v>0.84791666666666676</v>
      </c>
    </row>
    <row r="93" spans="1:20" s="30" customFormat="1" hidden="1" x14ac:dyDescent="0.25">
      <c r="A93" s="256">
        <v>21092023</v>
      </c>
      <c r="B93" s="30" t="s">
        <v>1720</v>
      </c>
      <c r="C93" s="30" t="s">
        <v>809</v>
      </c>
      <c r="D93" s="359">
        <v>45190</v>
      </c>
      <c r="F93" s="28" t="s">
        <v>545</v>
      </c>
      <c r="G93" s="30" t="s">
        <v>2975</v>
      </c>
      <c r="H93" t="s">
        <v>2976</v>
      </c>
      <c r="I93" s="236">
        <v>25016</v>
      </c>
      <c r="J93" s="853">
        <f t="shared" si="1"/>
        <v>22014</v>
      </c>
      <c r="K93" s="236" t="s">
        <v>17</v>
      </c>
      <c r="L93" s="854">
        <v>45238</v>
      </c>
      <c r="R93" s="360" t="s">
        <v>2148</v>
      </c>
      <c r="S93" s="360">
        <v>0.57500000000000007</v>
      </c>
      <c r="T93" s="360">
        <v>0.63541666666666663</v>
      </c>
    </row>
    <row r="94" spans="1:20" s="30" customFormat="1" hidden="1" x14ac:dyDescent="0.25">
      <c r="A94" s="256">
        <v>22092023</v>
      </c>
      <c r="B94" s="30" t="s">
        <v>1720</v>
      </c>
      <c r="C94" s="30" t="s">
        <v>809</v>
      </c>
      <c r="D94" s="359">
        <v>45191</v>
      </c>
      <c r="F94" s="28" t="s">
        <v>545</v>
      </c>
      <c r="G94" t="s">
        <v>3042</v>
      </c>
      <c r="H94" t="s">
        <v>3048</v>
      </c>
      <c r="I94" s="236">
        <v>25016</v>
      </c>
      <c r="J94" s="853">
        <f t="shared" si="1"/>
        <v>22014</v>
      </c>
      <c r="K94" s="236" t="s">
        <v>17</v>
      </c>
      <c r="L94" s="854">
        <v>45238</v>
      </c>
      <c r="R94" s="360" t="s">
        <v>2148</v>
      </c>
      <c r="S94" s="360">
        <v>0.6069444444444444</v>
      </c>
      <c r="T94" s="360">
        <v>0.66875000000000007</v>
      </c>
    </row>
    <row r="95" spans="1:20" s="30" customFormat="1" hidden="1" x14ac:dyDescent="0.25">
      <c r="A95" s="256">
        <v>22092023</v>
      </c>
      <c r="B95" s="30" t="s">
        <v>1720</v>
      </c>
      <c r="C95" s="30" t="s">
        <v>410</v>
      </c>
      <c r="D95" s="359">
        <v>45191</v>
      </c>
      <c r="F95" s="28" t="s">
        <v>545</v>
      </c>
      <c r="G95" s="30" t="s">
        <v>2974</v>
      </c>
      <c r="H95" t="s">
        <v>3023</v>
      </c>
      <c r="I95" s="236">
        <v>25016</v>
      </c>
      <c r="J95" s="853">
        <f t="shared" si="1"/>
        <v>22014</v>
      </c>
      <c r="K95" s="236" t="s">
        <v>17</v>
      </c>
      <c r="L95" s="854">
        <v>45238</v>
      </c>
      <c r="R95" s="360" t="s">
        <v>922</v>
      </c>
      <c r="S95" s="360"/>
      <c r="T95" s="360"/>
    </row>
    <row r="96" spans="1:20" hidden="1" x14ac:dyDescent="0.25">
      <c r="A96" s="256">
        <v>23092023</v>
      </c>
      <c r="B96" s="30" t="s">
        <v>1720</v>
      </c>
      <c r="C96" t="s">
        <v>809</v>
      </c>
      <c r="D96" s="359">
        <v>45192</v>
      </c>
      <c r="F96" s="28" t="s">
        <v>545</v>
      </c>
      <c r="G96" t="s">
        <v>2972</v>
      </c>
      <c r="H96" t="s">
        <v>2973</v>
      </c>
      <c r="I96" s="414">
        <v>25016</v>
      </c>
      <c r="J96" s="853">
        <f t="shared" si="1"/>
        <v>22014</v>
      </c>
      <c r="K96" s="236" t="s">
        <v>17</v>
      </c>
      <c r="L96" s="854">
        <v>45238</v>
      </c>
      <c r="R96" s="14" t="s">
        <v>894</v>
      </c>
      <c r="S96" s="14">
        <v>0.63124999999999998</v>
      </c>
      <c r="T96" s="14">
        <v>0.68819444444444444</v>
      </c>
    </row>
    <row r="97" spans="1:20" hidden="1" x14ac:dyDescent="0.25">
      <c r="A97" s="256">
        <v>27092023</v>
      </c>
      <c r="B97" t="s">
        <v>1720</v>
      </c>
      <c r="C97" t="s">
        <v>809</v>
      </c>
      <c r="D97" s="359">
        <v>45196</v>
      </c>
      <c r="F97" s="28" t="s">
        <v>545</v>
      </c>
      <c r="G97" t="s">
        <v>2971</v>
      </c>
      <c r="H97" s="13" t="s">
        <v>2977</v>
      </c>
      <c r="I97" s="414">
        <v>25016</v>
      </c>
      <c r="J97" s="857">
        <f t="shared" si="1"/>
        <v>22014</v>
      </c>
      <c r="K97" s="236" t="s">
        <v>17</v>
      </c>
      <c r="L97" s="427">
        <v>45271</v>
      </c>
      <c r="R97" s="14" t="s">
        <v>1894</v>
      </c>
      <c r="S97" s="14">
        <v>0.67083333333333339</v>
      </c>
      <c r="T97" s="14">
        <v>0.7284722222222223</v>
      </c>
    </row>
    <row r="98" spans="1:20" hidden="1" x14ac:dyDescent="0.25">
      <c r="A98" s="256">
        <v>27092023</v>
      </c>
      <c r="B98" t="s">
        <v>1720</v>
      </c>
      <c r="C98" t="s">
        <v>410</v>
      </c>
      <c r="D98" s="359">
        <v>45196</v>
      </c>
      <c r="F98" s="28" t="s">
        <v>545</v>
      </c>
      <c r="G98" t="s">
        <v>2900</v>
      </c>
      <c r="H98" t="s">
        <v>2978</v>
      </c>
      <c r="I98" s="414">
        <v>25016</v>
      </c>
      <c r="J98" s="857">
        <f t="shared" si="1"/>
        <v>22014</v>
      </c>
      <c r="K98" s="236" t="s">
        <v>17</v>
      </c>
      <c r="L98" s="427">
        <v>45271</v>
      </c>
      <c r="R98" s="14" t="s">
        <v>1816</v>
      </c>
      <c r="S98" s="14">
        <v>0.85277777777777775</v>
      </c>
      <c r="T98" s="14">
        <v>0.96458333333333324</v>
      </c>
    </row>
    <row r="99" spans="1:20" hidden="1" x14ac:dyDescent="0.25">
      <c r="A99" s="256">
        <v>29092023</v>
      </c>
      <c r="B99" t="s">
        <v>2970</v>
      </c>
      <c r="C99" t="s">
        <v>410</v>
      </c>
      <c r="D99" s="359">
        <v>45198</v>
      </c>
      <c r="E99" s="30"/>
      <c r="F99" s="28" t="s">
        <v>545</v>
      </c>
      <c r="G99" t="s">
        <v>3021</v>
      </c>
      <c r="H99" t="s">
        <v>3022</v>
      </c>
      <c r="I99" s="236">
        <v>34456</v>
      </c>
      <c r="J99" s="857">
        <f t="shared" si="1"/>
        <v>30321</v>
      </c>
      <c r="K99" s="236" t="s">
        <v>17</v>
      </c>
      <c r="L99" s="427">
        <v>45271</v>
      </c>
      <c r="R99" s="14" t="s">
        <v>916</v>
      </c>
      <c r="S99" s="14">
        <v>0.59513888888888888</v>
      </c>
      <c r="T99" s="14"/>
    </row>
    <row r="100" spans="1:20" s="30" customFormat="1" ht="30" hidden="1" x14ac:dyDescent="0.25">
      <c r="A100" s="256" t="s">
        <v>2993</v>
      </c>
      <c r="B100" t="s">
        <v>1720</v>
      </c>
      <c r="C100" s="30" t="s">
        <v>809</v>
      </c>
      <c r="D100" s="359">
        <v>45203</v>
      </c>
      <c r="F100" s="28" t="s">
        <v>545</v>
      </c>
      <c r="G100" s="73" t="s">
        <v>3020</v>
      </c>
      <c r="H100" s="30" t="s">
        <v>3054</v>
      </c>
      <c r="I100" s="236">
        <v>25016</v>
      </c>
      <c r="J100" s="857">
        <f t="shared" si="1"/>
        <v>22014</v>
      </c>
      <c r="K100" s="236" t="s">
        <v>17</v>
      </c>
      <c r="L100" s="427">
        <v>45271</v>
      </c>
      <c r="R100" s="360" t="s">
        <v>1894</v>
      </c>
      <c r="S100" s="360">
        <v>0.79861111111111116</v>
      </c>
      <c r="T100" s="360">
        <v>0.85972222222222217</v>
      </c>
    </row>
    <row r="101" spans="1:20" hidden="1" x14ac:dyDescent="0.25">
      <c r="A101" s="256" t="s">
        <v>3006</v>
      </c>
      <c r="B101" t="s">
        <v>1720</v>
      </c>
      <c r="C101" t="s">
        <v>809</v>
      </c>
      <c r="D101" s="359">
        <v>45204</v>
      </c>
      <c r="F101" s="28" t="s">
        <v>545</v>
      </c>
      <c r="G101" s="30" t="s">
        <v>3047</v>
      </c>
      <c r="H101" t="s">
        <v>5773</v>
      </c>
      <c r="I101" s="313">
        <v>25016</v>
      </c>
      <c r="J101" s="857">
        <f t="shared" si="1"/>
        <v>22014</v>
      </c>
      <c r="K101" s="236" t="s">
        <v>17</v>
      </c>
      <c r="L101" s="427">
        <v>45271</v>
      </c>
      <c r="R101" s="14" t="s">
        <v>1894</v>
      </c>
      <c r="S101" s="14">
        <v>0.79166666666666663</v>
      </c>
      <c r="T101" s="14">
        <v>0.84791666666666676</v>
      </c>
    </row>
    <row r="102" spans="1:20" hidden="1" x14ac:dyDescent="0.25">
      <c r="A102" s="256" t="s">
        <v>3024</v>
      </c>
      <c r="B102" t="s">
        <v>1720</v>
      </c>
      <c r="C102" t="s">
        <v>809</v>
      </c>
      <c r="D102" s="359">
        <v>45175</v>
      </c>
      <c r="F102" s="28" t="s">
        <v>545</v>
      </c>
      <c r="G102" s="30" t="s">
        <v>3043</v>
      </c>
      <c r="H102" t="s">
        <v>3044</v>
      </c>
      <c r="I102" s="414">
        <v>25016</v>
      </c>
      <c r="J102" s="865">
        <f t="shared" si="1"/>
        <v>22014</v>
      </c>
      <c r="K102" s="236" t="s">
        <v>17</v>
      </c>
      <c r="L102" s="866">
        <v>45294</v>
      </c>
      <c r="R102" s="14" t="s">
        <v>1894</v>
      </c>
      <c r="S102" s="14"/>
      <c r="T102" s="14"/>
    </row>
    <row r="103" spans="1:20" hidden="1" x14ac:dyDescent="0.25">
      <c r="A103" s="256" t="s">
        <v>3027</v>
      </c>
      <c r="B103" t="s">
        <v>1720</v>
      </c>
      <c r="C103" t="s">
        <v>809</v>
      </c>
      <c r="D103" s="359">
        <v>45207</v>
      </c>
      <c r="F103" s="28" t="s">
        <v>545</v>
      </c>
      <c r="G103" t="s">
        <v>3055</v>
      </c>
      <c r="H103" t="s">
        <v>3320</v>
      </c>
      <c r="I103" s="414">
        <v>25016</v>
      </c>
      <c r="J103" s="857">
        <f t="shared" si="1"/>
        <v>22014</v>
      </c>
      <c r="K103" s="236" t="s">
        <v>17</v>
      </c>
      <c r="L103" s="427">
        <v>45271</v>
      </c>
      <c r="R103" s="14" t="s">
        <v>1894</v>
      </c>
      <c r="S103" s="14">
        <v>0.56874999999999998</v>
      </c>
      <c r="T103" s="14">
        <v>0.63055555555555554</v>
      </c>
    </row>
    <row r="104" spans="1:20" s="452" customFormat="1" hidden="1" x14ac:dyDescent="0.25">
      <c r="A104" s="473" t="s">
        <v>3025</v>
      </c>
      <c r="B104" t="s">
        <v>1720</v>
      </c>
      <c r="C104" s="452" t="s">
        <v>809</v>
      </c>
      <c r="D104" s="863">
        <v>45208</v>
      </c>
      <c r="F104" s="864" t="s">
        <v>545</v>
      </c>
      <c r="G104" s="452" t="s">
        <v>3045</v>
      </c>
      <c r="H104" s="452" t="s">
        <v>3046</v>
      </c>
      <c r="I104" s="453">
        <v>25016</v>
      </c>
      <c r="J104" s="865">
        <f t="shared" si="1"/>
        <v>22014</v>
      </c>
      <c r="K104" s="236" t="s">
        <v>17</v>
      </c>
      <c r="L104" s="866">
        <v>45294</v>
      </c>
      <c r="R104" s="454" t="s">
        <v>1894</v>
      </c>
      <c r="S104" s="454">
        <v>0.79375000000000007</v>
      </c>
      <c r="T104" s="454">
        <v>0.85069444444444453</v>
      </c>
    </row>
    <row r="105" spans="1:20" hidden="1" x14ac:dyDescent="0.25">
      <c r="A105" s="256">
        <v>14102023</v>
      </c>
      <c r="B105" t="s">
        <v>1720</v>
      </c>
      <c r="C105" t="s">
        <v>13</v>
      </c>
      <c r="D105" s="359">
        <v>45213</v>
      </c>
      <c r="E105" s="30"/>
      <c r="F105" s="28" t="s">
        <v>545</v>
      </c>
      <c r="G105" s="30" t="s">
        <v>3056</v>
      </c>
      <c r="H105" s="30" t="s">
        <v>3090</v>
      </c>
      <c r="I105" s="313">
        <v>34456</v>
      </c>
      <c r="J105" s="857">
        <f t="shared" si="1"/>
        <v>30321</v>
      </c>
      <c r="K105" s="236" t="s">
        <v>17</v>
      </c>
      <c r="L105" s="427">
        <v>45271</v>
      </c>
      <c r="R105" s="14" t="s">
        <v>929</v>
      </c>
      <c r="S105" s="14">
        <v>0.76458333333333339</v>
      </c>
      <c r="T105" s="14">
        <v>0.92638888888888893</v>
      </c>
    </row>
    <row r="106" spans="1:20" hidden="1" x14ac:dyDescent="0.25">
      <c r="A106" s="256">
        <v>16102023</v>
      </c>
      <c r="B106" t="s">
        <v>1720</v>
      </c>
      <c r="C106" t="s">
        <v>809</v>
      </c>
      <c r="D106" s="359">
        <v>45215</v>
      </c>
      <c r="F106" s="28" t="s">
        <v>545</v>
      </c>
      <c r="G106" s="30" t="s">
        <v>3057</v>
      </c>
      <c r="H106" s="30" t="s">
        <v>3091</v>
      </c>
      <c r="I106" s="236">
        <v>25016</v>
      </c>
      <c r="J106" s="857">
        <f t="shared" si="1"/>
        <v>22014</v>
      </c>
      <c r="K106" s="236" t="s">
        <v>17</v>
      </c>
      <c r="L106" s="427">
        <v>45271</v>
      </c>
      <c r="R106" s="14" t="s">
        <v>1178</v>
      </c>
      <c r="S106" s="14">
        <v>0.72916666666666663</v>
      </c>
      <c r="T106" s="14">
        <v>0.78749999999999998</v>
      </c>
    </row>
    <row r="107" spans="1:20" hidden="1" x14ac:dyDescent="0.25">
      <c r="A107" s="256">
        <v>17102023</v>
      </c>
      <c r="B107" t="s">
        <v>1720</v>
      </c>
      <c r="C107" t="s">
        <v>809</v>
      </c>
      <c r="D107" s="359">
        <v>45216</v>
      </c>
      <c r="F107" s="28" t="s">
        <v>545</v>
      </c>
      <c r="G107" s="30" t="s">
        <v>3096</v>
      </c>
      <c r="H107" t="s">
        <v>3058</v>
      </c>
      <c r="I107" s="313">
        <v>25016</v>
      </c>
      <c r="J107" s="865">
        <f t="shared" si="1"/>
        <v>22014</v>
      </c>
      <c r="K107" s="236" t="s">
        <v>17</v>
      </c>
      <c r="L107" s="866">
        <v>45294</v>
      </c>
      <c r="R107" s="14" t="s">
        <v>1178</v>
      </c>
      <c r="S107" s="14"/>
      <c r="T107" s="14"/>
    </row>
    <row r="108" spans="1:20" hidden="1" x14ac:dyDescent="0.25">
      <c r="A108" s="256">
        <v>23102023</v>
      </c>
      <c r="B108" t="s">
        <v>1720</v>
      </c>
      <c r="C108" t="s">
        <v>410</v>
      </c>
      <c r="D108" s="359">
        <v>45222</v>
      </c>
      <c r="F108" s="28" t="s">
        <v>545</v>
      </c>
      <c r="G108" s="30" t="s">
        <v>3094</v>
      </c>
      <c r="H108" t="s">
        <v>3095</v>
      </c>
      <c r="I108" s="313">
        <v>25016</v>
      </c>
      <c r="J108" s="865">
        <f t="shared" si="1"/>
        <v>22014</v>
      </c>
      <c r="K108" s="236" t="s">
        <v>17</v>
      </c>
      <c r="L108" s="866">
        <v>45294</v>
      </c>
      <c r="R108" t="s">
        <v>2380</v>
      </c>
      <c r="S108" s="14">
        <v>17.420000000000002</v>
      </c>
      <c r="T108" s="14">
        <v>0.87222222222222223</v>
      </c>
    </row>
    <row r="109" spans="1:20" hidden="1" x14ac:dyDescent="0.25">
      <c r="A109" s="256">
        <v>24102023</v>
      </c>
      <c r="B109" t="s">
        <v>1720</v>
      </c>
      <c r="C109" t="s">
        <v>809</v>
      </c>
      <c r="D109" s="359">
        <v>45223</v>
      </c>
      <c r="F109" s="28" t="s">
        <v>545</v>
      </c>
      <c r="G109" t="s">
        <v>3097</v>
      </c>
      <c r="H109" t="s">
        <v>3093</v>
      </c>
      <c r="I109" s="414">
        <v>25016</v>
      </c>
      <c r="J109" s="865">
        <f t="shared" si="1"/>
        <v>22014</v>
      </c>
      <c r="K109" s="236" t="s">
        <v>17</v>
      </c>
      <c r="L109" s="866">
        <v>45294</v>
      </c>
      <c r="R109" t="s">
        <v>1178</v>
      </c>
      <c r="S109" s="14">
        <v>0.77916666666666667</v>
      </c>
      <c r="T109" s="14">
        <v>0.84166666666666667</v>
      </c>
    </row>
    <row r="110" spans="1:20" hidden="1" x14ac:dyDescent="0.25">
      <c r="A110" s="256">
        <v>27102023</v>
      </c>
      <c r="B110" t="s">
        <v>1720</v>
      </c>
      <c r="C110" t="s">
        <v>809</v>
      </c>
      <c r="D110" s="359">
        <v>45226</v>
      </c>
      <c r="F110" s="28" t="s">
        <v>545</v>
      </c>
      <c r="G110" t="s">
        <v>3158</v>
      </c>
      <c r="H110" t="s">
        <v>3159</v>
      </c>
      <c r="I110" s="414">
        <v>25016</v>
      </c>
      <c r="J110" s="865">
        <f t="shared" si="1"/>
        <v>22014</v>
      </c>
      <c r="K110" s="236" t="s">
        <v>17</v>
      </c>
      <c r="L110" s="866">
        <v>45294</v>
      </c>
      <c r="R110" s="14" t="s">
        <v>894</v>
      </c>
      <c r="S110" s="14"/>
      <c r="T110" s="14"/>
    </row>
    <row r="111" spans="1:20" hidden="1" x14ac:dyDescent="0.25">
      <c r="A111" s="256" t="s">
        <v>3146</v>
      </c>
      <c r="B111" t="s">
        <v>1720</v>
      </c>
      <c r="C111" s="220" t="s">
        <v>809</v>
      </c>
      <c r="D111" s="359">
        <v>45232</v>
      </c>
      <c r="F111" s="28" t="s">
        <v>545</v>
      </c>
      <c r="G111" s="30" t="s">
        <v>3154</v>
      </c>
      <c r="H111" s="30" t="s">
        <v>3156</v>
      </c>
      <c r="I111" s="869">
        <v>25016</v>
      </c>
      <c r="J111" s="3">
        <f t="shared" si="1"/>
        <v>22014</v>
      </c>
      <c r="K111" s="236" t="s">
        <v>17</v>
      </c>
      <c r="L111" s="871">
        <v>45358</v>
      </c>
      <c r="R111" s="14" t="s">
        <v>894</v>
      </c>
      <c r="S111" s="14">
        <v>0.6694444444444444</v>
      </c>
      <c r="T111" s="14">
        <v>0.72986111111111107</v>
      </c>
    </row>
    <row r="112" spans="1:20" hidden="1" x14ac:dyDescent="0.25">
      <c r="A112" s="256" t="s">
        <v>3146</v>
      </c>
      <c r="B112" t="s">
        <v>1720</v>
      </c>
      <c r="C112" s="220" t="s">
        <v>410</v>
      </c>
      <c r="D112" s="359">
        <v>45232</v>
      </c>
      <c r="F112" s="28" t="s">
        <v>545</v>
      </c>
      <c r="G112" s="30" t="s">
        <v>3155</v>
      </c>
      <c r="H112" s="30" t="s">
        <v>3157</v>
      </c>
      <c r="I112" s="869">
        <v>25016</v>
      </c>
      <c r="J112" s="3">
        <f t="shared" si="1"/>
        <v>22014</v>
      </c>
      <c r="K112" s="236" t="s">
        <v>17</v>
      </c>
      <c r="L112" s="871">
        <v>45358</v>
      </c>
      <c r="R112" s="14" t="s">
        <v>3151</v>
      </c>
      <c r="S112" s="14">
        <v>0.8520833333333333</v>
      </c>
      <c r="T112" s="14">
        <v>0.9868055555555556</v>
      </c>
    </row>
    <row r="113" spans="1:20" s="30" customFormat="1" hidden="1" x14ac:dyDescent="0.25">
      <c r="A113" s="256" t="s">
        <v>3164</v>
      </c>
      <c r="B113" t="s">
        <v>1720</v>
      </c>
      <c r="C113" s="531" t="s">
        <v>809</v>
      </c>
      <c r="D113" s="359">
        <v>45234</v>
      </c>
      <c r="F113" s="28" t="s">
        <v>545</v>
      </c>
      <c r="G113" s="30" t="s">
        <v>3176</v>
      </c>
      <c r="H113" s="30" t="s">
        <v>3177</v>
      </c>
      <c r="I113" s="236">
        <v>25016</v>
      </c>
      <c r="J113" s="867">
        <f t="shared" si="1"/>
        <v>22014</v>
      </c>
      <c r="K113" s="30" t="s">
        <v>17</v>
      </c>
      <c r="L113" s="868">
        <v>45349</v>
      </c>
      <c r="R113" s="360" t="s">
        <v>1894</v>
      </c>
      <c r="S113" s="360">
        <v>0.72569444444444453</v>
      </c>
      <c r="T113" s="360">
        <v>0.78680555555555554</v>
      </c>
    </row>
    <row r="114" spans="1:20" hidden="1" x14ac:dyDescent="0.25">
      <c r="A114" s="256">
        <v>17112023</v>
      </c>
      <c r="B114" t="s">
        <v>1720</v>
      </c>
      <c r="C114" s="220" t="s">
        <v>410</v>
      </c>
      <c r="D114" s="359">
        <v>45247</v>
      </c>
      <c r="F114" s="28" t="s">
        <v>545</v>
      </c>
      <c r="G114" t="s">
        <v>3229</v>
      </c>
      <c r="H114" s="30" t="s">
        <v>3227</v>
      </c>
      <c r="I114" s="414">
        <v>25016</v>
      </c>
      <c r="J114" s="867">
        <f t="shared" si="1"/>
        <v>22014</v>
      </c>
      <c r="K114" s="30" t="s">
        <v>17</v>
      </c>
      <c r="L114" s="868">
        <v>45349</v>
      </c>
      <c r="R114" s="14" t="s">
        <v>1506</v>
      </c>
      <c r="S114" s="14">
        <v>0.31875000000000003</v>
      </c>
      <c r="T114" s="14">
        <v>0.44305555555555554</v>
      </c>
    </row>
    <row r="115" spans="1:20" hidden="1" x14ac:dyDescent="0.25">
      <c r="A115" s="256">
        <v>18112023</v>
      </c>
      <c r="B115" t="s">
        <v>1720</v>
      </c>
      <c r="C115" s="220" t="s">
        <v>13</v>
      </c>
      <c r="D115" s="359">
        <v>45248</v>
      </c>
      <c r="F115" s="28" t="s">
        <v>545</v>
      </c>
      <c r="G115" s="30" t="s">
        <v>3231</v>
      </c>
      <c r="H115" s="30" t="s">
        <v>3224</v>
      </c>
      <c r="I115" s="869">
        <v>34456</v>
      </c>
      <c r="J115" s="3">
        <f t="shared" si="1"/>
        <v>30321</v>
      </c>
      <c r="K115" s="236" t="s">
        <v>17</v>
      </c>
      <c r="L115" s="871">
        <v>45358</v>
      </c>
      <c r="R115" s="14" t="s">
        <v>1506</v>
      </c>
      <c r="S115" s="14">
        <v>0.58472222222222225</v>
      </c>
      <c r="T115" s="14">
        <v>0.78333333333333333</v>
      </c>
    </row>
    <row r="116" spans="1:20" hidden="1" x14ac:dyDescent="0.25">
      <c r="A116" s="256">
        <v>18112023</v>
      </c>
      <c r="B116" t="s">
        <v>1720</v>
      </c>
      <c r="C116" s="220" t="s">
        <v>809</v>
      </c>
      <c r="D116" s="359">
        <v>45248</v>
      </c>
      <c r="F116" s="28" t="s">
        <v>545</v>
      </c>
      <c r="G116" s="30" t="s">
        <v>3230</v>
      </c>
      <c r="H116" s="30" t="s">
        <v>3784</v>
      </c>
      <c r="I116" s="313">
        <v>25016</v>
      </c>
      <c r="J116" s="867">
        <f t="shared" si="1"/>
        <v>22014</v>
      </c>
      <c r="K116" s="30" t="s">
        <v>17</v>
      </c>
      <c r="L116" s="868">
        <v>45349</v>
      </c>
      <c r="R116" s="14" t="s">
        <v>3205</v>
      </c>
      <c r="S116" s="14">
        <v>0.73541666666666661</v>
      </c>
      <c r="T116" s="14">
        <v>0.42152777777777778</v>
      </c>
    </row>
    <row r="117" spans="1:20" hidden="1" x14ac:dyDescent="0.25">
      <c r="A117" s="256">
        <v>21112023</v>
      </c>
      <c r="B117" t="s">
        <v>1720</v>
      </c>
      <c r="C117" s="220" t="s">
        <v>809</v>
      </c>
      <c r="D117" s="359">
        <v>45251</v>
      </c>
      <c r="F117" s="28" t="s">
        <v>545</v>
      </c>
      <c r="G117" s="30" t="s">
        <v>3223</v>
      </c>
      <c r="H117" s="30" t="s">
        <v>3225</v>
      </c>
      <c r="I117" s="236">
        <v>25016</v>
      </c>
      <c r="J117" s="867">
        <f t="shared" si="1"/>
        <v>22014</v>
      </c>
      <c r="K117" s="30" t="s">
        <v>17</v>
      </c>
      <c r="L117" s="868">
        <v>45349</v>
      </c>
      <c r="R117" s="14" t="s">
        <v>3206</v>
      </c>
      <c r="S117" s="14">
        <v>0.74652777777777779</v>
      </c>
      <c r="T117" s="14">
        <v>0.80902777777777779</v>
      </c>
    </row>
    <row r="118" spans="1:20" hidden="1" x14ac:dyDescent="0.25">
      <c r="A118" s="256">
        <v>23112023</v>
      </c>
      <c r="B118" t="s">
        <v>1720</v>
      </c>
      <c r="C118" s="220" t="s">
        <v>13</v>
      </c>
      <c r="D118" s="359">
        <v>45253</v>
      </c>
      <c r="F118" s="28" t="s">
        <v>545</v>
      </c>
      <c r="G118" t="s">
        <v>3222</v>
      </c>
      <c r="H118" s="30" t="s">
        <v>3226</v>
      </c>
      <c r="I118" s="414">
        <v>25016</v>
      </c>
      <c r="J118" s="867">
        <f t="shared" si="1"/>
        <v>22014</v>
      </c>
      <c r="K118" s="30" t="s">
        <v>17</v>
      </c>
      <c r="L118" s="868">
        <v>45349</v>
      </c>
      <c r="R118" s="14" t="s">
        <v>989</v>
      </c>
      <c r="S118" s="14">
        <v>0.8208333333333333</v>
      </c>
      <c r="T118" s="14">
        <v>0.93888888888888899</v>
      </c>
    </row>
    <row r="119" spans="1:20" hidden="1" x14ac:dyDescent="0.25">
      <c r="A119" s="430" t="s">
        <v>3259</v>
      </c>
      <c r="B119" t="s">
        <v>1720</v>
      </c>
      <c r="C119" s="220" t="s">
        <v>13</v>
      </c>
      <c r="D119" s="359">
        <v>45261</v>
      </c>
      <c r="F119" s="28" t="s">
        <v>545</v>
      </c>
      <c r="G119" s="30" t="s">
        <v>3292</v>
      </c>
      <c r="H119" s="30" t="s">
        <v>3293</v>
      </c>
      <c r="I119" s="313">
        <v>25016</v>
      </c>
      <c r="J119" s="867">
        <f t="shared" si="1"/>
        <v>22014</v>
      </c>
      <c r="K119" s="30" t="s">
        <v>17</v>
      </c>
      <c r="L119" s="868">
        <v>45349</v>
      </c>
      <c r="R119" s="14" t="s">
        <v>989</v>
      </c>
      <c r="S119" s="14">
        <v>0.77916666666666667</v>
      </c>
      <c r="T119" s="14">
        <v>0.90625</v>
      </c>
    </row>
    <row r="120" spans="1:20" hidden="1" x14ac:dyDescent="0.25">
      <c r="A120" s="430" t="s">
        <v>3275</v>
      </c>
      <c r="B120" t="s">
        <v>1720</v>
      </c>
      <c r="C120" s="220" t="s">
        <v>3294</v>
      </c>
      <c r="D120" s="359">
        <v>45266</v>
      </c>
      <c r="F120" s="28" t="s">
        <v>545</v>
      </c>
      <c r="G120" s="30" t="s">
        <v>3296</v>
      </c>
      <c r="H120" s="30" t="s">
        <v>3297</v>
      </c>
      <c r="I120" s="236">
        <v>25016</v>
      </c>
      <c r="J120" s="867">
        <f t="shared" si="1"/>
        <v>22014</v>
      </c>
      <c r="K120" s="30" t="s">
        <v>17</v>
      </c>
      <c r="L120" s="868">
        <v>45349</v>
      </c>
      <c r="R120" s="14" t="s">
        <v>2148</v>
      </c>
      <c r="S120" s="14">
        <v>0.77847222222222223</v>
      </c>
      <c r="T120" s="14">
        <v>0.84236111111111101</v>
      </c>
    </row>
    <row r="121" spans="1:20" hidden="1" x14ac:dyDescent="0.25">
      <c r="A121" s="430" t="s">
        <v>3295</v>
      </c>
      <c r="B121" t="s">
        <v>1720</v>
      </c>
      <c r="C121" s="220" t="s">
        <v>278</v>
      </c>
      <c r="D121" s="359">
        <v>45267</v>
      </c>
      <c r="F121" s="28" t="s">
        <v>545</v>
      </c>
      <c r="G121" s="30" t="s">
        <v>3314</v>
      </c>
      <c r="H121" s="30" t="s">
        <v>3340</v>
      </c>
      <c r="I121" s="236">
        <v>25016</v>
      </c>
      <c r="J121" s="867">
        <f t="shared" si="1"/>
        <v>22014</v>
      </c>
      <c r="K121" s="30" t="s">
        <v>17</v>
      </c>
      <c r="L121" s="868">
        <v>45349</v>
      </c>
      <c r="R121" s="14" t="s">
        <v>3151</v>
      </c>
      <c r="S121" s="14"/>
      <c r="T121" s="14"/>
    </row>
    <row r="122" spans="1:20" hidden="1" x14ac:dyDescent="0.25">
      <c r="A122" s="256">
        <v>12122023</v>
      </c>
      <c r="B122" t="s">
        <v>1720</v>
      </c>
      <c r="C122" s="220" t="s">
        <v>410</v>
      </c>
      <c r="D122" s="359">
        <v>45272</v>
      </c>
      <c r="F122" s="28" t="s">
        <v>545</v>
      </c>
      <c r="G122" s="30" t="s">
        <v>3313</v>
      </c>
      <c r="H122" s="30" t="s">
        <v>3339</v>
      </c>
      <c r="I122" s="236">
        <v>25016</v>
      </c>
      <c r="J122" s="867">
        <f t="shared" si="1"/>
        <v>22014</v>
      </c>
      <c r="K122" s="30" t="s">
        <v>17</v>
      </c>
      <c r="L122" s="868">
        <v>45349</v>
      </c>
      <c r="R122" s="14" t="s">
        <v>3151</v>
      </c>
      <c r="S122" s="14">
        <v>0.71805555555555556</v>
      </c>
      <c r="T122" s="14">
        <v>0.84375</v>
      </c>
    </row>
    <row r="123" spans="1:20" hidden="1" x14ac:dyDescent="0.25">
      <c r="A123" s="430" t="s">
        <v>3310</v>
      </c>
      <c r="B123" t="s">
        <v>1720</v>
      </c>
      <c r="C123" s="220" t="s">
        <v>278</v>
      </c>
      <c r="D123" s="359">
        <v>45273</v>
      </c>
      <c r="F123" s="28" t="s">
        <v>545</v>
      </c>
      <c r="G123" s="30" t="s">
        <v>3312</v>
      </c>
      <c r="H123" s="30" t="s">
        <v>3338</v>
      </c>
      <c r="I123" s="236">
        <v>34456</v>
      </c>
      <c r="J123" s="867">
        <f t="shared" si="1"/>
        <v>30321</v>
      </c>
      <c r="K123" s="30" t="s">
        <v>17</v>
      </c>
      <c r="L123" s="868">
        <v>45349</v>
      </c>
      <c r="R123" s="14" t="s">
        <v>1042</v>
      </c>
      <c r="S123" s="14">
        <v>0.89861111111111114</v>
      </c>
      <c r="T123" s="14">
        <v>0.10277777777777779</v>
      </c>
    </row>
    <row r="124" spans="1:20" hidden="1" x14ac:dyDescent="0.25">
      <c r="A124" s="430" t="s">
        <v>3330</v>
      </c>
      <c r="B124" t="s">
        <v>1720</v>
      </c>
      <c r="C124" s="220" t="s">
        <v>278</v>
      </c>
      <c r="D124" s="359">
        <v>45278</v>
      </c>
      <c r="F124" s="28" t="s">
        <v>545</v>
      </c>
      <c r="G124" s="30" t="s">
        <v>3361</v>
      </c>
      <c r="H124" s="30" t="s">
        <v>3362</v>
      </c>
      <c r="I124" s="313">
        <v>25016</v>
      </c>
      <c r="J124" s="867">
        <f t="shared" si="1"/>
        <v>22014</v>
      </c>
      <c r="K124" s="30" t="s">
        <v>17</v>
      </c>
      <c r="L124" s="868">
        <v>45349</v>
      </c>
      <c r="R124" s="14" t="s">
        <v>1506</v>
      </c>
      <c r="S124" s="14">
        <v>0.72638888888888886</v>
      </c>
      <c r="T124" s="14">
        <v>0.86111111111111116</v>
      </c>
    </row>
    <row r="125" spans="1:20" hidden="1" x14ac:dyDescent="0.25">
      <c r="A125" s="430" t="s">
        <v>3351</v>
      </c>
      <c r="B125" t="s">
        <v>1720</v>
      </c>
      <c r="C125" s="220" t="s">
        <v>410</v>
      </c>
      <c r="D125" s="359">
        <v>45280</v>
      </c>
      <c r="F125" s="28" t="s">
        <v>545</v>
      </c>
      <c r="G125" s="30" t="s">
        <v>3435</v>
      </c>
      <c r="H125" s="30" t="s">
        <v>3436</v>
      </c>
      <c r="I125" s="236">
        <v>25016</v>
      </c>
      <c r="J125" s="867">
        <f t="shared" si="1"/>
        <v>22014</v>
      </c>
      <c r="K125" s="30" t="s">
        <v>17</v>
      </c>
      <c r="L125" s="868">
        <v>45349</v>
      </c>
      <c r="R125" s="14" t="s">
        <v>3352</v>
      </c>
      <c r="S125" s="14"/>
      <c r="T125" s="14"/>
    </row>
    <row r="126" spans="1:20" hidden="1" x14ac:dyDescent="0.25">
      <c r="A126" s="430" t="s">
        <v>3351</v>
      </c>
      <c r="B126" t="s">
        <v>1720</v>
      </c>
      <c r="C126" s="220" t="s">
        <v>278</v>
      </c>
      <c r="D126" s="359">
        <v>45280</v>
      </c>
      <c r="F126" s="28" t="s">
        <v>545</v>
      </c>
      <c r="G126" s="30" t="s">
        <v>3433</v>
      </c>
      <c r="H126" s="30" t="s">
        <v>3420</v>
      </c>
      <c r="I126" s="870">
        <v>34456</v>
      </c>
      <c r="J126" s="3">
        <f t="shared" si="1"/>
        <v>30321</v>
      </c>
      <c r="K126" s="236" t="s">
        <v>17</v>
      </c>
      <c r="L126" s="871">
        <v>45358</v>
      </c>
      <c r="R126" s="14" t="s">
        <v>916</v>
      </c>
      <c r="S126" s="14"/>
      <c r="T126" s="14"/>
    </row>
    <row r="127" spans="1:20" hidden="1" x14ac:dyDescent="0.25">
      <c r="A127" s="430" t="s">
        <v>3368</v>
      </c>
      <c r="B127" t="s">
        <v>1856</v>
      </c>
      <c r="C127" s="220" t="s">
        <v>410</v>
      </c>
      <c r="D127" s="359">
        <v>45282</v>
      </c>
      <c r="F127" s="28" t="s">
        <v>545</v>
      </c>
      <c r="G127" s="30" t="s">
        <v>3430</v>
      </c>
      <c r="H127" s="30" t="s">
        <v>3431</v>
      </c>
      <c r="I127" s="236">
        <v>25016</v>
      </c>
      <c r="J127" s="867">
        <f t="shared" si="1"/>
        <v>22014</v>
      </c>
      <c r="K127" s="30" t="s">
        <v>17</v>
      </c>
      <c r="L127" s="868">
        <v>45349</v>
      </c>
      <c r="R127" s="14" t="s">
        <v>3376</v>
      </c>
      <c r="S127" s="14">
        <v>0.76388888888888884</v>
      </c>
      <c r="T127" s="14">
        <v>0.87916666666666676</v>
      </c>
    </row>
    <row r="128" spans="1:20" hidden="1" x14ac:dyDescent="0.25">
      <c r="A128" s="430" t="s">
        <v>3406</v>
      </c>
      <c r="B128" t="s">
        <v>1856</v>
      </c>
      <c r="C128" s="220" t="s">
        <v>13</v>
      </c>
      <c r="D128" s="359">
        <v>45656</v>
      </c>
      <c r="F128" s="28" t="s">
        <v>545</v>
      </c>
      <c r="G128" s="30" t="s">
        <v>3434</v>
      </c>
      <c r="H128" s="30" t="s">
        <v>3437</v>
      </c>
      <c r="I128" s="236">
        <v>25016</v>
      </c>
      <c r="J128" s="867">
        <f t="shared" si="1"/>
        <v>22014</v>
      </c>
      <c r="K128" s="30" t="s">
        <v>17</v>
      </c>
      <c r="L128" s="868">
        <v>45349</v>
      </c>
      <c r="R128" s="14" t="s">
        <v>3151</v>
      </c>
      <c r="S128" s="14">
        <v>0.7104166666666667</v>
      </c>
      <c r="T128" s="14">
        <v>0.8256944444444444</v>
      </c>
    </row>
    <row r="129" spans="1:20" hidden="1" x14ac:dyDescent="0.25">
      <c r="A129" s="483" t="s">
        <v>3454</v>
      </c>
      <c r="B129" s="30" t="s">
        <v>1720</v>
      </c>
      <c r="C129" s="529" t="s">
        <v>3414</v>
      </c>
      <c r="D129" s="233">
        <v>45295</v>
      </c>
      <c r="F129" s="28" t="s">
        <v>545</v>
      </c>
      <c r="G129" s="30" t="s">
        <v>3475</v>
      </c>
      <c r="H129" s="30" t="s">
        <v>4045</v>
      </c>
      <c r="I129" s="869">
        <v>34456</v>
      </c>
      <c r="J129" s="3">
        <f t="shared" si="1"/>
        <v>30321</v>
      </c>
      <c r="K129" s="236" t="s">
        <v>17</v>
      </c>
      <c r="L129" s="871">
        <v>45358</v>
      </c>
      <c r="R129" s="14" t="s">
        <v>1029</v>
      </c>
      <c r="S129" s="360">
        <v>0.44513888888888892</v>
      </c>
      <c r="T129" s="360">
        <v>0.62430555555555556</v>
      </c>
    </row>
    <row r="130" spans="1:20" hidden="1" x14ac:dyDescent="0.25">
      <c r="A130" s="483" t="s">
        <v>3462</v>
      </c>
      <c r="B130" s="30" t="s">
        <v>1720</v>
      </c>
      <c r="C130" s="529" t="s">
        <v>1604</v>
      </c>
      <c r="D130" s="233">
        <v>45299</v>
      </c>
      <c r="F130" s="28" t="s">
        <v>545</v>
      </c>
      <c r="G130" s="30" t="s">
        <v>3552</v>
      </c>
      <c r="H130" s="30" t="s">
        <v>3553</v>
      </c>
      <c r="I130" s="251">
        <v>25016</v>
      </c>
      <c r="J130" s="867">
        <f t="shared" si="1"/>
        <v>22014</v>
      </c>
      <c r="K130" s="30" t="s">
        <v>17</v>
      </c>
      <c r="L130" s="868">
        <v>45349</v>
      </c>
      <c r="R130" s="14" t="s">
        <v>3458</v>
      </c>
      <c r="S130" s="360">
        <v>0.50277777777777777</v>
      </c>
      <c r="T130" s="360">
        <v>0.67152777777777783</v>
      </c>
    </row>
    <row r="131" spans="1:20" hidden="1" x14ac:dyDescent="0.25">
      <c r="A131" s="483" t="s">
        <v>3462</v>
      </c>
      <c r="B131" s="30" t="s">
        <v>1720</v>
      </c>
      <c r="C131" s="529" t="s">
        <v>3414</v>
      </c>
      <c r="D131" s="233">
        <v>45299</v>
      </c>
      <c r="F131" s="28" t="s">
        <v>545</v>
      </c>
      <c r="G131" s="30" t="s">
        <v>3549</v>
      </c>
      <c r="H131" s="30" t="s">
        <v>3550</v>
      </c>
      <c r="I131" s="251">
        <v>25016</v>
      </c>
      <c r="J131" s="867">
        <f t="shared" ref="J131:J194" si="2">+I131-ROUND(I131*0.12,0)</f>
        <v>22014</v>
      </c>
      <c r="K131" s="30" t="s">
        <v>17</v>
      </c>
      <c r="L131" s="868">
        <v>45349</v>
      </c>
      <c r="R131" s="14" t="s">
        <v>3463</v>
      </c>
      <c r="S131" s="360">
        <v>0.7944444444444444</v>
      </c>
      <c r="T131" s="360">
        <v>0.92222222222222217</v>
      </c>
    </row>
    <row r="132" spans="1:20" hidden="1" x14ac:dyDescent="0.25">
      <c r="A132" s="483">
        <v>12012024</v>
      </c>
      <c r="B132" s="30" t="s">
        <v>1720</v>
      </c>
      <c r="C132" s="529" t="s">
        <v>3414</v>
      </c>
      <c r="D132" s="233">
        <v>45303</v>
      </c>
      <c r="F132" s="28" t="s">
        <v>545</v>
      </c>
      <c r="G132" s="30" t="s">
        <v>3562</v>
      </c>
      <c r="H132" s="30" t="s">
        <v>3551</v>
      </c>
      <c r="I132" s="251">
        <v>25016</v>
      </c>
      <c r="J132" s="872">
        <f t="shared" si="2"/>
        <v>22014</v>
      </c>
      <c r="K132" s="30" t="s">
        <v>17</v>
      </c>
      <c r="L132" s="873">
        <v>45377</v>
      </c>
      <c r="R132" s="14" t="s">
        <v>3517</v>
      </c>
      <c r="S132" s="360">
        <v>0.95347222222222217</v>
      </c>
      <c r="T132" s="360">
        <v>0.57500000000000007</v>
      </c>
    </row>
    <row r="133" spans="1:20" hidden="1" x14ac:dyDescent="0.25">
      <c r="A133" s="483">
        <v>15012024</v>
      </c>
      <c r="B133" s="30" t="s">
        <v>1720</v>
      </c>
      <c r="C133" s="529" t="s">
        <v>3367</v>
      </c>
      <c r="D133" s="233">
        <v>1477</v>
      </c>
      <c r="F133" s="28" t="s">
        <v>545</v>
      </c>
      <c r="G133" s="30" t="s">
        <v>3584</v>
      </c>
      <c r="H133" s="30" t="s">
        <v>3586</v>
      </c>
      <c r="I133" s="251">
        <v>25016</v>
      </c>
      <c r="J133" s="872">
        <f t="shared" si="2"/>
        <v>22014</v>
      </c>
      <c r="K133" s="30" t="s">
        <v>17</v>
      </c>
      <c r="L133" s="873">
        <v>45377</v>
      </c>
      <c r="R133" s="14" t="s">
        <v>3369</v>
      </c>
      <c r="S133" s="360">
        <v>0.6791666666666667</v>
      </c>
      <c r="T133" s="360">
        <v>0.90069444444444446</v>
      </c>
    </row>
    <row r="134" spans="1:20" hidden="1" x14ac:dyDescent="0.25">
      <c r="A134" s="483">
        <v>17012024</v>
      </c>
      <c r="B134" s="30" t="s">
        <v>1720</v>
      </c>
      <c r="C134" s="529" t="s">
        <v>3367</v>
      </c>
      <c r="D134" s="233">
        <v>45308</v>
      </c>
      <c r="F134" s="28" t="s">
        <v>545</v>
      </c>
      <c r="G134" s="30" t="s">
        <v>3585</v>
      </c>
      <c r="H134" s="30" t="s">
        <v>3587</v>
      </c>
      <c r="I134" s="251">
        <v>25016</v>
      </c>
      <c r="J134" s="872">
        <f t="shared" si="2"/>
        <v>22014</v>
      </c>
      <c r="K134" s="30" t="s">
        <v>17</v>
      </c>
      <c r="L134" s="873">
        <v>45377</v>
      </c>
      <c r="R134" s="14" t="s">
        <v>3369</v>
      </c>
      <c r="S134" s="360">
        <v>0.66180555555555554</v>
      </c>
      <c r="T134" s="360">
        <v>0.78819444444444453</v>
      </c>
    </row>
    <row r="135" spans="1:20" hidden="1" x14ac:dyDescent="0.25">
      <c r="A135" s="483">
        <v>25012024</v>
      </c>
      <c r="B135" s="30" t="s">
        <v>1720</v>
      </c>
      <c r="C135" s="529" t="s">
        <v>3414</v>
      </c>
      <c r="D135" s="233">
        <v>45316</v>
      </c>
      <c r="F135" s="28" t="s">
        <v>545</v>
      </c>
      <c r="G135" s="30" t="s">
        <v>3703</v>
      </c>
      <c r="H135" s="30" t="s">
        <v>3702</v>
      </c>
      <c r="I135" s="237">
        <v>34456</v>
      </c>
      <c r="J135" s="872">
        <f t="shared" si="2"/>
        <v>30321</v>
      </c>
      <c r="K135" s="30" t="s">
        <v>17</v>
      </c>
      <c r="L135" s="873">
        <v>45377</v>
      </c>
      <c r="R135" s="14" t="s">
        <v>2037</v>
      </c>
      <c r="S135" s="360"/>
      <c r="T135" s="360"/>
    </row>
    <row r="136" spans="1:20" hidden="1" x14ac:dyDescent="0.25">
      <c r="A136" s="483">
        <v>29012024</v>
      </c>
      <c r="B136" s="30" t="s">
        <v>2970</v>
      </c>
      <c r="C136" s="529" t="s">
        <v>410</v>
      </c>
      <c r="D136" s="233">
        <v>45320</v>
      </c>
      <c r="F136" s="28" t="s">
        <v>545</v>
      </c>
      <c r="G136" s="169" t="s">
        <v>3688</v>
      </c>
      <c r="H136" s="30" t="s">
        <v>3689</v>
      </c>
      <c r="I136" s="251">
        <v>25016</v>
      </c>
      <c r="J136" s="872">
        <f t="shared" si="2"/>
        <v>22014</v>
      </c>
      <c r="K136" s="30" t="s">
        <v>17</v>
      </c>
      <c r="L136" s="873">
        <v>45377</v>
      </c>
      <c r="R136" s="14" t="s">
        <v>3572</v>
      </c>
      <c r="S136" s="360"/>
      <c r="T136" s="360"/>
    </row>
    <row r="137" spans="1:20" s="21" customFormat="1" ht="14.1" hidden="1" customHeight="1" x14ac:dyDescent="0.25">
      <c r="A137" s="509">
        <v>30012024</v>
      </c>
      <c r="B137" s="169" t="s">
        <v>1720</v>
      </c>
      <c r="C137" s="529" t="s">
        <v>3414</v>
      </c>
      <c r="D137" s="510">
        <v>45321</v>
      </c>
      <c r="F137" s="28" t="s">
        <v>545</v>
      </c>
      <c r="G137" s="30" t="s">
        <v>3690</v>
      </c>
      <c r="H137" s="169" t="s">
        <v>3691</v>
      </c>
      <c r="I137" s="465">
        <v>34456</v>
      </c>
      <c r="J137" s="872">
        <f t="shared" si="2"/>
        <v>30321</v>
      </c>
      <c r="K137" s="30" t="s">
        <v>17</v>
      </c>
      <c r="L137" s="873">
        <v>45377</v>
      </c>
      <c r="R137" s="157" t="s">
        <v>2050</v>
      </c>
      <c r="S137" s="488">
        <v>0.81597222222222221</v>
      </c>
      <c r="T137" s="488">
        <v>1.0416666666666666E-2</v>
      </c>
    </row>
    <row r="138" spans="1:20" s="21" customFormat="1" hidden="1" x14ac:dyDescent="0.25">
      <c r="A138" s="509">
        <v>31012024</v>
      </c>
      <c r="B138" s="169" t="s">
        <v>1720</v>
      </c>
      <c r="C138" s="529" t="s">
        <v>410</v>
      </c>
      <c r="D138" s="510">
        <v>45322</v>
      </c>
      <c r="F138" s="28" t="s">
        <v>545</v>
      </c>
      <c r="G138" s="30" t="s">
        <v>3692</v>
      </c>
      <c r="H138" s="21" t="s">
        <v>3693</v>
      </c>
      <c r="I138" s="251">
        <v>25016</v>
      </c>
      <c r="J138" s="872">
        <f t="shared" si="2"/>
        <v>22014</v>
      </c>
      <c r="K138" s="30" t="s">
        <v>17</v>
      </c>
      <c r="L138" s="873">
        <v>45377</v>
      </c>
      <c r="R138" s="157" t="s">
        <v>922</v>
      </c>
      <c r="S138" s="488"/>
      <c r="T138" s="488"/>
    </row>
    <row r="139" spans="1:20" hidden="1" x14ac:dyDescent="0.25">
      <c r="A139" s="509" t="s">
        <v>3661</v>
      </c>
      <c r="B139" s="30" t="s">
        <v>1720</v>
      </c>
      <c r="C139" s="529" t="s">
        <v>3546</v>
      </c>
      <c r="D139" s="233">
        <v>45324</v>
      </c>
      <c r="F139" s="28" t="s">
        <v>545</v>
      </c>
      <c r="G139" s="30" t="s">
        <v>3694</v>
      </c>
      <c r="H139" s="30" t="s">
        <v>3695</v>
      </c>
      <c r="I139" s="251">
        <v>25016</v>
      </c>
      <c r="J139" s="872">
        <f t="shared" si="2"/>
        <v>22014</v>
      </c>
      <c r="K139" s="30" t="s">
        <v>17</v>
      </c>
      <c r="L139" s="873">
        <v>45377</v>
      </c>
      <c r="R139" s="14" t="s">
        <v>922</v>
      </c>
      <c r="S139" s="360">
        <v>0.74652777777777779</v>
      </c>
      <c r="T139" s="360">
        <v>0.88611111111111107</v>
      </c>
    </row>
    <row r="140" spans="1:20" hidden="1" x14ac:dyDescent="0.25">
      <c r="A140" s="509" t="s">
        <v>3661</v>
      </c>
      <c r="B140" s="30" t="s">
        <v>1720</v>
      </c>
      <c r="C140" s="529" t="s">
        <v>1604</v>
      </c>
      <c r="D140" s="233">
        <v>45324</v>
      </c>
      <c r="F140" s="28" t="s">
        <v>545</v>
      </c>
      <c r="G140" s="30" t="s">
        <v>3696</v>
      </c>
      <c r="H140" s="30" t="s">
        <v>3697</v>
      </c>
      <c r="I140" s="251">
        <v>25016</v>
      </c>
      <c r="J140" s="872">
        <f t="shared" si="2"/>
        <v>22014</v>
      </c>
      <c r="K140" s="30" t="s">
        <v>17</v>
      </c>
      <c r="L140" s="873">
        <v>45377</v>
      </c>
      <c r="R140" s="14" t="s">
        <v>3668</v>
      </c>
      <c r="S140" s="360">
        <v>0.71805555555555556</v>
      </c>
      <c r="T140" s="360">
        <v>0.78055555555555556</v>
      </c>
    </row>
    <row r="141" spans="1:20" hidden="1" x14ac:dyDescent="0.25">
      <c r="A141" s="509" t="s">
        <v>3669</v>
      </c>
      <c r="B141" s="30" t="s">
        <v>1720</v>
      </c>
      <c r="C141" s="529" t="s">
        <v>3546</v>
      </c>
      <c r="D141" s="233">
        <v>45325</v>
      </c>
      <c r="F141" s="28" t="s">
        <v>545</v>
      </c>
      <c r="G141" s="30" t="s">
        <v>3687</v>
      </c>
      <c r="H141" s="30" t="s">
        <v>3698</v>
      </c>
      <c r="I141" s="465">
        <v>34456</v>
      </c>
      <c r="J141" s="872">
        <f t="shared" si="2"/>
        <v>30321</v>
      </c>
      <c r="K141" s="30" t="s">
        <v>17</v>
      </c>
      <c r="L141" s="873">
        <v>45377</v>
      </c>
      <c r="R141" s="14" t="s">
        <v>916</v>
      </c>
      <c r="S141" s="360">
        <v>0.26597222222222222</v>
      </c>
      <c r="T141" s="360">
        <v>0.43541666666666662</v>
      </c>
    </row>
    <row r="142" spans="1:20" hidden="1" x14ac:dyDescent="0.25">
      <c r="A142" s="509" t="s">
        <v>3669</v>
      </c>
      <c r="B142" s="30" t="s">
        <v>1720</v>
      </c>
      <c r="C142" s="529" t="s">
        <v>809</v>
      </c>
      <c r="D142" s="233">
        <v>45325</v>
      </c>
      <c r="F142" s="28" t="s">
        <v>545</v>
      </c>
      <c r="G142" s="30" t="s">
        <v>3686</v>
      </c>
      <c r="H142" s="30" t="s">
        <v>3699</v>
      </c>
      <c r="I142" s="251">
        <v>25016</v>
      </c>
      <c r="J142" s="872">
        <f t="shared" si="2"/>
        <v>22014</v>
      </c>
      <c r="K142" s="30" t="s">
        <v>17</v>
      </c>
      <c r="L142" s="873">
        <v>45377</v>
      </c>
      <c r="R142" s="14" t="s">
        <v>3668</v>
      </c>
      <c r="S142" s="360">
        <v>0.72152777777777777</v>
      </c>
      <c r="T142" s="360">
        <v>0.77986111111111101</v>
      </c>
    </row>
    <row r="143" spans="1:20" hidden="1" x14ac:dyDescent="0.25">
      <c r="A143" s="509" t="s">
        <v>1863</v>
      </c>
      <c r="B143" s="30" t="s">
        <v>1720</v>
      </c>
      <c r="C143" s="529" t="s">
        <v>13</v>
      </c>
      <c r="D143" s="233">
        <v>45329</v>
      </c>
      <c r="F143" s="28" t="s">
        <v>545</v>
      </c>
      <c r="G143" s="30" t="s">
        <v>3685</v>
      </c>
      <c r="H143" s="30" t="s">
        <v>3700</v>
      </c>
      <c r="I143" s="237">
        <v>34456</v>
      </c>
      <c r="J143" s="872">
        <f t="shared" si="2"/>
        <v>30321</v>
      </c>
      <c r="K143" s="30" t="s">
        <v>17</v>
      </c>
      <c r="L143" s="873">
        <v>45377</v>
      </c>
      <c r="R143" s="14" t="s">
        <v>1506</v>
      </c>
      <c r="S143" s="360">
        <v>0.71944444444444444</v>
      </c>
      <c r="T143" s="360">
        <v>0.90486111111111101</v>
      </c>
    </row>
    <row r="144" spans="1:20" hidden="1" x14ac:dyDescent="0.25">
      <c r="A144" s="509" t="s">
        <v>1864</v>
      </c>
      <c r="B144" s="30" t="s">
        <v>1720</v>
      </c>
      <c r="C144" s="529" t="s">
        <v>410</v>
      </c>
      <c r="D144" s="233">
        <v>45330</v>
      </c>
      <c r="F144" s="28" t="s">
        <v>545</v>
      </c>
      <c r="G144" s="30" t="s">
        <v>3684</v>
      </c>
      <c r="H144" s="30" t="s">
        <v>3701</v>
      </c>
      <c r="I144" s="236">
        <v>25016</v>
      </c>
      <c r="J144" s="872">
        <f t="shared" si="2"/>
        <v>22014</v>
      </c>
      <c r="K144" s="30" t="s">
        <v>17</v>
      </c>
      <c r="L144" s="873">
        <v>45377</v>
      </c>
      <c r="R144" s="14" t="s">
        <v>3151</v>
      </c>
      <c r="S144" s="360">
        <v>0.7104166666666667</v>
      </c>
      <c r="T144" s="360">
        <v>0.82777777777777783</v>
      </c>
    </row>
    <row r="145" spans="1:20" hidden="1" x14ac:dyDescent="0.25">
      <c r="A145" s="509" t="s">
        <v>1869</v>
      </c>
      <c r="B145" s="30" t="s">
        <v>1720</v>
      </c>
      <c r="C145" s="529" t="s">
        <v>809</v>
      </c>
      <c r="D145" s="233">
        <v>45331</v>
      </c>
      <c r="F145" s="28" t="s">
        <v>545</v>
      </c>
      <c r="G145" s="30" t="s">
        <v>3682</v>
      </c>
      <c r="H145" s="30" t="s">
        <v>3683</v>
      </c>
      <c r="I145" s="237">
        <v>25016</v>
      </c>
      <c r="J145" s="872">
        <f t="shared" si="2"/>
        <v>22014</v>
      </c>
      <c r="K145" s="30" t="s">
        <v>17</v>
      </c>
      <c r="L145" s="873">
        <v>45377</v>
      </c>
      <c r="R145" s="14" t="s">
        <v>2148</v>
      </c>
      <c r="S145" s="360">
        <v>0.55902777777777779</v>
      </c>
      <c r="T145" s="360"/>
    </row>
    <row r="146" spans="1:20" hidden="1" x14ac:dyDescent="0.25">
      <c r="A146" s="509">
        <v>12022023</v>
      </c>
      <c r="B146" s="30" t="s">
        <v>1720</v>
      </c>
      <c r="C146" s="529" t="s">
        <v>809</v>
      </c>
      <c r="D146" s="233">
        <v>45334</v>
      </c>
      <c r="F146" s="28" t="s">
        <v>545</v>
      </c>
      <c r="G146" s="30" t="s">
        <v>3771</v>
      </c>
      <c r="H146" s="30" t="s">
        <v>3772</v>
      </c>
      <c r="I146" s="237">
        <v>25016</v>
      </c>
      <c r="J146" s="872">
        <f t="shared" si="2"/>
        <v>22014</v>
      </c>
      <c r="K146" s="30" t="s">
        <v>17</v>
      </c>
      <c r="L146" s="873">
        <v>45377</v>
      </c>
      <c r="R146" s="14" t="s">
        <v>2148</v>
      </c>
      <c r="S146" s="360">
        <v>0.71875</v>
      </c>
      <c r="T146" s="360">
        <v>0.77777777777777779</v>
      </c>
    </row>
    <row r="147" spans="1:20" hidden="1" x14ac:dyDescent="0.25">
      <c r="A147" s="509">
        <v>14022024</v>
      </c>
      <c r="B147" s="30" t="s">
        <v>1720</v>
      </c>
      <c r="C147" s="28" t="s">
        <v>410</v>
      </c>
      <c r="D147" s="233">
        <v>45336</v>
      </c>
      <c r="F147" s="28" t="s">
        <v>545</v>
      </c>
      <c r="G147" s="30" t="s">
        <v>3770</v>
      </c>
      <c r="H147" s="30" t="s">
        <v>3773</v>
      </c>
      <c r="I147" s="237">
        <v>25016</v>
      </c>
      <c r="J147" s="872">
        <f t="shared" si="2"/>
        <v>22014</v>
      </c>
      <c r="K147" s="30" t="s">
        <v>17</v>
      </c>
      <c r="L147" s="873">
        <v>45377</v>
      </c>
      <c r="R147" s="14" t="s">
        <v>916</v>
      </c>
      <c r="S147" s="360">
        <v>0.34097222222222223</v>
      </c>
      <c r="T147" s="360">
        <v>0.46111111111111108</v>
      </c>
    </row>
    <row r="148" spans="1:20" hidden="1" x14ac:dyDescent="0.25">
      <c r="A148" s="509">
        <v>22022024</v>
      </c>
      <c r="B148" s="30" t="s">
        <v>1720</v>
      </c>
      <c r="C148" s="28" t="s">
        <v>809</v>
      </c>
      <c r="D148" s="233">
        <v>45344</v>
      </c>
      <c r="F148" s="28" t="s">
        <v>545</v>
      </c>
      <c r="G148" s="30" t="s">
        <v>3769</v>
      </c>
      <c r="H148" s="30" t="s">
        <v>3774</v>
      </c>
      <c r="I148" s="237">
        <v>25016</v>
      </c>
      <c r="J148" s="872">
        <f t="shared" si="2"/>
        <v>22014</v>
      </c>
      <c r="K148" s="30" t="s">
        <v>17</v>
      </c>
      <c r="L148" s="873">
        <v>45377</v>
      </c>
      <c r="R148" s="14" t="s">
        <v>3765</v>
      </c>
      <c r="S148" s="360">
        <v>0.68680555555555556</v>
      </c>
      <c r="T148" s="360">
        <v>0.8305555555555556</v>
      </c>
    </row>
    <row r="149" spans="1:20" hidden="1" x14ac:dyDescent="0.25">
      <c r="A149" s="509">
        <v>23022024</v>
      </c>
      <c r="B149" s="30" t="s">
        <v>1720</v>
      </c>
      <c r="C149" s="28" t="s">
        <v>809</v>
      </c>
      <c r="D149" s="233">
        <v>45345</v>
      </c>
      <c r="F149" s="28" t="s">
        <v>3768</v>
      </c>
      <c r="G149" s="30" t="s">
        <v>3786</v>
      </c>
      <c r="H149" s="30" t="s">
        <v>3787</v>
      </c>
      <c r="I149" s="237">
        <v>25016</v>
      </c>
      <c r="J149" s="875">
        <f t="shared" si="2"/>
        <v>22014</v>
      </c>
      <c r="K149" s="30" t="s">
        <v>17</v>
      </c>
      <c r="L149" s="874">
        <v>45394</v>
      </c>
      <c r="R149" s="14" t="s">
        <v>3765</v>
      </c>
      <c r="S149" s="360"/>
      <c r="T149" s="360"/>
    </row>
    <row r="150" spans="1:20" hidden="1" x14ac:dyDescent="0.25">
      <c r="A150" s="509">
        <v>24022024</v>
      </c>
      <c r="B150" s="30" t="s">
        <v>1720</v>
      </c>
      <c r="C150" s="28" t="s">
        <v>410</v>
      </c>
      <c r="D150" s="233">
        <v>45346</v>
      </c>
      <c r="F150" s="28" t="s">
        <v>545</v>
      </c>
      <c r="G150" s="30" t="s">
        <v>3785</v>
      </c>
      <c r="H150" s="30" t="s">
        <v>3659</v>
      </c>
      <c r="I150" s="237">
        <v>25016</v>
      </c>
      <c r="J150" s="875">
        <f t="shared" si="2"/>
        <v>22014</v>
      </c>
      <c r="K150" s="30" t="s">
        <v>17</v>
      </c>
      <c r="L150" s="874">
        <v>45394</v>
      </c>
      <c r="R150" s="14" t="s">
        <v>3151</v>
      </c>
      <c r="S150" s="360">
        <v>0.19027777777777777</v>
      </c>
      <c r="T150" s="360">
        <v>0.8208333333333333</v>
      </c>
    </row>
    <row r="151" spans="1:20" hidden="1" x14ac:dyDescent="0.25">
      <c r="A151" s="509" t="s">
        <v>3800</v>
      </c>
      <c r="B151" s="30" t="s">
        <v>1720</v>
      </c>
      <c r="C151" s="28" t="s">
        <v>809</v>
      </c>
      <c r="D151" s="233">
        <v>45352</v>
      </c>
      <c r="F151" s="28" t="s">
        <v>545</v>
      </c>
      <c r="G151" s="30" t="s">
        <v>3814</v>
      </c>
      <c r="H151" s="30" t="s">
        <v>3815</v>
      </c>
      <c r="I151" s="251">
        <v>25016</v>
      </c>
      <c r="J151" s="875">
        <f t="shared" si="2"/>
        <v>22014</v>
      </c>
      <c r="K151" s="30" t="s">
        <v>17</v>
      </c>
      <c r="L151" s="874">
        <v>45394</v>
      </c>
      <c r="R151" s="14" t="s">
        <v>3668</v>
      </c>
      <c r="S151" s="360">
        <v>0.63958333333333328</v>
      </c>
      <c r="T151" s="360"/>
    </row>
    <row r="152" spans="1:20" hidden="1" x14ac:dyDescent="0.25">
      <c r="A152" s="509" t="s">
        <v>3800</v>
      </c>
      <c r="B152" s="30" t="s">
        <v>1720</v>
      </c>
      <c r="C152" s="28" t="s">
        <v>410</v>
      </c>
      <c r="D152" s="233">
        <v>45352</v>
      </c>
      <c r="F152" s="28" t="s">
        <v>545</v>
      </c>
      <c r="G152" s="30" t="s">
        <v>3817</v>
      </c>
      <c r="H152" s="30" t="s">
        <v>3816</v>
      </c>
      <c r="I152" s="251">
        <v>25016</v>
      </c>
      <c r="J152" s="875">
        <f t="shared" si="2"/>
        <v>22014</v>
      </c>
      <c r="K152" s="30" t="s">
        <v>17</v>
      </c>
      <c r="L152" s="874">
        <v>45394</v>
      </c>
      <c r="R152" s="14" t="s">
        <v>3151</v>
      </c>
      <c r="S152" s="360"/>
      <c r="T152" s="360"/>
    </row>
    <row r="153" spans="1:20" hidden="1" x14ac:dyDescent="0.25">
      <c r="A153" s="509" t="s">
        <v>3804</v>
      </c>
      <c r="B153" s="30" t="s">
        <v>1720</v>
      </c>
      <c r="C153" s="28" t="s">
        <v>410</v>
      </c>
      <c r="D153" s="233">
        <v>45353</v>
      </c>
      <c r="F153" s="28" t="s">
        <v>545</v>
      </c>
      <c r="G153" s="30" t="s">
        <v>3818</v>
      </c>
      <c r="H153" s="30" t="s">
        <v>3822</v>
      </c>
      <c r="I153" s="251">
        <v>25016</v>
      </c>
      <c r="J153" s="875">
        <f t="shared" si="2"/>
        <v>22014</v>
      </c>
      <c r="K153" s="30" t="s">
        <v>17</v>
      </c>
      <c r="L153" s="874">
        <v>45394</v>
      </c>
      <c r="R153" s="14" t="s">
        <v>2380</v>
      </c>
      <c r="S153" s="360">
        <v>0.72152777777777777</v>
      </c>
      <c r="T153" s="360">
        <v>0.88611111111111107</v>
      </c>
    </row>
    <row r="154" spans="1:20" hidden="1" x14ac:dyDescent="0.25">
      <c r="A154" s="509" t="s">
        <v>3802</v>
      </c>
      <c r="B154" s="30" t="s">
        <v>1720</v>
      </c>
      <c r="C154" s="28" t="s">
        <v>809</v>
      </c>
      <c r="D154" s="233">
        <v>45354</v>
      </c>
      <c r="F154" s="28" t="s">
        <v>545</v>
      </c>
      <c r="G154" s="30" t="s">
        <v>3819</v>
      </c>
      <c r="H154" s="30" t="s">
        <v>3823</v>
      </c>
      <c r="I154" s="237">
        <v>25016</v>
      </c>
      <c r="J154" s="875">
        <f t="shared" si="2"/>
        <v>22014</v>
      </c>
      <c r="K154" s="30" t="s">
        <v>17</v>
      </c>
      <c r="L154" s="874">
        <v>45394</v>
      </c>
      <c r="R154" s="14" t="s">
        <v>3803</v>
      </c>
      <c r="S154" s="360">
        <v>0.32361111111111113</v>
      </c>
      <c r="T154" s="360">
        <v>0.38611111111111113</v>
      </c>
    </row>
    <row r="155" spans="1:20" hidden="1" x14ac:dyDescent="0.25">
      <c r="A155" s="509" t="s">
        <v>3801</v>
      </c>
      <c r="B155" s="30" t="s">
        <v>1720</v>
      </c>
      <c r="C155" s="28" t="s">
        <v>809</v>
      </c>
      <c r="D155" s="233">
        <v>45355</v>
      </c>
      <c r="F155" s="28" t="s">
        <v>545</v>
      </c>
      <c r="G155" s="30" t="s">
        <v>3820</v>
      </c>
      <c r="H155" s="30" t="s">
        <v>3824</v>
      </c>
      <c r="I155" s="237">
        <v>25016</v>
      </c>
      <c r="J155" s="875">
        <f t="shared" si="2"/>
        <v>22014</v>
      </c>
      <c r="K155" s="30" t="s">
        <v>17</v>
      </c>
      <c r="L155" s="874">
        <v>45394</v>
      </c>
      <c r="R155" s="14" t="s">
        <v>3803</v>
      </c>
      <c r="S155" s="360"/>
      <c r="T155" s="360"/>
    </row>
    <row r="156" spans="1:20" hidden="1" x14ac:dyDescent="0.25">
      <c r="A156" s="509" t="s">
        <v>3811</v>
      </c>
      <c r="B156" s="30" t="s">
        <v>1720</v>
      </c>
      <c r="C156" s="28" t="s">
        <v>13</v>
      </c>
      <c r="D156" s="233">
        <v>45356</v>
      </c>
      <c r="F156" s="28" t="s">
        <v>545</v>
      </c>
      <c r="G156" s="30" t="s">
        <v>3821</v>
      </c>
      <c r="H156" s="30" t="s">
        <v>3854</v>
      </c>
      <c r="I156" s="237">
        <v>25016</v>
      </c>
      <c r="J156" s="875">
        <f t="shared" si="2"/>
        <v>22014</v>
      </c>
      <c r="K156" s="30" t="s">
        <v>17</v>
      </c>
      <c r="L156" s="874">
        <v>45394</v>
      </c>
      <c r="R156" s="14" t="s">
        <v>2037</v>
      </c>
      <c r="S156" s="360">
        <v>0.62083333333333335</v>
      </c>
      <c r="T156" s="360">
        <v>0.75486111111111109</v>
      </c>
    </row>
    <row r="157" spans="1:20" hidden="1" x14ac:dyDescent="0.25">
      <c r="A157" s="509" t="s">
        <v>3813</v>
      </c>
      <c r="B157" s="30" t="s">
        <v>1720</v>
      </c>
      <c r="C157" s="28" t="s">
        <v>410</v>
      </c>
      <c r="D157" s="233">
        <v>45358</v>
      </c>
      <c r="F157" s="28" t="s">
        <v>545</v>
      </c>
      <c r="G157" s="30" t="s">
        <v>3855</v>
      </c>
      <c r="H157" s="30" t="s">
        <v>3858</v>
      </c>
      <c r="I157" s="237">
        <v>25016</v>
      </c>
      <c r="J157" s="875">
        <f t="shared" si="2"/>
        <v>22014</v>
      </c>
      <c r="K157" s="30" t="s">
        <v>17</v>
      </c>
      <c r="L157" s="874">
        <v>45394</v>
      </c>
      <c r="R157" s="14"/>
      <c r="S157" s="360"/>
      <c r="T157" s="360"/>
    </row>
    <row r="158" spans="1:20" hidden="1" x14ac:dyDescent="0.25">
      <c r="A158" s="509" t="s">
        <v>3832</v>
      </c>
      <c r="B158" s="30" t="s">
        <v>1720</v>
      </c>
      <c r="C158" s="28" t="s">
        <v>410</v>
      </c>
      <c r="D158" s="233">
        <v>45359</v>
      </c>
      <c r="F158" s="28" t="s">
        <v>545</v>
      </c>
      <c r="G158" s="30" t="s">
        <v>3856</v>
      </c>
      <c r="H158" s="30" t="s">
        <v>3857</v>
      </c>
      <c r="I158" s="237">
        <v>25016</v>
      </c>
      <c r="J158" s="875">
        <f t="shared" si="2"/>
        <v>22014</v>
      </c>
      <c r="K158" s="30" t="s">
        <v>17</v>
      </c>
      <c r="L158" s="874">
        <v>45394</v>
      </c>
      <c r="R158" s="14" t="s">
        <v>3151</v>
      </c>
      <c r="S158" s="360">
        <v>0.72013888888888899</v>
      </c>
      <c r="T158" s="360">
        <v>0.85486111111111107</v>
      </c>
    </row>
    <row r="159" spans="1:20" hidden="1" x14ac:dyDescent="0.25">
      <c r="A159" s="509" t="s">
        <v>3833</v>
      </c>
      <c r="B159" s="30" t="s">
        <v>1720</v>
      </c>
      <c r="C159" s="28" t="s">
        <v>13</v>
      </c>
      <c r="D159" s="233">
        <v>45360</v>
      </c>
      <c r="F159" s="28" t="s">
        <v>545</v>
      </c>
      <c r="G159" s="30" t="s">
        <v>3859</v>
      </c>
      <c r="H159" s="30" t="s">
        <v>3860</v>
      </c>
      <c r="I159" s="237">
        <v>34456</v>
      </c>
      <c r="J159" s="875">
        <f t="shared" si="2"/>
        <v>30321</v>
      </c>
      <c r="K159" s="30" t="s">
        <v>17</v>
      </c>
      <c r="L159" s="874">
        <v>45394</v>
      </c>
      <c r="R159" s="14" t="s">
        <v>2037</v>
      </c>
      <c r="S159" s="360">
        <v>0.32569444444444445</v>
      </c>
      <c r="T159" s="360">
        <v>0.5</v>
      </c>
    </row>
    <row r="160" spans="1:20" hidden="1" x14ac:dyDescent="0.25">
      <c r="A160" s="509">
        <v>12032024</v>
      </c>
      <c r="B160" s="30" t="s">
        <v>1720</v>
      </c>
      <c r="C160" s="28" t="s">
        <v>13</v>
      </c>
      <c r="D160" s="233">
        <v>45363</v>
      </c>
      <c r="F160" s="28" t="s">
        <v>545</v>
      </c>
      <c r="G160" s="30" t="s">
        <v>3897</v>
      </c>
      <c r="H160" s="30" t="s">
        <v>3905</v>
      </c>
      <c r="I160" s="237">
        <v>34456</v>
      </c>
      <c r="J160" s="876">
        <f t="shared" si="2"/>
        <v>30321</v>
      </c>
      <c r="K160" s="30" t="s">
        <v>17</v>
      </c>
      <c r="L160" s="877">
        <v>45429</v>
      </c>
      <c r="R160" s="14" t="s">
        <v>3844</v>
      </c>
      <c r="S160" s="360">
        <v>0.2638888888888889</v>
      </c>
      <c r="T160" s="360">
        <v>0.4513888888888889</v>
      </c>
    </row>
    <row r="161" spans="1:20" hidden="1" x14ac:dyDescent="0.25">
      <c r="A161" s="509">
        <v>12032024</v>
      </c>
      <c r="B161" s="30" t="s">
        <v>1720</v>
      </c>
      <c r="C161" s="28" t="s">
        <v>410</v>
      </c>
      <c r="D161" s="233">
        <v>45363</v>
      </c>
      <c r="F161" s="28" t="s">
        <v>545</v>
      </c>
      <c r="G161" s="30" t="s">
        <v>3898</v>
      </c>
      <c r="H161" s="30" t="s">
        <v>4185</v>
      </c>
      <c r="I161" s="237">
        <v>25016</v>
      </c>
      <c r="J161" s="875">
        <f t="shared" si="2"/>
        <v>22014</v>
      </c>
      <c r="K161" s="30" t="s">
        <v>17</v>
      </c>
      <c r="L161" s="874">
        <v>45394</v>
      </c>
      <c r="R161" s="14" t="s">
        <v>989</v>
      </c>
      <c r="S161" s="360"/>
      <c r="T161" s="360"/>
    </row>
    <row r="162" spans="1:20" hidden="1" x14ac:dyDescent="0.25">
      <c r="A162" s="509">
        <v>12032024</v>
      </c>
      <c r="B162" s="30" t="s">
        <v>1720</v>
      </c>
      <c r="C162" s="28" t="s">
        <v>410</v>
      </c>
      <c r="D162" s="233">
        <v>45363</v>
      </c>
      <c r="F162" s="28" t="s">
        <v>545</v>
      </c>
      <c r="G162" s="30" t="s">
        <v>3899</v>
      </c>
      <c r="H162" s="30" t="s">
        <v>3906</v>
      </c>
      <c r="I162" s="237">
        <v>25016</v>
      </c>
      <c r="J162" s="875">
        <f t="shared" si="2"/>
        <v>22014</v>
      </c>
      <c r="K162" s="30" t="s">
        <v>17</v>
      </c>
      <c r="L162" s="874">
        <v>45394</v>
      </c>
      <c r="R162" s="14" t="s">
        <v>989</v>
      </c>
      <c r="S162" s="360">
        <v>0.86944444444444446</v>
      </c>
      <c r="T162" s="360">
        <v>0.99722222222222223</v>
      </c>
    </row>
    <row r="163" spans="1:20" hidden="1" x14ac:dyDescent="0.25">
      <c r="A163" s="509">
        <v>13032024</v>
      </c>
      <c r="B163" s="30" t="s">
        <v>1720</v>
      </c>
      <c r="C163" s="28" t="s">
        <v>410</v>
      </c>
      <c r="D163" s="233">
        <v>45364</v>
      </c>
      <c r="F163" s="28" t="s">
        <v>545</v>
      </c>
      <c r="G163" s="30" t="s">
        <v>3900</v>
      </c>
      <c r="H163" s="30" t="s">
        <v>3907</v>
      </c>
      <c r="I163" s="237">
        <v>25016</v>
      </c>
      <c r="J163" s="875">
        <f t="shared" si="2"/>
        <v>22014</v>
      </c>
      <c r="K163" s="30" t="s">
        <v>17</v>
      </c>
      <c r="L163" s="874">
        <v>45394</v>
      </c>
      <c r="R163" s="14" t="s">
        <v>3151</v>
      </c>
      <c r="S163" s="360">
        <v>0.89097222222222217</v>
      </c>
      <c r="T163" s="360">
        <v>4.5833333333333337E-2</v>
      </c>
    </row>
    <row r="164" spans="1:20" hidden="1" x14ac:dyDescent="0.25">
      <c r="A164" s="509">
        <v>16032024</v>
      </c>
      <c r="B164" s="30" t="s">
        <v>1720</v>
      </c>
      <c r="C164" s="28" t="s">
        <v>13</v>
      </c>
      <c r="D164" s="233">
        <v>45367</v>
      </c>
      <c r="F164" s="28" t="s">
        <v>545</v>
      </c>
      <c r="G164" s="30" t="s">
        <v>3901</v>
      </c>
      <c r="H164" s="30" t="s">
        <v>3904</v>
      </c>
      <c r="I164" s="237">
        <v>34456</v>
      </c>
      <c r="J164" s="876">
        <f t="shared" si="2"/>
        <v>30321</v>
      </c>
      <c r="K164" s="30" t="s">
        <v>17</v>
      </c>
      <c r="L164" s="877">
        <v>45429</v>
      </c>
      <c r="R164" s="14" t="s">
        <v>3879</v>
      </c>
      <c r="S164" s="360">
        <v>0.29305555555555557</v>
      </c>
      <c r="T164" s="360">
        <v>0.50694444444444442</v>
      </c>
    </row>
    <row r="165" spans="1:20" hidden="1" x14ac:dyDescent="0.25">
      <c r="A165" s="509">
        <v>16032024</v>
      </c>
      <c r="B165" s="30" t="s">
        <v>1720</v>
      </c>
      <c r="C165" s="28" t="s">
        <v>13</v>
      </c>
      <c r="D165" s="233">
        <v>45367</v>
      </c>
      <c r="F165" s="28" t="s">
        <v>545</v>
      </c>
      <c r="G165" s="30" t="s">
        <v>3902</v>
      </c>
      <c r="H165" s="30" t="s">
        <v>3903</v>
      </c>
      <c r="I165" s="237">
        <v>34456</v>
      </c>
      <c r="J165" s="875">
        <f t="shared" si="2"/>
        <v>30321</v>
      </c>
      <c r="K165" s="30" t="s">
        <v>17</v>
      </c>
      <c r="L165" s="874">
        <v>45394</v>
      </c>
      <c r="R165" s="14" t="s">
        <v>1042</v>
      </c>
      <c r="S165" s="360">
        <v>0.68888888888888899</v>
      </c>
      <c r="T165" s="360">
        <v>0.85138888888888886</v>
      </c>
    </row>
    <row r="166" spans="1:20" hidden="1" x14ac:dyDescent="0.25">
      <c r="A166" s="509">
        <v>18032024</v>
      </c>
      <c r="B166" s="30" t="s">
        <v>1720</v>
      </c>
      <c r="C166" s="28" t="s">
        <v>410</v>
      </c>
      <c r="D166" s="233">
        <v>45369</v>
      </c>
      <c r="F166" s="28" t="s">
        <v>545</v>
      </c>
      <c r="G166" s="30" t="s">
        <v>3909</v>
      </c>
      <c r="H166" s="30" t="s">
        <v>3911</v>
      </c>
      <c r="I166" s="251">
        <v>34456</v>
      </c>
      <c r="J166" s="875">
        <f t="shared" si="2"/>
        <v>30321</v>
      </c>
      <c r="K166" s="30" t="s">
        <v>17</v>
      </c>
      <c r="L166" s="874">
        <v>45394</v>
      </c>
      <c r="R166" s="14" t="s">
        <v>2037</v>
      </c>
      <c r="S166" s="360">
        <v>0.61875000000000002</v>
      </c>
      <c r="T166" s="360">
        <v>0.86944444444444446</v>
      </c>
    </row>
    <row r="167" spans="1:20" hidden="1" x14ac:dyDescent="0.25">
      <c r="A167" s="509">
        <v>19032024</v>
      </c>
      <c r="B167" s="30" t="s">
        <v>1720</v>
      </c>
      <c r="C167" s="28" t="s">
        <v>13</v>
      </c>
      <c r="D167" s="233">
        <v>45370</v>
      </c>
      <c r="F167" s="28" t="s">
        <v>545</v>
      </c>
      <c r="G167" s="30" t="s">
        <v>3910</v>
      </c>
      <c r="H167" s="30" t="s">
        <v>3908</v>
      </c>
      <c r="I167" s="237">
        <v>25016</v>
      </c>
      <c r="J167" s="875">
        <f t="shared" si="2"/>
        <v>22014</v>
      </c>
      <c r="K167" s="30" t="s">
        <v>17</v>
      </c>
      <c r="L167" s="874">
        <v>45394</v>
      </c>
      <c r="R167" s="14" t="s">
        <v>3463</v>
      </c>
      <c r="S167" s="360">
        <v>0.64861111111111114</v>
      </c>
      <c r="T167" s="360"/>
    </row>
    <row r="168" spans="1:20" hidden="1" x14ac:dyDescent="0.25">
      <c r="A168" s="509">
        <v>20032024</v>
      </c>
      <c r="B168" s="30" t="s">
        <v>1720</v>
      </c>
      <c r="C168" s="28" t="s">
        <v>13</v>
      </c>
      <c r="D168" s="233">
        <v>45371</v>
      </c>
      <c r="F168" s="28" t="s">
        <v>545</v>
      </c>
      <c r="G168" s="30" t="s">
        <v>4007</v>
      </c>
      <c r="H168" s="30" t="s">
        <v>3912</v>
      </c>
      <c r="I168" s="237">
        <v>25016</v>
      </c>
      <c r="J168" s="876">
        <f t="shared" si="2"/>
        <v>22014</v>
      </c>
      <c r="K168" s="30" t="s">
        <v>17</v>
      </c>
      <c r="L168" s="877">
        <v>45429</v>
      </c>
      <c r="R168" s="14" t="s">
        <v>1042</v>
      </c>
      <c r="S168" s="360">
        <v>0.61597222222222225</v>
      </c>
      <c r="T168" s="360">
        <v>0.73541666666666661</v>
      </c>
    </row>
    <row r="169" spans="1:20" hidden="1" x14ac:dyDescent="0.25">
      <c r="A169" s="509" t="s">
        <v>3957</v>
      </c>
      <c r="B169" s="30" t="s">
        <v>1720</v>
      </c>
      <c r="C169" s="28" t="s">
        <v>13</v>
      </c>
      <c r="D169" s="510">
        <v>45384</v>
      </c>
      <c r="E169" s="21"/>
      <c r="F169" s="177" t="s">
        <v>545</v>
      </c>
      <c r="G169" s="169" t="s">
        <v>4017</v>
      </c>
      <c r="H169" s="169" t="s">
        <v>4042</v>
      </c>
      <c r="I169" s="314">
        <v>25016</v>
      </c>
      <c r="J169" s="876">
        <f t="shared" si="2"/>
        <v>22014</v>
      </c>
      <c r="K169" s="30" t="s">
        <v>17</v>
      </c>
      <c r="L169" s="877">
        <v>45429</v>
      </c>
      <c r="R169" s="14" t="s">
        <v>3572</v>
      </c>
      <c r="S169" s="360">
        <v>0.76944444444444438</v>
      </c>
      <c r="T169" s="360">
        <v>0.93055555555555547</v>
      </c>
    </row>
    <row r="170" spans="1:20" hidden="1" x14ac:dyDescent="0.25">
      <c r="A170" s="509" t="s">
        <v>3972</v>
      </c>
      <c r="B170" s="30" t="s">
        <v>1720</v>
      </c>
      <c r="C170" s="28" t="s">
        <v>13</v>
      </c>
      <c r="D170" s="510">
        <v>45385</v>
      </c>
      <c r="E170" s="21"/>
      <c r="F170" s="177" t="s">
        <v>545</v>
      </c>
      <c r="G170" s="169" t="s">
        <v>4015</v>
      </c>
      <c r="H170" s="169" t="s">
        <v>4043</v>
      </c>
      <c r="I170" s="465">
        <v>34456</v>
      </c>
      <c r="J170" s="881">
        <f t="shared" si="2"/>
        <v>30321</v>
      </c>
      <c r="K170" s="30" t="s">
        <v>17</v>
      </c>
      <c r="L170" s="882">
        <v>45476</v>
      </c>
      <c r="R170" s="14" t="s">
        <v>1644</v>
      </c>
      <c r="S170" s="360">
        <v>0.94791666666666663</v>
      </c>
      <c r="T170" s="360">
        <v>0.12638888888888888</v>
      </c>
    </row>
    <row r="171" spans="1:20" hidden="1" x14ac:dyDescent="0.25">
      <c r="A171" s="509" t="s">
        <v>3978</v>
      </c>
      <c r="B171" s="30" t="s">
        <v>1720</v>
      </c>
      <c r="C171" s="28" t="s">
        <v>809</v>
      </c>
      <c r="D171" s="510">
        <v>45387</v>
      </c>
      <c r="E171" s="21"/>
      <c r="F171" s="177" t="s">
        <v>545</v>
      </c>
      <c r="G171" s="169" t="s">
        <v>4016</v>
      </c>
      <c r="H171" s="169" t="s">
        <v>4044</v>
      </c>
      <c r="I171" s="465">
        <v>25016</v>
      </c>
      <c r="J171" s="876">
        <f t="shared" si="2"/>
        <v>22014</v>
      </c>
      <c r="K171" s="30" t="s">
        <v>17</v>
      </c>
      <c r="L171" s="877">
        <v>45429</v>
      </c>
      <c r="R171" s="14"/>
      <c r="S171" s="360"/>
      <c r="T171" s="360"/>
    </row>
    <row r="172" spans="1:20" hidden="1" x14ac:dyDescent="0.25">
      <c r="A172" s="483">
        <v>18042024</v>
      </c>
      <c r="B172" t="s">
        <v>1720</v>
      </c>
      <c r="C172" s="28" t="s">
        <v>410</v>
      </c>
      <c r="D172" s="510">
        <v>45400</v>
      </c>
      <c r="E172" s="21"/>
      <c r="F172" s="177" t="s">
        <v>545</v>
      </c>
      <c r="G172" s="169" t="s">
        <v>4073</v>
      </c>
      <c r="H172" s="169" t="s">
        <v>4074</v>
      </c>
      <c r="I172" s="465">
        <v>25016</v>
      </c>
      <c r="J172" s="881">
        <f t="shared" si="2"/>
        <v>22014</v>
      </c>
      <c r="K172" s="30" t="s">
        <v>17</v>
      </c>
      <c r="L172" s="882">
        <v>45476</v>
      </c>
      <c r="R172" s="14" t="s">
        <v>2050</v>
      </c>
      <c r="S172" s="360">
        <v>0.90069444444444446</v>
      </c>
      <c r="T172" s="360">
        <v>2.2916666666666669E-2</v>
      </c>
    </row>
    <row r="173" spans="1:20" hidden="1" x14ac:dyDescent="0.25">
      <c r="A173" s="483">
        <v>19042024</v>
      </c>
      <c r="B173" t="s">
        <v>1720</v>
      </c>
      <c r="C173" s="28" t="s">
        <v>410</v>
      </c>
      <c r="D173" s="510">
        <v>45401</v>
      </c>
      <c r="E173" s="21"/>
      <c r="F173" s="177" t="s">
        <v>545</v>
      </c>
      <c r="G173" s="169" t="s">
        <v>4075</v>
      </c>
      <c r="H173" s="169" t="s">
        <v>4076</v>
      </c>
      <c r="I173" s="465">
        <v>25016</v>
      </c>
      <c r="J173" s="881">
        <f t="shared" si="2"/>
        <v>22014</v>
      </c>
      <c r="K173" s="30" t="s">
        <v>17</v>
      </c>
      <c r="L173" s="882">
        <v>45476</v>
      </c>
      <c r="R173" s="14" t="s">
        <v>795</v>
      </c>
      <c r="S173" s="360">
        <v>0.70625000000000004</v>
      </c>
      <c r="T173" s="360">
        <v>0.84236111111111112</v>
      </c>
    </row>
    <row r="174" spans="1:20" hidden="1" x14ac:dyDescent="0.25">
      <c r="A174" s="483">
        <v>23042024</v>
      </c>
      <c r="B174" t="s">
        <v>1720</v>
      </c>
      <c r="C174" s="28" t="s">
        <v>13</v>
      </c>
      <c r="D174" s="510">
        <v>45405</v>
      </c>
      <c r="E174" s="21"/>
      <c r="F174" s="177" t="s">
        <v>545</v>
      </c>
      <c r="G174" s="169" t="s">
        <v>4327</v>
      </c>
      <c r="H174" s="169" t="s">
        <v>4328</v>
      </c>
      <c r="I174" s="465">
        <v>34456</v>
      </c>
      <c r="J174" s="878">
        <f t="shared" si="2"/>
        <v>30321</v>
      </c>
      <c r="K174" s="30" t="s">
        <v>17</v>
      </c>
      <c r="L174" s="879">
        <v>45455</v>
      </c>
      <c r="R174" s="14" t="s">
        <v>2380</v>
      </c>
      <c r="S174" s="360">
        <v>0.60486111111111107</v>
      </c>
      <c r="T174" s="360"/>
    </row>
    <row r="175" spans="1:20" hidden="1" x14ac:dyDescent="0.25">
      <c r="A175" s="509">
        <v>2052024</v>
      </c>
      <c r="B175" t="s">
        <v>1720</v>
      </c>
      <c r="C175" s="28" t="s">
        <v>410</v>
      </c>
      <c r="D175" s="510">
        <v>45414</v>
      </c>
      <c r="E175" s="21"/>
      <c r="F175" s="177" t="s">
        <v>545</v>
      </c>
      <c r="G175" s="169" t="s">
        <v>4145</v>
      </c>
      <c r="H175" s="169" t="s">
        <v>4144</v>
      </c>
      <c r="I175" s="465">
        <v>25016</v>
      </c>
      <c r="J175" s="878">
        <f t="shared" si="2"/>
        <v>22014</v>
      </c>
      <c r="K175" s="30" t="s">
        <v>17</v>
      </c>
      <c r="L175" s="879">
        <v>45455</v>
      </c>
      <c r="R175" s="14" t="s">
        <v>4070</v>
      </c>
      <c r="S175" s="360">
        <v>0.82222222222222219</v>
      </c>
      <c r="T175" s="360">
        <v>0.9506944444444444</v>
      </c>
    </row>
    <row r="176" spans="1:20" hidden="1" x14ac:dyDescent="0.25">
      <c r="A176" s="483">
        <v>11052024</v>
      </c>
      <c r="B176" t="s">
        <v>1720</v>
      </c>
      <c r="C176" s="28" t="s">
        <v>13</v>
      </c>
      <c r="D176" s="510">
        <v>45423</v>
      </c>
      <c r="E176" s="21"/>
      <c r="F176" s="177" t="s">
        <v>545</v>
      </c>
      <c r="G176" s="169" t="s">
        <v>4162</v>
      </c>
      <c r="H176" s="169" t="s">
        <v>4163</v>
      </c>
      <c r="I176" s="465">
        <v>25016</v>
      </c>
      <c r="J176" s="878">
        <f t="shared" si="2"/>
        <v>22014</v>
      </c>
      <c r="K176" s="30" t="s">
        <v>17</v>
      </c>
      <c r="L176" s="879">
        <v>45455</v>
      </c>
      <c r="R176" s="14" t="s">
        <v>922</v>
      </c>
      <c r="S176" s="360">
        <v>0.81458333333333333</v>
      </c>
      <c r="T176" s="360">
        <v>6.9444444444444441E-3</v>
      </c>
    </row>
    <row r="177" spans="1:20" hidden="1" x14ac:dyDescent="0.25">
      <c r="A177" s="483">
        <v>14052024</v>
      </c>
      <c r="B177" t="s">
        <v>1720</v>
      </c>
      <c r="C177" s="28" t="s">
        <v>410</v>
      </c>
      <c r="D177" s="510">
        <v>45426</v>
      </c>
      <c r="E177" s="21"/>
      <c r="F177" s="177" t="s">
        <v>545</v>
      </c>
      <c r="G177" s="169" t="s">
        <v>4164</v>
      </c>
      <c r="H177" s="169" t="s">
        <v>4165</v>
      </c>
      <c r="I177" s="465">
        <v>25016</v>
      </c>
      <c r="J177" s="878">
        <f t="shared" si="2"/>
        <v>22014</v>
      </c>
      <c r="K177" s="30" t="s">
        <v>17</v>
      </c>
      <c r="L177" s="880">
        <v>45455</v>
      </c>
      <c r="R177" s="14" t="s">
        <v>4071</v>
      </c>
      <c r="S177" s="360">
        <v>0.67569444444444438</v>
      </c>
      <c r="T177" s="360"/>
    </row>
    <row r="178" spans="1:20" hidden="1" x14ac:dyDescent="0.25">
      <c r="A178" s="483">
        <v>16052024</v>
      </c>
      <c r="B178" t="s">
        <v>1720</v>
      </c>
      <c r="C178" s="28" t="s">
        <v>13</v>
      </c>
      <c r="D178" s="510">
        <v>45428</v>
      </c>
      <c r="E178" s="21"/>
      <c r="F178" s="177" t="s">
        <v>545</v>
      </c>
      <c r="G178" s="169" t="s">
        <v>4204</v>
      </c>
      <c r="H178" s="169" t="s">
        <v>4205</v>
      </c>
      <c r="I178" s="465">
        <v>34456</v>
      </c>
      <c r="J178" s="881">
        <f t="shared" si="2"/>
        <v>30321</v>
      </c>
      <c r="K178" s="30" t="s">
        <v>17</v>
      </c>
      <c r="L178" s="883">
        <v>45476</v>
      </c>
      <c r="R178" s="14" t="s">
        <v>4095</v>
      </c>
      <c r="S178" s="360"/>
      <c r="T178" s="360"/>
    </row>
    <row r="179" spans="1:20" hidden="1" x14ac:dyDescent="0.25">
      <c r="A179" s="483">
        <v>17052024</v>
      </c>
      <c r="B179" t="s">
        <v>1720</v>
      </c>
      <c r="C179" s="28" t="s">
        <v>13</v>
      </c>
      <c r="D179" s="510">
        <v>45429</v>
      </c>
      <c r="E179" s="21"/>
      <c r="F179" s="177" t="s">
        <v>545</v>
      </c>
      <c r="G179" s="169" t="s">
        <v>4206</v>
      </c>
      <c r="H179" s="169" t="s">
        <v>4209</v>
      </c>
      <c r="I179" s="465">
        <v>25016</v>
      </c>
      <c r="J179" s="881">
        <f t="shared" si="2"/>
        <v>22014</v>
      </c>
      <c r="K179" s="30" t="s">
        <v>17</v>
      </c>
      <c r="L179" s="883">
        <v>45476</v>
      </c>
      <c r="R179" s="14" t="s">
        <v>4071</v>
      </c>
      <c r="S179" s="360">
        <v>0.68263888888888891</v>
      </c>
      <c r="T179" s="360">
        <v>0.81666666666666676</v>
      </c>
    </row>
    <row r="180" spans="1:20" hidden="1" x14ac:dyDescent="0.25">
      <c r="A180" s="483">
        <v>17052024</v>
      </c>
      <c r="B180" t="s">
        <v>1720</v>
      </c>
      <c r="C180" s="28" t="s">
        <v>410</v>
      </c>
      <c r="D180" s="233">
        <v>45429</v>
      </c>
      <c r="F180" s="28" t="s">
        <v>545</v>
      </c>
      <c r="G180" s="30" t="s">
        <v>4207</v>
      </c>
      <c r="H180" s="30" t="s">
        <v>4208</v>
      </c>
      <c r="I180" s="236">
        <v>34456</v>
      </c>
      <c r="J180" s="881">
        <f t="shared" si="2"/>
        <v>30321</v>
      </c>
      <c r="K180" s="30" t="s">
        <v>17</v>
      </c>
      <c r="L180" s="883">
        <v>45476</v>
      </c>
      <c r="R180" s="14" t="s">
        <v>2050</v>
      </c>
      <c r="S180" s="360">
        <v>0.84444444444444444</v>
      </c>
      <c r="T180" s="360">
        <v>0.51250000000000007</v>
      </c>
    </row>
    <row r="181" spans="1:20" hidden="1" x14ac:dyDescent="0.25">
      <c r="A181" s="483">
        <v>18052024</v>
      </c>
      <c r="B181" t="s">
        <v>1720</v>
      </c>
      <c r="C181" s="28" t="s">
        <v>13</v>
      </c>
      <c r="D181" s="233">
        <v>45430</v>
      </c>
      <c r="F181" s="28" t="s">
        <v>545</v>
      </c>
      <c r="G181" s="30" t="s">
        <v>4210</v>
      </c>
      <c r="H181" s="30" t="s">
        <v>4211</v>
      </c>
      <c r="I181" s="236">
        <v>25016</v>
      </c>
      <c r="J181" s="881">
        <f t="shared" si="2"/>
        <v>22014</v>
      </c>
      <c r="K181" s="30" t="s">
        <v>17</v>
      </c>
      <c r="L181" s="883">
        <v>45476</v>
      </c>
      <c r="R181" s="14" t="s">
        <v>2050</v>
      </c>
      <c r="S181" s="360">
        <v>3.9583333333333331E-2</v>
      </c>
      <c r="T181" s="360">
        <v>0.16041666666666668</v>
      </c>
    </row>
    <row r="182" spans="1:20" hidden="1" x14ac:dyDescent="0.25">
      <c r="A182" s="483">
        <v>19052024</v>
      </c>
      <c r="B182" t="s">
        <v>1720</v>
      </c>
      <c r="C182" s="28" t="s">
        <v>809</v>
      </c>
      <c r="D182" s="233">
        <v>45431</v>
      </c>
      <c r="F182" s="28" t="s">
        <v>545</v>
      </c>
      <c r="G182" s="30" t="s">
        <v>4212</v>
      </c>
      <c r="H182" s="30" t="s">
        <v>4213</v>
      </c>
      <c r="I182" s="236">
        <v>25016</v>
      </c>
      <c r="J182" s="881">
        <f t="shared" si="2"/>
        <v>22014</v>
      </c>
      <c r="K182" s="30" t="s">
        <v>17</v>
      </c>
      <c r="L182" s="883">
        <v>45476</v>
      </c>
      <c r="R182" s="14" t="s">
        <v>1178</v>
      </c>
      <c r="S182" s="360">
        <v>0.29444444444444445</v>
      </c>
      <c r="T182" s="360">
        <v>0.52152777777777781</v>
      </c>
    </row>
    <row r="183" spans="1:20" hidden="1" x14ac:dyDescent="0.25">
      <c r="A183" s="483">
        <v>19052024</v>
      </c>
      <c r="B183" t="s">
        <v>1720</v>
      </c>
      <c r="C183" s="28" t="s">
        <v>809</v>
      </c>
      <c r="D183" s="233">
        <v>45431</v>
      </c>
      <c r="F183" s="28" t="s">
        <v>545</v>
      </c>
      <c r="G183" s="30" t="s">
        <v>4214</v>
      </c>
      <c r="H183" s="30" t="s">
        <v>4215</v>
      </c>
      <c r="I183" s="236">
        <v>25016</v>
      </c>
      <c r="J183" s="884">
        <f t="shared" si="2"/>
        <v>22014</v>
      </c>
      <c r="K183" s="30" t="s">
        <v>17</v>
      </c>
      <c r="L183" s="885">
        <v>45484</v>
      </c>
      <c r="R183" s="14" t="s">
        <v>1178</v>
      </c>
      <c r="S183" s="360">
        <v>13.2</v>
      </c>
      <c r="T183" s="360" t="s">
        <v>4199</v>
      </c>
    </row>
    <row r="184" spans="1:20" hidden="1" x14ac:dyDescent="0.25">
      <c r="A184" s="483">
        <v>20052024</v>
      </c>
      <c r="B184" t="s">
        <v>1720</v>
      </c>
      <c r="C184" s="28" t="s">
        <v>410</v>
      </c>
      <c r="D184" s="233">
        <v>45432</v>
      </c>
      <c r="F184" s="28" t="s">
        <v>545</v>
      </c>
      <c r="G184" s="30" t="s">
        <v>4237</v>
      </c>
      <c r="H184" s="30" t="s">
        <v>4239</v>
      </c>
      <c r="I184" s="236">
        <v>25016</v>
      </c>
      <c r="J184" s="884">
        <f t="shared" si="2"/>
        <v>22014</v>
      </c>
      <c r="K184" s="30" t="s">
        <v>17</v>
      </c>
      <c r="L184" s="886">
        <v>45484</v>
      </c>
      <c r="R184" s="14" t="s">
        <v>4203</v>
      </c>
      <c r="S184" s="360">
        <v>0.79999999999999993</v>
      </c>
      <c r="T184" s="360">
        <v>0.93888888888888899</v>
      </c>
    </row>
    <row r="185" spans="1:20" hidden="1" x14ac:dyDescent="0.25">
      <c r="A185" s="483">
        <v>22052024</v>
      </c>
      <c r="B185" t="s">
        <v>1720</v>
      </c>
      <c r="C185" s="28" t="s">
        <v>410</v>
      </c>
      <c r="D185" s="233">
        <v>45434</v>
      </c>
      <c r="F185" s="28" t="s">
        <v>545</v>
      </c>
      <c r="G185" s="30" t="s">
        <v>4238</v>
      </c>
      <c r="H185" s="30" t="s">
        <v>4240</v>
      </c>
      <c r="I185" s="236">
        <v>25016</v>
      </c>
      <c r="J185" s="884">
        <f t="shared" si="2"/>
        <v>22014</v>
      </c>
      <c r="K185" s="30" t="s">
        <v>17</v>
      </c>
      <c r="L185" s="886">
        <v>45484</v>
      </c>
      <c r="R185" s="14" t="s">
        <v>3463</v>
      </c>
      <c r="S185" s="360">
        <v>0.7895833333333333</v>
      </c>
      <c r="T185" s="360">
        <v>0.91041666666666676</v>
      </c>
    </row>
    <row r="186" spans="1:20" hidden="1" x14ac:dyDescent="0.25">
      <c r="A186" s="509" t="s">
        <v>4245</v>
      </c>
      <c r="B186" t="s">
        <v>1720</v>
      </c>
      <c r="C186" s="28" t="s">
        <v>4218</v>
      </c>
      <c r="D186" s="233">
        <v>45446</v>
      </c>
      <c r="F186" s="28" t="s">
        <v>545</v>
      </c>
      <c r="G186" s="30" t="s">
        <v>4285</v>
      </c>
      <c r="H186" s="30" t="s">
        <v>4288</v>
      </c>
      <c r="I186" s="237">
        <v>25016</v>
      </c>
      <c r="J186" s="888">
        <f t="shared" si="2"/>
        <v>22014</v>
      </c>
      <c r="K186" s="30" t="s">
        <v>17</v>
      </c>
      <c r="L186" s="887">
        <v>45498</v>
      </c>
      <c r="R186" s="14" t="s">
        <v>3151</v>
      </c>
      <c r="S186" s="360">
        <v>0.50555555555555554</v>
      </c>
      <c r="T186" s="360"/>
    </row>
    <row r="187" spans="1:20" hidden="1" x14ac:dyDescent="0.25">
      <c r="A187" s="509" t="s">
        <v>4245</v>
      </c>
      <c r="B187" t="s">
        <v>1720</v>
      </c>
      <c r="C187" s="28" t="s">
        <v>410</v>
      </c>
      <c r="D187" s="233">
        <v>45446</v>
      </c>
      <c r="F187" s="28" t="s">
        <v>545</v>
      </c>
      <c r="G187" s="30" t="s">
        <v>4286</v>
      </c>
      <c r="H187" s="30" t="s">
        <v>4287</v>
      </c>
      <c r="I187" s="237">
        <v>25016</v>
      </c>
      <c r="J187" s="888">
        <f t="shared" si="2"/>
        <v>22014</v>
      </c>
      <c r="K187" s="30" t="s">
        <v>17</v>
      </c>
      <c r="L187" s="887">
        <v>45498</v>
      </c>
      <c r="R187" s="14" t="s">
        <v>3151</v>
      </c>
      <c r="S187" s="360"/>
      <c r="T187" s="360"/>
    </row>
    <row r="188" spans="1:20" hidden="1" x14ac:dyDescent="0.25">
      <c r="A188" s="509" t="s">
        <v>4245</v>
      </c>
      <c r="B188" t="s">
        <v>1720</v>
      </c>
      <c r="C188" s="28" t="s">
        <v>410</v>
      </c>
      <c r="D188" s="233">
        <v>45446</v>
      </c>
      <c r="F188" s="28" t="s">
        <v>545</v>
      </c>
      <c r="G188" s="30" t="s">
        <v>4289</v>
      </c>
      <c r="H188" s="30" t="s">
        <v>4635</v>
      </c>
      <c r="I188" s="237">
        <v>25016</v>
      </c>
      <c r="J188" s="888">
        <f t="shared" si="2"/>
        <v>22014</v>
      </c>
      <c r="K188" s="30" t="s">
        <v>17</v>
      </c>
      <c r="L188" s="887">
        <v>45498</v>
      </c>
      <c r="R188" s="14" t="s">
        <v>3151</v>
      </c>
      <c r="S188" s="360">
        <v>0.83333333333333337</v>
      </c>
      <c r="T188" s="360">
        <v>0.96388888888888891</v>
      </c>
    </row>
    <row r="189" spans="1:20" hidden="1" x14ac:dyDescent="0.25">
      <c r="A189" s="509" t="s">
        <v>4258</v>
      </c>
      <c r="B189" t="s">
        <v>1720</v>
      </c>
      <c r="C189" s="28" t="s">
        <v>410</v>
      </c>
      <c r="D189" s="233">
        <v>45449</v>
      </c>
      <c r="F189" s="28" t="s">
        <v>545</v>
      </c>
      <c r="G189" s="30" t="s">
        <v>4290</v>
      </c>
      <c r="H189" s="30" t="s">
        <v>4293</v>
      </c>
      <c r="I189" s="237">
        <v>25016</v>
      </c>
      <c r="J189" s="888">
        <f t="shared" si="2"/>
        <v>22014</v>
      </c>
      <c r="K189" s="30" t="s">
        <v>17</v>
      </c>
      <c r="L189" s="887">
        <v>45498</v>
      </c>
      <c r="R189" s="14" t="s">
        <v>2050</v>
      </c>
      <c r="S189" s="360">
        <v>0.58472222222222225</v>
      </c>
      <c r="T189" s="360">
        <v>0.7055555555555556</v>
      </c>
    </row>
    <row r="190" spans="1:20" hidden="1" x14ac:dyDescent="0.25">
      <c r="A190" s="509">
        <v>10062024</v>
      </c>
      <c r="B190" t="s">
        <v>1720</v>
      </c>
      <c r="C190" s="28" t="s">
        <v>13</v>
      </c>
      <c r="D190" s="233">
        <v>45453</v>
      </c>
      <c r="F190" s="28" t="s">
        <v>545</v>
      </c>
      <c r="G190" s="30" t="s">
        <v>4291</v>
      </c>
      <c r="H190" s="30" t="s">
        <v>4292</v>
      </c>
      <c r="I190" s="237">
        <v>25016</v>
      </c>
      <c r="J190" s="888">
        <f t="shared" si="2"/>
        <v>22014</v>
      </c>
      <c r="K190" s="30" t="s">
        <v>17</v>
      </c>
      <c r="L190" s="887">
        <v>45498</v>
      </c>
      <c r="R190" s="14" t="s">
        <v>4071</v>
      </c>
      <c r="S190" s="360">
        <v>10.3</v>
      </c>
      <c r="T190" s="360"/>
    </row>
    <row r="191" spans="1:20" hidden="1" x14ac:dyDescent="0.25">
      <c r="A191" s="509">
        <v>14062024</v>
      </c>
      <c r="B191" t="s">
        <v>1720</v>
      </c>
      <c r="C191" s="28" t="s">
        <v>410</v>
      </c>
      <c r="D191" s="233">
        <v>45457</v>
      </c>
      <c r="F191" s="28" t="s">
        <v>545</v>
      </c>
      <c r="G191" s="30" t="s">
        <v>4380</v>
      </c>
      <c r="H191" s="30" t="s">
        <v>4381</v>
      </c>
      <c r="I191" s="237">
        <v>25016</v>
      </c>
      <c r="J191" s="888">
        <f t="shared" si="2"/>
        <v>22014</v>
      </c>
      <c r="K191" s="30" t="s">
        <v>17</v>
      </c>
      <c r="L191" s="887">
        <v>45498</v>
      </c>
      <c r="R191" s="14" t="s">
        <v>4277</v>
      </c>
      <c r="S191" s="360"/>
      <c r="T191" s="360"/>
    </row>
    <row r="192" spans="1:20" hidden="1" x14ac:dyDescent="0.25">
      <c r="A192" s="509">
        <v>17062024</v>
      </c>
      <c r="B192" t="s">
        <v>1720</v>
      </c>
      <c r="C192" s="28" t="s">
        <v>13</v>
      </c>
      <c r="D192" s="233">
        <v>45460</v>
      </c>
      <c r="F192" s="28" t="s">
        <v>545</v>
      </c>
      <c r="G192" s="30" t="s">
        <v>4382</v>
      </c>
      <c r="H192" s="30" t="s">
        <v>4383</v>
      </c>
      <c r="I192" s="237">
        <v>25016</v>
      </c>
      <c r="J192" s="888">
        <f t="shared" si="2"/>
        <v>22014</v>
      </c>
      <c r="K192" s="30" t="s">
        <v>17</v>
      </c>
      <c r="L192" s="887">
        <v>45498</v>
      </c>
      <c r="R192" s="14" t="s">
        <v>4345</v>
      </c>
      <c r="S192" s="360">
        <v>0.43958333333333338</v>
      </c>
      <c r="T192" s="360"/>
    </row>
    <row r="193" spans="1:30" hidden="1" x14ac:dyDescent="0.25">
      <c r="A193" s="509">
        <v>18062024</v>
      </c>
      <c r="B193" t="s">
        <v>1720</v>
      </c>
      <c r="C193" s="28" t="s">
        <v>4218</v>
      </c>
      <c r="D193" s="233">
        <v>45461</v>
      </c>
      <c r="F193" s="28" t="s">
        <v>545</v>
      </c>
      <c r="G193" s="30" t="s">
        <v>4384</v>
      </c>
      <c r="H193" s="30" t="s">
        <v>4385</v>
      </c>
      <c r="I193" s="237">
        <v>25016</v>
      </c>
      <c r="J193" s="891">
        <f t="shared" si="2"/>
        <v>22014</v>
      </c>
      <c r="K193" s="30" t="s">
        <v>17</v>
      </c>
      <c r="L193" s="889">
        <v>45525</v>
      </c>
      <c r="R193" s="14" t="s">
        <v>4097</v>
      </c>
      <c r="S193" s="360">
        <v>0.69027777777777777</v>
      </c>
      <c r="T193" s="360"/>
    </row>
    <row r="194" spans="1:30" hidden="1" x14ac:dyDescent="0.25">
      <c r="A194" s="509">
        <v>19062024</v>
      </c>
      <c r="B194" t="s">
        <v>1720</v>
      </c>
      <c r="C194" s="28" t="s">
        <v>410</v>
      </c>
      <c r="D194" s="233">
        <v>45462</v>
      </c>
      <c r="F194" s="28" t="s">
        <v>545</v>
      </c>
      <c r="G194" s="30" t="s">
        <v>4386</v>
      </c>
      <c r="H194" s="30" t="s">
        <v>4387</v>
      </c>
      <c r="I194" s="237">
        <v>25016</v>
      </c>
      <c r="J194" s="891">
        <f t="shared" si="2"/>
        <v>22014</v>
      </c>
      <c r="K194" s="30" t="s">
        <v>17</v>
      </c>
      <c r="L194" s="889">
        <v>45525</v>
      </c>
      <c r="R194" s="14" t="s">
        <v>4071</v>
      </c>
      <c r="S194" s="360"/>
      <c r="T194" s="360"/>
    </row>
    <row r="195" spans="1:30" ht="15" hidden="1" customHeight="1" x14ac:dyDescent="0.25">
      <c r="A195" s="509">
        <v>21062024</v>
      </c>
      <c r="B195" t="s">
        <v>1720</v>
      </c>
      <c r="C195" s="28" t="s">
        <v>4218</v>
      </c>
      <c r="D195" s="233">
        <v>45464</v>
      </c>
      <c r="F195" s="28" t="s">
        <v>545</v>
      </c>
      <c r="G195" s="30" t="s">
        <v>4413</v>
      </c>
      <c r="H195" s="30" t="s">
        <v>4414</v>
      </c>
      <c r="I195" s="237">
        <v>34456</v>
      </c>
      <c r="J195" s="891">
        <f t="shared" ref="J195:J258" si="3">+I195-ROUND(I195*0.12,0)</f>
        <v>30321</v>
      </c>
      <c r="K195" s="30" t="s">
        <v>17</v>
      </c>
      <c r="L195" s="889">
        <v>45525</v>
      </c>
      <c r="R195" s="14" t="s">
        <v>4398</v>
      </c>
      <c r="S195" s="360">
        <v>0.7944444444444444</v>
      </c>
      <c r="T195" s="360">
        <v>0.46249999999999997</v>
      </c>
    </row>
    <row r="196" spans="1:30" hidden="1" x14ac:dyDescent="0.25">
      <c r="A196" s="509">
        <v>22062024</v>
      </c>
      <c r="B196" t="s">
        <v>1720</v>
      </c>
      <c r="C196" s="28" t="s">
        <v>4218</v>
      </c>
      <c r="D196" s="233">
        <v>45465</v>
      </c>
      <c r="F196" s="28" t="s">
        <v>545</v>
      </c>
      <c r="G196" s="30" t="s">
        <v>4415</v>
      </c>
      <c r="H196" s="30" t="s">
        <v>4416</v>
      </c>
      <c r="I196" s="251">
        <v>25016</v>
      </c>
      <c r="J196" s="891">
        <f t="shared" si="3"/>
        <v>22014</v>
      </c>
      <c r="K196" s="30" t="s">
        <v>17</v>
      </c>
      <c r="L196" s="889">
        <v>45525</v>
      </c>
      <c r="R196" s="14" t="s">
        <v>4365</v>
      </c>
      <c r="S196" s="360">
        <v>0.63680555555555551</v>
      </c>
      <c r="T196" s="360">
        <v>0.76180555555555562</v>
      </c>
    </row>
    <row r="197" spans="1:30" hidden="1" x14ac:dyDescent="0.25">
      <c r="A197" s="509">
        <v>26062024</v>
      </c>
      <c r="B197" t="s">
        <v>1720</v>
      </c>
      <c r="C197" s="28" t="s">
        <v>4218</v>
      </c>
      <c r="D197" s="233">
        <v>45469</v>
      </c>
      <c r="F197" s="28" t="s">
        <v>545</v>
      </c>
      <c r="G197" s="30" t="s">
        <v>4452</v>
      </c>
      <c r="H197" s="30" t="s">
        <v>4455</v>
      </c>
      <c r="I197" s="237">
        <v>25016</v>
      </c>
      <c r="J197" s="891">
        <f t="shared" si="3"/>
        <v>22014</v>
      </c>
      <c r="K197" s="30" t="s">
        <v>17</v>
      </c>
      <c r="L197" s="889">
        <v>45525</v>
      </c>
      <c r="R197" s="14" t="s">
        <v>4406</v>
      </c>
      <c r="S197" s="360"/>
      <c r="T197" s="360"/>
    </row>
    <row r="198" spans="1:30" hidden="1" x14ac:dyDescent="0.25">
      <c r="A198" s="509">
        <v>26062024</v>
      </c>
      <c r="B198" t="s">
        <v>1720</v>
      </c>
      <c r="C198" s="28" t="s">
        <v>13</v>
      </c>
      <c r="D198" s="233">
        <v>45469</v>
      </c>
      <c r="F198" s="28" t="s">
        <v>545</v>
      </c>
      <c r="G198" s="30" t="s">
        <v>4453</v>
      </c>
      <c r="H198" s="30" t="s">
        <v>4456</v>
      </c>
      <c r="I198" s="237">
        <v>25016</v>
      </c>
      <c r="J198" s="891">
        <f t="shared" si="3"/>
        <v>22014</v>
      </c>
      <c r="K198" s="30" t="s">
        <v>17</v>
      </c>
      <c r="L198" s="889">
        <v>45525</v>
      </c>
      <c r="R198" s="14" t="s">
        <v>1644</v>
      </c>
      <c r="S198" s="360">
        <v>0.50555555555555554</v>
      </c>
      <c r="T198" s="360"/>
    </row>
    <row r="199" spans="1:30" hidden="1" x14ac:dyDescent="0.25">
      <c r="A199" s="509">
        <v>26062024</v>
      </c>
      <c r="B199" t="s">
        <v>1720</v>
      </c>
      <c r="C199" s="28" t="s">
        <v>13</v>
      </c>
      <c r="D199" s="233">
        <v>45469</v>
      </c>
      <c r="F199" s="28" t="s">
        <v>545</v>
      </c>
      <c r="G199" s="30" t="s">
        <v>4454</v>
      </c>
      <c r="H199" s="30" t="s">
        <v>4457</v>
      </c>
      <c r="I199" s="237">
        <v>25016</v>
      </c>
      <c r="J199" s="891">
        <f t="shared" si="3"/>
        <v>22014</v>
      </c>
      <c r="K199" s="30" t="s">
        <v>17</v>
      </c>
      <c r="L199" s="889">
        <v>45525</v>
      </c>
      <c r="R199" s="14" t="s">
        <v>1644</v>
      </c>
      <c r="S199" s="360">
        <v>0.50555555555555554</v>
      </c>
      <c r="T199" s="360"/>
    </row>
    <row r="200" spans="1:30" hidden="1" x14ac:dyDescent="0.25">
      <c r="A200" s="483" t="s">
        <v>4436</v>
      </c>
      <c r="B200" t="s">
        <v>1720</v>
      </c>
      <c r="C200" s="28" t="s">
        <v>4437</v>
      </c>
      <c r="D200" s="233">
        <v>45475</v>
      </c>
      <c r="F200" s="28" t="s">
        <v>545</v>
      </c>
      <c r="G200" s="30" t="s">
        <v>4493</v>
      </c>
      <c r="H200" s="30" t="s">
        <v>4499</v>
      </c>
      <c r="I200" s="236">
        <v>25016</v>
      </c>
      <c r="J200" s="894">
        <f t="shared" si="3"/>
        <v>22014</v>
      </c>
      <c r="K200" s="30" t="s">
        <v>17</v>
      </c>
      <c r="L200" s="892">
        <v>45533</v>
      </c>
      <c r="R200" t="s">
        <v>4446</v>
      </c>
      <c r="S200" s="360">
        <v>0.66319444444444442</v>
      </c>
      <c r="T200" s="30"/>
    </row>
    <row r="201" spans="1:30" hidden="1" x14ac:dyDescent="0.25">
      <c r="A201" s="483" t="s">
        <v>4459</v>
      </c>
      <c r="B201" t="s">
        <v>1720</v>
      </c>
      <c r="C201" s="28" t="s">
        <v>410</v>
      </c>
      <c r="D201" s="233">
        <v>45477</v>
      </c>
      <c r="F201" s="28" t="s">
        <v>545</v>
      </c>
      <c r="G201" s="30" t="s">
        <v>4494</v>
      </c>
      <c r="H201" s="30" t="s">
        <v>4497</v>
      </c>
      <c r="I201" s="236">
        <v>25016</v>
      </c>
      <c r="J201" s="894">
        <f t="shared" si="3"/>
        <v>22014</v>
      </c>
      <c r="K201" s="30" t="s">
        <v>17</v>
      </c>
      <c r="L201" s="892">
        <v>45533</v>
      </c>
      <c r="R201" s="14" t="s">
        <v>4345</v>
      </c>
      <c r="S201" s="360">
        <v>0.29375000000000001</v>
      </c>
      <c r="T201" s="360">
        <v>0.44166666666666665</v>
      </c>
    </row>
    <row r="202" spans="1:30" hidden="1" x14ac:dyDescent="0.25">
      <c r="A202" s="483" t="s">
        <v>4473</v>
      </c>
      <c r="B202" t="s">
        <v>1720</v>
      </c>
      <c r="C202" s="28" t="s">
        <v>13</v>
      </c>
      <c r="D202" s="233">
        <v>45481</v>
      </c>
      <c r="F202" s="28" t="s">
        <v>545</v>
      </c>
      <c r="G202" s="30" t="s">
        <v>4498</v>
      </c>
      <c r="H202" s="30" t="s">
        <v>4502</v>
      </c>
      <c r="I202" s="236">
        <v>34456</v>
      </c>
      <c r="J202" s="891">
        <f t="shared" si="3"/>
        <v>30321</v>
      </c>
      <c r="K202" s="30" t="s">
        <v>17</v>
      </c>
      <c r="L202" s="889">
        <v>45525</v>
      </c>
      <c r="R202" s="14" t="s">
        <v>4277</v>
      </c>
      <c r="S202" s="360">
        <v>0.27291666666666664</v>
      </c>
      <c r="T202" s="30"/>
    </row>
    <row r="203" spans="1:30" hidden="1" x14ac:dyDescent="0.25">
      <c r="A203" s="483" t="s">
        <v>4483</v>
      </c>
      <c r="B203" t="s">
        <v>1720</v>
      </c>
      <c r="C203" s="28" t="s">
        <v>13</v>
      </c>
      <c r="D203" s="233">
        <v>45482</v>
      </c>
      <c r="F203" s="28" t="s">
        <v>545</v>
      </c>
      <c r="G203" s="30" t="s">
        <v>4495</v>
      </c>
      <c r="H203" s="30" t="s">
        <v>4496</v>
      </c>
      <c r="I203" s="236">
        <v>25016</v>
      </c>
      <c r="J203" s="891">
        <f t="shared" si="3"/>
        <v>22014</v>
      </c>
      <c r="K203" s="30" t="s">
        <v>17</v>
      </c>
      <c r="L203" s="889">
        <v>45525</v>
      </c>
      <c r="R203" s="14" t="s">
        <v>4345</v>
      </c>
      <c r="S203" s="360">
        <v>17.170000000000002</v>
      </c>
      <c r="T203" s="360">
        <v>0.84861111111111109</v>
      </c>
    </row>
    <row r="204" spans="1:30" hidden="1" x14ac:dyDescent="0.25">
      <c r="A204" s="483" t="s">
        <v>4491</v>
      </c>
      <c r="B204" t="s">
        <v>1720</v>
      </c>
      <c r="C204" s="28" t="s">
        <v>13</v>
      </c>
      <c r="D204" s="233">
        <v>45484</v>
      </c>
      <c r="F204" s="28" t="s">
        <v>545</v>
      </c>
      <c r="G204" s="30" t="s">
        <v>4520</v>
      </c>
      <c r="H204" s="30" t="s">
        <v>4521</v>
      </c>
      <c r="I204" s="236">
        <v>34456</v>
      </c>
      <c r="J204" s="891">
        <f t="shared" si="3"/>
        <v>30321</v>
      </c>
      <c r="K204" s="30" t="s">
        <v>17</v>
      </c>
      <c r="L204" s="889">
        <v>45525</v>
      </c>
      <c r="R204" s="14" t="s">
        <v>4138</v>
      </c>
      <c r="S204" s="360">
        <v>0.63541666666666663</v>
      </c>
      <c r="T204" s="30"/>
    </row>
    <row r="205" spans="1:30" hidden="1" x14ac:dyDescent="0.25">
      <c r="A205" s="483" t="s">
        <v>4508</v>
      </c>
      <c r="B205" t="s">
        <v>1720</v>
      </c>
      <c r="C205" s="652" t="s">
        <v>4218</v>
      </c>
      <c r="D205" s="233">
        <v>45485</v>
      </c>
      <c r="F205" s="28" t="s">
        <v>545</v>
      </c>
      <c r="G205" s="30" t="s">
        <v>4524</v>
      </c>
      <c r="H205" s="30" t="s">
        <v>4525</v>
      </c>
      <c r="I205" s="236">
        <v>25016</v>
      </c>
      <c r="J205" s="894">
        <f t="shared" si="3"/>
        <v>22014</v>
      </c>
      <c r="K205" s="30" t="s">
        <v>17</v>
      </c>
      <c r="L205" s="893">
        <v>45533</v>
      </c>
      <c r="M205" s="651"/>
      <c r="N205" s="651"/>
      <c r="O205" s="651"/>
      <c r="P205" s="651"/>
      <c r="Q205" s="651"/>
      <c r="R205" s="654" t="s">
        <v>4138</v>
      </c>
      <c r="S205" s="655"/>
      <c r="T205" s="653"/>
      <c r="U205" s="651"/>
      <c r="V205" s="651"/>
      <c r="W205" s="651"/>
      <c r="X205" s="651"/>
      <c r="Y205" s="651"/>
      <c r="Z205" s="651"/>
      <c r="AA205" s="651"/>
      <c r="AB205" s="651"/>
      <c r="AC205" s="651"/>
      <c r="AD205" s="651"/>
    </row>
    <row r="206" spans="1:30" hidden="1" x14ac:dyDescent="0.25">
      <c r="A206" s="483" t="s">
        <v>4514</v>
      </c>
      <c r="B206" t="s">
        <v>1720</v>
      </c>
      <c r="C206" s="652" t="s">
        <v>4218</v>
      </c>
      <c r="D206" s="233">
        <v>45488</v>
      </c>
      <c r="F206" s="28" t="s">
        <v>545</v>
      </c>
      <c r="G206" s="30" t="s">
        <v>4522</v>
      </c>
      <c r="H206" s="30" t="s">
        <v>4523</v>
      </c>
      <c r="I206" s="236">
        <v>25016</v>
      </c>
      <c r="J206" s="894">
        <f t="shared" si="3"/>
        <v>22014</v>
      </c>
      <c r="K206" s="30" t="s">
        <v>17</v>
      </c>
      <c r="L206" s="893">
        <v>45533</v>
      </c>
      <c r="M206" s="651"/>
      <c r="N206" s="651"/>
      <c r="O206" s="651"/>
      <c r="P206" s="651"/>
      <c r="Q206" s="651"/>
      <c r="R206" s="654" t="s">
        <v>3408</v>
      </c>
      <c r="S206" s="655">
        <v>0.28958333333333336</v>
      </c>
      <c r="T206" s="655">
        <v>0.43055555555555558</v>
      </c>
      <c r="U206" s="651"/>
      <c r="V206" s="651"/>
      <c r="W206" s="651"/>
      <c r="X206" s="651"/>
      <c r="Y206" s="651"/>
      <c r="Z206" s="651"/>
      <c r="AA206" s="651"/>
      <c r="AB206" s="651"/>
      <c r="AC206" s="651"/>
      <c r="AD206" s="651"/>
    </row>
    <row r="207" spans="1:30" hidden="1" x14ac:dyDescent="0.25">
      <c r="A207" s="483" t="s">
        <v>4514</v>
      </c>
      <c r="B207" t="s">
        <v>1720</v>
      </c>
      <c r="C207" s="652" t="s">
        <v>4218</v>
      </c>
      <c r="D207" s="233">
        <v>45488</v>
      </c>
      <c r="F207" s="28" t="s">
        <v>545</v>
      </c>
      <c r="G207" s="30" t="s">
        <v>4527</v>
      </c>
      <c r="H207" t="s">
        <v>4526</v>
      </c>
      <c r="I207" s="313">
        <v>25016</v>
      </c>
      <c r="J207" s="891">
        <f t="shared" si="3"/>
        <v>22014</v>
      </c>
      <c r="K207" s="30" t="s">
        <v>17</v>
      </c>
      <c r="L207" s="890">
        <v>45525</v>
      </c>
      <c r="M207" s="651"/>
      <c r="N207" s="651"/>
      <c r="O207" s="651"/>
      <c r="P207" s="651"/>
      <c r="Q207" s="651"/>
      <c r="R207" s="654" t="s">
        <v>4365</v>
      </c>
      <c r="S207" s="655">
        <v>0.70347222222222217</v>
      </c>
      <c r="T207" s="655">
        <v>0.82708333333333339</v>
      </c>
      <c r="U207" s="651"/>
      <c r="V207" s="651"/>
      <c r="W207" s="651"/>
      <c r="X207" s="651"/>
      <c r="Y207" s="651"/>
      <c r="Z207" s="651"/>
      <c r="AA207" s="651"/>
      <c r="AB207" s="651"/>
      <c r="AC207" s="651"/>
      <c r="AD207" s="651"/>
    </row>
    <row r="208" spans="1:30" hidden="1" x14ac:dyDescent="0.25">
      <c r="A208" s="483" t="s">
        <v>4517</v>
      </c>
      <c r="B208" t="s">
        <v>1720</v>
      </c>
      <c r="C208" s="127" t="s">
        <v>410</v>
      </c>
      <c r="D208" s="233">
        <v>45490</v>
      </c>
      <c r="F208" s="28" t="s">
        <v>545</v>
      </c>
      <c r="G208" s="30" t="s">
        <v>4587</v>
      </c>
      <c r="H208" s="30" t="s">
        <v>4588</v>
      </c>
      <c r="I208" s="236">
        <v>34456</v>
      </c>
      <c r="J208" s="894">
        <f t="shared" si="3"/>
        <v>30321</v>
      </c>
      <c r="K208" s="30" t="s">
        <v>17</v>
      </c>
      <c r="L208" s="893">
        <v>45533</v>
      </c>
      <c r="M208" s="5"/>
      <c r="N208" s="5"/>
      <c r="O208" s="5"/>
      <c r="P208" s="5"/>
      <c r="Q208" s="5"/>
      <c r="R208" s="258" t="s">
        <v>4509</v>
      </c>
      <c r="S208" s="496">
        <v>0.65694444444444444</v>
      </c>
      <c r="T208" s="373"/>
      <c r="U208" s="5"/>
      <c r="V208" s="5"/>
      <c r="W208" s="5"/>
      <c r="X208" s="5"/>
      <c r="Y208" s="5"/>
      <c r="Z208" s="5"/>
      <c r="AA208" s="5"/>
      <c r="AB208" s="5"/>
      <c r="AC208" s="5"/>
      <c r="AD208" s="5"/>
    </row>
    <row r="209" spans="1:30" hidden="1" x14ac:dyDescent="0.25">
      <c r="A209" s="483">
        <v>18072024</v>
      </c>
      <c r="B209" t="s">
        <v>1720</v>
      </c>
      <c r="C209" s="127" t="s">
        <v>410</v>
      </c>
      <c r="D209" s="233">
        <v>45491</v>
      </c>
      <c r="F209" s="28" t="s">
        <v>545</v>
      </c>
      <c r="G209" s="30" t="s">
        <v>4586</v>
      </c>
      <c r="H209" s="30" t="s">
        <v>4553</v>
      </c>
      <c r="I209" s="236">
        <v>34456</v>
      </c>
      <c r="J209" s="894">
        <f t="shared" si="3"/>
        <v>30321</v>
      </c>
      <c r="K209" s="30" t="s">
        <v>17</v>
      </c>
      <c r="L209" s="893">
        <v>45533</v>
      </c>
      <c r="M209" s="5"/>
      <c r="N209" s="5"/>
      <c r="O209" s="5"/>
      <c r="P209" s="5"/>
      <c r="Q209" s="5"/>
      <c r="R209" s="258" t="s">
        <v>4509</v>
      </c>
      <c r="S209" s="496">
        <v>0.74652777777777779</v>
      </c>
      <c r="T209" s="496">
        <v>0.93402777777777779</v>
      </c>
      <c r="U209" s="5"/>
      <c r="V209" s="5"/>
      <c r="W209" s="5"/>
      <c r="X209" s="5"/>
      <c r="Y209" s="5"/>
      <c r="Z209" s="5"/>
      <c r="AA209" s="5"/>
      <c r="AB209" s="5"/>
      <c r="AC209" s="5"/>
      <c r="AD209" s="5"/>
    </row>
    <row r="210" spans="1:30" hidden="1" x14ac:dyDescent="0.25">
      <c r="A210" s="483">
        <v>20072024</v>
      </c>
      <c r="B210" t="s">
        <v>1720</v>
      </c>
      <c r="C210" s="652" t="s">
        <v>4218</v>
      </c>
      <c r="D210" s="233">
        <v>45493</v>
      </c>
      <c r="F210" s="28" t="s">
        <v>545</v>
      </c>
      <c r="G210" s="30" t="s">
        <v>4589</v>
      </c>
      <c r="H210" s="30" t="s">
        <v>4590</v>
      </c>
      <c r="I210" s="236">
        <v>25016</v>
      </c>
      <c r="J210" s="894">
        <f t="shared" si="3"/>
        <v>22014</v>
      </c>
      <c r="K210" s="30" t="s">
        <v>17</v>
      </c>
      <c r="L210" s="893">
        <v>45533</v>
      </c>
      <c r="M210" s="651"/>
      <c r="N210" s="651"/>
      <c r="O210" s="651"/>
      <c r="P210" s="651"/>
      <c r="Q210" s="651"/>
      <c r="R210" s="654" t="s">
        <v>3151</v>
      </c>
      <c r="S210" s="655">
        <v>0.30416666666666664</v>
      </c>
      <c r="T210" s="655">
        <v>0.46458333333333335</v>
      </c>
      <c r="U210" s="651"/>
      <c r="V210" s="651"/>
      <c r="W210" s="651"/>
      <c r="X210" s="651"/>
      <c r="Y210" s="651"/>
      <c r="Z210" s="651"/>
      <c r="AA210" s="651"/>
      <c r="AB210" s="651"/>
      <c r="AC210" s="651"/>
      <c r="AD210" s="651"/>
    </row>
    <row r="211" spans="1:30" hidden="1" x14ac:dyDescent="0.25">
      <c r="A211" s="483">
        <v>24072024</v>
      </c>
      <c r="B211" t="s">
        <v>1720</v>
      </c>
      <c r="C211" s="652" t="s">
        <v>4218</v>
      </c>
      <c r="D211" s="233">
        <v>45497</v>
      </c>
      <c r="F211" s="28" t="s">
        <v>545</v>
      </c>
      <c r="G211" s="30" t="s">
        <v>4591</v>
      </c>
      <c r="H211" s="30" t="s">
        <v>4636</v>
      </c>
      <c r="I211" s="236">
        <v>25016</v>
      </c>
      <c r="J211" s="894">
        <f t="shared" si="3"/>
        <v>22014</v>
      </c>
      <c r="K211" s="30" t="s">
        <v>17</v>
      </c>
      <c r="L211" s="893">
        <v>45533</v>
      </c>
      <c r="M211" s="651"/>
      <c r="N211" s="651"/>
      <c r="O211" s="651"/>
      <c r="P211" s="651"/>
      <c r="Q211" s="651"/>
      <c r="R211" s="654" t="s">
        <v>3151</v>
      </c>
      <c r="S211" s="655">
        <v>0.58611111111111114</v>
      </c>
      <c r="T211" s="655">
        <v>0.70000000000000007</v>
      </c>
      <c r="U211" s="651"/>
      <c r="V211" s="651"/>
      <c r="W211" s="651"/>
      <c r="X211" s="651"/>
      <c r="Y211" s="651"/>
      <c r="Z211" s="651"/>
      <c r="AA211" s="651"/>
      <c r="AB211" s="651"/>
      <c r="AC211" s="651"/>
      <c r="AD211" s="651"/>
    </row>
    <row r="212" spans="1:30" hidden="1" x14ac:dyDescent="0.25">
      <c r="A212" s="483">
        <v>26072024</v>
      </c>
      <c r="B212" t="s">
        <v>1720</v>
      </c>
      <c r="C212" s="127" t="s">
        <v>13</v>
      </c>
      <c r="D212" s="233">
        <v>45499</v>
      </c>
      <c r="F212" s="28" t="s">
        <v>545</v>
      </c>
      <c r="G212" s="30" t="s">
        <v>4592</v>
      </c>
      <c r="H212" s="30" t="s">
        <v>4637</v>
      </c>
      <c r="I212" s="236">
        <v>34456</v>
      </c>
      <c r="J212" s="894">
        <f t="shared" si="3"/>
        <v>30321</v>
      </c>
      <c r="K212" s="30" t="s">
        <v>17</v>
      </c>
      <c r="L212" s="893">
        <v>45533</v>
      </c>
      <c r="M212" s="5"/>
      <c r="N212" s="5"/>
      <c r="O212" s="5"/>
      <c r="P212" s="5"/>
      <c r="Q212" s="5"/>
      <c r="R212" s="258"/>
      <c r="S212" s="496"/>
      <c r="T212" s="496"/>
      <c r="U212" s="5"/>
      <c r="V212" s="5"/>
      <c r="W212" s="5"/>
      <c r="X212" s="5"/>
      <c r="Y212" s="5"/>
      <c r="Z212" s="5"/>
      <c r="AA212" s="5"/>
      <c r="AB212" s="5"/>
      <c r="AC212" s="5"/>
      <c r="AD212" s="5"/>
    </row>
    <row r="213" spans="1:30" hidden="1" x14ac:dyDescent="0.25">
      <c r="A213" s="95" t="s">
        <v>4576</v>
      </c>
      <c r="B213" t="s">
        <v>1720</v>
      </c>
      <c r="C213" s="127" t="s">
        <v>410</v>
      </c>
      <c r="D213" s="233">
        <v>45505</v>
      </c>
      <c r="F213" s="28" t="s">
        <v>545</v>
      </c>
      <c r="G213" s="30" t="s">
        <v>4593</v>
      </c>
      <c r="H213" s="30" t="s">
        <v>4638</v>
      </c>
      <c r="I213" s="313">
        <v>34456</v>
      </c>
      <c r="J213" s="894">
        <f t="shared" si="3"/>
        <v>30321</v>
      </c>
      <c r="K213" s="30" t="s">
        <v>17</v>
      </c>
      <c r="L213" s="893">
        <v>45533</v>
      </c>
      <c r="M213" s="5"/>
      <c r="N213" s="5"/>
      <c r="O213" s="5"/>
      <c r="P213" s="5"/>
      <c r="Q213" s="5"/>
      <c r="R213" s="5" t="s">
        <v>4277</v>
      </c>
      <c r="S213" s="496">
        <v>0.73055555555555562</v>
      </c>
      <c r="T213" s="496">
        <v>0.93194444444444446</v>
      </c>
      <c r="U213" s="5"/>
      <c r="V213" s="5"/>
      <c r="W213" s="5"/>
      <c r="X213" s="5"/>
      <c r="Y213" s="5"/>
      <c r="Z213" s="5"/>
      <c r="AA213" s="5"/>
      <c r="AB213" s="5"/>
      <c r="AC213" s="5"/>
      <c r="AD213" s="5"/>
    </row>
    <row r="214" spans="1:30" hidden="1" x14ac:dyDescent="0.25">
      <c r="A214" s="95" t="s">
        <v>4578</v>
      </c>
      <c r="B214" t="s">
        <v>1720</v>
      </c>
      <c r="C214" s="28" t="s">
        <v>13</v>
      </c>
      <c r="D214" s="233">
        <v>45508</v>
      </c>
      <c r="F214" s="28" t="s">
        <v>545</v>
      </c>
      <c r="G214" s="30" t="s">
        <v>4594</v>
      </c>
      <c r="H214" s="30" t="s">
        <v>4639</v>
      </c>
      <c r="I214" s="236">
        <v>34456</v>
      </c>
      <c r="J214" s="895">
        <f t="shared" si="3"/>
        <v>30321</v>
      </c>
      <c r="K214" s="30" t="s">
        <v>17</v>
      </c>
      <c r="L214" s="896">
        <v>45548</v>
      </c>
      <c r="R214" t="s">
        <v>4297</v>
      </c>
      <c r="S214" s="360">
        <v>0.72638888888888886</v>
      </c>
      <c r="T214" s="360">
        <v>0.90833333333333333</v>
      </c>
    </row>
    <row r="215" spans="1:30" hidden="1" x14ac:dyDescent="0.25">
      <c r="A215" s="95" t="s">
        <v>4597</v>
      </c>
      <c r="B215" t="s">
        <v>1720</v>
      </c>
      <c r="C215" s="652" t="s">
        <v>13</v>
      </c>
      <c r="D215" s="233">
        <v>45511</v>
      </c>
      <c r="F215" s="28" t="s">
        <v>545</v>
      </c>
      <c r="G215" s="30" t="s">
        <v>4640</v>
      </c>
      <c r="H215" s="30" t="s">
        <v>4641</v>
      </c>
      <c r="I215" s="236">
        <v>25016</v>
      </c>
      <c r="J215" s="895">
        <f t="shared" si="3"/>
        <v>22014</v>
      </c>
      <c r="K215" s="30" t="s">
        <v>17</v>
      </c>
      <c r="L215" s="896">
        <v>45548</v>
      </c>
      <c r="M215" s="651"/>
      <c r="N215" s="651"/>
      <c r="O215" s="651"/>
      <c r="P215" s="651"/>
      <c r="Q215" s="651"/>
      <c r="R215" s="651" t="s">
        <v>4070</v>
      </c>
      <c r="S215" s="655">
        <v>0.64722222222222225</v>
      </c>
      <c r="T215" s="655">
        <v>0.77222222222222225</v>
      </c>
      <c r="U215" s="651"/>
      <c r="V215" s="651"/>
      <c r="W215" s="651"/>
      <c r="X215" s="651"/>
      <c r="Y215" s="651"/>
      <c r="Z215" s="651"/>
      <c r="AA215" s="651"/>
      <c r="AB215" s="651"/>
      <c r="AC215" s="651"/>
      <c r="AD215" s="651"/>
    </row>
    <row r="216" spans="1:30" hidden="1" x14ac:dyDescent="0.25">
      <c r="A216" s="95" t="s">
        <v>4616</v>
      </c>
      <c r="B216" t="s">
        <v>1720</v>
      </c>
      <c r="C216" s="28" t="s">
        <v>13</v>
      </c>
      <c r="D216" s="233">
        <v>45513</v>
      </c>
      <c r="F216" s="28" t="s">
        <v>545</v>
      </c>
      <c r="G216" s="30" t="s">
        <v>4642</v>
      </c>
      <c r="H216" s="30" t="s">
        <v>4643</v>
      </c>
      <c r="I216" s="236">
        <v>34456</v>
      </c>
      <c r="J216" s="895">
        <f t="shared" si="3"/>
        <v>30321</v>
      </c>
      <c r="K216" s="30" t="s">
        <v>17</v>
      </c>
      <c r="L216" s="896">
        <v>45548</v>
      </c>
      <c r="R216" t="s">
        <v>2050</v>
      </c>
      <c r="S216" s="360">
        <v>0.69930555555555562</v>
      </c>
      <c r="T216" s="360">
        <v>0.89583333333333337</v>
      </c>
    </row>
    <row r="217" spans="1:30" hidden="1" x14ac:dyDescent="0.25">
      <c r="A217" s="95">
        <v>14082024</v>
      </c>
      <c r="B217" t="s">
        <v>1720</v>
      </c>
      <c r="C217" s="28" t="s">
        <v>410</v>
      </c>
      <c r="D217" s="233">
        <v>45518</v>
      </c>
      <c r="F217" s="28" t="s">
        <v>545</v>
      </c>
      <c r="G217" s="30" t="s">
        <v>4665</v>
      </c>
      <c r="H217" s="30" t="s">
        <v>4666</v>
      </c>
      <c r="I217" s="236">
        <v>25016</v>
      </c>
      <c r="J217" s="897">
        <f t="shared" si="3"/>
        <v>22014</v>
      </c>
      <c r="K217" s="30" t="s">
        <v>17</v>
      </c>
      <c r="L217" s="898">
        <v>45586</v>
      </c>
      <c r="R217" t="s">
        <v>4277</v>
      </c>
      <c r="S217" s="360"/>
      <c r="T217" s="360"/>
    </row>
    <row r="218" spans="1:30" hidden="1" x14ac:dyDescent="0.25">
      <c r="A218" s="95">
        <v>21082024</v>
      </c>
      <c r="B218" t="s">
        <v>1720</v>
      </c>
      <c r="C218" s="28" t="s">
        <v>410</v>
      </c>
      <c r="D218" s="359">
        <v>45525</v>
      </c>
      <c r="F218" s="28" t="s">
        <v>545</v>
      </c>
      <c r="G218" s="30" t="s">
        <v>4696</v>
      </c>
      <c r="H218" s="30" t="s">
        <v>4713</v>
      </c>
      <c r="I218" s="368">
        <v>25016</v>
      </c>
      <c r="J218" s="3">
        <f t="shared" si="3"/>
        <v>22014</v>
      </c>
      <c r="K218" s="30" t="s">
        <v>17</v>
      </c>
      <c r="L218" s="233">
        <v>45586</v>
      </c>
      <c r="R218" t="s">
        <v>4139</v>
      </c>
      <c r="S218" s="360">
        <v>0.34513888888888888</v>
      </c>
      <c r="T218" s="360">
        <v>0.99375000000000002</v>
      </c>
    </row>
    <row r="219" spans="1:30" hidden="1" x14ac:dyDescent="0.25">
      <c r="A219" s="95">
        <v>23082024</v>
      </c>
      <c r="B219" t="s">
        <v>1720</v>
      </c>
      <c r="C219" s="28" t="s">
        <v>410</v>
      </c>
      <c r="D219" s="233">
        <v>45527</v>
      </c>
      <c r="F219" s="28" t="s">
        <v>545</v>
      </c>
      <c r="G219" s="30" t="s">
        <v>4697</v>
      </c>
      <c r="H219" s="30" t="s">
        <v>4714</v>
      </c>
      <c r="I219" s="368">
        <v>25016</v>
      </c>
      <c r="J219" s="897">
        <f t="shared" si="3"/>
        <v>22014</v>
      </c>
      <c r="K219" s="30" t="s">
        <v>17</v>
      </c>
      <c r="L219" s="898">
        <v>45586</v>
      </c>
      <c r="R219" t="s">
        <v>1644</v>
      </c>
      <c r="S219" s="360"/>
      <c r="T219" s="360"/>
    </row>
    <row r="220" spans="1:30" hidden="1" x14ac:dyDescent="0.25">
      <c r="A220" s="95">
        <v>30082024</v>
      </c>
      <c r="B220" t="s">
        <v>1720</v>
      </c>
      <c r="C220" s="28" t="s">
        <v>410</v>
      </c>
      <c r="D220" s="233">
        <v>45534</v>
      </c>
      <c r="F220" s="28" t="s">
        <v>545</v>
      </c>
      <c r="G220" s="30" t="s">
        <v>4710</v>
      </c>
      <c r="H220" s="30" t="s">
        <v>4711</v>
      </c>
      <c r="I220" s="313">
        <v>25016</v>
      </c>
      <c r="J220" s="897">
        <f t="shared" si="3"/>
        <v>22014</v>
      </c>
      <c r="K220" s="30" t="s">
        <v>17</v>
      </c>
      <c r="L220" s="898">
        <v>45586</v>
      </c>
      <c r="R220" t="s">
        <v>4297</v>
      </c>
      <c r="S220" s="360">
        <v>0.65208333333333335</v>
      </c>
      <c r="T220" s="360">
        <v>0.75277777777777777</v>
      </c>
    </row>
    <row r="221" spans="1:30" hidden="1" x14ac:dyDescent="0.25">
      <c r="A221" s="95">
        <v>2092024</v>
      </c>
      <c r="B221" t="s">
        <v>1720</v>
      </c>
      <c r="C221" s="28" t="s">
        <v>410</v>
      </c>
      <c r="D221" s="233">
        <v>45537</v>
      </c>
      <c r="F221" s="1004" t="s">
        <v>545</v>
      </c>
      <c r="G221" s="1008" t="s">
        <v>4712</v>
      </c>
      <c r="H221" s="1008" t="s">
        <v>8185</v>
      </c>
      <c r="I221" s="88">
        <v>34456</v>
      </c>
      <c r="J221" s="3">
        <f t="shared" si="3"/>
        <v>30321</v>
      </c>
      <c r="K221" s="30" t="s">
        <v>17</v>
      </c>
      <c r="L221" s="233">
        <v>46175</v>
      </c>
      <c r="R221" t="s">
        <v>4022</v>
      </c>
      <c r="S221" s="360">
        <v>0.24513888888888888</v>
      </c>
      <c r="T221" s="360">
        <v>0.49652777777777779</v>
      </c>
    </row>
    <row r="222" spans="1:30" hidden="1" x14ac:dyDescent="0.25">
      <c r="A222" s="95">
        <v>4092024</v>
      </c>
      <c r="B222" t="s">
        <v>1720</v>
      </c>
      <c r="C222" s="28" t="s">
        <v>410</v>
      </c>
      <c r="D222" s="233">
        <v>45539</v>
      </c>
      <c r="F222" s="28" t="s">
        <v>545</v>
      </c>
      <c r="G222" s="30" t="s">
        <v>4760</v>
      </c>
      <c r="H222" s="30" t="s">
        <v>4762</v>
      </c>
      <c r="I222" s="88">
        <v>25016</v>
      </c>
      <c r="J222" s="897">
        <f t="shared" si="3"/>
        <v>22014</v>
      </c>
      <c r="K222" s="30" t="s">
        <v>17</v>
      </c>
      <c r="L222" s="898">
        <v>45586</v>
      </c>
      <c r="R222" t="s">
        <v>4509</v>
      </c>
      <c r="S222" s="360">
        <v>0.81388888888888899</v>
      </c>
      <c r="T222" s="360">
        <v>0.9472222222222223</v>
      </c>
    </row>
    <row r="223" spans="1:30" hidden="1" x14ac:dyDescent="0.25">
      <c r="A223" s="95">
        <v>5092024</v>
      </c>
      <c r="B223" t="s">
        <v>1720</v>
      </c>
      <c r="C223" s="28" t="s">
        <v>13</v>
      </c>
      <c r="D223" s="233">
        <v>45540</v>
      </c>
      <c r="F223" s="28" t="s">
        <v>545</v>
      </c>
      <c r="G223" s="30" t="s">
        <v>4761</v>
      </c>
      <c r="H223" s="30" t="s">
        <v>4763</v>
      </c>
      <c r="I223" s="88">
        <v>25016</v>
      </c>
      <c r="J223" s="899">
        <f t="shared" si="3"/>
        <v>22014</v>
      </c>
      <c r="K223" s="30" t="s">
        <v>17</v>
      </c>
      <c r="L223" s="900">
        <v>45604</v>
      </c>
      <c r="R223" t="s">
        <v>4139</v>
      </c>
      <c r="S223" s="360">
        <v>0.6694444444444444</v>
      </c>
      <c r="T223" s="360">
        <v>0.81666666666666676</v>
      </c>
    </row>
    <row r="224" spans="1:30" hidden="1" x14ac:dyDescent="0.25">
      <c r="A224" s="95">
        <v>6092024</v>
      </c>
      <c r="B224" t="s">
        <v>1720</v>
      </c>
      <c r="C224" s="28" t="s">
        <v>4437</v>
      </c>
      <c r="D224" s="233">
        <v>45541</v>
      </c>
      <c r="F224" s="28" t="s">
        <v>545</v>
      </c>
      <c r="G224" s="30" t="s">
        <v>4764</v>
      </c>
      <c r="H224" s="30" t="s">
        <v>4768</v>
      </c>
      <c r="I224" s="88">
        <v>25016</v>
      </c>
      <c r="J224" s="899">
        <f t="shared" si="3"/>
        <v>22014</v>
      </c>
      <c r="K224" s="236" t="s">
        <v>17</v>
      </c>
      <c r="L224" s="900">
        <v>45604</v>
      </c>
      <c r="R224" t="s">
        <v>2050</v>
      </c>
      <c r="S224" s="360"/>
      <c r="T224" s="30"/>
    </row>
    <row r="225" spans="1:30" hidden="1" x14ac:dyDescent="0.25">
      <c r="A225" s="95">
        <v>8092024</v>
      </c>
      <c r="B225" t="s">
        <v>1720</v>
      </c>
      <c r="C225" s="28" t="s">
        <v>13</v>
      </c>
      <c r="D225" s="233">
        <v>45543</v>
      </c>
      <c r="F225" s="28" t="s">
        <v>545</v>
      </c>
      <c r="G225" s="30" t="s">
        <v>4765</v>
      </c>
      <c r="H225" s="30" t="s">
        <v>4767</v>
      </c>
      <c r="I225" s="88">
        <v>34456</v>
      </c>
      <c r="J225" s="899">
        <f t="shared" si="3"/>
        <v>30321</v>
      </c>
      <c r="K225" s="236" t="s">
        <v>17</v>
      </c>
      <c r="L225" s="900">
        <v>45604</v>
      </c>
      <c r="R225" t="s">
        <v>4345</v>
      </c>
      <c r="S225" s="360">
        <v>0.35555555555555557</v>
      </c>
      <c r="T225" s="360">
        <v>0.53333333333333333</v>
      </c>
    </row>
    <row r="226" spans="1:30" hidden="1" x14ac:dyDescent="0.25">
      <c r="A226" s="95">
        <v>10092024</v>
      </c>
      <c r="B226" t="s">
        <v>1720</v>
      </c>
      <c r="C226" s="28" t="s">
        <v>4746</v>
      </c>
      <c r="D226" s="233">
        <v>45545</v>
      </c>
      <c r="F226" s="28" t="s">
        <v>545</v>
      </c>
      <c r="G226" s="30" t="s">
        <v>4766</v>
      </c>
      <c r="H226" s="30" t="s">
        <v>4827</v>
      </c>
      <c r="I226" s="88">
        <v>25016</v>
      </c>
      <c r="J226" s="899">
        <f t="shared" si="3"/>
        <v>22014</v>
      </c>
      <c r="K226" s="236" t="s">
        <v>17</v>
      </c>
      <c r="L226" s="900">
        <v>45604</v>
      </c>
      <c r="R226" t="s">
        <v>894</v>
      </c>
      <c r="S226" s="360">
        <v>0.38958333333333334</v>
      </c>
      <c r="T226" s="360">
        <v>0.44236111111111115</v>
      </c>
    </row>
    <row r="227" spans="1:30" hidden="1" x14ac:dyDescent="0.25">
      <c r="A227" s="95">
        <v>11092024</v>
      </c>
      <c r="B227" t="s">
        <v>1720</v>
      </c>
      <c r="C227" s="28" t="s">
        <v>13</v>
      </c>
      <c r="D227" s="233">
        <v>45546</v>
      </c>
      <c r="F227" s="28" t="s">
        <v>545</v>
      </c>
      <c r="G227" s="30" t="s">
        <v>4828</v>
      </c>
      <c r="H227" s="30" t="s">
        <v>4829</v>
      </c>
      <c r="I227" s="88">
        <v>34456</v>
      </c>
      <c r="J227" s="899">
        <f t="shared" si="3"/>
        <v>30321</v>
      </c>
      <c r="K227" s="236" t="s">
        <v>17</v>
      </c>
      <c r="L227" s="900">
        <v>45604</v>
      </c>
      <c r="R227" t="s">
        <v>4745</v>
      </c>
      <c r="S227" s="360">
        <v>0.25763888888888892</v>
      </c>
      <c r="T227" s="360">
        <v>0.42430555555555555</v>
      </c>
    </row>
    <row r="228" spans="1:30" hidden="1" x14ac:dyDescent="0.25">
      <c r="A228" s="95">
        <v>13092024</v>
      </c>
      <c r="B228" t="s">
        <v>1720</v>
      </c>
      <c r="C228" s="28" t="s">
        <v>13</v>
      </c>
      <c r="D228" s="233">
        <v>45548</v>
      </c>
      <c r="F228" s="28" t="s">
        <v>545</v>
      </c>
      <c r="G228" s="30" t="s">
        <v>4825</v>
      </c>
      <c r="H228" s="30" t="s">
        <v>4826</v>
      </c>
      <c r="I228" s="88">
        <v>34456</v>
      </c>
      <c r="J228" s="899">
        <f t="shared" si="3"/>
        <v>30321</v>
      </c>
      <c r="K228" s="236" t="s">
        <v>17</v>
      </c>
      <c r="L228" s="900">
        <v>45604</v>
      </c>
      <c r="R228" t="s">
        <v>4509</v>
      </c>
      <c r="S228" s="360">
        <v>0.7416666666666667</v>
      </c>
      <c r="T228" s="360">
        <v>0.9194444444444444</v>
      </c>
    </row>
    <row r="229" spans="1:30" hidden="1" x14ac:dyDescent="0.25">
      <c r="A229" s="95">
        <v>18092024</v>
      </c>
      <c r="B229" t="s">
        <v>1720</v>
      </c>
      <c r="C229" s="28" t="s">
        <v>809</v>
      </c>
      <c r="D229" s="233">
        <v>45553</v>
      </c>
      <c r="F229" s="28" t="s">
        <v>545</v>
      </c>
      <c r="G229" s="30" t="s">
        <v>4860</v>
      </c>
      <c r="H229" s="30" t="s">
        <v>4861</v>
      </c>
      <c r="I229" s="88">
        <v>25016</v>
      </c>
      <c r="J229" s="899">
        <f t="shared" si="3"/>
        <v>22014</v>
      </c>
      <c r="K229" s="236" t="s">
        <v>17</v>
      </c>
      <c r="L229" s="900">
        <v>45604</v>
      </c>
      <c r="R229" t="s">
        <v>4824</v>
      </c>
      <c r="S229" s="360">
        <v>0.69166666666666676</v>
      </c>
      <c r="T229" s="360">
        <v>0.83124999999999993</v>
      </c>
    </row>
    <row r="230" spans="1:30" hidden="1" x14ac:dyDescent="0.25">
      <c r="A230" s="95">
        <v>19092024</v>
      </c>
      <c r="B230" t="s">
        <v>1720</v>
      </c>
      <c r="C230" s="28" t="s">
        <v>410</v>
      </c>
      <c r="D230" s="233">
        <v>45554</v>
      </c>
      <c r="F230" s="28" t="s">
        <v>545</v>
      </c>
      <c r="G230" s="30" t="s">
        <v>4862</v>
      </c>
      <c r="H230" s="30" t="s">
        <v>4863</v>
      </c>
      <c r="I230" s="88">
        <v>25016</v>
      </c>
      <c r="J230" s="899">
        <f t="shared" si="3"/>
        <v>22014</v>
      </c>
      <c r="K230" s="236" t="s">
        <v>17</v>
      </c>
      <c r="L230" s="900">
        <v>45604</v>
      </c>
      <c r="R230" t="s">
        <v>4138</v>
      </c>
      <c r="S230" s="360">
        <v>0.32083333333333336</v>
      </c>
      <c r="T230" s="360">
        <v>0.4770833333333333</v>
      </c>
    </row>
    <row r="231" spans="1:30" hidden="1" x14ac:dyDescent="0.25">
      <c r="A231" s="95">
        <v>19092024</v>
      </c>
      <c r="B231" t="s">
        <v>1720</v>
      </c>
      <c r="C231" s="28" t="s">
        <v>13</v>
      </c>
      <c r="D231" s="233">
        <v>45554</v>
      </c>
      <c r="F231" s="28" t="s">
        <v>545</v>
      </c>
      <c r="G231" s="30" t="s">
        <v>4858</v>
      </c>
      <c r="H231" s="30" t="s">
        <v>4859</v>
      </c>
      <c r="I231" s="88">
        <v>34456</v>
      </c>
      <c r="J231" s="899">
        <f t="shared" si="3"/>
        <v>30321</v>
      </c>
      <c r="K231" s="30" t="s">
        <v>17</v>
      </c>
      <c r="L231" s="900">
        <v>45604</v>
      </c>
      <c r="R231" t="s">
        <v>4509</v>
      </c>
      <c r="S231" s="360">
        <v>0.8041666666666667</v>
      </c>
      <c r="T231" s="360">
        <v>0.36458333333333331</v>
      </c>
    </row>
    <row r="232" spans="1:30" hidden="1" x14ac:dyDescent="0.25">
      <c r="A232" s="95">
        <v>23092024</v>
      </c>
      <c r="B232" t="s">
        <v>1720</v>
      </c>
      <c r="C232" s="28" t="s">
        <v>410</v>
      </c>
      <c r="D232" s="233">
        <v>45558</v>
      </c>
      <c r="F232" s="28" t="s">
        <v>545</v>
      </c>
      <c r="G232" s="30" t="s">
        <v>4856</v>
      </c>
      <c r="H232" t="s">
        <v>4857</v>
      </c>
      <c r="I232" s="88">
        <v>25016</v>
      </c>
      <c r="J232" s="899">
        <f t="shared" si="3"/>
        <v>22014</v>
      </c>
      <c r="K232" s="236" t="s">
        <v>17</v>
      </c>
      <c r="L232" s="900">
        <v>45604</v>
      </c>
      <c r="R232" t="s">
        <v>4417</v>
      </c>
      <c r="S232" s="360">
        <v>0.67638888888888893</v>
      </c>
      <c r="T232" s="360">
        <v>0.79583333333333339</v>
      </c>
    </row>
    <row r="233" spans="1:30" hidden="1" x14ac:dyDescent="0.25">
      <c r="A233" s="95">
        <v>27092024</v>
      </c>
      <c r="B233" t="s">
        <v>1720</v>
      </c>
      <c r="C233" s="28" t="s">
        <v>13</v>
      </c>
      <c r="D233" s="233">
        <v>45562</v>
      </c>
      <c r="F233" s="28" t="s">
        <v>545</v>
      </c>
      <c r="G233" s="30" t="s">
        <v>4965</v>
      </c>
      <c r="H233" s="30" t="s">
        <v>4964</v>
      </c>
      <c r="I233" s="88">
        <v>34456</v>
      </c>
      <c r="J233" s="901">
        <f t="shared" si="3"/>
        <v>30321</v>
      </c>
      <c r="K233" s="30" t="s">
        <v>17</v>
      </c>
      <c r="L233" s="902">
        <v>45617</v>
      </c>
      <c r="R233" t="s">
        <v>4850</v>
      </c>
      <c r="S233" s="360"/>
      <c r="T233" s="30"/>
    </row>
    <row r="234" spans="1:30" hidden="1" x14ac:dyDescent="0.25">
      <c r="A234" s="95">
        <v>28092024</v>
      </c>
      <c r="B234" t="s">
        <v>1720</v>
      </c>
      <c r="C234" s="28" t="s">
        <v>410</v>
      </c>
      <c r="D234" s="233">
        <v>45563</v>
      </c>
      <c r="F234" s="28" t="s">
        <v>545</v>
      </c>
      <c r="G234" s="30" t="s">
        <v>4966</v>
      </c>
      <c r="H234" s="30" t="s">
        <v>4967</v>
      </c>
      <c r="I234" s="88">
        <v>25016</v>
      </c>
      <c r="J234" s="901">
        <f t="shared" si="3"/>
        <v>22014</v>
      </c>
      <c r="K234" s="236" t="s">
        <v>17</v>
      </c>
      <c r="L234" s="902">
        <v>45617</v>
      </c>
      <c r="R234" t="s">
        <v>4854</v>
      </c>
      <c r="S234" s="360">
        <v>0.30763888888888891</v>
      </c>
      <c r="T234" s="360">
        <v>0.42499999999999999</v>
      </c>
    </row>
    <row r="235" spans="1:30" hidden="1" x14ac:dyDescent="0.25">
      <c r="A235" s="542" t="s">
        <v>4864</v>
      </c>
      <c r="B235" t="s">
        <v>1720</v>
      </c>
      <c r="C235" s="28" t="s">
        <v>4218</v>
      </c>
      <c r="D235" s="233">
        <v>45566</v>
      </c>
      <c r="F235" s="28" t="s">
        <v>545</v>
      </c>
      <c r="G235" s="30" t="s">
        <v>4968</v>
      </c>
      <c r="H235" s="30" t="s">
        <v>4969</v>
      </c>
      <c r="I235" s="88">
        <v>25016</v>
      </c>
      <c r="J235" s="901">
        <f t="shared" si="3"/>
        <v>22014</v>
      </c>
      <c r="K235" s="30" t="s">
        <v>17</v>
      </c>
      <c r="L235" s="902">
        <v>45617</v>
      </c>
      <c r="R235" t="s">
        <v>4550</v>
      </c>
      <c r="S235" s="360"/>
      <c r="T235" s="360">
        <v>0.91666666666666663</v>
      </c>
    </row>
    <row r="236" spans="1:30" hidden="1" x14ac:dyDescent="0.25">
      <c r="A236" s="542" t="s">
        <v>4868</v>
      </c>
      <c r="B236" t="s">
        <v>1720</v>
      </c>
      <c r="C236" s="28" t="s">
        <v>13</v>
      </c>
      <c r="D236" s="233">
        <v>45567</v>
      </c>
      <c r="F236" s="28" t="s">
        <v>545</v>
      </c>
      <c r="G236" s="30" t="s">
        <v>4970</v>
      </c>
      <c r="H236" s="30" t="s">
        <v>4971</v>
      </c>
      <c r="I236" s="88">
        <v>25016</v>
      </c>
      <c r="J236" s="903">
        <f t="shared" si="3"/>
        <v>22014</v>
      </c>
      <c r="K236" s="30" t="s">
        <v>17</v>
      </c>
      <c r="L236" s="904">
        <v>45629</v>
      </c>
      <c r="R236" t="s">
        <v>4550</v>
      </c>
      <c r="S236" s="360">
        <v>0.42569444444444443</v>
      </c>
      <c r="T236" s="360">
        <v>0.54583333333333328</v>
      </c>
    </row>
    <row r="237" spans="1:30" s="13" customFormat="1" ht="14.1" hidden="1" customHeight="1" x14ac:dyDescent="0.25">
      <c r="A237" s="586" t="s">
        <v>4882</v>
      </c>
      <c r="B237" s="13" t="s">
        <v>1720</v>
      </c>
      <c r="C237" s="127" t="s">
        <v>13</v>
      </c>
      <c r="D237" s="587">
        <v>45570</v>
      </c>
      <c r="F237" s="241" t="s">
        <v>545</v>
      </c>
      <c r="G237" s="199" t="s">
        <v>4976</v>
      </c>
      <c r="H237" s="199" t="s">
        <v>5115</v>
      </c>
      <c r="I237" s="88">
        <v>25016</v>
      </c>
      <c r="J237" s="860">
        <f t="shared" si="3"/>
        <v>22014</v>
      </c>
      <c r="K237" s="199" t="s">
        <v>17</v>
      </c>
      <c r="L237" s="858">
        <v>45678</v>
      </c>
      <c r="M237" s="5"/>
      <c r="N237" s="5"/>
      <c r="O237" s="5"/>
      <c r="P237" s="5"/>
      <c r="Q237" s="5"/>
      <c r="R237" s="5" t="s">
        <v>4617</v>
      </c>
      <c r="S237" s="496">
        <v>0.68263888888888891</v>
      </c>
      <c r="T237" s="496">
        <v>0.80069444444444438</v>
      </c>
      <c r="U237" s="5"/>
      <c r="V237" s="5"/>
      <c r="W237" s="5"/>
      <c r="X237" s="5"/>
      <c r="Y237" s="5"/>
      <c r="Z237" s="5"/>
      <c r="AA237" s="5"/>
      <c r="AB237" s="5"/>
      <c r="AC237" s="5"/>
      <c r="AD237" s="5"/>
    </row>
    <row r="238" spans="1:30" hidden="1" x14ac:dyDescent="0.25">
      <c r="A238" s="483" t="s">
        <v>4907</v>
      </c>
      <c r="B238" t="s">
        <v>1720</v>
      </c>
      <c r="C238" s="28" t="s">
        <v>13</v>
      </c>
      <c r="D238" s="233">
        <v>45575</v>
      </c>
      <c r="F238" s="28" t="s">
        <v>545</v>
      </c>
      <c r="G238" s="30" t="s">
        <v>4972</v>
      </c>
      <c r="H238" s="30" t="s">
        <v>4973</v>
      </c>
      <c r="I238" s="88">
        <v>34456</v>
      </c>
      <c r="J238" s="901">
        <f t="shared" si="3"/>
        <v>30321</v>
      </c>
      <c r="K238" s="30" t="s">
        <v>17</v>
      </c>
      <c r="L238" s="902">
        <v>45617</v>
      </c>
      <c r="R238" t="s">
        <v>4867</v>
      </c>
      <c r="S238" s="360">
        <v>0.50694444444444442</v>
      </c>
      <c r="T238" s="360">
        <v>0.71458333333333335</v>
      </c>
    </row>
    <row r="239" spans="1:30" hidden="1" x14ac:dyDescent="0.25">
      <c r="A239" s="483" t="s">
        <v>4910</v>
      </c>
      <c r="B239" t="s">
        <v>1720</v>
      </c>
      <c r="C239" s="420" t="s">
        <v>410</v>
      </c>
      <c r="D239" s="233">
        <v>45577</v>
      </c>
      <c r="F239" s="28" t="s">
        <v>545</v>
      </c>
      <c r="G239" s="30" t="s">
        <v>4974</v>
      </c>
      <c r="H239" s="30" t="s">
        <v>4975</v>
      </c>
      <c r="I239" s="88">
        <v>34456</v>
      </c>
      <c r="J239" s="901">
        <f t="shared" si="3"/>
        <v>30321</v>
      </c>
      <c r="K239" s="30" t="s">
        <v>17</v>
      </c>
      <c r="L239" s="902">
        <v>45617</v>
      </c>
      <c r="M239" s="418"/>
      <c r="N239" s="418"/>
      <c r="O239" s="418"/>
      <c r="P239" s="418"/>
      <c r="Q239" s="418"/>
      <c r="R239" s="418" t="s">
        <v>4853</v>
      </c>
      <c r="S239" s="604">
        <v>0.7284722222222223</v>
      </c>
      <c r="T239" s="604">
        <v>0.93680555555555556</v>
      </c>
      <c r="U239" s="418"/>
      <c r="V239" s="418"/>
      <c r="W239" s="418"/>
      <c r="X239" s="418"/>
      <c r="Y239" s="418"/>
      <c r="Z239" s="418"/>
      <c r="AA239" s="418"/>
      <c r="AB239" s="418"/>
      <c r="AC239" s="418"/>
      <c r="AD239" s="418"/>
    </row>
    <row r="240" spans="1:30" hidden="1" x14ac:dyDescent="0.25">
      <c r="A240" s="483">
        <v>23102024</v>
      </c>
      <c r="B240" t="s">
        <v>1720</v>
      </c>
      <c r="C240" s="420" t="s">
        <v>410</v>
      </c>
      <c r="D240" s="233">
        <v>45588</v>
      </c>
      <c r="F240" s="28" t="s">
        <v>545</v>
      </c>
      <c r="G240" s="30" t="s">
        <v>5037</v>
      </c>
      <c r="H240" s="30" t="s">
        <v>5039</v>
      </c>
      <c r="I240" s="88">
        <v>34456</v>
      </c>
      <c r="J240" s="903">
        <f t="shared" si="3"/>
        <v>30321</v>
      </c>
      <c r="K240" s="30" t="s">
        <v>17</v>
      </c>
      <c r="L240" s="904">
        <v>45629</v>
      </c>
      <c r="M240" s="418"/>
      <c r="N240" s="418"/>
      <c r="O240" s="418"/>
      <c r="P240" s="418"/>
      <c r="Q240" s="418"/>
      <c r="R240" s="418" t="s">
        <v>4983</v>
      </c>
      <c r="S240" s="604">
        <v>0.78541666666666676</v>
      </c>
      <c r="T240" s="604">
        <v>0.94236111111111109</v>
      </c>
      <c r="U240" s="418"/>
      <c r="V240" s="418"/>
      <c r="W240" s="418"/>
      <c r="X240" s="418"/>
      <c r="Y240" s="418"/>
      <c r="Z240" s="418"/>
      <c r="AA240" s="418"/>
      <c r="AB240" s="418"/>
      <c r="AC240" s="418"/>
      <c r="AD240" s="418"/>
    </row>
    <row r="241" spans="1:30" hidden="1" x14ac:dyDescent="0.25">
      <c r="A241" s="483">
        <v>26102024</v>
      </c>
      <c r="B241" t="s">
        <v>1720</v>
      </c>
      <c r="C241" s="420" t="s">
        <v>410</v>
      </c>
      <c r="D241" s="233">
        <v>45591</v>
      </c>
      <c r="F241" s="28" t="s">
        <v>545</v>
      </c>
      <c r="G241" s="30" t="s">
        <v>5038</v>
      </c>
      <c r="H241" s="30" t="s">
        <v>5040</v>
      </c>
      <c r="I241" s="88">
        <v>25016</v>
      </c>
      <c r="J241" s="903">
        <f t="shared" si="3"/>
        <v>22014</v>
      </c>
      <c r="K241" s="30" t="s">
        <v>17</v>
      </c>
      <c r="L241" s="904">
        <v>45629</v>
      </c>
      <c r="M241" s="418"/>
      <c r="N241" s="418"/>
      <c r="O241" s="418"/>
      <c r="P241" s="418"/>
      <c r="Q241" s="418"/>
      <c r="R241" s="418" t="s">
        <v>4983</v>
      </c>
      <c r="S241" s="604">
        <v>0.49305555555555558</v>
      </c>
      <c r="T241" s="604">
        <v>0.62430555555555556</v>
      </c>
      <c r="U241" s="418"/>
      <c r="V241" s="418"/>
      <c r="W241" s="418"/>
      <c r="X241" s="418"/>
      <c r="Y241" s="418"/>
      <c r="Z241" s="418"/>
      <c r="AA241" s="418"/>
      <c r="AB241" s="418"/>
      <c r="AC241" s="418"/>
      <c r="AD241" s="418"/>
    </row>
    <row r="242" spans="1:30" hidden="1" x14ac:dyDescent="0.25">
      <c r="A242" s="483">
        <v>30102024</v>
      </c>
      <c r="B242" t="s">
        <v>1720</v>
      </c>
      <c r="C242" s="28" t="s">
        <v>410</v>
      </c>
      <c r="D242" s="233">
        <v>45595</v>
      </c>
      <c r="F242" s="28" t="s">
        <v>545</v>
      </c>
      <c r="G242" s="30" t="s">
        <v>5059</v>
      </c>
      <c r="H242" s="30" t="s">
        <v>5060</v>
      </c>
      <c r="I242" s="88">
        <v>34456</v>
      </c>
      <c r="J242" s="903">
        <f t="shared" si="3"/>
        <v>30321</v>
      </c>
      <c r="K242" s="30" t="s">
        <v>17</v>
      </c>
      <c r="L242" s="904">
        <v>45629</v>
      </c>
      <c r="R242" t="s">
        <v>4277</v>
      </c>
      <c r="S242" s="360">
        <v>0.33680555555555558</v>
      </c>
      <c r="T242" s="360"/>
    </row>
    <row r="243" spans="1:30" s="13" customFormat="1" hidden="1" x14ac:dyDescent="0.25">
      <c r="A243" s="483">
        <v>30102024</v>
      </c>
      <c r="B243" t="s">
        <v>1720</v>
      </c>
      <c r="C243" s="28" t="s">
        <v>410</v>
      </c>
      <c r="D243" s="233">
        <v>45595</v>
      </c>
      <c r="E243"/>
      <c r="F243" s="28" t="s">
        <v>545</v>
      </c>
      <c r="G243" s="30" t="s">
        <v>5061</v>
      </c>
      <c r="H243" s="30" t="s">
        <v>7268</v>
      </c>
      <c r="I243" s="88">
        <v>34456</v>
      </c>
      <c r="J243" s="3">
        <f t="shared" si="3"/>
        <v>30321</v>
      </c>
      <c r="K243" s="30" t="s">
        <v>17</v>
      </c>
      <c r="L243" s="233">
        <v>46044</v>
      </c>
      <c r="N243"/>
      <c r="O243"/>
      <c r="P243"/>
      <c r="Q243"/>
      <c r="R243" t="s">
        <v>4277</v>
      </c>
      <c r="S243" s="360">
        <v>0.6069444444444444</v>
      </c>
      <c r="T243" s="360">
        <v>0.7597222222222223</v>
      </c>
    </row>
    <row r="244" spans="1:30" hidden="1" x14ac:dyDescent="0.25">
      <c r="A244" s="483">
        <v>31102024</v>
      </c>
      <c r="B244" t="s">
        <v>1720</v>
      </c>
      <c r="C244" s="28" t="s">
        <v>13</v>
      </c>
      <c r="D244" s="233">
        <v>45596</v>
      </c>
      <c r="F244" s="28" t="s">
        <v>545</v>
      </c>
      <c r="G244" s="30" t="s">
        <v>5062</v>
      </c>
      <c r="H244" s="30" t="s">
        <v>7269</v>
      </c>
      <c r="I244" s="88">
        <v>34456</v>
      </c>
      <c r="J244" s="3">
        <f t="shared" si="3"/>
        <v>30321</v>
      </c>
      <c r="K244" s="30" t="s">
        <v>17</v>
      </c>
      <c r="L244" s="233">
        <v>46048</v>
      </c>
      <c r="R244" t="s">
        <v>5026</v>
      </c>
      <c r="S244" s="360">
        <v>0.29375000000000001</v>
      </c>
      <c r="T244" s="360">
        <v>0.45416666666666666</v>
      </c>
    </row>
    <row r="245" spans="1:30" hidden="1" x14ac:dyDescent="0.25">
      <c r="A245" s="483">
        <v>31102024</v>
      </c>
      <c r="B245" t="s">
        <v>1720</v>
      </c>
      <c r="C245" s="530" t="s">
        <v>4218</v>
      </c>
      <c r="D245" s="233">
        <v>45596</v>
      </c>
      <c r="F245" s="28" t="s">
        <v>545</v>
      </c>
      <c r="G245" s="30" t="s">
        <v>5063</v>
      </c>
      <c r="H245" s="30" t="s">
        <v>5064</v>
      </c>
      <c r="I245" s="88">
        <v>25016</v>
      </c>
      <c r="J245" s="861">
        <f t="shared" si="3"/>
        <v>22014</v>
      </c>
      <c r="K245" s="30" t="s">
        <v>17</v>
      </c>
      <c r="L245" s="862">
        <v>45722</v>
      </c>
      <c r="M245" s="825"/>
      <c r="N245" s="825"/>
      <c r="O245" s="825"/>
      <c r="P245" s="825"/>
      <c r="Q245" s="825"/>
      <c r="R245" s="825" t="s">
        <v>4140</v>
      </c>
      <c r="S245" s="827">
        <v>0.66041666666666665</v>
      </c>
      <c r="T245" s="827">
        <v>0.86805555555555547</v>
      </c>
      <c r="U245" s="825"/>
      <c r="V245" s="825"/>
      <c r="W245" s="825"/>
      <c r="X245" s="825"/>
      <c r="Y245" s="825"/>
      <c r="Z245" s="825"/>
      <c r="AA245" s="825"/>
      <c r="AB245" s="825"/>
      <c r="AC245" s="825"/>
      <c r="AD245" s="825"/>
    </row>
    <row r="246" spans="1:30" hidden="1" x14ac:dyDescent="0.25">
      <c r="A246" s="483" t="s">
        <v>5066</v>
      </c>
      <c r="B246" t="s">
        <v>1720</v>
      </c>
      <c r="C246" s="826" t="s">
        <v>410</v>
      </c>
      <c r="D246" s="233">
        <v>45602</v>
      </c>
      <c r="E246" s="28"/>
      <c r="F246" s="28" t="s">
        <v>545</v>
      </c>
      <c r="G246" t="s">
        <v>5105</v>
      </c>
      <c r="H246" s="30" t="s">
        <v>5106</v>
      </c>
      <c r="I246" s="88">
        <v>25016</v>
      </c>
      <c r="J246" s="861">
        <f t="shared" si="3"/>
        <v>22014</v>
      </c>
      <c r="K246" s="236" t="s">
        <v>17</v>
      </c>
      <c r="L246" s="862">
        <v>45722</v>
      </c>
      <c r="M246" s="825"/>
      <c r="N246" s="825"/>
      <c r="O246" s="825"/>
      <c r="P246" s="825"/>
      <c r="Q246" s="825"/>
      <c r="R246" s="825" t="s">
        <v>4983</v>
      </c>
      <c r="S246" s="827">
        <v>0.48472222222222222</v>
      </c>
      <c r="T246" s="827"/>
      <c r="U246" s="825"/>
      <c r="V246" s="825"/>
      <c r="W246" s="825"/>
      <c r="X246" s="825"/>
      <c r="Y246" s="825"/>
      <c r="Z246" s="825"/>
      <c r="AA246" s="825"/>
      <c r="AB246" s="825"/>
      <c r="AC246" s="825"/>
      <c r="AD246" s="825"/>
    </row>
    <row r="247" spans="1:30" hidden="1" x14ac:dyDescent="0.25">
      <c r="A247" s="483" t="s">
        <v>5077</v>
      </c>
      <c r="B247" t="s">
        <v>1720</v>
      </c>
      <c r="C247" s="826" t="s">
        <v>809</v>
      </c>
      <c r="D247" s="233">
        <v>45603</v>
      </c>
      <c r="E247" s="28"/>
      <c r="F247" s="28" t="s">
        <v>545</v>
      </c>
      <c r="G247" t="s">
        <v>5107</v>
      </c>
      <c r="H247" s="30" t="s">
        <v>5108</v>
      </c>
      <c r="I247" s="88">
        <v>25016</v>
      </c>
      <c r="J247" s="861">
        <f t="shared" si="3"/>
        <v>22014</v>
      </c>
      <c r="K247" s="30" t="s">
        <v>17</v>
      </c>
      <c r="L247" s="862">
        <v>45722</v>
      </c>
      <c r="M247" s="825"/>
      <c r="N247" s="825"/>
      <c r="O247" s="825"/>
      <c r="P247" s="825"/>
      <c r="Q247" s="825"/>
      <c r="R247" s="825"/>
      <c r="S247" s="827"/>
      <c r="T247" s="827"/>
      <c r="U247" s="825"/>
      <c r="V247" s="825"/>
      <c r="W247" s="825"/>
      <c r="X247" s="825"/>
      <c r="Y247" s="825"/>
      <c r="Z247" s="825"/>
      <c r="AA247" s="825"/>
      <c r="AB247" s="825"/>
      <c r="AC247" s="825"/>
      <c r="AD247" s="825"/>
    </row>
    <row r="248" spans="1:30" hidden="1" x14ac:dyDescent="0.25">
      <c r="A248" s="483" t="s">
        <v>5077</v>
      </c>
      <c r="B248" t="s">
        <v>1720</v>
      </c>
      <c r="C248" s="233" t="s">
        <v>13</v>
      </c>
      <c r="D248" s="233">
        <v>45603</v>
      </c>
      <c r="E248" s="28"/>
      <c r="F248" s="28" t="s">
        <v>545</v>
      </c>
      <c r="G248" t="s">
        <v>5101</v>
      </c>
      <c r="H248" s="30" t="s">
        <v>5102</v>
      </c>
      <c r="I248" s="88">
        <v>25016</v>
      </c>
      <c r="J248" s="860">
        <f t="shared" si="3"/>
        <v>22014</v>
      </c>
      <c r="K248" s="30" t="s">
        <v>17</v>
      </c>
      <c r="L248" s="859">
        <v>45678</v>
      </c>
      <c r="S248" s="360"/>
      <c r="T248" s="360"/>
    </row>
    <row r="249" spans="1:30" hidden="1" x14ac:dyDescent="0.25">
      <c r="A249" s="483" t="s">
        <v>5082</v>
      </c>
      <c r="B249" t="s">
        <v>1720</v>
      </c>
      <c r="C249" s="233" t="s">
        <v>4218</v>
      </c>
      <c r="D249" s="233">
        <v>45604</v>
      </c>
      <c r="E249" s="28"/>
      <c r="F249" s="28" t="s">
        <v>545</v>
      </c>
      <c r="G249" t="s">
        <v>5103</v>
      </c>
      <c r="H249" s="30" t="s">
        <v>5104</v>
      </c>
      <c r="I249" s="88">
        <v>34456</v>
      </c>
      <c r="J249" s="860">
        <f t="shared" si="3"/>
        <v>30321</v>
      </c>
      <c r="K249" s="30" t="s">
        <v>17</v>
      </c>
      <c r="L249" s="859">
        <v>45678</v>
      </c>
      <c r="R249" t="s">
        <v>2050</v>
      </c>
      <c r="S249" s="360">
        <v>0.65902777777777777</v>
      </c>
      <c r="T249" s="360"/>
    </row>
    <row r="250" spans="1:30" hidden="1" x14ac:dyDescent="0.25">
      <c r="A250" s="483" t="s">
        <v>5090</v>
      </c>
      <c r="B250" t="s">
        <v>1720</v>
      </c>
      <c r="C250" s="233" t="s">
        <v>410</v>
      </c>
      <c r="D250" s="233">
        <v>45606</v>
      </c>
      <c r="E250" s="28"/>
      <c r="F250" s="28" t="s">
        <v>545</v>
      </c>
      <c r="G250" t="s">
        <v>5109</v>
      </c>
      <c r="H250" s="30" t="s">
        <v>5110</v>
      </c>
      <c r="I250" s="88">
        <v>25016</v>
      </c>
      <c r="J250" s="860">
        <f t="shared" si="3"/>
        <v>22014</v>
      </c>
      <c r="K250" s="30" t="s">
        <v>17</v>
      </c>
      <c r="L250" s="859">
        <v>45678</v>
      </c>
      <c r="R250" t="s">
        <v>4345</v>
      </c>
      <c r="S250" s="360">
        <v>0.64861111111111114</v>
      </c>
      <c r="T250" s="360">
        <v>0.76944444444444438</v>
      </c>
    </row>
    <row r="251" spans="1:30" hidden="1" x14ac:dyDescent="0.25">
      <c r="A251" s="483" t="s">
        <v>5096</v>
      </c>
      <c r="B251" t="s">
        <v>1720</v>
      </c>
      <c r="C251" s="233" t="s">
        <v>13</v>
      </c>
      <c r="D251" s="233">
        <v>45608</v>
      </c>
      <c r="E251" s="28"/>
      <c r="F251" s="28" t="s">
        <v>545</v>
      </c>
      <c r="G251" t="s">
        <v>5111</v>
      </c>
      <c r="H251" s="30" t="s">
        <v>5112</v>
      </c>
      <c r="I251" s="88">
        <v>25016</v>
      </c>
      <c r="J251" s="860">
        <f t="shared" si="3"/>
        <v>22014</v>
      </c>
      <c r="K251" s="30" t="s">
        <v>17</v>
      </c>
      <c r="L251" s="859">
        <v>45678</v>
      </c>
      <c r="R251" t="s">
        <v>5098</v>
      </c>
      <c r="S251" s="360">
        <v>0.59236111111111112</v>
      </c>
      <c r="T251" s="360">
        <v>0.70347222222222228</v>
      </c>
    </row>
    <row r="252" spans="1:30" hidden="1" x14ac:dyDescent="0.25">
      <c r="A252" s="483" t="s">
        <v>5097</v>
      </c>
      <c r="B252" t="s">
        <v>1720</v>
      </c>
      <c r="C252" s="233" t="s">
        <v>410</v>
      </c>
      <c r="D252" s="233">
        <v>45609</v>
      </c>
      <c r="E252" s="28"/>
      <c r="F252" s="28" t="s">
        <v>545</v>
      </c>
      <c r="G252" t="s">
        <v>5113</v>
      </c>
      <c r="H252" s="30" t="s">
        <v>5114</v>
      </c>
      <c r="I252" s="88">
        <v>25016</v>
      </c>
      <c r="J252" s="860">
        <f t="shared" si="3"/>
        <v>22014</v>
      </c>
      <c r="K252" s="30" t="s">
        <v>17</v>
      </c>
      <c r="L252" s="859">
        <v>45678</v>
      </c>
      <c r="R252" t="s">
        <v>4581</v>
      </c>
      <c r="S252" s="360">
        <v>0.52708333333333335</v>
      </c>
      <c r="T252" s="360"/>
    </row>
    <row r="253" spans="1:30" hidden="1" x14ac:dyDescent="0.25">
      <c r="A253" s="483" t="s">
        <v>5123</v>
      </c>
      <c r="B253" t="s">
        <v>1720</v>
      </c>
      <c r="C253" s="233" t="s">
        <v>4218</v>
      </c>
      <c r="D253" s="233">
        <v>45610</v>
      </c>
      <c r="E253" s="28"/>
      <c r="F253" s="28" t="s">
        <v>545</v>
      </c>
      <c r="G253" t="s">
        <v>5152</v>
      </c>
      <c r="H253" s="30" t="s">
        <v>5151</v>
      </c>
      <c r="I253" s="88">
        <v>25016</v>
      </c>
      <c r="J253" s="903">
        <f t="shared" si="3"/>
        <v>22014</v>
      </c>
      <c r="K253" s="30" t="s">
        <v>17</v>
      </c>
      <c r="L253" s="904">
        <v>45729</v>
      </c>
      <c r="R253" t="s">
        <v>5026</v>
      </c>
      <c r="S253" s="360">
        <v>0.27708333333333335</v>
      </c>
      <c r="T253" s="360">
        <v>0.42499999999999999</v>
      </c>
    </row>
    <row r="254" spans="1:30" hidden="1" x14ac:dyDescent="0.25">
      <c r="A254" s="483" t="s">
        <v>5130</v>
      </c>
      <c r="B254" t="s">
        <v>1720</v>
      </c>
      <c r="C254" s="233" t="s">
        <v>410</v>
      </c>
      <c r="D254" s="233">
        <v>45611</v>
      </c>
      <c r="E254" s="28"/>
      <c r="F254" s="28" t="s">
        <v>545</v>
      </c>
      <c r="G254" t="s">
        <v>5149</v>
      </c>
      <c r="H254" s="30" t="s">
        <v>5150</v>
      </c>
      <c r="I254" s="88">
        <v>34456</v>
      </c>
      <c r="J254" s="903">
        <f t="shared" si="3"/>
        <v>30321</v>
      </c>
      <c r="K254" s="30" t="s">
        <v>17</v>
      </c>
      <c r="L254" s="910">
        <v>45729</v>
      </c>
      <c r="R254" t="s">
        <v>5004</v>
      </c>
      <c r="S254" s="360">
        <v>0.30208333333333331</v>
      </c>
      <c r="T254" s="360"/>
    </row>
    <row r="255" spans="1:30" hidden="1" x14ac:dyDescent="0.25">
      <c r="A255" s="483" t="s">
        <v>5130</v>
      </c>
      <c r="B255" t="s">
        <v>1720</v>
      </c>
      <c r="C255" s="233" t="s">
        <v>410</v>
      </c>
      <c r="D255" s="233">
        <v>45611</v>
      </c>
      <c r="E255" s="28"/>
      <c r="F255" s="28" t="s">
        <v>545</v>
      </c>
      <c r="G255" t="s">
        <v>5147</v>
      </c>
      <c r="H255" s="30" t="s">
        <v>5148</v>
      </c>
      <c r="I255" s="88">
        <v>25016</v>
      </c>
      <c r="J255" s="903">
        <f t="shared" si="3"/>
        <v>22014</v>
      </c>
      <c r="K255" s="30" t="s">
        <v>17</v>
      </c>
      <c r="L255" s="904">
        <v>45729</v>
      </c>
      <c r="S255" s="360"/>
      <c r="T255" s="360"/>
    </row>
    <row r="256" spans="1:30" hidden="1" x14ac:dyDescent="0.25">
      <c r="A256" s="483" t="s">
        <v>5130</v>
      </c>
      <c r="B256" t="s">
        <v>1720</v>
      </c>
      <c r="C256" s="233" t="s">
        <v>13</v>
      </c>
      <c r="D256" s="233">
        <v>45611</v>
      </c>
      <c r="E256" s="28"/>
      <c r="F256" s="28" t="s">
        <v>545</v>
      </c>
      <c r="G256" t="s">
        <v>5145</v>
      </c>
      <c r="H256" t="s">
        <v>5146</v>
      </c>
      <c r="I256" s="88">
        <v>34456</v>
      </c>
      <c r="J256" s="903">
        <f t="shared" si="3"/>
        <v>30321</v>
      </c>
      <c r="K256" s="30" t="s">
        <v>17</v>
      </c>
      <c r="L256" s="910">
        <v>45729</v>
      </c>
      <c r="S256" s="360"/>
      <c r="T256" s="360"/>
    </row>
    <row r="257" spans="1:20" hidden="1" x14ac:dyDescent="0.25">
      <c r="A257" s="483" t="s">
        <v>5135</v>
      </c>
      <c r="B257" t="s">
        <v>1720</v>
      </c>
      <c r="C257" s="233" t="s">
        <v>4218</v>
      </c>
      <c r="D257" s="233">
        <v>45612</v>
      </c>
      <c r="E257" s="28"/>
      <c r="F257" s="28" t="s">
        <v>545</v>
      </c>
      <c r="G257" t="s">
        <v>5142</v>
      </c>
      <c r="H257" t="s">
        <v>5143</v>
      </c>
      <c r="I257" s="88">
        <v>25016</v>
      </c>
      <c r="J257" s="903">
        <f t="shared" si="3"/>
        <v>22014</v>
      </c>
      <c r="K257" s="236" t="s">
        <v>17</v>
      </c>
      <c r="L257" s="910">
        <v>45729</v>
      </c>
      <c r="R257" t="s">
        <v>5004</v>
      </c>
      <c r="S257" s="360">
        <v>0.7729166666666667</v>
      </c>
      <c r="T257" s="360">
        <v>0.89236111111111116</v>
      </c>
    </row>
    <row r="258" spans="1:20" hidden="1" x14ac:dyDescent="0.25">
      <c r="A258" s="483">
        <v>18112024</v>
      </c>
      <c r="B258" t="s">
        <v>1720</v>
      </c>
      <c r="C258" s="233" t="s">
        <v>4218</v>
      </c>
      <c r="D258" s="233">
        <v>45614</v>
      </c>
      <c r="E258" s="28"/>
      <c r="F258" s="28" t="s">
        <v>545</v>
      </c>
      <c r="G258" t="s">
        <v>5141</v>
      </c>
      <c r="H258" s="5" t="s">
        <v>5144</v>
      </c>
      <c r="I258" s="88">
        <v>34456</v>
      </c>
      <c r="J258" s="3">
        <f t="shared" si="3"/>
        <v>30321</v>
      </c>
      <c r="K258" s="236" t="s">
        <v>17</v>
      </c>
      <c r="L258" s="828">
        <v>45813</v>
      </c>
      <c r="R258" t="s">
        <v>2050</v>
      </c>
      <c r="S258" s="360">
        <v>0.41041666666666665</v>
      </c>
      <c r="T258" s="360"/>
    </row>
    <row r="259" spans="1:20" hidden="1" x14ac:dyDescent="0.25">
      <c r="A259" s="483">
        <v>21112024</v>
      </c>
      <c r="B259" t="s">
        <v>1720</v>
      </c>
      <c r="C259" s="233" t="s">
        <v>4218</v>
      </c>
      <c r="D259" s="233">
        <v>45617</v>
      </c>
      <c r="E259" s="28"/>
      <c r="F259" s="28" t="s">
        <v>545</v>
      </c>
      <c r="G259" t="s">
        <v>5231</v>
      </c>
      <c r="H259" t="s">
        <v>5232</v>
      </c>
      <c r="I259" s="88">
        <v>25016</v>
      </c>
      <c r="J259" s="903">
        <f t="shared" ref="J259:J283" si="4">+I259-ROUND(I259*0.12,0)</f>
        <v>22014</v>
      </c>
      <c r="K259" s="30" t="s">
        <v>17</v>
      </c>
      <c r="L259" s="828">
        <v>45737</v>
      </c>
      <c r="R259" t="s">
        <v>4911</v>
      </c>
      <c r="S259" s="360">
        <v>0.27708333333333335</v>
      </c>
      <c r="T259" s="360">
        <v>0.43055555555555558</v>
      </c>
    </row>
    <row r="260" spans="1:20" hidden="1" x14ac:dyDescent="0.25">
      <c r="A260" s="483">
        <v>23112024</v>
      </c>
      <c r="B260" t="s">
        <v>1720</v>
      </c>
      <c r="C260" s="233" t="s">
        <v>13</v>
      </c>
      <c r="D260" s="233">
        <v>45619</v>
      </c>
      <c r="E260" s="28"/>
      <c r="F260" s="28" t="s">
        <v>545</v>
      </c>
      <c r="G260" t="s">
        <v>5227</v>
      </c>
      <c r="H260" t="s">
        <v>5228</v>
      </c>
      <c r="I260" s="88">
        <v>25016</v>
      </c>
      <c r="J260" s="903">
        <f t="shared" si="4"/>
        <v>22014</v>
      </c>
      <c r="K260" s="30" t="s">
        <v>17</v>
      </c>
      <c r="L260" s="828">
        <v>45737</v>
      </c>
      <c r="R260" t="s">
        <v>4911</v>
      </c>
      <c r="S260" s="360">
        <v>0.69374999999999998</v>
      </c>
      <c r="T260" s="360">
        <v>0.8125</v>
      </c>
    </row>
    <row r="261" spans="1:20" hidden="1" x14ac:dyDescent="0.25">
      <c r="A261" s="483">
        <v>26112024</v>
      </c>
      <c r="B261" t="s">
        <v>1720</v>
      </c>
      <c r="C261" s="233" t="s">
        <v>4218</v>
      </c>
      <c r="D261" s="233">
        <v>45622</v>
      </c>
      <c r="E261" s="28"/>
      <c r="F261" s="28" t="s">
        <v>545</v>
      </c>
      <c r="G261" t="s">
        <v>5229</v>
      </c>
      <c r="H261" t="s">
        <v>5230</v>
      </c>
      <c r="I261" s="88">
        <v>25016</v>
      </c>
      <c r="J261" s="903">
        <f t="shared" si="4"/>
        <v>22014</v>
      </c>
      <c r="K261" s="30" t="s">
        <v>17</v>
      </c>
      <c r="L261" s="828">
        <v>45737</v>
      </c>
      <c r="R261" t="s">
        <v>5078</v>
      </c>
      <c r="S261" s="360">
        <v>0.64374999999999993</v>
      </c>
      <c r="T261" s="360">
        <v>0.80208333333333337</v>
      </c>
    </row>
    <row r="262" spans="1:20" hidden="1" x14ac:dyDescent="0.25">
      <c r="A262" s="483">
        <v>27112024</v>
      </c>
      <c r="B262" t="s">
        <v>1720</v>
      </c>
      <c r="C262" s="233" t="s">
        <v>13</v>
      </c>
      <c r="D262" s="233">
        <v>45623</v>
      </c>
      <c r="E262" s="28"/>
      <c r="F262" s="28" t="s">
        <v>545</v>
      </c>
      <c r="G262" t="s">
        <v>5260</v>
      </c>
      <c r="H262" t="s">
        <v>5262</v>
      </c>
      <c r="I262" s="88">
        <v>25016</v>
      </c>
      <c r="J262" s="903">
        <f t="shared" si="4"/>
        <v>22014</v>
      </c>
      <c r="K262" s="30" t="s">
        <v>17</v>
      </c>
      <c r="L262" s="828">
        <v>45737</v>
      </c>
      <c r="R262" t="s">
        <v>4911</v>
      </c>
      <c r="S262" s="360">
        <v>0.33958333333333335</v>
      </c>
      <c r="T262" s="360"/>
    </row>
    <row r="263" spans="1:20" hidden="1" x14ac:dyDescent="0.25">
      <c r="A263" s="483">
        <v>27112024</v>
      </c>
      <c r="B263" t="s">
        <v>1720</v>
      </c>
      <c r="C263" s="233" t="s">
        <v>809</v>
      </c>
      <c r="D263" s="233">
        <v>45623</v>
      </c>
      <c r="E263" s="28"/>
      <c r="F263" s="28" t="s">
        <v>545</v>
      </c>
      <c r="G263" t="s">
        <v>5261</v>
      </c>
      <c r="H263" t="s">
        <v>5263</v>
      </c>
      <c r="I263" s="88">
        <v>25016</v>
      </c>
      <c r="J263" s="903">
        <f t="shared" si="4"/>
        <v>22014</v>
      </c>
      <c r="K263" s="30" t="s">
        <v>17</v>
      </c>
      <c r="L263" s="828">
        <v>45737</v>
      </c>
      <c r="R263" t="s">
        <v>4824</v>
      </c>
      <c r="S263" s="360">
        <v>0.70972222222222225</v>
      </c>
      <c r="T263" s="360"/>
    </row>
    <row r="264" spans="1:20" hidden="1" x14ac:dyDescent="0.25">
      <c r="A264" s="483">
        <v>28112024</v>
      </c>
      <c r="B264" t="s">
        <v>1720</v>
      </c>
      <c r="C264" s="233" t="s">
        <v>13</v>
      </c>
      <c r="D264" s="359">
        <v>45624</v>
      </c>
      <c r="E264" s="28"/>
      <c r="F264" s="28" t="s">
        <v>545</v>
      </c>
      <c r="G264" t="s">
        <v>5265</v>
      </c>
      <c r="H264" t="s">
        <v>5264</v>
      </c>
      <c r="I264" s="88">
        <v>34456</v>
      </c>
      <c r="J264" s="3">
        <f t="shared" si="4"/>
        <v>30321</v>
      </c>
      <c r="K264" s="236" t="s">
        <v>17</v>
      </c>
      <c r="L264" s="828">
        <v>45737</v>
      </c>
      <c r="R264" t="s">
        <v>3765</v>
      </c>
      <c r="S264" s="360">
        <v>0.71805555555555556</v>
      </c>
      <c r="T264" s="360">
        <v>0.9</v>
      </c>
    </row>
    <row r="265" spans="1:20" hidden="1" x14ac:dyDescent="0.25">
      <c r="A265" s="483">
        <v>29112024</v>
      </c>
      <c r="B265" t="s">
        <v>1720</v>
      </c>
      <c r="C265" s="233" t="s">
        <v>13</v>
      </c>
      <c r="D265" s="359">
        <v>45625</v>
      </c>
      <c r="E265" s="28"/>
      <c r="F265" s="28" t="s">
        <v>545</v>
      </c>
      <c r="G265" t="s">
        <v>5324</v>
      </c>
      <c r="H265" t="s">
        <v>5306</v>
      </c>
      <c r="I265" s="88">
        <v>25016</v>
      </c>
      <c r="J265" s="3">
        <f t="shared" si="4"/>
        <v>22014</v>
      </c>
      <c r="K265" s="236" t="s">
        <v>17</v>
      </c>
      <c r="L265" s="828">
        <v>45771</v>
      </c>
      <c r="R265" t="s">
        <v>5020</v>
      </c>
      <c r="S265" s="360">
        <v>0.3298611111111111</v>
      </c>
      <c r="T265" s="360">
        <v>0.47569444444444442</v>
      </c>
    </row>
    <row r="266" spans="1:20" hidden="1" x14ac:dyDescent="0.25">
      <c r="A266" s="483">
        <v>30112024</v>
      </c>
      <c r="B266" t="s">
        <v>1720</v>
      </c>
      <c r="C266" s="233"/>
      <c r="D266" s="359">
        <v>45626</v>
      </c>
      <c r="E266" s="28"/>
      <c r="F266" s="28" t="s">
        <v>545</v>
      </c>
      <c r="G266" t="s">
        <v>5323</v>
      </c>
      <c r="H266" t="s">
        <v>5307</v>
      </c>
      <c r="I266" s="88">
        <v>25016</v>
      </c>
      <c r="J266" s="3">
        <f t="shared" si="4"/>
        <v>22014</v>
      </c>
      <c r="K266" s="236" t="s">
        <v>17</v>
      </c>
      <c r="L266" s="828">
        <v>45771</v>
      </c>
      <c r="R266" t="s">
        <v>4824</v>
      </c>
      <c r="S266" s="360">
        <v>0.4513888888888889</v>
      </c>
      <c r="T266" s="360">
        <v>0.50972222222222219</v>
      </c>
    </row>
    <row r="267" spans="1:20" hidden="1" x14ac:dyDescent="0.25">
      <c r="A267" s="483">
        <v>4122024</v>
      </c>
      <c r="B267" t="s">
        <v>1720</v>
      </c>
      <c r="C267" s="233" t="s">
        <v>410</v>
      </c>
      <c r="D267" s="233">
        <v>45630</v>
      </c>
      <c r="E267" s="28"/>
      <c r="F267" s="28" t="s">
        <v>545</v>
      </c>
      <c r="G267" t="s">
        <v>6142</v>
      </c>
      <c r="H267" s="966" t="s">
        <v>5308</v>
      </c>
      <c r="I267" s="967">
        <v>25016</v>
      </c>
      <c r="J267" s="903">
        <f t="shared" si="4"/>
        <v>22014</v>
      </c>
      <c r="K267" s="968" t="s">
        <v>17</v>
      </c>
      <c r="L267" s="910">
        <v>45792</v>
      </c>
      <c r="R267" t="s">
        <v>4140</v>
      </c>
      <c r="S267" s="360">
        <v>0.36527777777777781</v>
      </c>
      <c r="T267" s="360">
        <v>0.48194444444444445</v>
      </c>
    </row>
    <row r="268" spans="1:20" hidden="1" x14ac:dyDescent="0.25">
      <c r="A268" s="483">
        <v>4122024</v>
      </c>
      <c r="B268" t="s">
        <v>1720</v>
      </c>
      <c r="C268" s="233" t="s">
        <v>4218</v>
      </c>
      <c r="D268" s="233">
        <v>45630</v>
      </c>
      <c r="E268" s="28"/>
      <c r="F268" s="28" t="s">
        <v>545</v>
      </c>
      <c r="G268" t="s">
        <v>5322</v>
      </c>
      <c r="H268" s="912" t="s">
        <v>5309</v>
      </c>
      <c r="I268" s="963">
        <v>34456</v>
      </c>
      <c r="J268" s="897">
        <f t="shared" si="4"/>
        <v>30321</v>
      </c>
      <c r="K268" s="964" t="s">
        <v>17</v>
      </c>
      <c r="L268" s="965">
        <v>45792</v>
      </c>
      <c r="R268" t="s">
        <v>4867</v>
      </c>
      <c r="S268" s="360">
        <v>0.43611111111111112</v>
      </c>
      <c r="T268" s="360"/>
    </row>
    <row r="269" spans="1:20" hidden="1" x14ac:dyDescent="0.25">
      <c r="A269" s="483">
        <v>6122024</v>
      </c>
      <c r="B269" t="s">
        <v>1720</v>
      </c>
      <c r="C269" s="233" t="s">
        <v>410</v>
      </c>
      <c r="D269" s="233">
        <v>45632</v>
      </c>
      <c r="E269" s="28"/>
      <c r="F269" s="28" t="s">
        <v>545</v>
      </c>
      <c r="G269" t="s">
        <v>5321</v>
      </c>
      <c r="H269" s="912" t="s">
        <v>5310</v>
      </c>
      <c r="I269" s="963">
        <v>34456</v>
      </c>
      <c r="J269" s="897">
        <f t="shared" si="4"/>
        <v>30321</v>
      </c>
      <c r="K269" s="964" t="s">
        <v>17</v>
      </c>
      <c r="L269" s="965">
        <v>45792</v>
      </c>
      <c r="R269" t="s">
        <v>4911</v>
      </c>
      <c r="S269" s="360">
        <v>0.31527777777777777</v>
      </c>
      <c r="T269" s="360"/>
    </row>
    <row r="270" spans="1:20" hidden="1" x14ac:dyDescent="0.25">
      <c r="A270" s="483">
        <v>7122024</v>
      </c>
      <c r="B270" t="s">
        <v>1720</v>
      </c>
      <c r="C270" s="233" t="s">
        <v>410</v>
      </c>
      <c r="D270" s="233">
        <v>45633</v>
      </c>
      <c r="E270" s="28"/>
      <c r="F270" s="28" t="s">
        <v>545</v>
      </c>
      <c r="G270" t="s">
        <v>5374</v>
      </c>
      <c r="H270" s="5" t="s">
        <v>5399</v>
      </c>
      <c r="I270" s="88">
        <v>25016</v>
      </c>
      <c r="J270" s="3">
        <f t="shared" si="4"/>
        <v>22014</v>
      </c>
      <c r="K270" s="236" t="s">
        <v>17</v>
      </c>
      <c r="L270" s="828">
        <v>45813</v>
      </c>
      <c r="R270" t="s">
        <v>4509</v>
      </c>
      <c r="S270" s="360">
        <v>0.4375</v>
      </c>
      <c r="T270" s="360">
        <v>0.61111111111111105</v>
      </c>
    </row>
    <row r="271" spans="1:20" hidden="1" x14ac:dyDescent="0.25">
      <c r="A271" s="483">
        <v>8122024</v>
      </c>
      <c r="B271" t="s">
        <v>1720</v>
      </c>
      <c r="C271" s="233" t="s">
        <v>410</v>
      </c>
      <c r="D271" s="233">
        <v>45634</v>
      </c>
      <c r="E271" s="28"/>
      <c r="F271" s="28" t="s">
        <v>545</v>
      </c>
      <c r="G271" t="s">
        <v>5370</v>
      </c>
      <c r="H271" s="912" t="s">
        <v>5398</v>
      </c>
      <c r="I271" s="963">
        <v>34456</v>
      </c>
      <c r="J271" s="897">
        <f t="shared" si="4"/>
        <v>30321</v>
      </c>
      <c r="K271" s="964" t="s">
        <v>17</v>
      </c>
      <c r="L271" s="965">
        <v>45792</v>
      </c>
      <c r="R271" t="s">
        <v>2050</v>
      </c>
      <c r="S271" s="360">
        <v>0.29305555555555557</v>
      </c>
      <c r="T271" s="360">
        <v>0.45763888888888887</v>
      </c>
    </row>
    <row r="272" spans="1:20" hidden="1" x14ac:dyDescent="0.25">
      <c r="A272" s="483">
        <v>8122024</v>
      </c>
      <c r="B272" t="s">
        <v>1720</v>
      </c>
      <c r="C272" s="233" t="s">
        <v>410</v>
      </c>
      <c r="D272" s="233">
        <v>45634</v>
      </c>
      <c r="E272" s="28"/>
      <c r="F272" s="28" t="s">
        <v>545</v>
      </c>
      <c r="G272" t="s">
        <v>5362</v>
      </c>
      <c r="H272" s="912" t="s">
        <v>5364</v>
      </c>
      <c r="I272" s="963">
        <v>25016</v>
      </c>
      <c r="J272" s="897">
        <f t="shared" si="4"/>
        <v>22014</v>
      </c>
      <c r="K272" s="964" t="s">
        <v>17</v>
      </c>
      <c r="L272" s="965">
        <v>45792</v>
      </c>
      <c r="R272" t="s">
        <v>4983</v>
      </c>
      <c r="S272" s="360">
        <v>0.54097222222222219</v>
      </c>
      <c r="T272" s="360">
        <v>0.65763888888888888</v>
      </c>
    </row>
    <row r="273" spans="1:21" hidden="1" x14ac:dyDescent="0.25">
      <c r="A273" s="483">
        <v>10122024</v>
      </c>
      <c r="B273" t="s">
        <v>1720</v>
      </c>
      <c r="C273" s="233" t="s">
        <v>4218</v>
      </c>
      <c r="D273" s="359">
        <v>45636</v>
      </c>
      <c r="E273" s="28"/>
      <c r="F273" s="28" t="s">
        <v>545</v>
      </c>
      <c r="G273" t="s">
        <v>5366</v>
      </c>
      <c r="H273" t="s">
        <v>5363</v>
      </c>
      <c r="I273" s="88">
        <v>25016</v>
      </c>
      <c r="J273" s="3">
        <f t="shared" si="4"/>
        <v>22014</v>
      </c>
      <c r="K273" s="236" t="s">
        <v>17</v>
      </c>
      <c r="L273" s="828">
        <v>45771</v>
      </c>
      <c r="R273" t="s">
        <v>5004</v>
      </c>
      <c r="S273" s="360">
        <v>0.67986111111111114</v>
      </c>
      <c r="T273" s="360">
        <v>0.85138888888888886</v>
      </c>
    </row>
    <row r="274" spans="1:21" hidden="1" x14ac:dyDescent="0.25">
      <c r="A274" s="483">
        <v>14122024</v>
      </c>
      <c r="B274" t="s">
        <v>1720</v>
      </c>
      <c r="C274" s="233" t="s">
        <v>410</v>
      </c>
      <c r="D274" s="359">
        <v>45640</v>
      </c>
      <c r="E274" s="28"/>
      <c r="F274" s="28" t="s">
        <v>5330</v>
      </c>
      <c r="G274" t="s">
        <v>5365</v>
      </c>
      <c r="H274" t="s">
        <v>5367</v>
      </c>
      <c r="I274" s="88">
        <v>25016</v>
      </c>
      <c r="J274" s="3">
        <f t="shared" si="4"/>
        <v>22014</v>
      </c>
      <c r="K274" s="236" t="s">
        <v>17</v>
      </c>
      <c r="L274" s="828">
        <v>45771</v>
      </c>
      <c r="R274" t="s">
        <v>4417</v>
      </c>
      <c r="S274" s="360">
        <v>0.39999999999999997</v>
      </c>
      <c r="T274" s="360">
        <v>0.54583333333333328</v>
      </c>
    </row>
    <row r="275" spans="1:21" hidden="1" x14ac:dyDescent="0.25">
      <c r="A275" s="483">
        <v>15122024</v>
      </c>
      <c r="B275" t="s">
        <v>1720</v>
      </c>
      <c r="C275" s="233" t="s">
        <v>4218</v>
      </c>
      <c r="D275" s="233">
        <v>45641</v>
      </c>
      <c r="E275" s="28"/>
      <c r="F275" s="28" t="s">
        <v>545</v>
      </c>
      <c r="G275" t="s">
        <v>5369</v>
      </c>
      <c r="H275" s="5" t="s">
        <v>5368</v>
      </c>
      <c r="I275" s="88">
        <v>25016</v>
      </c>
      <c r="J275" s="3">
        <f t="shared" si="4"/>
        <v>22014</v>
      </c>
      <c r="K275" s="236" t="s">
        <v>17</v>
      </c>
      <c r="L275" s="828">
        <v>45813</v>
      </c>
      <c r="R275" t="s">
        <v>5026</v>
      </c>
      <c r="S275" s="360">
        <v>0.46736111111111112</v>
      </c>
      <c r="T275" s="360">
        <v>0.60902777777777783</v>
      </c>
    </row>
    <row r="276" spans="1:21" hidden="1" x14ac:dyDescent="0.25">
      <c r="A276" s="483">
        <v>20122024</v>
      </c>
      <c r="B276" t="s">
        <v>1720</v>
      </c>
      <c r="C276" s="233" t="s">
        <v>809</v>
      </c>
      <c r="D276" s="359">
        <v>45646</v>
      </c>
      <c r="E276" s="28"/>
      <c r="F276" s="28" t="s">
        <v>545</v>
      </c>
      <c r="G276" t="s">
        <v>5401</v>
      </c>
      <c r="H276" t="s">
        <v>5400</v>
      </c>
      <c r="I276" s="88">
        <v>25016</v>
      </c>
      <c r="J276" s="3">
        <f t="shared" si="4"/>
        <v>22014</v>
      </c>
      <c r="K276" s="236" t="s">
        <v>17</v>
      </c>
      <c r="L276" s="828">
        <v>45771</v>
      </c>
      <c r="R276" t="s">
        <v>5392</v>
      </c>
      <c r="S276" s="360">
        <v>0.70347222222222228</v>
      </c>
      <c r="T276" s="360">
        <v>0.76249999999999996</v>
      </c>
    </row>
    <row r="277" spans="1:21" hidden="1" x14ac:dyDescent="0.25">
      <c r="A277" s="483">
        <v>21122024</v>
      </c>
      <c r="B277" t="s">
        <v>1720</v>
      </c>
      <c r="C277" s="233" t="s">
        <v>13</v>
      </c>
      <c r="D277" s="359">
        <v>45647</v>
      </c>
      <c r="E277" s="28"/>
      <c r="F277" s="28" t="s">
        <v>545</v>
      </c>
      <c r="G277" t="s">
        <v>5419</v>
      </c>
      <c r="H277" t="s">
        <v>5402</v>
      </c>
      <c r="I277" s="88">
        <v>25016</v>
      </c>
      <c r="J277" s="3">
        <f t="shared" si="4"/>
        <v>22014</v>
      </c>
      <c r="K277" s="236" t="s">
        <v>17</v>
      </c>
      <c r="L277" s="828">
        <v>45771</v>
      </c>
      <c r="R277" t="s">
        <v>4139</v>
      </c>
      <c r="S277" s="360">
        <v>0.74305555555555547</v>
      </c>
      <c r="T277" s="360">
        <v>0.89236111111111116</v>
      </c>
    </row>
    <row r="278" spans="1:21" hidden="1" x14ac:dyDescent="0.25">
      <c r="A278" s="483">
        <v>25122024</v>
      </c>
      <c r="B278" t="s">
        <v>1720</v>
      </c>
      <c r="C278" s="233" t="s">
        <v>410</v>
      </c>
      <c r="D278" s="233">
        <v>45651</v>
      </c>
      <c r="E278" s="28"/>
      <c r="F278" s="28" t="s">
        <v>545</v>
      </c>
      <c r="G278" t="s">
        <v>5488</v>
      </c>
      <c r="H278" s="5" t="s">
        <v>5489</v>
      </c>
      <c r="I278" s="88">
        <v>34456</v>
      </c>
      <c r="J278" s="3">
        <f t="shared" si="4"/>
        <v>30321</v>
      </c>
      <c r="K278" s="236" t="s">
        <v>17</v>
      </c>
      <c r="L278" s="828">
        <v>45813</v>
      </c>
      <c r="R278" t="s">
        <v>2050</v>
      </c>
      <c r="S278" s="360">
        <v>0.43611111111111112</v>
      </c>
      <c r="T278" s="360">
        <v>0.59236111111111112</v>
      </c>
    </row>
    <row r="279" spans="1:21" hidden="1" x14ac:dyDescent="0.25">
      <c r="A279" s="483">
        <v>26122024</v>
      </c>
      <c r="B279" t="s">
        <v>1720</v>
      </c>
      <c r="C279" s="233" t="s">
        <v>13</v>
      </c>
      <c r="D279" s="233">
        <v>45652</v>
      </c>
      <c r="E279" s="28"/>
      <c r="F279" s="28" t="s">
        <v>545</v>
      </c>
      <c r="G279" t="s">
        <v>5597</v>
      </c>
      <c r="H279" s="33" t="s">
        <v>5490</v>
      </c>
      <c r="I279" s="279">
        <v>34456</v>
      </c>
      <c r="J279" s="844">
        <f t="shared" si="4"/>
        <v>30321</v>
      </c>
      <c r="K279" s="30" t="s">
        <v>17</v>
      </c>
      <c r="L279" s="828">
        <v>45827</v>
      </c>
      <c r="R279" t="s">
        <v>1644</v>
      </c>
      <c r="S279" s="360"/>
      <c r="T279" s="360"/>
    </row>
    <row r="280" spans="1:21" hidden="1" x14ac:dyDescent="0.25">
      <c r="A280" s="483">
        <v>26122024</v>
      </c>
      <c r="B280" t="s">
        <v>1720</v>
      </c>
      <c r="C280" s="233" t="s">
        <v>410</v>
      </c>
      <c r="D280" s="233">
        <v>45652</v>
      </c>
      <c r="E280" s="28"/>
      <c r="F280" s="28" t="s">
        <v>545</v>
      </c>
      <c r="G280" t="s">
        <v>5480</v>
      </c>
      <c r="H280" s="5" t="s">
        <v>5481</v>
      </c>
      <c r="I280" s="88">
        <v>25016</v>
      </c>
      <c r="J280" s="3">
        <f t="shared" si="4"/>
        <v>22014</v>
      </c>
      <c r="K280" s="236" t="s">
        <v>17</v>
      </c>
      <c r="L280" s="828">
        <v>45813</v>
      </c>
      <c r="R280" t="s">
        <v>1644</v>
      </c>
      <c r="S280" s="360">
        <v>0.66875000000000007</v>
      </c>
      <c r="T280" s="360"/>
    </row>
    <row r="281" spans="1:21" ht="14.1" hidden="1" customHeight="1" x14ac:dyDescent="0.25">
      <c r="A281" s="483">
        <v>28122024</v>
      </c>
      <c r="B281" t="s">
        <v>1720</v>
      </c>
      <c r="C281" s="233" t="s">
        <v>410</v>
      </c>
      <c r="D281" s="233">
        <v>45654</v>
      </c>
      <c r="E281" s="28"/>
      <c r="F281" s="28" t="s">
        <v>545</v>
      </c>
      <c r="G281" t="s">
        <v>5482</v>
      </c>
      <c r="H281" s="966" t="s">
        <v>5487</v>
      </c>
      <c r="I281" s="967">
        <v>34456</v>
      </c>
      <c r="J281" s="903">
        <f t="shared" si="4"/>
        <v>30321</v>
      </c>
      <c r="K281" s="968" t="s">
        <v>17</v>
      </c>
      <c r="L281" s="910">
        <v>45792</v>
      </c>
      <c r="R281" t="s">
        <v>4417</v>
      </c>
      <c r="S281" s="360">
        <v>0.27083333333333331</v>
      </c>
      <c r="T281" s="360">
        <v>0.4375</v>
      </c>
    </row>
    <row r="282" spans="1:21" hidden="1" x14ac:dyDescent="0.25">
      <c r="A282" s="483">
        <v>29122024</v>
      </c>
      <c r="B282" t="s">
        <v>1720</v>
      </c>
      <c r="C282" s="233" t="s">
        <v>410</v>
      </c>
      <c r="D282" s="233">
        <v>45655</v>
      </c>
      <c r="E282" s="28"/>
      <c r="F282" s="28" t="s">
        <v>545</v>
      </c>
      <c r="G282" t="s">
        <v>5484</v>
      </c>
      <c r="H282" s="33" t="s">
        <v>5486</v>
      </c>
      <c r="I282" s="279">
        <v>25016</v>
      </c>
      <c r="J282" s="844">
        <f t="shared" si="4"/>
        <v>22014</v>
      </c>
      <c r="K282" s="30" t="s">
        <v>17</v>
      </c>
      <c r="L282" s="828">
        <v>45827</v>
      </c>
      <c r="R282" t="s">
        <v>2050</v>
      </c>
      <c r="S282" s="360">
        <v>0.71597222222222223</v>
      </c>
      <c r="T282" s="360">
        <v>0.85486111111111107</v>
      </c>
    </row>
    <row r="283" spans="1:21" hidden="1" x14ac:dyDescent="0.25">
      <c r="A283" s="483">
        <v>30122024</v>
      </c>
      <c r="B283" t="s">
        <v>1720</v>
      </c>
      <c r="C283" s="233" t="s">
        <v>13</v>
      </c>
      <c r="D283" s="233">
        <v>45656</v>
      </c>
      <c r="E283" s="28"/>
      <c r="F283" s="28" t="s">
        <v>545</v>
      </c>
      <c r="G283" t="s">
        <v>5483</v>
      </c>
      <c r="H283" s="993" t="s">
        <v>5485</v>
      </c>
      <c r="I283" s="88">
        <v>25016</v>
      </c>
      <c r="J283" s="3">
        <f t="shared" si="4"/>
        <v>22014</v>
      </c>
      <c r="K283" s="30" t="s">
        <v>17</v>
      </c>
      <c r="L283" s="828">
        <v>45805</v>
      </c>
      <c r="R283" t="s">
        <v>5131</v>
      </c>
      <c r="S283" s="360">
        <v>0.66111111111111109</v>
      </c>
      <c r="T283" s="360">
        <v>0.84444444444444444</v>
      </c>
    </row>
    <row r="284" spans="1:21" x14ac:dyDescent="0.25">
      <c r="I284" s="180"/>
      <c r="J284" s="180"/>
      <c r="K284" s="30"/>
    </row>
    <row r="285" spans="1:21" x14ac:dyDescent="0.25">
      <c r="A285" s="483"/>
      <c r="C285" s="28"/>
      <c r="D285" s="233"/>
      <c r="G285" s="30"/>
      <c r="H285" s="30"/>
      <c r="I285" s="481"/>
      <c r="J285" s="12"/>
      <c r="K285" s="30"/>
      <c r="L285" s="828"/>
      <c r="R285" s="14"/>
      <c r="S285" s="30"/>
      <c r="T285" s="30"/>
    </row>
    <row r="286" spans="1:21" x14ac:dyDescent="0.25">
      <c r="G286" s="30"/>
      <c r="I286" s="180"/>
      <c r="J286" s="180"/>
      <c r="K286" s="30"/>
      <c r="L286" s="359"/>
    </row>
    <row r="287" spans="1:21" ht="15.75" thickBot="1" x14ac:dyDescent="0.3">
      <c r="A287" s="256"/>
      <c r="D287" s="233"/>
      <c r="G287" s="30"/>
      <c r="I287" s="180"/>
      <c r="J287" s="12"/>
      <c r="K287" s="236"/>
      <c r="L287" s="828"/>
      <c r="M287" s="13"/>
      <c r="T287" s="14"/>
      <c r="U287" s="14"/>
    </row>
    <row r="288" spans="1:21" ht="15.75" thickBot="1" x14ac:dyDescent="0.3">
      <c r="H288" t="s">
        <v>423</v>
      </c>
      <c r="I288" s="242">
        <f>SUBTOTAL(9,I3:I287)-25016</f>
        <v>-25016</v>
      </c>
      <c r="J288" s="837"/>
      <c r="K288" s="836">
        <v>7680856</v>
      </c>
      <c r="L288" s="61">
        <v>10659648</v>
      </c>
      <c r="M288" s="91">
        <f>+K288/L288</f>
        <v>0.72055437477860429</v>
      </c>
    </row>
    <row r="289" spans="1:21" x14ac:dyDescent="0.25">
      <c r="K289" s="836"/>
      <c r="L289" s="61"/>
    </row>
    <row r="290" spans="1:21" x14ac:dyDescent="0.25">
      <c r="A290" s="256"/>
      <c r="D290" s="233"/>
      <c r="H290" s="28"/>
      <c r="I290" s="149"/>
      <c r="J290" s="17"/>
      <c r="K290" s="368"/>
      <c r="L290" s="829"/>
      <c r="R290" s="14"/>
      <c r="S290" s="14"/>
      <c r="T290" s="14"/>
    </row>
    <row r="291" spans="1:21" x14ac:dyDescent="0.25">
      <c r="A291" s="256"/>
      <c r="D291" s="233"/>
      <c r="H291" s="28"/>
      <c r="I291" s="149"/>
      <c r="J291"/>
      <c r="K291" s="368"/>
      <c r="L291" s="61"/>
      <c r="R291" s="14"/>
      <c r="S291" s="14"/>
      <c r="T291" s="14"/>
    </row>
    <row r="292" spans="1:21" x14ac:dyDescent="0.25">
      <c r="A292" s="256"/>
      <c r="D292" s="233"/>
      <c r="G292" s="30"/>
      <c r="H292" s="28"/>
      <c r="I292"/>
      <c r="J292"/>
      <c r="K292" s="368"/>
      <c r="L292" s="829"/>
      <c r="S292" s="14"/>
      <c r="T292" s="14"/>
      <c r="U292" s="14"/>
    </row>
    <row r="293" spans="1:21" x14ac:dyDescent="0.25">
      <c r="I293" s="88">
        <f>+I2982</f>
        <v>0</v>
      </c>
      <c r="K293" s="30"/>
    </row>
    <row r="294" spans="1:21" x14ac:dyDescent="0.25">
      <c r="K294" s="30"/>
    </row>
    <row r="295" spans="1:21" ht="15.75" thickBot="1" x14ac:dyDescent="0.3">
      <c r="K295" s="30"/>
    </row>
    <row r="296" spans="1:21" ht="15.75" thickBot="1" x14ac:dyDescent="0.3">
      <c r="I296"/>
      <c r="J296" s="1499" t="s">
        <v>701</v>
      </c>
      <c r="K296" s="1501"/>
      <c r="L296" s="1501"/>
      <c r="M296" s="1487" t="s">
        <v>2315</v>
      </c>
      <c r="N296" s="1488"/>
      <c r="O296" s="1488"/>
      <c r="P296" s="1488"/>
      <c r="Q296" s="1489"/>
      <c r="R296" s="1487" t="s">
        <v>2316</v>
      </c>
      <c r="S296" s="1489"/>
    </row>
    <row r="297" spans="1:21" s="25" customFormat="1" ht="15.75" thickBot="1" x14ac:dyDescent="0.3">
      <c r="A297" s="115"/>
      <c r="J297" s="1487" t="s">
        <v>702</v>
      </c>
      <c r="K297" s="1488"/>
      <c r="L297" s="1488"/>
      <c r="M297" s="25" t="s">
        <v>750</v>
      </c>
      <c r="Q297" s="25" t="s">
        <v>749</v>
      </c>
      <c r="R297" s="25" t="s">
        <v>750</v>
      </c>
      <c r="S297" s="25" t="s">
        <v>749</v>
      </c>
    </row>
    <row r="298" spans="1:21" ht="15.75" thickBot="1" x14ac:dyDescent="0.3">
      <c r="I298"/>
      <c r="J298" s="1534" t="s">
        <v>436</v>
      </c>
      <c r="K298" s="1534"/>
      <c r="L298" s="832"/>
      <c r="M298" s="28">
        <v>48</v>
      </c>
      <c r="N298" s="28"/>
      <c r="O298" s="28"/>
      <c r="P298" s="28"/>
      <c r="Q298" s="3">
        <v>34456</v>
      </c>
      <c r="R298" s="28">
        <v>360</v>
      </c>
      <c r="S298">
        <v>25016</v>
      </c>
    </row>
    <row r="299" spans="1:21" x14ac:dyDescent="0.25">
      <c r="I299" s="158"/>
      <c r="J299" s="436" t="s">
        <v>696</v>
      </c>
      <c r="K299" s="588" t="s">
        <v>697</v>
      </c>
      <c r="L299" s="833"/>
    </row>
    <row r="300" spans="1:21" x14ac:dyDescent="0.25">
      <c r="H300" s="1" t="s">
        <v>2313</v>
      </c>
      <c r="I300" s="1" t="s">
        <v>2314</v>
      </c>
      <c r="J300" s="361" t="e">
        <f>(5812680)/#REF!</f>
        <v>#REF!</v>
      </c>
      <c r="K300" s="362" t="s">
        <v>366</v>
      </c>
      <c r="L300" s="803"/>
    </row>
    <row r="301" spans="1:21" x14ac:dyDescent="0.25">
      <c r="H301" s="3">
        <f>2274096+34456*3</f>
        <v>2377464</v>
      </c>
      <c r="I301" s="3">
        <f>5103264+25016*8</f>
        <v>5303392</v>
      </c>
      <c r="J301" s="361" t="e">
        <f>(H301+I301)/#REF!</f>
        <v>#REF!</v>
      </c>
      <c r="K301" s="362" t="s">
        <v>365</v>
      </c>
      <c r="L301" s="803"/>
      <c r="M301" s="689">
        <f>+H301/Q298</f>
        <v>69</v>
      </c>
      <c r="N301" s="17"/>
      <c r="O301" s="17"/>
      <c r="P301" s="17"/>
      <c r="Q301" s="3"/>
      <c r="R301" s="28">
        <f>+I301/S298</f>
        <v>212</v>
      </c>
    </row>
    <row r="302" spans="1:21" ht="15.75" thickBot="1" x14ac:dyDescent="0.3">
      <c r="I302"/>
      <c r="J302" s="361" t="e">
        <f>(H301+I301)/#REF!</f>
        <v>#REF!</v>
      </c>
      <c r="K302" s="362" t="s">
        <v>698</v>
      </c>
      <c r="L302" s="834"/>
    </row>
    <row r="303" spans="1:21" s="21" customFormat="1" ht="15.75" thickBot="1" x14ac:dyDescent="0.3">
      <c r="A303" s="169"/>
      <c r="D303" s="177"/>
      <c r="F303" s="177"/>
      <c r="H303" s="1556" t="s">
        <v>2455</v>
      </c>
      <c r="I303" s="1610"/>
      <c r="J303" s="1611" t="s">
        <v>756</v>
      </c>
      <c r="K303" s="1612"/>
      <c r="L303" s="835"/>
      <c r="M303" s="451">
        <f>+M298-M301</f>
        <v>-21</v>
      </c>
      <c r="N303" s="177"/>
      <c r="O303" s="177"/>
      <c r="P303" s="177"/>
      <c r="Q303" s="177"/>
      <c r="R303" s="451">
        <f>+R298-R301</f>
        <v>148</v>
      </c>
    </row>
    <row r="304" spans="1:21" ht="15.75" thickBot="1" x14ac:dyDescent="0.3">
      <c r="I304"/>
      <c r="J304" s="1504" t="s">
        <v>699</v>
      </c>
      <c r="K304" s="1506"/>
      <c r="L304" s="1506"/>
    </row>
    <row r="305" spans="1:20" x14ac:dyDescent="0.25">
      <c r="A305"/>
      <c r="I305"/>
      <c r="J305" s="434" t="e">
        <f>+J300/J301</f>
        <v>#REF!</v>
      </c>
      <c r="K305" s="435" t="s">
        <v>700</v>
      </c>
      <c r="L305" s="832"/>
    </row>
    <row r="306" spans="1:20" x14ac:dyDescent="0.25">
      <c r="A306"/>
      <c r="I306"/>
      <c r="J306" s="361" t="e">
        <f>+J302/J301</f>
        <v>#REF!</v>
      </c>
      <c r="K306" s="362" t="s">
        <v>703</v>
      </c>
      <c r="L306" s="803"/>
    </row>
    <row r="307" spans="1:20" x14ac:dyDescent="0.25">
      <c r="A307"/>
      <c r="I307"/>
      <c r="J307"/>
      <c r="K307" s="30"/>
    </row>
    <row r="308" spans="1:20" x14ac:dyDescent="0.25">
      <c r="K308" s="30"/>
    </row>
    <row r="309" spans="1:20" x14ac:dyDescent="0.25">
      <c r="K309" s="30"/>
    </row>
    <row r="310" spans="1:20" hidden="1" x14ac:dyDescent="0.25">
      <c r="A310" s="483">
        <v>2012025</v>
      </c>
      <c r="B310" t="s">
        <v>1720</v>
      </c>
      <c r="C310" s="233" t="s">
        <v>4218</v>
      </c>
      <c r="D310" s="233">
        <v>45659</v>
      </c>
      <c r="E310" s="28"/>
      <c r="F310" s="28" t="s">
        <v>545</v>
      </c>
      <c r="G310" t="s">
        <v>5492</v>
      </c>
      <c r="H310" s="966" t="s">
        <v>5493</v>
      </c>
      <c r="I310" s="967">
        <v>23650</v>
      </c>
      <c r="J310" s="903">
        <f t="shared" ref="J310:J341" si="5">+I310-ROUND(I310*0.12,0)</f>
        <v>20812</v>
      </c>
      <c r="K310" s="968" t="s">
        <v>17</v>
      </c>
      <c r="L310" s="910">
        <v>45792</v>
      </c>
      <c r="R310" t="s">
        <v>5078</v>
      </c>
      <c r="S310" s="360"/>
      <c r="T310" s="360"/>
    </row>
    <row r="311" spans="1:20" hidden="1" x14ac:dyDescent="0.25">
      <c r="A311" s="483">
        <v>7012025</v>
      </c>
      <c r="B311" t="s">
        <v>1720</v>
      </c>
      <c r="C311" s="233" t="s">
        <v>410</v>
      </c>
      <c r="D311" s="233">
        <v>45664</v>
      </c>
      <c r="E311" s="28"/>
      <c r="F311" s="28" t="s">
        <v>545</v>
      </c>
      <c r="G311" t="s">
        <v>5494</v>
      </c>
      <c r="H311" s="912" t="s">
        <v>5495</v>
      </c>
      <c r="I311" s="963">
        <v>23650</v>
      </c>
      <c r="J311" s="963">
        <f t="shared" si="5"/>
        <v>20812</v>
      </c>
      <c r="K311" s="897" t="s">
        <v>17</v>
      </c>
      <c r="L311" s="965">
        <v>45792</v>
      </c>
      <c r="R311" t="s">
        <v>2050</v>
      </c>
      <c r="S311" s="360">
        <v>0.2986111111111111</v>
      </c>
      <c r="T311" s="360">
        <v>0.44513888888888892</v>
      </c>
    </row>
    <row r="312" spans="1:20" hidden="1" x14ac:dyDescent="0.25">
      <c r="A312" s="483">
        <v>7012025</v>
      </c>
      <c r="B312" t="s">
        <v>1720</v>
      </c>
      <c r="C312" s="233" t="s">
        <v>4218</v>
      </c>
      <c r="D312" s="233">
        <v>45664</v>
      </c>
      <c r="E312" s="28"/>
      <c r="F312" s="28" t="s">
        <v>545</v>
      </c>
      <c r="G312" t="s">
        <v>5496</v>
      </c>
      <c r="H312" s="966" t="s">
        <v>5497</v>
      </c>
      <c r="I312" s="969">
        <v>23650</v>
      </c>
      <c r="J312" s="903">
        <f t="shared" si="5"/>
        <v>20812</v>
      </c>
      <c r="K312" s="970" t="s">
        <v>17</v>
      </c>
      <c r="L312" s="910">
        <v>45792</v>
      </c>
      <c r="R312" t="s">
        <v>5026</v>
      </c>
      <c r="S312" s="360">
        <v>0.44444444444444442</v>
      </c>
      <c r="T312" s="360">
        <v>0.61458333333333337</v>
      </c>
    </row>
    <row r="313" spans="1:20" hidden="1" x14ac:dyDescent="0.25">
      <c r="A313" s="483">
        <v>8012025</v>
      </c>
      <c r="B313" t="s">
        <v>1720</v>
      </c>
      <c r="C313" s="233" t="s">
        <v>4218</v>
      </c>
      <c r="D313" s="233">
        <v>45665</v>
      </c>
      <c r="E313" s="28"/>
      <c r="F313" s="28" t="s">
        <v>545</v>
      </c>
      <c r="G313" t="s">
        <v>5498</v>
      </c>
      <c r="H313" s="912" t="s">
        <v>5499</v>
      </c>
      <c r="I313" s="963">
        <v>33135</v>
      </c>
      <c r="J313" s="963">
        <f t="shared" si="5"/>
        <v>29159</v>
      </c>
      <c r="K313" s="897" t="s">
        <v>17</v>
      </c>
      <c r="L313" s="965">
        <v>45792</v>
      </c>
      <c r="R313" t="s">
        <v>5078</v>
      </c>
      <c r="S313" s="360">
        <v>0.36180555555555555</v>
      </c>
      <c r="T313" s="360">
        <v>0.55277777777777781</v>
      </c>
    </row>
    <row r="314" spans="1:20" hidden="1" x14ac:dyDescent="0.25">
      <c r="A314" s="483">
        <v>9012025</v>
      </c>
      <c r="B314" t="s">
        <v>1720</v>
      </c>
      <c r="C314" s="233" t="s">
        <v>410</v>
      </c>
      <c r="D314" s="233">
        <v>45666</v>
      </c>
      <c r="E314" s="28"/>
      <c r="F314" s="28" t="s">
        <v>545</v>
      </c>
      <c r="G314" t="s">
        <v>5576</v>
      </c>
      <c r="H314" s="196" t="s">
        <v>6524</v>
      </c>
      <c r="I314" s="88">
        <v>33135</v>
      </c>
      <c r="J314" s="1016">
        <f t="shared" si="5"/>
        <v>29159</v>
      </c>
      <c r="K314" s="196" t="s">
        <v>17</v>
      </c>
      <c r="L314" s="1017">
        <v>45841</v>
      </c>
      <c r="R314" t="s">
        <v>5393</v>
      </c>
      <c r="S314" s="360">
        <v>0.63402777777777775</v>
      </c>
      <c r="T314" s="360"/>
    </row>
    <row r="315" spans="1:20" hidden="1" x14ac:dyDescent="0.25">
      <c r="A315" s="483">
        <v>10012025</v>
      </c>
      <c r="B315" t="s">
        <v>1720</v>
      </c>
      <c r="C315" s="233" t="s">
        <v>410</v>
      </c>
      <c r="D315" s="233">
        <v>45667</v>
      </c>
      <c r="E315" s="28"/>
      <c r="F315" s="28" t="s">
        <v>545</v>
      </c>
      <c r="G315" t="s">
        <v>5578</v>
      </c>
      <c r="H315" s="966" t="s">
        <v>5579</v>
      </c>
      <c r="I315" s="967">
        <v>23650</v>
      </c>
      <c r="J315" s="903">
        <f t="shared" si="5"/>
        <v>20812</v>
      </c>
      <c r="K315" s="968" t="s">
        <v>17</v>
      </c>
      <c r="L315" s="233">
        <v>45792</v>
      </c>
      <c r="R315" t="s">
        <v>1506</v>
      </c>
      <c r="S315" s="360">
        <v>0.78194444444444444</v>
      </c>
      <c r="T315" s="360">
        <v>0.83680555555555547</v>
      </c>
    </row>
    <row r="316" spans="1:20" hidden="1" x14ac:dyDescent="0.25">
      <c r="A316" s="483">
        <v>11012025</v>
      </c>
      <c r="B316" t="s">
        <v>1720</v>
      </c>
      <c r="C316" s="233" t="s">
        <v>13</v>
      </c>
      <c r="D316" s="233">
        <v>45668</v>
      </c>
      <c r="E316" s="28"/>
      <c r="F316" s="28" t="s">
        <v>545</v>
      </c>
      <c r="G316" t="s">
        <v>5580</v>
      </c>
      <c r="H316" s="966" t="s">
        <v>5581</v>
      </c>
      <c r="I316" s="967">
        <v>33135</v>
      </c>
      <c r="J316" s="903">
        <f t="shared" si="5"/>
        <v>29159</v>
      </c>
      <c r="K316" s="968" t="s">
        <v>17</v>
      </c>
      <c r="L316" s="233">
        <v>45792</v>
      </c>
      <c r="R316" t="s">
        <v>5020</v>
      </c>
      <c r="S316" s="360">
        <v>0.31041666666666667</v>
      </c>
      <c r="T316" s="360">
        <v>0.47638888888888892</v>
      </c>
    </row>
    <row r="317" spans="1:20" hidden="1" x14ac:dyDescent="0.25">
      <c r="A317" s="483">
        <v>11012025</v>
      </c>
      <c r="B317" t="s">
        <v>1720</v>
      </c>
      <c r="C317" s="233" t="s">
        <v>4218</v>
      </c>
      <c r="D317" s="233">
        <v>45668</v>
      </c>
      <c r="E317" s="28"/>
      <c r="F317" s="28" t="s">
        <v>545</v>
      </c>
      <c r="G317" t="s">
        <v>5584</v>
      </c>
      <c r="H317" s="912" t="s">
        <v>5582</v>
      </c>
      <c r="I317" s="963">
        <v>23650</v>
      </c>
      <c r="J317" s="963">
        <f t="shared" si="5"/>
        <v>20812</v>
      </c>
      <c r="K317" s="897" t="s">
        <v>17</v>
      </c>
      <c r="L317" s="233">
        <v>45792</v>
      </c>
      <c r="R317" t="s">
        <v>1506</v>
      </c>
      <c r="S317" s="360">
        <v>0.78611111111111109</v>
      </c>
      <c r="T317" s="360">
        <v>0.90625</v>
      </c>
    </row>
    <row r="318" spans="1:20" hidden="1" x14ac:dyDescent="0.25">
      <c r="A318" s="483">
        <v>14012025</v>
      </c>
      <c r="B318" t="s">
        <v>1720</v>
      </c>
      <c r="C318" s="233" t="s">
        <v>4218</v>
      </c>
      <c r="D318" s="233">
        <v>45671</v>
      </c>
      <c r="E318" s="28"/>
      <c r="F318" s="28" t="s">
        <v>545</v>
      </c>
      <c r="G318" t="s">
        <v>5583</v>
      </c>
      <c r="H318" s="5" t="s">
        <v>5585</v>
      </c>
      <c r="I318" s="88">
        <v>23650</v>
      </c>
      <c r="J318" s="3">
        <f t="shared" si="5"/>
        <v>20812</v>
      </c>
      <c r="K318" s="30" t="s">
        <v>17</v>
      </c>
      <c r="L318" s="233">
        <v>45799</v>
      </c>
      <c r="R318" t="s">
        <v>4911</v>
      </c>
      <c r="S318" s="360">
        <v>0.60277777777777775</v>
      </c>
      <c r="T318" s="360">
        <v>0.73402777777777783</v>
      </c>
    </row>
    <row r="319" spans="1:20" hidden="1" x14ac:dyDescent="0.25">
      <c r="A319" s="483">
        <v>16012025</v>
      </c>
      <c r="B319" t="s">
        <v>1720</v>
      </c>
      <c r="C319" s="233" t="s">
        <v>410</v>
      </c>
      <c r="D319" s="233">
        <v>45673</v>
      </c>
      <c r="E319" s="28"/>
      <c r="F319" s="28" t="s">
        <v>545</v>
      </c>
      <c r="G319" t="s">
        <v>5586</v>
      </c>
      <c r="H319" s="993" t="s">
        <v>5587</v>
      </c>
      <c r="I319" s="88">
        <v>23650</v>
      </c>
      <c r="J319" s="3">
        <f t="shared" si="5"/>
        <v>20812</v>
      </c>
      <c r="K319" s="30" t="s">
        <v>17</v>
      </c>
      <c r="L319" s="233">
        <v>45805</v>
      </c>
      <c r="R319" t="s">
        <v>4911</v>
      </c>
      <c r="S319" s="360">
        <v>0.63194444444444442</v>
      </c>
      <c r="T319" s="360"/>
    </row>
    <row r="320" spans="1:20" hidden="1" x14ac:dyDescent="0.25">
      <c r="A320" s="483">
        <v>29012025</v>
      </c>
      <c r="B320" t="s">
        <v>1720</v>
      </c>
      <c r="C320" s="28" t="s">
        <v>13</v>
      </c>
      <c r="D320" s="233">
        <v>45686</v>
      </c>
      <c r="F320" s="28" t="s">
        <v>545</v>
      </c>
      <c r="G320" t="s">
        <v>5768</v>
      </c>
      <c r="H320" s="303" t="s">
        <v>6523</v>
      </c>
      <c r="I320" s="313">
        <v>33135</v>
      </c>
      <c r="J320" s="1016">
        <f t="shared" si="5"/>
        <v>29159</v>
      </c>
      <c r="K320" s="196" t="s">
        <v>17</v>
      </c>
      <c r="L320" s="1017">
        <v>45841</v>
      </c>
      <c r="R320" t="s">
        <v>5021</v>
      </c>
      <c r="S320" s="360">
        <v>0.56597222222222221</v>
      </c>
      <c r="T320" s="30"/>
    </row>
    <row r="321" spans="1:22" hidden="1" x14ac:dyDescent="0.25">
      <c r="A321" s="483">
        <v>29012025</v>
      </c>
      <c r="B321" t="s">
        <v>1720</v>
      </c>
      <c r="C321" s="28" t="s">
        <v>4218</v>
      </c>
      <c r="D321" s="233">
        <v>45686</v>
      </c>
      <c r="F321" s="28" t="s">
        <v>545</v>
      </c>
      <c r="G321" s="30" t="s">
        <v>5769</v>
      </c>
      <c r="H321" s="994" t="s">
        <v>5662</v>
      </c>
      <c r="I321" s="313">
        <v>23650</v>
      </c>
      <c r="J321" s="3">
        <f t="shared" si="5"/>
        <v>20812</v>
      </c>
      <c r="K321" s="30" t="s">
        <v>17</v>
      </c>
      <c r="L321" s="233">
        <v>45805</v>
      </c>
      <c r="R321" t="s">
        <v>5020</v>
      </c>
      <c r="S321" s="360">
        <v>0.74236111111111114</v>
      </c>
      <c r="T321" s="30"/>
    </row>
    <row r="322" spans="1:22" hidden="1" x14ac:dyDescent="0.25">
      <c r="A322" s="483" t="s">
        <v>5607</v>
      </c>
      <c r="B322" t="s">
        <v>1720</v>
      </c>
      <c r="C322" s="28" t="s">
        <v>410</v>
      </c>
      <c r="D322" s="233">
        <v>45692</v>
      </c>
      <c r="F322" s="28" t="s">
        <v>545</v>
      </c>
      <c r="G322" s="30" t="s">
        <v>5770</v>
      </c>
      <c r="H322" s="994" t="s">
        <v>5664</v>
      </c>
      <c r="I322" s="313">
        <v>23650</v>
      </c>
      <c r="J322" s="3">
        <f t="shared" si="5"/>
        <v>20812</v>
      </c>
      <c r="K322" s="30" t="s">
        <v>17</v>
      </c>
      <c r="L322" s="233">
        <v>45805</v>
      </c>
      <c r="R322" t="s">
        <v>4853</v>
      </c>
      <c r="S322" s="360">
        <v>0.77986111111111101</v>
      </c>
      <c r="T322" s="30">
        <v>0.9243055555555556</v>
      </c>
    </row>
    <row r="323" spans="1:22" hidden="1" x14ac:dyDescent="0.25">
      <c r="A323" s="483">
        <v>13022024</v>
      </c>
      <c r="B323" t="s">
        <v>1720</v>
      </c>
      <c r="C323" s="28" t="s">
        <v>13</v>
      </c>
      <c r="D323" s="233">
        <v>45701</v>
      </c>
      <c r="E323" s="28"/>
      <c r="F323" s="28" t="s">
        <v>545</v>
      </c>
      <c r="G323" s="30" t="s">
        <v>5772</v>
      </c>
      <c r="H323" s="373" t="s">
        <v>5661</v>
      </c>
      <c r="I323" s="798">
        <v>22750</v>
      </c>
      <c r="J323" s="3">
        <f t="shared" si="5"/>
        <v>20020</v>
      </c>
      <c r="K323" s="30" t="s">
        <v>17</v>
      </c>
      <c r="L323" s="233">
        <v>45799</v>
      </c>
      <c r="R323" t="s">
        <v>5020</v>
      </c>
      <c r="S323" s="360">
        <v>0.69097222222222221</v>
      </c>
      <c r="T323" s="360">
        <v>0.83958333333333324</v>
      </c>
    </row>
    <row r="324" spans="1:22" hidden="1" x14ac:dyDescent="0.25">
      <c r="A324" s="483">
        <v>19022025</v>
      </c>
      <c r="B324" t="s">
        <v>1720</v>
      </c>
      <c r="C324" s="28" t="s">
        <v>4218</v>
      </c>
      <c r="D324" s="233">
        <v>45707</v>
      </c>
      <c r="E324" s="28"/>
      <c r="F324" s="28" t="s">
        <v>545</v>
      </c>
      <c r="G324" s="30" t="s">
        <v>5767</v>
      </c>
      <c r="H324" s="30" t="s">
        <v>6526</v>
      </c>
      <c r="I324" s="798">
        <v>22750</v>
      </c>
      <c r="J324" s="3">
        <f t="shared" si="5"/>
        <v>20020</v>
      </c>
      <c r="K324" s="122" t="s">
        <v>17</v>
      </c>
      <c r="L324" s="233">
        <v>45842</v>
      </c>
      <c r="R324" t="s">
        <v>4867</v>
      </c>
      <c r="S324" s="360">
        <v>0.6972222222222223</v>
      </c>
      <c r="T324" s="360"/>
    </row>
    <row r="325" spans="1:22" hidden="1" x14ac:dyDescent="0.25">
      <c r="A325" s="483">
        <v>22022024</v>
      </c>
      <c r="B325" t="s">
        <v>1720</v>
      </c>
      <c r="C325" s="28" t="s">
        <v>13</v>
      </c>
      <c r="D325" s="233">
        <v>45710</v>
      </c>
      <c r="E325" s="28"/>
      <c r="F325" s="28" t="s">
        <v>545</v>
      </c>
      <c r="G325" s="30" t="s">
        <v>5765</v>
      </c>
      <c r="H325" s="968" t="s">
        <v>5766</v>
      </c>
      <c r="I325" s="969">
        <v>22750</v>
      </c>
      <c r="J325" s="903">
        <f t="shared" si="5"/>
        <v>20020</v>
      </c>
      <c r="K325" s="968" t="s">
        <v>17</v>
      </c>
      <c r="L325" s="233">
        <v>45792</v>
      </c>
      <c r="R325" t="s">
        <v>4867</v>
      </c>
      <c r="S325" s="360">
        <v>0.54583333333333328</v>
      </c>
      <c r="T325" s="360">
        <v>0.6694444444444444</v>
      </c>
    </row>
    <row r="326" spans="1:22" hidden="1" x14ac:dyDescent="0.25">
      <c r="A326" s="483" t="s">
        <v>5735</v>
      </c>
      <c r="B326" t="s">
        <v>1720</v>
      </c>
      <c r="C326" s="28" t="s">
        <v>4218</v>
      </c>
      <c r="D326" s="233">
        <v>45717</v>
      </c>
      <c r="E326" s="28"/>
      <c r="F326" s="28" t="s">
        <v>545</v>
      </c>
      <c r="G326" s="30" t="s">
        <v>5764</v>
      </c>
      <c r="H326" s="30" t="s">
        <v>7590</v>
      </c>
      <c r="I326" s="798">
        <v>22750</v>
      </c>
      <c r="J326" s="3">
        <f t="shared" si="5"/>
        <v>20020</v>
      </c>
      <c r="K326" s="30" t="s">
        <v>17</v>
      </c>
      <c r="L326" s="233">
        <v>46044</v>
      </c>
      <c r="R326" t="s">
        <v>4983</v>
      </c>
      <c r="S326" s="360">
        <v>0.75624999999999998</v>
      </c>
      <c r="T326" s="360">
        <v>0.89375000000000004</v>
      </c>
    </row>
    <row r="327" spans="1:22" hidden="1" x14ac:dyDescent="0.25">
      <c r="A327" s="483" t="s">
        <v>5753</v>
      </c>
      <c r="B327" t="s">
        <v>1720</v>
      </c>
      <c r="C327" s="28" t="s">
        <v>410</v>
      </c>
      <c r="D327" s="233">
        <v>45722</v>
      </c>
      <c r="E327" s="28"/>
      <c r="F327" s="28" t="s">
        <v>545</v>
      </c>
      <c r="G327" s="30" t="s">
        <v>5821</v>
      </c>
      <c r="H327" s="994" t="s">
        <v>5822</v>
      </c>
      <c r="I327" s="88">
        <v>32250</v>
      </c>
      <c r="J327" s="3">
        <f t="shared" si="5"/>
        <v>28380</v>
      </c>
      <c r="K327" s="971" t="s">
        <v>17</v>
      </c>
      <c r="L327" s="233">
        <v>45805</v>
      </c>
      <c r="T327" t="s">
        <v>5393</v>
      </c>
      <c r="U327" s="360">
        <v>0.70763888888888893</v>
      </c>
      <c r="V327" s="360">
        <v>0.89444444444444449</v>
      </c>
    </row>
    <row r="328" spans="1:22" hidden="1" x14ac:dyDescent="0.25">
      <c r="A328" s="483" t="s">
        <v>5775</v>
      </c>
      <c r="B328" t="s">
        <v>1720</v>
      </c>
      <c r="C328" s="28" t="s">
        <v>410</v>
      </c>
      <c r="D328" s="233">
        <v>45724</v>
      </c>
      <c r="E328" s="28"/>
      <c r="F328" s="28" t="s">
        <v>545</v>
      </c>
      <c r="G328" s="30" t="s">
        <v>5823</v>
      </c>
      <c r="H328" s="432" t="s">
        <v>5824</v>
      </c>
      <c r="I328" s="933">
        <v>32250</v>
      </c>
      <c r="J328" s="3">
        <f t="shared" si="5"/>
        <v>28380</v>
      </c>
      <c r="K328" s="30" t="s">
        <v>17</v>
      </c>
      <c r="L328" s="233">
        <v>45827</v>
      </c>
      <c r="T328" t="s">
        <v>4417</v>
      </c>
      <c r="U328" s="360">
        <v>0.3840277777777778</v>
      </c>
      <c r="V328" s="360">
        <v>0.53819444444444442</v>
      </c>
    </row>
    <row r="329" spans="1:22" hidden="1" x14ac:dyDescent="0.25">
      <c r="A329" s="483">
        <v>11032025</v>
      </c>
      <c r="B329" t="s">
        <v>1720</v>
      </c>
      <c r="C329" s="28" t="s">
        <v>410</v>
      </c>
      <c r="D329" s="233">
        <v>45727</v>
      </c>
      <c r="E329" s="28"/>
      <c r="F329" s="28" t="s">
        <v>4621</v>
      </c>
      <c r="G329" s="30" t="s">
        <v>5820</v>
      </c>
      <c r="H329" s="373" t="s">
        <v>5825</v>
      </c>
      <c r="I329" s="798">
        <v>30500</v>
      </c>
      <c r="J329" s="3">
        <f t="shared" si="5"/>
        <v>26840</v>
      </c>
      <c r="K329" s="30" t="s">
        <v>17</v>
      </c>
      <c r="L329" s="233">
        <v>45799</v>
      </c>
      <c r="T329" t="s">
        <v>5776</v>
      </c>
      <c r="U329" s="360">
        <v>0.59305555555555556</v>
      </c>
      <c r="V329" s="30"/>
    </row>
    <row r="330" spans="1:22" hidden="1" x14ac:dyDescent="0.25">
      <c r="A330" s="483">
        <v>13032025</v>
      </c>
      <c r="B330" t="s">
        <v>1720</v>
      </c>
      <c r="C330" s="28" t="s">
        <v>13</v>
      </c>
      <c r="D330" s="233">
        <v>45729</v>
      </c>
      <c r="E330" s="28"/>
      <c r="F330" s="28" t="s">
        <v>545</v>
      </c>
      <c r="G330" s="30" t="s">
        <v>5878</v>
      </c>
      <c r="H330" s="994" t="s">
        <v>5877</v>
      </c>
      <c r="I330" s="798">
        <v>22750</v>
      </c>
      <c r="J330" s="3">
        <f t="shared" si="5"/>
        <v>20020</v>
      </c>
      <c r="K330" s="30" t="s">
        <v>17</v>
      </c>
      <c r="L330" s="233">
        <v>45805</v>
      </c>
      <c r="T330" t="s">
        <v>4867</v>
      </c>
      <c r="U330" s="360">
        <v>0.65138888888888891</v>
      </c>
      <c r="V330" s="360">
        <v>0.78541666666666676</v>
      </c>
    </row>
    <row r="331" spans="1:22" hidden="1" x14ac:dyDescent="0.25">
      <c r="A331" s="30">
        <v>16032025</v>
      </c>
      <c r="B331" t="s">
        <v>1720</v>
      </c>
      <c r="C331" t="s">
        <v>410</v>
      </c>
      <c r="D331" s="233">
        <v>45732</v>
      </c>
      <c r="F331" s="28" t="s">
        <v>545</v>
      </c>
      <c r="G331" t="s">
        <v>5874</v>
      </c>
      <c r="H331" s="694" t="s">
        <v>5876</v>
      </c>
      <c r="I331" s="688">
        <v>32250</v>
      </c>
      <c r="J331" s="3">
        <f t="shared" si="5"/>
        <v>28380</v>
      </c>
      <c r="K331" s="359" t="s">
        <v>17</v>
      </c>
      <c r="L331" s="233">
        <v>45820</v>
      </c>
      <c r="T331" t="s">
        <v>1506</v>
      </c>
      <c r="U331" s="14">
        <v>0.32430555555555557</v>
      </c>
      <c r="V331" s="14">
        <v>0.48402777777777778</v>
      </c>
    </row>
    <row r="332" spans="1:22" hidden="1" x14ac:dyDescent="0.25">
      <c r="A332" s="30">
        <v>18032025</v>
      </c>
      <c r="B332" t="s">
        <v>1720</v>
      </c>
      <c r="C332" t="s">
        <v>410</v>
      </c>
      <c r="D332" s="233">
        <v>45734</v>
      </c>
      <c r="F332" s="28" t="s">
        <v>545</v>
      </c>
      <c r="G332" t="s">
        <v>5873</v>
      </c>
      <c r="H332" t="s">
        <v>5875</v>
      </c>
      <c r="I332" s="688">
        <v>22750</v>
      </c>
      <c r="J332" s="3">
        <f t="shared" si="5"/>
        <v>20020</v>
      </c>
      <c r="K332" s="122" t="s">
        <v>17</v>
      </c>
      <c r="L332" s="233">
        <v>45848</v>
      </c>
      <c r="T332" t="s">
        <v>5131</v>
      </c>
      <c r="U332" s="14">
        <v>0.7597222222222223</v>
      </c>
      <c r="V332" s="14">
        <v>0.9</v>
      </c>
    </row>
    <row r="333" spans="1:22" hidden="1" x14ac:dyDescent="0.25">
      <c r="A333" s="30">
        <v>19032025</v>
      </c>
      <c r="B333" t="s">
        <v>1720</v>
      </c>
      <c r="C333" t="s">
        <v>410</v>
      </c>
      <c r="D333" s="233">
        <v>45735</v>
      </c>
      <c r="F333" s="28" t="s">
        <v>545</v>
      </c>
      <c r="G333" t="s">
        <v>5870</v>
      </c>
      <c r="H333" s="418" t="s">
        <v>5872</v>
      </c>
      <c r="I333" s="688">
        <v>22750</v>
      </c>
      <c r="J333" s="3">
        <f t="shared" si="5"/>
        <v>20020</v>
      </c>
      <c r="K333" s="359" t="s">
        <v>17</v>
      </c>
      <c r="L333" s="233">
        <v>45820</v>
      </c>
      <c r="T333" t="s">
        <v>2050</v>
      </c>
      <c r="U333" s="14">
        <v>0.56736111111111109</v>
      </c>
      <c r="V333" s="14">
        <v>0.70277777777777783</v>
      </c>
    </row>
    <row r="334" spans="1:22" hidden="1" x14ac:dyDescent="0.25">
      <c r="A334" s="483">
        <v>23032025</v>
      </c>
      <c r="B334" t="s">
        <v>1720</v>
      </c>
      <c r="C334" s="28" t="s">
        <v>4218</v>
      </c>
      <c r="D334" s="510">
        <v>45739</v>
      </c>
      <c r="E334" s="28"/>
      <c r="F334" s="28" t="s">
        <v>545</v>
      </c>
      <c r="G334" t="s">
        <v>5871</v>
      </c>
      <c r="H334" s="373" t="s">
        <v>5869</v>
      </c>
      <c r="I334" s="798">
        <v>22750</v>
      </c>
      <c r="J334" s="3">
        <f t="shared" si="5"/>
        <v>20020</v>
      </c>
      <c r="K334" s="233" t="s">
        <v>17</v>
      </c>
      <c r="L334" s="233">
        <v>45799</v>
      </c>
      <c r="T334" t="s">
        <v>5131</v>
      </c>
      <c r="U334" s="360">
        <v>0.29166666666666669</v>
      </c>
      <c r="V334" s="360">
        <v>0.4284722222222222</v>
      </c>
    </row>
    <row r="335" spans="1:22" hidden="1" x14ac:dyDescent="0.25">
      <c r="A335" s="483">
        <v>31032025</v>
      </c>
      <c r="B335" t="s">
        <v>1720</v>
      </c>
      <c r="C335" s="28" t="s">
        <v>4218</v>
      </c>
      <c r="D335" s="233">
        <v>45747</v>
      </c>
      <c r="E335" s="28"/>
      <c r="F335" s="28" t="s">
        <v>545</v>
      </c>
      <c r="G335" t="s">
        <v>6033</v>
      </c>
      <c r="H335" s="694" t="s">
        <v>6034</v>
      </c>
      <c r="I335" s="798">
        <v>32250</v>
      </c>
      <c r="J335" s="3">
        <f t="shared" si="5"/>
        <v>28380</v>
      </c>
      <c r="K335" s="359" t="s">
        <v>17</v>
      </c>
      <c r="L335" s="233">
        <v>45820</v>
      </c>
      <c r="T335" t="s">
        <v>5891</v>
      </c>
      <c r="U335" s="360">
        <v>0.52916666666666667</v>
      </c>
      <c r="V335" s="360">
        <v>0.68541666666666667</v>
      </c>
    </row>
    <row r="336" spans="1:22" hidden="1" x14ac:dyDescent="0.25">
      <c r="A336" s="483">
        <v>31032025</v>
      </c>
      <c r="B336" t="s">
        <v>1720</v>
      </c>
      <c r="C336" s="28" t="s">
        <v>410</v>
      </c>
      <c r="D336" s="233">
        <v>45747</v>
      </c>
      <c r="E336" s="28"/>
      <c r="F336" s="28" t="s">
        <v>545</v>
      </c>
      <c r="G336" t="s">
        <v>6035</v>
      </c>
      <c r="H336" s="694" t="s">
        <v>6036</v>
      </c>
      <c r="I336" s="798">
        <v>22750</v>
      </c>
      <c r="J336" s="3">
        <f t="shared" si="5"/>
        <v>20020</v>
      </c>
      <c r="K336" s="359" t="s">
        <v>17</v>
      </c>
      <c r="L336" s="233">
        <v>45820</v>
      </c>
      <c r="T336" t="s">
        <v>4867</v>
      </c>
      <c r="U336" s="360">
        <v>0.60972222222222217</v>
      </c>
      <c r="V336" s="360">
        <v>0.7416666666666667</v>
      </c>
    </row>
    <row r="337" spans="1:22" hidden="1" x14ac:dyDescent="0.25">
      <c r="A337" s="483" t="s">
        <v>5892</v>
      </c>
      <c r="B337" t="s">
        <v>1720</v>
      </c>
      <c r="C337" s="28" t="s">
        <v>4218</v>
      </c>
      <c r="D337" s="233">
        <v>45748</v>
      </c>
      <c r="E337" s="28"/>
      <c r="F337" s="28" t="s">
        <v>545</v>
      </c>
      <c r="G337" t="s">
        <v>6037</v>
      </c>
      <c r="H337" s="994" t="s">
        <v>6038</v>
      </c>
      <c r="I337" s="798">
        <v>32250</v>
      </c>
      <c r="J337" s="3">
        <f t="shared" si="5"/>
        <v>28380</v>
      </c>
      <c r="K337" s="359" t="s">
        <v>17</v>
      </c>
      <c r="L337" s="233">
        <v>45805</v>
      </c>
      <c r="T337" t="s">
        <v>5026</v>
      </c>
      <c r="U337" s="30"/>
      <c r="V337" s="30"/>
    </row>
    <row r="338" spans="1:22" hidden="1" x14ac:dyDescent="0.25">
      <c r="A338" s="483" t="s">
        <v>5896</v>
      </c>
      <c r="B338" t="s">
        <v>1720</v>
      </c>
      <c r="C338" s="28" t="s">
        <v>4218</v>
      </c>
      <c r="D338" s="233">
        <v>45749</v>
      </c>
      <c r="E338" s="28"/>
      <c r="F338" s="28" t="s">
        <v>545</v>
      </c>
      <c r="G338" t="s">
        <v>6041</v>
      </c>
      <c r="H338" s="994" t="s">
        <v>6001</v>
      </c>
      <c r="I338" s="798">
        <v>22750</v>
      </c>
      <c r="J338" s="3">
        <f t="shared" si="5"/>
        <v>20020</v>
      </c>
      <c r="K338" s="359" t="s">
        <v>17</v>
      </c>
      <c r="L338" s="233">
        <v>45805</v>
      </c>
      <c r="T338" t="s">
        <v>4509</v>
      </c>
      <c r="U338" s="360">
        <v>0.66041666666666665</v>
      </c>
      <c r="V338" s="30"/>
    </row>
    <row r="339" spans="1:22" hidden="1" x14ac:dyDescent="0.25">
      <c r="A339" s="483" t="s">
        <v>5897</v>
      </c>
      <c r="B339" t="s">
        <v>1720</v>
      </c>
      <c r="C339" s="28" t="s">
        <v>4218</v>
      </c>
      <c r="D339" s="233">
        <v>45750</v>
      </c>
      <c r="E339" s="28"/>
      <c r="F339" s="28" t="s">
        <v>545</v>
      </c>
      <c r="G339" t="s">
        <v>6040</v>
      </c>
      <c r="H339" s="694" t="s">
        <v>6039</v>
      </c>
      <c r="I339" s="798">
        <v>32250</v>
      </c>
      <c r="J339" s="3">
        <f t="shared" si="5"/>
        <v>28380</v>
      </c>
      <c r="K339" s="359" t="s">
        <v>17</v>
      </c>
      <c r="L339" s="233">
        <v>45820</v>
      </c>
      <c r="T339" t="s">
        <v>5898</v>
      </c>
      <c r="U339" s="360">
        <v>0.40972222222222227</v>
      </c>
      <c r="V339" s="30"/>
    </row>
    <row r="340" spans="1:22" hidden="1" x14ac:dyDescent="0.25">
      <c r="A340" s="483" t="s">
        <v>5972</v>
      </c>
      <c r="B340" t="s">
        <v>1720</v>
      </c>
      <c r="C340" s="28" t="s">
        <v>13</v>
      </c>
      <c r="D340" s="233">
        <v>45758</v>
      </c>
      <c r="E340" s="28"/>
      <c r="F340" s="28" t="s">
        <v>545</v>
      </c>
      <c r="G340" t="s">
        <v>6056</v>
      </c>
      <c r="H340" s="694" t="s">
        <v>6057</v>
      </c>
      <c r="I340" s="798">
        <v>22750</v>
      </c>
      <c r="J340" s="3">
        <f t="shared" si="5"/>
        <v>20020</v>
      </c>
      <c r="K340" s="359" t="s">
        <v>17</v>
      </c>
      <c r="L340" s="233">
        <v>45820</v>
      </c>
      <c r="T340" t="s">
        <v>4867</v>
      </c>
      <c r="U340" s="360">
        <v>0.59375</v>
      </c>
      <c r="V340" s="360">
        <v>0.75</v>
      </c>
    </row>
    <row r="341" spans="1:22" ht="14.1" hidden="1" customHeight="1" x14ac:dyDescent="0.25">
      <c r="A341" s="483" t="s">
        <v>5973</v>
      </c>
      <c r="B341" t="s">
        <v>1720</v>
      </c>
      <c r="C341" s="28" t="s">
        <v>4218</v>
      </c>
      <c r="D341" s="233">
        <v>45759</v>
      </c>
      <c r="E341" s="28"/>
      <c r="F341" s="28" t="s">
        <v>545</v>
      </c>
      <c r="G341" t="s">
        <v>6043</v>
      </c>
      <c r="H341" s="303" t="s">
        <v>6044</v>
      </c>
      <c r="I341" s="798">
        <v>32250</v>
      </c>
      <c r="J341" s="3">
        <f t="shared" si="5"/>
        <v>28380</v>
      </c>
      <c r="K341" s="196" t="s">
        <v>17</v>
      </c>
      <c r="L341" s="233">
        <v>45841</v>
      </c>
      <c r="T341" t="s">
        <v>5020</v>
      </c>
      <c r="U341" s="360">
        <v>0.55763888888888891</v>
      </c>
      <c r="V341" s="360">
        <v>0.6777777777777777</v>
      </c>
    </row>
    <row r="342" spans="1:22" hidden="1" x14ac:dyDescent="0.25">
      <c r="A342" s="483" t="s">
        <v>5974</v>
      </c>
      <c r="B342" t="s">
        <v>1720</v>
      </c>
      <c r="C342" s="28" t="s">
        <v>4218</v>
      </c>
      <c r="D342" s="233">
        <v>45760</v>
      </c>
      <c r="E342" s="28"/>
      <c r="F342" s="28" t="s">
        <v>545</v>
      </c>
      <c r="G342" t="s">
        <v>6046</v>
      </c>
      <c r="H342" s="303" t="s">
        <v>6047</v>
      </c>
      <c r="I342" s="798">
        <v>22750</v>
      </c>
      <c r="J342" s="3">
        <f t="shared" ref="J342:J373" si="6">+I342-ROUND(I342*0.12,0)</f>
        <v>20020</v>
      </c>
      <c r="K342" s="196" t="s">
        <v>17</v>
      </c>
      <c r="L342" s="233">
        <v>45841</v>
      </c>
      <c r="T342" t="s">
        <v>5975</v>
      </c>
      <c r="U342" s="360">
        <v>0.27152777777777776</v>
      </c>
      <c r="V342" s="360">
        <v>0.43194444444444446</v>
      </c>
    </row>
    <row r="343" spans="1:22" hidden="1" x14ac:dyDescent="0.25">
      <c r="A343" s="483" t="s">
        <v>5980</v>
      </c>
      <c r="B343" t="s">
        <v>1720</v>
      </c>
      <c r="C343" s="28" t="s">
        <v>4218</v>
      </c>
      <c r="D343" s="233">
        <v>45761</v>
      </c>
      <c r="E343" s="28"/>
      <c r="F343" s="28" t="s">
        <v>545</v>
      </c>
      <c r="G343" t="s">
        <v>6042</v>
      </c>
      <c r="H343" s="303" t="s">
        <v>6045</v>
      </c>
      <c r="I343" s="798">
        <v>22750</v>
      </c>
      <c r="J343" s="3">
        <f t="shared" si="6"/>
        <v>20020</v>
      </c>
      <c r="K343" s="196" t="s">
        <v>17</v>
      </c>
      <c r="L343" s="233">
        <v>45841</v>
      </c>
      <c r="T343" t="s">
        <v>5981</v>
      </c>
      <c r="U343" s="360">
        <v>0.7284722222222223</v>
      </c>
      <c r="V343" s="360">
        <v>0.84722222222222221</v>
      </c>
    </row>
    <row r="344" spans="1:22" hidden="1" x14ac:dyDescent="0.25">
      <c r="A344" s="483" t="s">
        <v>5988</v>
      </c>
      <c r="B344" t="s">
        <v>1720</v>
      </c>
      <c r="C344" s="28" t="s">
        <v>4218</v>
      </c>
      <c r="D344" s="233">
        <v>45762</v>
      </c>
      <c r="E344" s="28"/>
      <c r="F344" s="28" t="s">
        <v>6050</v>
      </c>
      <c r="G344" t="s">
        <v>6086</v>
      </c>
      <c r="H344" s="778" t="s">
        <v>6606</v>
      </c>
      <c r="I344" s="1048">
        <v>35768</v>
      </c>
      <c r="J344" s="3">
        <f t="shared" si="6"/>
        <v>31476</v>
      </c>
      <c r="K344" s="122" t="s">
        <v>17</v>
      </c>
      <c r="L344" s="233">
        <v>45856</v>
      </c>
      <c r="T344" t="s">
        <v>2050</v>
      </c>
      <c r="U344" s="360">
        <v>0.41250000000000003</v>
      </c>
      <c r="V344" s="30"/>
    </row>
    <row r="345" spans="1:22" hidden="1" x14ac:dyDescent="0.25">
      <c r="A345" s="483" t="s">
        <v>6060</v>
      </c>
      <c r="B345" t="s">
        <v>1720</v>
      </c>
      <c r="C345" s="28" t="s">
        <v>4437</v>
      </c>
      <c r="D345" s="233">
        <v>45763</v>
      </c>
      <c r="E345" s="28"/>
      <c r="F345" s="28" t="s">
        <v>545</v>
      </c>
      <c r="G345" t="s">
        <v>6079</v>
      </c>
      <c r="H345" s="303" t="s">
        <v>6081</v>
      </c>
      <c r="I345" s="798">
        <v>32250</v>
      </c>
      <c r="J345" s="3">
        <f t="shared" si="6"/>
        <v>28380</v>
      </c>
      <c r="K345" s="196" t="s">
        <v>17</v>
      </c>
      <c r="L345" s="233">
        <v>45841</v>
      </c>
      <c r="T345" t="s">
        <v>5026</v>
      </c>
      <c r="U345" s="360">
        <v>0.5854166666666667</v>
      </c>
      <c r="V345" s="360">
        <v>0.74930555555555556</v>
      </c>
    </row>
    <row r="346" spans="1:22" hidden="1" x14ac:dyDescent="0.25">
      <c r="A346" s="483">
        <v>18042025</v>
      </c>
      <c r="B346" t="s">
        <v>1720</v>
      </c>
      <c r="C346" s="28" t="s">
        <v>4437</v>
      </c>
      <c r="D346" s="233">
        <v>45765</v>
      </c>
      <c r="E346" s="28"/>
      <c r="F346" s="28" t="s">
        <v>545</v>
      </c>
      <c r="G346" t="s">
        <v>6080</v>
      </c>
      <c r="H346" s="30" t="s">
        <v>6083</v>
      </c>
      <c r="I346" s="798">
        <v>22750</v>
      </c>
      <c r="J346" s="3">
        <f t="shared" si="6"/>
        <v>20020</v>
      </c>
      <c r="K346" s="122" t="s">
        <v>17</v>
      </c>
      <c r="L346" s="233">
        <v>45842</v>
      </c>
      <c r="T346" t="s">
        <v>5131</v>
      </c>
      <c r="U346" s="360">
        <v>0.56874999999999998</v>
      </c>
      <c r="V346" s="360">
        <v>0.74791666666666667</v>
      </c>
    </row>
    <row r="347" spans="1:22" hidden="1" x14ac:dyDescent="0.25">
      <c r="A347" s="483">
        <v>20042025</v>
      </c>
      <c r="B347" t="s">
        <v>6066</v>
      </c>
      <c r="C347" s="28" t="s">
        <v>13</v>
      </c>
      <c r="D347" s="233">
        <v>45767</v>
      </c>
      <c r="E347" s="28"/>
      <c r="F347" s="28" t="s">
        <v>545</v>
      </c>
      <c r="G347" t="s">
        <v>6084</v>
      </c>
      <c r="H347" s="303" t="s">
        <v>6082</v>
      </c>
      <c r="I347" s="798">
        <v>32250</v>
      </c>
      <c r="J347" s="3">
        <f t="shared" si="6"/>
        <v>28380</v>
      </c>
      <c r="K347" s="196" t="s">
        <v>17</v>
      </c>
      <c r="L347" s="233">
        <v>45841</v>
      </c>
      <c r="T347" t="s">
        <v>6067</v>
      </c>
      <c r="U347" s="360">
        <v>0.74652777777777779</v>
      </c>
      <c r="V347" s="360">
        <v>0.93125000000000002</v>
      </c>
    </row>
    <row r="348" spans="1:22" hidden="1" x14ac:dyDescent="0.25">
      <c r="A348" s="483">
        <v>23042025</v>
      </c>
      <c r="B348" t="s">
        <v>1720</v>
      </c>
      <c r="C348" s="28" t="s">
        <v>4218</v>
      </c>
      <c r="D348" s="233">
        <v>45770</v>
      </c>
      <c r="E348" s="28"/>
      <c r="F348" s="28" t="s">
        <v>545</v>
      </c>
      <c r="G348" t="s">
        <v>6085</v>
      </c>
      <c r="H348" s="30" t="s">
        <v>6970</v>
      </c>
      <c r="I348" s="798">
        <v>22750</v>
      </c>
      <c r="J348" s="3">
        <f t="shared" si="6"/>
        <v>20020</v>
      </c>
      <c r="K348" s="30" t="s">
        <v>17</v>
      </c>
      <c r="L348" s="233">
        <v>45944</v>
      </c>
      <c r="T348" t="s">
        <v>2050</v>
      </c>
      <c r="U348" s="360">
        <v>0.70208333333333328</v>
      </c>
      <c r="V348" s="360">
        <v>0.86319444444444449</v>
      </c>
    </row>
    <row r="349" spans="1:22" hidden="1" x14ac:dyDescent="0.25">
      <c r="A349" s="483">
        <v>25042025</v>
      </c>
      <c r="B349" t="s">
        <v>1720</v>
      </c>
      <c r="C349" s="28" t="s">
        <v>4437</v>
      </c>
      <c r="D349" s="233">
        <v>45772</v>
      </c>
      <c r="E349" s="28"/>
      <c r="F349" s="28" t="s">
        <v>545</v>
      </c>
      <c r="G349" t="s">
        <v>6096</v>
      </c>
      <c r="H349" s="303" t="s">
        <v>6097</v>
      </c>
      <c r="I349" s="798">
        <v>22750</v>
      </c>
      <c r="J349" s="3">
        <f t="shared" si="6"/>
        <v>20020</v>
      </c>
      <c r="K349" s="196" t="s">
        <v>17</v>
      </c>
      <c r="L349" s="233">
        <v>45841</v>
      </c>
      <c r="T349" t="s">
        <v>5078</v>
      </c>
      <c r="U349" s="360">
        <v>0.68055555555555547</v>
      </c>
      <c r="V349" s="360">
        <v>0.79722222222222217</v>
      </c>
    </row>
    <row r="350" spans="1:22" hidden="1" x14ac:dyDescent="0.25">
      <c r="A350" s="483">
        <v>29042024</v>
      </c>
      <c r="B350" t="s">
        <v>1720</v>
      </c>
      <c r="C350" s="28" t="s">
        <v>660</v>
      </c>
      <c r="D350" s="233">
        <v>45776</v>
      </c>
      <c r="E350" s="28"/>
      <c r="F350" s="28" t="s">
        <v>545</v>
      </c>
      <c r="G350" t="s">
        <v>6128</v>
      </c>
      <c r="H350" s="30" t="s">
        <v>6971</v>
      </c>
      <c r="I350" s="798">
        <v>22750</v>
      </c>
      <c r="J350" s="3">
        <f t="shared" si="6"/>
        <v>20020</v>
      </c>
      <c r="K350" t="s">
        <v>17</v>
      </c>
      <c r="L350" s="233">
        <v>45951</v>
      </c>
      <c r="T350" t="s">
        <v>4853</v>
      </c>
      <c r="U350" s="360">
        <v>0.72291666666666676</v>
      </c>
      <c r="V350" s="360">
        <v>0.84583333333333333</v>
      </c>
    </row>
    <row r="351" spans="1:22" hidden="1" x14ac:dyDescent="0.25">
      <c r="A351" s="483" t="s">
        <v>6106</v>
      </c>
      <c r="B351" t="s">
        <v>1720</v>
      </c>
      <c r="C351" s="28" t="s">
        <v>4437</v>
      </c>
      <c r="D351" s="233">
        <v>45780</v>
      </c>
      <c r="E351" s="28"/>
      <c r="F351" s="28" t="s">
        <v>545</v>
      </c>
      <c r="G351" t="s">
        <v>6129</v>
      </c>
      <c r="H351" s="30" t="s">
        <v>6972</v>
      </c>
      <c r="I351" s="798">
        <v>32250</v>
      </c>
      <c r="J351" s="3">
        <f t="shared" si="6"/>
        <v>28380</v>
      </c>
      <c r="K351" t="s">
        <v>17</v>
      </c>
      <c r="L351" s="233">
        <v>45951</v>
      </c>
      <c r="T351" t="s">
        <v>6067</v>
      </c>
      <c r="U351" s="360">
        <v>0.78680555555555554</v>
      </c>
      <c r="V351" s="360">
        <v>0.96527777777777779</v>
      </c>
    </row>
    <row r="352" spans="1:22" hidden="1" x14ac:dyDescent="0.25">
      <c r="A352" s="483" t="s">
        <v>6156</v>
      </c>
      <c r="B352" t="s">
        <v>1720</v>
      </c>
      <c r="C352" s="28" t="s">
        <v>3294</v>
      </c>
      <c r="D352" s="233">
        <v>45787</v>
      </c>
      <c r="E352" s="28"/>
      <c r="F352" s="28" t="s">
        <v>545</v>
      </c>
      <c r="G352" t="s">
        <v>6176</v>
      </c>
      <c r="H352" s="30" t="s">
        <v>6973</v>
      </c>
      <c r="I352" s="798">
        <v>22750</v>
      </c>
      <c r="J352" s="3">
        <f t="shared" si="6"/>
        <v>20020</v>
      </c>
      <c r="K352" s="30" t="s">
        <v>17</v>
      </c>
      <c r="L352" s="233">
        <v>45944</v>
      </c>
      <c r="T352" t="s">
        <v>6153</v>
      </c>
      <c r="U352" s="360">
        <v>0.67708333333333337</v>
      </c>
      <c r="V352" s="360">
        <v>0.73611111111111116</v>
      </c>
    </row>
    <row r="353" spans="1:22" hidden="1" x14ac:dyDescent="0.25">
      <c r="A353" s="483" t="s">
        <v>6157</v>
      </c>
      <c r="B353" t="s">
        <v>1720</v>
      </c>
      <c r="C353" s="28" t="s">
        <v>3294</v>
      </c>
      <c r="D353" s="233">
        <v>45788</v>
      </c>
      <c r="E353" s="28"/>
      <c r="F353" s="28" t="s">
        <v>545</v>
      </c>
      <c r="G353" t="s">
        <v>6175</v>
      </c>
      <c r="H353" s="30" t="s">
        <v>6974</v>
      </c>
      <c r="I353" s="798">
        <v>22750</v>
      </c>
      <c r="J353" s="3">
        <f t="shared" si="6"/>
        <v>20020</v>
      </c>
      <c r="K353" t="s">
        <v>17</v>
      </c>
      <c r="L353" s="233">
        <v>45951</v>
      </c>
      <c r="T353" t="s">
        <v>6155</v>
      </c>
      <c r="U353" s="360">
        <v>0.64166666666666672</v>
      </c>
      <c r="V353" s="360">
        <v>0.6972222222222223</v>
      </c>
    </row>
    <row r="354" spans="1:22" hidden="1" x14ac:dyDescent="0.25">
      <c r="A354" s="483" t="s">
        <v>6158</v>
      </c>
      <c r="B354" t="s">
        <v>1720</v>
      </c>
      <c r="C354" s="28" t="s">
        <v>3294</v>
      </c>
      <c r="D354" s="233">
        <v>45789</v>
      </c>
      <c r="E354" s="28"/>
      <c r="F354" s="28" t="s">
        <v>545</v>
      </c>
      <c r="G354" s="30" t="s">
        <v>6174</v>
      </c>
      <c r="H354" s="30" t="s">
        <v>6975</v>
      </c>
      <c r="I354" s="798">
        <v>25016</v>
      </c>
      <c r="J354" s="3">
        <f t="shared" si="6"/>
        <v>22014</v>
      </c>
      <c r="K354" s="30" t="s">
        <v>17</v>
      </c>
      <c r="L354" s="233">
        <v>45944</v>
      </c>
      <c r="T354" t="s">
        <v>6155</v>
      </c>
      <c r="U354" s="360">
        <v>0.6694444444444444</v>
      </c>
      <c r="V354" s="30">
        <v>17.260000000000002</v>
      </c>
    </row>
    <row r="355" spans="1:22" hidden="1" x14ac:dyDescent="0.25">
      <c r="A355" s="483" t="s">
        <v>6215</v>
      </c>
      <c r="B355" t="s">
        <v>1720</v>
      </c>
      <c r="C355" s="28" t="s">
        <v>660</v>
      </c>
      <c r="D355" s="233">
        <v>45792</v>
      </c>
      <c r="E355" s="28"/>
      <c r="F355" s="28" t="s">
        <v>545</v>
      </c>
      <c r="G355" t="s">
        <v>6262</v>
      </c>
      <c r="H355" s="30" t="s">
        <v>6976</v>
      </c>
      <c r="I355" s="798">
        <v>25016</v>
      </c>
      <c r="J355" s="3">
        <f t="shared" si="6"/>
        <v>22014</v>
      </c>
      <c r="K355" s="30" t="s">
        <v>17</v>
      </c>
      <c r="L355" s="233">
        <v>45944</v>
      </c>
      <c r="T355" t="s">
        <v>4297</v>
      </c>
      <c r="U355" s="360"/>
      <c r="V355" s="30"/>
    </row>
    <row r="356" spans="1:22" hidden="1" x14ac:dyDescent="0.25">
      <c r="A356" s="483" t="s">
        <v>6229</v>
      </c>
      <c r="B356" t="s">
        <v>1720</v>
      </c>
      <c r="C356" s="28"/>
      <c r="D356" s="233">
        <v>45792</v>
      </c>
      <c r="E356" s="28"/>
      <c r="F356" s="28" t="s">
        <v>545</v>
      </c>
      <c r="G356" t="s">
        <v>6263</v>
      </c>
      <c r="H356" s="1160" t="s">
        <v>7260</v>
      </c>
      <c r="I356" s="798">
        <v>34456</v>
      </c>
      <c r="J356" s="3">
        <f t="shared" si="6"/>
        <v>30321</v>
      </c>
      <c r="K356" t="s">
        <v>17</v>
      </c>
      <c r="L356" s="233">
        <v>45973</v>
      </c>
      <c r="U356" s="30"/>
      <c r="V356" s="30"/>
    </row>
    <row r="357" spans="1:22" hidden="1" x14ac:dyDescent="0.25">
      <c r="A357" s="483" t="s">
        <v>6237</v>
      </c>
      <c r="B357" t="s">
        <v>1720</v>
      </c>
      <c r="C357" s="28" t="s">
        <v>660</v>
      </c>
      <c r="D357" s="233">
        <v>45795</v>
      </c>
      <c r="E357" s="28"/>
      <c r="F357" s="28" t="s">
        <v>545</v>
      </c>
      <c r="G357" t="s">
        <v>6260</v>
      </c>
      <c r="H357" s="994" t="s">
        <v>6261</v>
      </c>
      <c r="I357" s="798">
        <v>34456</v>
      </c>
      <c r="J357" s="3">
        <f t="shared" si="6"/>
        <v>30321</v>
      </c>
      <c r="K357" t="s">
        <v>17</v>
      </c>
      <c r="L357" s="233">
        <v>45855</v>
      </c>
      <c r="T357" t="s">
        <v>5026</v>
      </c>
      <c r="U357" s="360">
        <v>0.30694444444444441</v>
      </c>
      <c r="V357" s="360">
        <v>0.47291666666666665</v>
      </c>
    </row>
    <row r="358" spans="1:22" hidden="1" x14ac:dyDescent="0.25">
      <c r="A358" s="483" t="s">
        <v>6237</v>
      </c>
      <c r="B358" t="s">
        <v>1720</v>
      </c>
      <c r="C358" s="28" t="s">
        <v>4437</v>
      </c>
      <c r="D358" s="233">
        <v>45795</v>
      </c>
      <c r="E358" s="28"/>
      <c r="F358" s="28" t="s">
        <v>545</v>
      </c>
      <c r="G358" t="s">
        <v>6258</v>
      </c>
      <c r="H358" s="994" t="s">
        <v>6259</v>
      </c>
      <c r="I358" s="798">
        <v>25016</v>
      </c>
      <c r="J358" s="3">
        <f t="shared" si="6"/>
        <v>22014</v>
      </c>
      <c r="K358" t="s">
        <v>17</v>
      </c>
      <c r="L358" s="233">
        <v>45855</v>
      </c>
      <c r="T358" t="s">
        <v>5026</v>
      </c>
      <c r="U358" s="360">
        <v>0.5229166666666667</v>
      </c>
      <c r="V358" s="360">
        <v>0.65625</v>
      </c>
    </row>
    <row r="359" spans="1:22" hidden="1" x14ac:dyDescent="0.25">
      <c r="A359" s="483">
        <v>28052025</v>
      </c>
      <c r="B359" t="s">
        <v>1720</v>
      </c>
      <c r="C359" s="28" t="s">
        <v>278</v>
      </c>
      <c r="D359" s="233">
        <v>45805</v>
      </c>
      <c r="E359" s="28"/>
      <c r="F359" s="28" t="s">
        <v>545</v>
      </c>
      <c r="G359" t="s">
        <v>6411</v>
      </c>
      <c r="H359" s="994" t="s">
        <v>6412</v>
      </c>
      <c r="I359" s="798">
        <v>25016</v>
      </c>
      <c r="J359" s="3">
        <f t="shared" si="6"/>
        <v>22014</v>
      </c>
      <c r="K359" t="s">
        <v>17</v>
      </c>
      <c r="L359" s="233">
        <v>45855</v>
      </c>
      <c r="T359" t="s">
        <v>4297</v>
      </c>
      <c r="U359" s="360"/>
      <c r="V359" s="360"/>
    </row>
    <row r="360" spans="1:22" hidden="1" x14ac:dyDescent="0.25">
      <c r="A360" s="483">
        <v>28052025</v>
      </c>
      <c r="B360" t="s">
        <v>1720</v>
      </c>
      <c r="C360" s="28" t="s">
        <v>660</v>
      </c>
      <c r="D360" s="233">
        <v>45805</v>
      </c>
      <c r="E360" s="28"/>
      <c r="F360" s="28" t="s">
        <v>545</v>
      </c>
      <c r="G360" t="s">
        <v>6413</v>
      </c>
      <c r="H360" s="994" t="s">
        <v>6414</v>
      </c>
      <c r="I360" s="798">
        <v>34456</v>
      </c>
      <c r="J360" s="3">
        <f t="shared" si="6"/>
        <v>30321</v>
      </c>
      <c r="K360" t="s">
        <v>17</v>
      </c>
      <c r="L360" s="233">
        <v>45855</v>
      </c>
      <c r="T360" t="s">
        <v>4911</v>
      </c>
      <c r="U360" s="360">
        <v>0.65972222222222221</v>
      </c>
      <c r="V360" s="360">
        <v>0.83472222222222225</v>
      </c>
    </row>
    <row r="361" spans="1:22" hidden="1" x14ac:dyDescent="0.25">
      <c r="A361" s="483">
        <v>30052025</v>
      </c>
      <c r="B361" t="s">
        <v>1720</v>
      </c>
      <c r="C361" s="28" t="s">
        <v>278</v>
      </c>
      <c r="D361" s="233">
        <v>45807</v>
      </c>
      <c r="E361" s="28"/>
      <c r="F361" s="28" t="s">
        <v>674</v>
      </c>
      <c r="G361" t="s">
        <v>6415</v>
      </c>
      <c r="H361" s="778" t="s">
        <v>6416</v>
      </c>
      <c r="I361" s="1048">
        <v>34456</v>
      </c>
      <c r="J361" s="3">
        <f t="shared" si="6"/>
        <v>30321</v>
      </c>
      <c r="K361" s="122" t="s">
        <v>17</v>
      </c>
      <c r="L361" s="233">
        <v>45856</v>
      </c>
      <c r="T361" t="s">
        <v>4297</v>
      </c>
      <c r="U361" s="360"/>
      <c r="V361" s="360"/>
    </row>
    <row r="362" spans="1:22" hidden="1" x14ac:dyDescent="0.25">
      <c r="A362" s="483">
        <v>30052025</v>
      </c>
      <c r="B362" t="s">
        <v>1720</v>
      </c>
      <c r="C362" s="28" t="s">
        <v>278</v>
      </c>
      <c r="D362" s="233">
        <v>45807</v>
      </c>
      <c r="E362" s="28"/>
      <c r="F362" s="28" t="s">
        <v>545</v>
      </c>
      <c r="G362" t="s">
        <v>6684</v>
      </c>
      <c r="H362" s="30" t="s">
        <v>6591</v>
      </c>
      <c r="I362" s="798">
        <v>34456</v>
      </c>
      <c r="J362" s="3">
        <f t="shared" si="6"/>
        <v>30321</v>
      </c>
      <c r="K362" s="122" t="s">
        <v>17</v>
      </c>
      <c r="L362" s="233">
        <v>45863</v>
      </c>
      <c r="T362" t="s">
        <v>4297</v>
      </c>
      <c r="U362" s="360"/>
      <c r="V362" s="360"/>
    </row>
    <row r="363" spans="1:22" hidden="1" x14ac:dyDescent="0.25">
      <c r="A363" s="483">
        <v>31052025</v>
      </c>
      <c r="B363" t="s">
        <v>1720</v>
      </c>
      <c r="C363" s="28" t="s">
        <v>660</v>
      </c>
      <c r="D363" s="233">
        <v>45808</v>
      </c>
      <c r="E363" s="28"/>
      <c r="F363" s="28" t="s">
        <v>545</v>
      </c>
      <c r="G363" t="s">
        <v>6429</v>
      </c>
      <c r="H363" s="778" t="s">
        <v>6421</v>
      </c>
      <c r="I363" s="1048">
        <v>34456</v>
      </c>
      <c r="J363" s="3">
        <f t="shared" si="6"/>
        <v>30321</v>
      </c>
      <c r="K363" s="122" t="s">
        <v>17</v>
      </c>
      <c r="L363" s="233">
        <v>45856</v>
      </c>
      <c r="T363" t="s">
        <v>5021</v>
      </c>
      <c r="U363" s="360">
        <v>0.64097222222222217</v>
      </c>
      <c r="V363" s="360">
        <v>0.80902777777777779</v>
      </c>
    </row>
    <row r="364" spans="1:22" hidden="1" x14ac:dyDescent="0.25">
      <c r="A364" s="483" t="s">
        <v>6308</v>
      </c>
      <c r="B364" t="s">
        <v>1720</v>
      </c>
      <c r="C364" s="28" t="s">
        <v>4437</v>
      </c>
      <c r="D364" s="233">
        <v>45810</v>
      </c>
      <c r="E364" s="28"/>
      <c r="F364" s="28" t="s">
        <v>545</v>
      </c>
      <c r="G364" t="s">
        <v>6427</v>
      </c>
      <c r="H364" s="778" t="s">
        <v>6428</v>
      </c>
      <c r="I364" s="1048">
        <v>25016</v>
      </c>
      <c r="J364" s="3">
        <f t="shared" si="6"/>
        <v>22014</v>
      </c>
      <c r="K364" s="122" t="s">
        <v>17</v>
      </c>
      <c r="L364" s="233">
        <v>45856</v>
      </c>
      <c r="T364" t="s">
        <v>5393</v>
      </c>
      <c r="U364" s="360">
        <v>0.71388888888888891</v>
      </c>
      <c r="V364" s="30"/>
    </row>
    <row r="365" spans="1:22" hidden="1" x14ac:dyDescent="0.25">
      <c r="A365" s="483" t="s">
        <v>6308</v>
      </c>
      <c r="B365" t="s">
        <v>1720</v>
      </c>
      <c r="C365" s="28" t="s">
        <v>660</v>
      </c>
      <c r="D365" s="233">
        <v>45810</v>
      </c>
      <c r="E365" s="28"/>
      <c r="F365" s="28" t="s">
        <v>545</v>
      </c>
      <c r="G365" t="s">
        <v>6425</v>
      </c>
      <c r="H365" s="993" t="s">
        <v>6426</v>
      </c>
      <c r="I365" s="798">
        <v>34456</v>
      </c>
      <c r="J365" s="3">
        <f t="shared" si="6"/>
        <v>30321</v>
      </c>
      <c r="K365" t="s">
        <v>17</v>
      </c>
      <c r="L365" s="233">
        <v>45855</v>
      </c>
      <c r="T365" t="s">
        <v>6294</v>
      </c>
      <c r="U365" s="30"/>
      <c r="V365" s="30"/>
    </row>
    <row r="366" spans="1:22" hidden="1" x14ac:dyDescent="0.25">
      <c r="A366" s="483" t="s">
        <v>6355</v>
      </c>
      <c r="B366" t="s">
        <v>1720</v>
      </c>
      <c r="C366" s="28" t="s">
        <v>4437</v>
      </c>
      <c r="D366" s="233">
        <v>45816</v>
      </c>
      <c r="E366" s="28"/>
      <c r="F366" s="28" t="s">
        <v>545</v>
      </c>
      <c r="G366" t="s">
        <v>6422</v>
      </c>
      <c r="H366" s="993" t="s">
        <v>6423</v>
      </c>
      <c r="I366" s="798">
        <v>34456</v>
      </c>
      <c r="J366" s="3">
        <f t="shared" si="6"/>
        <v>30321</v>
      </c>
      <c r="K366" t="s">
        <v>17</v>
      </c>
      <c r="L366" s="233">
        <v>45855</v>
      </c>
      <c r="T366" t="s">
        <v>6356</v>
      </c>
      <c r="U366" s="360">
        <v>0.54652777777777783</v>
      </c>
      <c r="V366" s="360">
        <v>0.71319444444444446</v>
      </c>
    </row>
    <row r="367" spans="1:22" hidden="1" x14ac:dyDescent="0.25">
      <c r="A367" s="483" t="s">
        <v>6371</v>
      </c>
      <c r="B367" t="s">
        <v>1720</v>
      </c>
      <c r="C367" s="28" t="s">
        <v>278</v>
      </c>
      <c r="D367" s="233">
        <v>45818</v>
      </c>
      <c r="E367" s="28"/>
      <c r="F367" s="28" t="s">
        <v>545</v>
      </c>
      <c r="G367" t="s">
        <v>6435</v>
      </c>
      <c r="H367" t="s">
        <v>6424</v>
      </c>
      <c r="I367" s="798">
        <v>34456</v>
      </c>
      <c r="J367" s="3">
        <f t="shared" si="6"/>
        <v>30321</v>
      </c>
      <c r="K367" t="s">
        <v>17</v>
      </c>
      <c r="L367" s="233">
        <v>45876</v>
      </c>
      <c r="T367" t="s">
        <v>5393</v>
      </c>
      <c r="U367" s="30"/>
      <c r="V367" s="30"/>
    </row>
    <row r="368" spans="1:22" hidden="1" x14ac:dyDescent="0.25">
      <c r="A368" s="483" t="s">
        <v>6372</v>
      </c>
      <c r="B368" t="s">
        <v>1720</v>
      </c>
      <c r="C368" s="28" t="s">
        <v>660</v>
      </c>
      <c r="D368" s="233">
        <v>45819</v>
      </c>
      <c r="E368" s="28"/>
      <c r="F368" s="28" t="s">
        <v>545</v>
      </c>
      <c r="G368" t="s">
        <v>6436</v>
      </c>
      <c r="H368" s="994" t="s">
        <v>6496</v>
      </c>
      <c r="I368" s="798">
        <v>34456</v>
      </c>
      <c r="J368" s="3">
        <f t="shared" si="6"/>
        <v>30321</v>
      </c>
      <c r="K368" t="s">
        <v>17</v>
      </c>
      <c r="L368" s="233">
        <v>45855</v>
      </c>
      <c r="T368" t="s">
        <v>6349</v>
      </c>
      <c r="U368" s="360">
        <v>0.75416666666666676</v>
      </c>
      <c r="V368" s="360">
        <v>0.92152777777777783</v>
      </c>
    </row>
    <row r="369" spans="1:22" hidden="1" x14ac:dyDescent="0.25">
      <c r="A369" s="483" t="s">
        <v>6373</v>
      </c>
      <c r="B369" t="s">
        <v>1720</v>
      </c>
      <c r="C369" s="1243" t="s">
        <v>4437</v>
      </c>
      <c r="D369" s="233">
        <v>45820</v>
      </c>
      <c r="E369" s="28"/>
      <c r="F369" s="28" t="s">
        <v>545</v>
      </c>
      <c r="G369" t="s">
        <v>7588</v>
      </c>
      <c r="H369" s="30" t="s">
        <v>7589</v>
      </c>
      <c r="I369" s="798">
        <v>34456</v>
      </c>
      <c r="J369" s="3">
        <f t="shared" si="6"/>
        <v>30321</v>
      </c>
      <c r="K369" t="s">
        <v>17</v>
      </c>
      <c r="L369" s="233">
        <v>46044</v>
      </c>
      <c r="T369" t="s">
        <v>1506</v>
      </c>
      <c r="U369" s="360">
        <v>0.7270833333333333</v>
      </c>
      <c r="V369" s="30"/>
    </row>
    <row r="370" spans="1:22" hidden="1" x14ac:dyDescent="0.25">
      <c r="A370" s="483" t="s">
        <v>6417</v>
      </c>
      <c r="B370" t="s">
        <v>1720</v>
      </c>
      <c r="C370" s="28" t="s">
        <v>278</v>
      </c>
      <c r="D370" s="233">
        <v>45822</v>
      </c>
      <c r="E370" s="28"/>
      <c r="F370" s="28" t="s">
        <v>545</v>
      </c>
      <c r="G370" t="s">
        <v>6437</v>
      </c>
      <c r="H370" s="30" t="s">
        <v>6977</v>
      </c>
      <c r="I370" s="798">
        <v>25016</v>
      </c>
      <c r="J370" s="3">
        <f t="shared" si="6"/>
        <v>22014</v>
      </c>
      <c r="K370" t="s">
        <v>17</v>
      </c>
      <c r="L370" s="233">
        <v>45954</v>
      </c>
      <c r="T370" t="s">
        <v>6145</v>
      </c>
      <c r="U370" s="360">
        <v>0.85833333333333339</v>
      </c>
      <c r="V370" s="360">
        <v>0.99444444444444446</v>
      </c>
    </row>
    <row r="371" spans="1:22" hidden="1" x14ac:dyDescent="0.25">
      <c r="A371" s="483">
        <v>20062025</v>
      </c>
      <c r="B371" t="s">
        <v>1720</v>
      </c>
      <c r="C371" s="28" t="s">
        <v>660</v>
      </c>
      <c r="D371" s="233">
        <v>45828</v>
      </c>
      <c r="E371" s="28"/>
      <c r="F371" s="233" t="s">
        <v>545</v>
      </c>
      <c r="G371" t="s">
        <v>6494</v>
      </c>
      <c r="H371" t="s">
        <v>6493</v>
      </c>
      <c r="I371" s="798">
        <v>25016</v>
      </c>
      <c r="J371" s="3">
        <f t="shared" si="6"/>
        <v>22014</v>
      </c>
      <c r="K371" s="30" t="s">
        <v>17</v>
      </c>
      <c r="L371" s="233">
        <v>45918</v>
      </c>
      <c r="T371" t="s">
        <v>5131</v>
      </c>
      <c r="U371" s="360">
        <v>0.65833333333333333</v>
      </c>
      <c r="V371" s="360">
        <v>0.76944444444444438</v>
      </c>
    </row>
    <row r="372" spans="1:22" hidden="1" x14ac:dyDescent="0.25">
      <c r="A372" s="483">
        <v>28062025</v>
      </c>
      <c r="B372" t="s">
        <v>1720</v>
      </c>
      <c r="C372" s="28" t="s">
        <v>4437</v>
      </c>
      <c r="D372" s="233">
        <v>45836</v>
      </c>
      <c r="E372" s="28"/>
      <c r="F372" s="28" t="s">
        <v>545</v>
      </c>
      <c r="G372" t="s">
        <v>6531</v>
      </c>
      <c r="H372" s="30" t="s">
        <v>6532</v>
      </c>
      <c r="I372" s="798">
        <v>25016</v>
      </c>
      <c r="J372" s="3">
        <f t="shared" si="6"/>
        <v>22014</v>
      </c>
      <c r="K372" s="30" t="s">
        <v>17</v>
      </c>
      <c r="L372" s="233">
        <v>45918</v>
      </c>
      <c r="T372" t="s">
        <v>4140</v>
      </c>
      <c r="U372" s="360">
        <v>0.29930555555555555</v>
      </c>
      <c r="V372" s="360">
        <v>0.92083333333333339</v>
      </c>
    </row>
    <row r="373" spans="1:22" hidden="1" x14ac:dyDescent="0.25">
      <c r="A373" s="483" t="s">
        <v>6527</v>
      </c>
      <c r="B373" t="s">
        <v>1720</v>
      </c>
      <c r="C373" s="28"/>
      <c r="D373" s="233">
        <v>45842</v>
      </c>
      <c r="E373" s="28"/>
      <c r="F373" s="28" t="s">
        <v>545</v>
      </c>
      <c r="G373" t="s">
        <v>6529</v>
      </c>
      <c r="H373" s="30" t="s">
        <v>6530</v>
      </c>
      <c r="I373" s="798">
        <v>34456</v>
      </c>
      <c r="J373" s="3">
        <f t="shared" si="6"/>
        <v>30321</v>
      </c>
      <c r="K373" s="30" t="s">
        <v>17</v>
      </c>
      <c r="L373" s="233">
        <v>45918</v>
      </c>
      <c r="U373" s="360">
        <v>0.75069444444444444</v>
      </c>
      <c r="V373" s="360">
        <v>0.84513888888888888</v>
      </c>
    </row>
    <row r="374" spans="1:22" hidden="1" x14ac:dyDescent="0.25">
      <c r="A374" s="483" t="s">
        <v>6528</v>
      </c>
      <c r="B374" t="s">
        <v>1720</v>
      </c>
      <c r="C374" s="28"/>
      <c r="D374" s="233">
        <v>45843</v>
      </c>
      <c r="E374" s="28"/>
      <c r="F374" s="28" t="s">
        <v>545</v>
      </c>
      <c r="G374" t="s">
        <v>6592</v>
      </c>
      <c r="H374" s="30" t="s">
        <v>6593</v>
      </c>
      <c r="I374" s="798">
        <v>25016</v>
      </c>
      <c r="J374" s="3">
        <f t="shared" ref="J374:J405" si="7">+I374-ROUND(I374*0.12,0)</f>
        <v>22014</v>
      </c>
      <c r="K374" s="30" t="s">
        <v>17</v>
      </c>
      <c r="L374" s="233">
        <v>45918</v>
      </c>
      <c r="U374" s="30"/>
      <c r="V374" s="30"/>
    </row>
    <row r="375" spans="1:22" hidden="1" x14ac:dyDescent="0.25">
      <c r="A375" s="483" t="s">
        <v>6542</v>
      </c>
      <c r="B375" t="s">
        <v>1720</v>
      </c>
      <c r="C375" s="28"/>
      <c r="D375" s="233">
        <v>45846</v>
      </c>
      <c r="E375" s="28"/>
      <c r="F375" s="28" t="s">
        <v>545</v>
      </c>
      <c r="G375" t="s">
        <v>6589</v>
      </c>
      <c r="H375" s="30" t="s">
        <v>6590</v>
      </c>
      <c r="I375" s="798">
        <v>25016</v>
      </c>
      <c r="J375" s="3">
        <f t="shared" si="7"/>
        <v>22014</v>
      </c>
      <c r="K375" s="30" t="s">
        <v>17</v>
      </c>
      <c r="L375" s="233">
        <v>45918</v>
      </c>
      <c r="T375" t="s">
        <v>4345</v>
      </c>
      <c r="U375" s="360">
        <v>0.84305555555555556</v>
      </c>
      <c r="V375" s="360">
        <v>0.96805555555555556</v>
      </c>
    </row>
    <row r="376" spans="1:22" hidden="1" x14ac:dyDescent="0.25">
      <c r="A376" s="483" t="s">
        <v>6595</v>
      </c>
      <c r="B376" t="s">
        <v>1720</v>
      </c>
      <c r="C376" s="28" t="s">
        <v>4437</v>
      </c>
      <c r="D376" s="233">
        <v>45854</v>
      </c>
      <c r="E376" s="28"/>
      <c r="F376" s="28" t="s">
        <v>545</v>
      </c>
      <c r="G376" t="s">
        <v>6636</v>
      </c>
      <c r="H376" s="30" t="s">
        <v>6637</v>
      </c>
      <c r="I376" s="798">
        <v>25016</v>
      </c>
      <c r="J376" s="3">
        <f t="shared" si="7"/>
        <v>22014</v>
      </c>
      <c r="K376" s="30" t="s">
        <v>17</v>
      </c>
      <c r="L376" s="233">
        <v>45918</v>
      </c>
      <c r="T376" t="s">
        <v>6356</v>
      </c>
      <c r="U376" s="360">
        <v>0.85069444444444453</v>
      </c>
      <c r="V376" s="360">
        <v>1.2499999999999999E-2</v>
      </c>
    </row>
    <row r="377" spans="1:22" hidden="1" x14ac:dyDescent="0.25">
      <c r="A377" s="483" t="s">
        <v>6615</v>
      </c>
      <c r="B377" t="s">
        <v>1720</v>
      </c>
      <c r="C377" s="28" t="s">
        <v>660</v>
      </c>
      <c r="D377" s="233">
        <v>45856</v>
      </c>
      <c r="E377" s="28"/>
      <c r="F377" s="28" t="s">
        <v>4621</v>
      </c>
      <c r="G377" t="s">
        <v>6639</v>
      </c>
      <c r="H377" s="30" t="s">
        <v>6640</v>
      </c>
      <c r="I377" s="798">
        <v>30500</v>
      </c>
      <c r="J377" s="3">
        <f t="shared" si="7"/>
        <v>26840</v>
      </c>
      <c r="K377" t="s">
        <v>17</v>
      </c>
      <c r="L377" s="233">
        <v>45925</v>
      </c>
      <c r="T377" t="s">
        <v>6503</v>
      </c>
      <c r="U377" s="360">
        <v>0.35694444444444445</v>
      </c>
      <c r="V377" s="360">
        <v>0.51180555555555551</v>
      </c>
    </row>
    <row r="378" spans="1:22" hidden="1" x14ac:dyDescent="0.25">
      <c r="A378" s="483" t="s">
        <v>6615</v>
      </c>
      <c r="B378" t="s">
        <v>1720</v>
      </c>
      <c r="C378" s="28" t="s">
        <v>660</v>
      </c>
      <c r="D378" s="233">
        <v>45856</v>
      </c>
      <c r="E378" s="28"/>
      <c r="F378" s="28" t="s">
        <v>545</v>
      </c>
      <c r="G378" t="s">
        <v>6635</v>
      </c>
      <c r="H378" s="30" t="s">
        <v>6638</v>
      </c>
      <c r="I378" s="798">
        <v>25016</v>
      </c>
      <c r="J378" s="3">
        <f t="shared" si="7"/>
        <v>22014</v>
      </c>
      <c r="K378" t="s">
        <v>17</v>
      </c>
      <c r="L378" s="233">
        <v>45925</v>
      </c>
      <c r="T378" t="s">
        <v>6503</v>
      </c>
      <c r="U378" s="360">
        <v>0.56041666666666667</v>
      </c>
      <c r="V378" s="360">
        <v>0.69791666666666663</v>
      </c>
    </row>
    <row r="379" spans="1:22" hidden="1" x14ac:dyDescent="0.25">
      <c r="A379" s="483">
        <v>21072025</v>
      </c>
      <c r="B379" t="s">
        <v>1720</v>
      </c>
      <c r="C379" s="28" t="s">
        <v>660</v>
      </c>
      <c r="D379" s="233">
        <v>45859</v>
      </c>
      <c r="E379" s="28"/>
      <c r="F379" s="28" t="s">
        <v>545</v>
      </c>
      <c r="G379" t="s">
        <v>6692</v>
      </c>
      <c r="H379" s="30" t="s">
        <v>6693</v>
      </c>
      <c r="I379" s="798">
        <v>25016</v>
      </c>
      <c r="J379" s="3">
        <f t="shared" si="7"/>
        <v>22014</v>
      </c>
      <c r="K379" t="s">
        <v>17</v>
      </c>
      <c r="L379" s="233">
        <v>45925</v>
      </c>
      <c r="M379" s="88"/>
      <c r="T379" t="s">
        <v>5004</v>
      </c>
      <c r="U379" s="360"/>
      <c r="V379" s="360"/>
    </row>
    <row r="380" spans="1:22" hidden="1" x14ac:dyDescent="0.25">
      <c r="A380" s="483">
        <v>26072025</v>
      </c>
      <c r="B380" t="s">
        <v>1720</v>
      </c>
      <c r="C380" s="28" t="s">
        <v>410</v>
      </c>
      <c r="D380" s="1068">
        <v>45864</v>
      </c>
      <c r="E380" s="28"/>
      <c r="F380" s="28" t="s">
        <v>545</v>
      </c>
      <c r="G380" s="1067" t="s">
        <v>6694</v>
      </c>
      <c r="H380" s="1160" t="s">
        <v>6743</v>
      </c>
      <c r="I380" s="798">
        <v>25016</v>
      </c>
      <c r="J380" s="3">
        <f t="shared" si="7"/>
        <v>22014</v>
      </c>
      <c r="K380" t="s">
        <v>17</v>
      </c>
      <c r="L380" s="233">
        <v>45973</v>
      </c>
      <c r="M380" s="32"/>
      <c r="T380" t="s">
        <v>6685</v>
      </c>
      <c r="U380" s="360">
        <v>0.78749999999999998</v>
      </c>
      <c r="V380" s="360">
        <v>0.92986111111111114</v>
      </c>
    </row>
    <row r="381" spans="1:22" hidden="1" x14ac:dyDescent="0.25">
      <c r="A381" s="483" t="s">
        <v>6705</v>
      </c>
      <c r="B381" t="s">
        <v>1720</v>
      </c>
      <c r="C381" s="28" t="s">
        <v>410</v>
      </c>
      <c r="D381" s="233">
        <v>45871</v>
      </c>
      <c r="E381" s="28"/>
      <c r="F381" s="28" t="s">
        <v>545</v>
      </c>
      <c r="G381" s="1067" t="s">
        <v>6744</v>
      </c>
      <c r="H381" s="1160" t="s">
        <v>6978</v>
      </c>
      <c r="I381" s="798">
        <v>25016</v>
      </c>
      <c r="J381" s="3">
        <f t="shared" si="7"/>
        <v>22014</v>
      </c>
      <c r="K381" t="s">
        <v>17</v>
      </c>
      <c r="L381" s="233">
        <v>45973</v>
      </c>
      <c r="M381" s="32"/>
      <c r="T381" t="s">
        <v>4345</v>
      </c>
      <c r="U381" s="360">
        <v>0.60347222222222219</v>
      </c>
      <c r="V381" s="360">
        <v>0.77916666666666667</v>
      </c>
    </row>
    <row r="382" spans="1:22" hidden="1" x14ac:dyDescent="0.25">
      <c r="A382" s="483" t="s">
        <v>6707</v>
      </c>
      <c r="B382" t="s">
        <v>1720</v>
      </c>
      <c r="C382" s="28" t="s">
        <v>809</v>
      </c>
      <c r="D382" s="233">
        <v>45873</v>
      </c>
      <c r="E382" s="28"/>
      <c r="F382" s="28" t="s">
        <v>545</v>
      </c>
      <c r="G382" s="1067" t="s">
        <v>3814</v>
      </c>
      <c r="H382" s="1160" t="s">
        <v>6979</v>
      </c>
      <c r="I382" s="798">
        <v>25016</v>
      </c>
      <c r="J382" s="3">
        <f t="shared" si="7"/>
        <v>22014</v>
      </c>
      <c r="K382" t="s">
        <v>17</v>
      </c>
      <c r="L382" s="233">
        <v>45973</v>
      </c>
      <c r="M382" s="32"/>
      <c r="T382" t="s">
        <v>6708</v>
      </c>
      <c r="U382" s="360">
        <v>0.66041666666666665</v>
      </c>
      <c r="V382" s="360">
        <v>0.72013888888888899</v>
      </c>
    </row>
    <row r="383" spans="1:22" hidden="1" x14ac:dyDescent="0.25">
      <c r="A383" s="483" t="s">
        <v>6710</v>
      </c>
      <c r="B383" t="s">
        <v>1720</v>
      </c>
      <c r="C383" s="28" t="s">
        <v>13</v>
      </c>
      <c r="D383" s="233">
        <v>45875</v>
      </c>
      <c r="E383" s="28"/>
      <c r="F383" s="28" t="s">
        <v>545</v>
      </c>
      <c r="G383" s="1067" t="s">
        <v>6745</v>
      </c>
      <c r="H383" s="30" t="s">
        <v>7587</v>
      </c>
      <c r="I383" s="61">
        <v>34456</v>
      </c>
      <c r="J383" s="3">
        <f t="shared" si="7"/>
        <v>30321</v>
      </c>
      <c r="K383" s="30" t="s">
        <v>17</v>
      </c>
      <c r="L383" s="233">
        <v>46008</v>
      </c>
      <c r="M383" s="32"/>
      <c r="T383" t="s">
        <v>5989</v>
      </c>
      <c r="U383" s="360">
        <v>0.36041666666666666</v>
      </c>
      <c r="V383" s="360">
        <v>0.53472222222222221</v>
      </c>
    </row>
    <row r="384" spans="1:22" hidden="1" x14ac:dyDescent="0.25">
      <c r="A384" s="483">
        <v>19092025</v>
      </c>
      <c r="B384" t="s">
        <v>1720</v>
      </c>
      <c r="C384" s="28"/>
      <c r="D384" s="233">
        <v>45919</v>
      </c>
      <c r="E384" s="28"/>
      <c r="F384" s="28" t="s">
        <v>545</v>
      </c>
      <c r="G384" s="1067" t="s">
        <v>7008</v>
      </c>
      <c r="H384" s="1160" t="s">
        <v>7009</v>
      </c>
      <c r="I384" s="313">
        <v>34456</v>
      </c>
      <c r="J384" s="3">
        <f t="shared" si="7"/>
        <v>30321</v>
      </c>
      <c r="K384" t="s">
        <v>17</v>
      </c>
      <c r="L384" s="233">
        <v>45973</v>
      </c>
      <c r="M384" s="88"/>
      <c r="U384" s="360"/>
      <c r="V384" s="360"/>
    </row>
    <row r="385" spans="1:24" hidden="1" x14ac:dyDescent="0.25">
      <c r="A385" s="483">
        <v>19092025</v>
      </c>
      <c r="B385" t="s">
        <v>1720</v>
      </c>
      <c r="C385" s="28"/>
      <c r="D385" s="233">
        <v>45919</v>
      </c>
      <c r="E385" s="28"/>
      <c r="F385" s="28" t="s">
        <v>545</v>
      </c>
      <c r="G385" s="1067" t="s">
        <v>7006</v>
      </c>
      <c r="H385" s="1160" t="s">
        <v>7007</v>
      </c>
      <c r="I385" s="313">
        <v>25016</v>
      </c>
      <c r="J385" s="3">
        <f t="shared" si="7"/>
        <v>22014</v>
      </c>
      <c r="K385" t="s">
        <v>17</v>
      </c>
      <c r="L385" s="233">
        <v>45973</v>
      </c>
      <c r="M385" s="88"/>
      <c r="U385" s="360"/>
      <c r="V385" s="360"/>
    </row>
    <row r="386" spans="1:24" s="19" customFormat="1" hidden="1" x14ac:dyDescent="0.25">
      <c r="A386" s="690" t="s">
        <v>7021</v>
      </c>
      <c r="B386" s="19" t="s">
        <v>1720</v>
      </c>
      <c r="C386" s="127" t="s">
        <v>13</v>
      </c>
      <c r="D386" s="691">
        <v>45927</v>
      </c>
      <c r="E386" s="472"/>
      <c r="F386" s="472" t="s">
        <v>545</v>
      </c>
      <c r="G386" s="1084" t="s">
        <v>7036</v>
      </c>
      <c r="H386" s="1150" t="s">
        <v>7035</v>
      </c>
      <c r="I386" s="1101">
        <v>31500</v>
      </c>
      <c r="J386" s="3">
        <f t="shared" si="7"/>
        <v>27720</v>
      </c>
      <c r="K386" t="s">
        <v>17</v>
      </c>
      <c r="L386" s="233">
        <v>45973</v>
      </c>
      <c r="M386" s="140"/>
      <c r="R386" s="5"/>
      <c r="S386" s="5"/>
      <c r="T386" s="5" t="s">
        <v>6678</v>
      </c>
      <c r="U386" s="496">
        <v>0.69513888888888886</v>
      </c>
      <c r="V386" s="496">
        <v>0.85138888888888886</v>
      </c>
      <c r="W386" s="5"/>
      <c r="X386" s="5"/>
    </row>
    <row r="387" spans="1:24" hidden="1" x14ac:dyDescent="0.25">
      <c r="A387" s="483">
        <v>13102025</v>
      </c>
      <c r="B387" t="s">
        <v>1720</v>
      </c>
      <c r="C387" s="28" t="s">
        <v>13</v>
      </c>
      <c r="D387" s="233">
        <v>45943</v>
      </c>
      <c r="E387" s="28"/>
      <c r="F387" s="28" t="s">
        <v>545</v>
      </c>
      <c r="G387" s="1067" t="s">
        <v>7086</v>
      </c>
      <c r="H387" s="1160" t="s">
        <v>7110</v>
      </c>
      <c r="I387" s="313">
        <v>31500</v>
      </c>
      <c r="J387" s="3">
        <f t="shared" si="7"/>
        <v>27720</v>
      </c>
      <c r="K387" t="s">
        <v>17</v>
      </c>
      <c r="L387" s="233">
        <v>45973</v>
      </c>
      <c r="M387" s="88"/>
      <c r="T387" t="s">
        <v>7060</v>
      </c>
      <c r="U387" s="360">
        <v>0.23611111111111113</v>
      </c>
      <c r="V387" s="360">
        <v>0.42499999999999999</v>
      </c>
    </row>
    <row r="388" spans="1:24" hidden="1" x14ac:dyDescent="0.25">
      <c r="A388" s="483">
        <v>14102025</v>
      </c>
      <c r="B388" t="s">
        <v>1720</v>
      </c>
      <c r="C388" s="28" t="s">
        <v>13</v>
      </c>
      <c r="D388" s="233">
        <v>45944</v>
      </c>
      <c r="E388" s="28"/>
      <c r="F388" s="28" t="s">
        <v>545</v>
      </c>
      <c r="G388" s="1067" t="s">
        <v>7108</v>
      </c>
      <c r="H388" s="1160" t="s">
        <v>7109</v>
      </c>
      <c r="I388" s="313">
        <v>24320</v>
      </c>
      <c r="J388" s="3">
        <f t="shared" si="7"/>
        <v>21402</v>
      </c>
      <c r="K388" t="s">
        <v>17</v>
      </c>
      <c r="L388" s="233">
        <v>45973</v>
      </c>
      <c r="M388" s="88"/>
      <c r="T388" s="5" t="s">
        <v>7105</v>
      </c>
      <c r="U388" s="360">
        <v>0.8340277777777777</v>
      </c>
      <c r="V388" s="360">
        <v>0.95624999999999993</v>
      </c>
    </row>
    <row r="389" spans="1:24" hidden="1" x14ac:dyDescent="0.25">
      <c r="A389" s="483">
        <v>17102025</v>
      </c>
      <c r="B389" t="s">
        <v>1720</v>
      </c>
      <c r="C389" s="28" t="s">
        <v>4218</v>
      </c>
      <c r="D389" s="233">
        <v>45947</v>
      </c>
      <c r="E389" s="28"/>
      <c r="F389" s="28" t="s">
        <v>545</v>
      </c>
      <c r="G389" s="1067" t="s">
        <v>7160</v>
      </c>
      <c r="H389" s="30" t="s">
        <v>7161</v>
      </c>
      <c r="I389" s="313">
        <v>24320</v>
      </c>
      <c r="J389" s="3">
        <f t="shared" si="7"/>
        <v>21402</v>
      </c>
      <c r="K389" t="s">
        <v>17</v>
      </c>
      <c r="L389" s="233">
        <v>46030</v>
      </c>
      <c r="M389" s="88"/>
      <c r="T389" t="s">
        <v>6898</v>
      </c>
      <c r="U389" s="360"/>
      <c r="V389" s="360"/>
    </row>
    <row r="390" spans="1:24" hidden="1" x14ac:dyDescent="0.25">
      <c r="A390" s="483">
        <v>18102025</v>
      </c>
      <c r="B390" t="s">
        <v>1720</v>
      </c>
      <c r="C390" s="28" t="s">
        <v>13</v>
      </c>
      <c r="D390" s="233">
        <v>45948</v>
      </c>
      <c r="E390" s="28"/>
      <c r="F390" s="28" t="s">
        <v>545</v>
      </c>
      <c r="G390" s="1175" t="s">
        <v>7162</v>
      </c>
      <c r="H390" s="30" t="s">
        <v>7235</v>
      </c>
      <c r="I390" s="88">
        <v>31500</v>
      </c>
      <c r="J390" s="3">
        <f t="shared" si="7"/>
        <v>27720</v>
      </c>
      <c r="K390" t="s">
        <v>17</v>
      </c>
      <c r="L390" s="233">
        <v>45981</v>
      </c>
      <c r="M390" s="88"/>
      <c r="T390" t="s">
        <v>6349</v>
      </c>
      <c r="U390" s="360">
        <v>0.9243055555555556</v>
      </c>
      <c r="V390" s="360">
        <v>0.125</v>
      </c>
    </row>
    <row r="391" spans="1:24" hidden="1" x14ac:dyDescent="0.25">
      <c r="A391" s="483">
        <v>24102025</v>
      </c>
      <c r="B391" t="s">
        <v>1720</v>
      </c>
      <c r="C391" s="28" t="s">
        <v>13</v>
      </c>
      <c r="D391" s="233">
        <v>45954</v>
      </c>
      <c r="E391" s="28"/>
      <c r="F391" s="28" t="s">
        <v>545</v>
      </c>
      <c r="G391" s="21" t="s">
        <v>7234</v>
      </c>
      <c r="H391" s="30" t="s">
        <v>3823</v>
      </c>
      <c r="I391" s="313">
        <v>24320</v>
      </c>
      <c r="J391" s="3">
        <f t="shared" si="7"/>
        <v>21402</v>
      </c>
      <c r="K391" t="s">
        <v>17</v>
      </c>
      <c r="L391" s="233">
        <v>46030</v>
      </c>
      <c r="M391" s="88"/>
      <c r="T391" t="s">
        <v>7138</v>
      </c>
      <c r="U391" s="360">
        <v>0.85138888888888886</v>
      </c>
      <c r="V391" s="360">
        <v>0.97916666666666663</v>
      </c>
    </row>
    <row r="392" spans="1:24" hidden="1" x14ac:dyDescent="0.25">
      <c r="A392" s="483" t="s">
        <v>7227</v>
      </c>
      <c r="B392" t="s">
        <v>1720</v>
      </c>
      <c r="C392" s="28" t="s">
        <v>410</v>
      </c>
      <c r="D392" s="233">
        <v>45966</v>
      </c>
      <c r="E392" s="28"/>
      <c r="F392" s="28" t="s">
        <v>545</v>
      </c>
      <c r="G392" s="1067" t="s">
        <v>7236</v>
      </c>
      <c r="H392" s="30" t="s">
        <v>7237</v>
      </c>
      <c r="I392" s="798">
        <v>31500</v>
      </c>
      <c r="J392" s="3">
        <f t="shared" si="7"/>
        <v>27720</v>
      </c>
      <c r="K392" t="s">
        <v>17</v>
      </c>
      <c r="L392" s="233">
        <v>46030</v>
      </c>
      <c r="M392" s="88"/>
      <c r="T392" t="s">
        <v>4853</v>
      </c>
      <c r="U392" s="360">
        <v>0.3979166666666667</v>
      </c>
      <c r="V392" s="360"/>
    </row>
    <row r="393" spans="1:24" hidden="1" x14ac:dyDescent="0.25">
      <c r="A393" s="483" t="s">
        <v>7233</v>
      </c>
      <c r="B393" t="s">
        <v>1720</v>
      </c>
      <c r="C393" s="28"/>
      <c r="D393" s="233">
        <v>45968</v>
      </c>
      <c r="E393" s="28"/>
      <c r="F393" s="28" t="s">
        <v>545</v>
      </c>
      <c r="G393" s="1067" t="s">
        <v>7254</v>
      </c>
      <c r="H393" s="30" t="s">
        <v>7673</v>
      </c>
      <c r="I393" s="798">
        <v>24320</v>
      </c>
      <c r="J393" s="3">
        <f t="shared" si="7"/>
        <v>21402</v>
      </c>
      <c r="K393" s="30" t="s">
        <v>17</v>
      </c>
      <c r="L393" s="233">
        <v>46122</v>
      </c>
      <c r="M393" s="88"/>
      <c r="U393" s="360"/>
      <c r="V393" s="360"/>
    </row>
    <row r="394" spans="1:24" hidden="1" x14ac:dyDescent="0.25">
      <c r="A394" s="483" t="s">
        <v>7245</v>
      </c>
      <c r="B394" t="s">
        <v>1720</v>
      </c>
      <c r="C394" s="28" t="s">
        <v>13</v>
      </c>
      <c r="D394" s="233">
        <v>45969</v>
      </c>
      <c r="E394" s="28"/>
      <c r="F394" s="28" t="s">
        <v>545</v>
      </c>
      <c r="G394" s="1067" t="s">
        <v>7252</v>
      </c>
      <c r="H394" s="30" t="s">
        <v>7253</v>
      </c>
      <c r="I394" s="798">
        <v>31500</v>
      </c>
      <c r="J394" s="3">
        <f t="shared" si="7"/>
        <v>27720</v>
      </c>
      <c r="K394" t="s">
        <v>17</v>
      </c>
      <c r="L394" s="233">
        <v>46037</v>
      </c>
      <c r="M394" s="88"/>
      <c r="T394" t="s">
        <v>7078</v>
      </c>
      <c r="U394" s="360">
        <v>0.5541666666666667</v>
      </c>
      <c r="V394" s="360">
        <v>0.71597222222222223</v>
      </c>
    </row>
    <row r="395" spans="1:24" hidden="1" x14ac:dyDescent="0.25">
      <c r="A395" s="483">
        <v>18112025</v>
      </c>
      <c r="B395" t="s">
        <v>1720</v>
      </c>
      <c r="C395" s="28" t="s">
        <v>4218</v>
      </c>
      <c r="D395" s="233">
        <v>45979</v>
      </c>
      <c r="E395" s="28"/>
      <c r="F395" s="28" t="s">
        <v>545</v>
      </c>
      <c r="G395" s="1067" t="s">
        <v>7344</v>
      </c>
      <c r="H395" s="30" t="s">
        <v>7345</v>
      </c>
      <c r="I395" s="798">
        <v>24320</v>
      </c>
      <c r="J395" s="3">
        <f t="shared" si="7"/>
        <v>21402</v>
      </c>
      <c r="K395" t="s">
        <v>17</v>
      </c>
      <c r="L395" s="233">
        <v>46037</v>
      </c>
      <c r="M395" s="88"/>
      <c r="T395" t="s">
        <v>7274</v>
      </c>
      <c r="U395" s="360"/>
      <c r="V395" s="360"/>
    </row>
    <row r="396" spans="1:24" hidden="1" x14ac:dyDescent="0.25">
      <c r="A396" s="483">
        <v>22112025</v>
      </c>
      <c r="B396" t="s">
        <v>1720</v>
      </c>
      <c r="C396" s="28" t="s">
        <v>809</v>
      </c>
      <c r="D396" s="233">
        <v>45983</v>
      </c>
      <c r="E396" s="28"/>
      <c r="F396" s="28" t="s">
        <v>545</v>
      </c>
      <c r="G396" s="1067" t="s">
        <v>277</v>
      </c>
      <c r="H396" s="30" t="s">
        <v>7591</v>
      </c>
      <c r="I396" s="798">
        <v>24320</v>
      </c>
      <c r="J396" s="3">
        <f t="shared" si="7"/>
        <v>21402</v>
      </c>
      <c r="K396" s="30" t="s">
        <v>17</v>
      </c>
      <c r="L396" s="233">
        <v>46044</v>
      </c>
      <c r="M396" s="88"/>
      <c r="T396" t="s">
        <v>7320</v>
      </c>
      <c r="U396" s="360">
        <v>0.51111111111111118</v>
      </c>
      <c r="V396" s="360">
        <v>0.57500000000000007</v>
      </c>
    </row>
    <row r="397" spans="1:24" hidden="1" x14ac:dyDescent="0.25">
      <c r="A397" s="483">
        <v>26112025</v>
      </c>
      <c r="B397" t="s">
        <v>1720</v>
      </c>
      <c r="C397" s="28" t="s">
        <v>4218</v>
      </c>
      <c r="D397" s="233">
        <v>45987</v>
      </c>
      <c r="E397" s="28"/>
      <c r="F397" s="28" t="s">
        <v>545</v>
      </c>
      <c r="G397" s="1067" t="s">
        <v>7342</v>
      </c>
      <c r="H397" s="30" t="s">
        <v>7343</v>
      </c>
      <c r="I397" s="798">
        <v>31500</v>
      </c>
      <c r="J397" s="3">
        <f t="shared" si="7"/>
        <v>27720</v>
      </c>
      <c r="K397" t="s">
        <v>17</v>
      </c>
      <c r="L397" s="233">
        <v>46037</v>
      </c>
      <c r="M397" s="88"/>
      <c r="R397" t="s">
        <v>4297</v>
      </c>
      <c r="S397" s="360">
        <v>0.66666666666666663</v>
      </c>
      <c r="T397" s="360"/>
    </row>
    <row r="398" spans="1:24" hidden="1" x14ac:dyDescent="0.25">
      <c r="A398" s="483">
        <v>28112025</v>
      </c>
      <c r="B398" t="s">
        <v>1720</v>
      </c>
      <c r="C398" s="28" t="s">
        <v>4218</v>
      </c>
      <c r="D398" s="233">
        <v>45989</v>
      </c>
      <c r="E398" s="28"/>
      <c r="F398" s="28" t="s">
        <v>545</v>
      </c>
      <c r="G398" s="1067" t="s">
        <v>7340</v>
      </c>
      <c r="H398" s="30" t="s">
        <v>7341</v>
      </c>
      <c r="I398" s="798">
        <v>24320</v>
      </c>
      <c r="J398" s="3">
        <f t="shared" si="7"/>
        <v>21402</v>
      </c>
      <c r="K398" t="s">
        <v>17</v>
      </c>
      <c r="L398" s="233">
        <v>46037</v>
      </c>
      <c r="M398" s="88"/>
      <c r="R398" t="s">
        <v>6067</v>
      </c>
      <c r="S398" s="360">
        <v>0.3215277777777778</v>
      </c>
      <c r="T398" s="360"/>
    </row>
    <row r="399" spans="1:24" hidden="1" x14ac:dyDescent="0.25">
      <c r="A399" s="483">
        <v>30112025</v>
      </c>
      <c r="B399" t="s">
        <v>1720</v>
      </c>
      <c r="C399" s="28" t="s">
        <v>4218</v>
      </c>
      <c r="D399" s="233">
        <v>45991</v>
      </c>
      <c r="E399" s="28"/>
      <c r="F399" s="28" t="s">
        <v>545</v>
      </c>
      <c r="G399" s="1067" t="s">
        <v>7495</v>
      </c>
      <c r="H399" s="30" t="s">
        <v>7339</v>
      </c>
      <c r="I399" s="798">
        <v>24320</v>
      </c>
      <c r="J399" s="3">
        <f t="shared" si="7"/>
        <v>21402</v>
      </c>
      <c r="K399" t="s">
        <v>17</v>
      </c>
      <c r="L399" s="233">
        <v>46037</v>
      </c>
      <c r="M399" s="88"/>
      <c r="R399" t="s">
        <v>4867</v>
      </c>
      <c r="S399" s="360">
        <v>0.6479166666666667</v>
      </c>
      <c r="T399" s="360">
        <v>0.7715277777777777</v>
      </c>
    </row>
    <row r="400" spans="1:24" hidden="1" x14ac:dyDescent="0.25">
      <c r="A400" s="483" t="s">
        <v>7445</v>
      </c>
      <c r="B400" t="s">
        <v>1720</v>
      </c>
      <c r="C400" s="233" t="s">
        <v>809</v>
      </c>
      <c r="D400" s="233">
        <v>46025</v>
      </c>
      <c r="E400" s="28"/>
      <c r="F400" s="28" t="s">
        <v>545</v>
      </c>
      <c r="G400" t="s">
        <v>7498</v>
      </c>
      <c r="H400" s="30" t="s">
        <v>7496</v>
      </c>
      <c r="I400" s="88">
        <v>24320</v>
      </c>
      <c r="J400" s="3">
        <f t="shared" si="7"/>
        <v>21402</v>
      </c>
      <c r="K400" s="30" t="s">
        <v>17</v>
      </c>
      <c r="L400" s="233">
        <v>46122</v>
      </c>
      <c r="T400" t="s">
        <v>6155</v>
      </c>
      <c r="U400" s="360">
        <v>0.61944444444444446</v>
      </c>
      <c r="V400" s="360">
        <v>0.75347222222222221</v>
      </c>
    </row>
    <row r="401" spans="1:24" hidden="1" x14ac:dyDescent="0.25">
      <c r="A401" s="483" t="s">
        <v>7442</v>
      </c>
      <c r="B401" t="s">
        <v>1720</v>
      </c>
      <c r="C401" s="233" t="s">
        <v>410</v>
      </c>
      <c r="D401" s="233">
        <v>46026</v>
      </c>
      <c r="E401" s="28"/>
      <c r="F401" s="28" t="s">
        <v>545</v>
      </c>
      <c r="G401" t="s">
        <v>7499</v>
      </c>
      <c r="H401" s="30" t="s">
        <v>7497</v>
      </c>
      <c r="I401" s="88">
        <v>31500</v>
      </c>
      <c r="J401" s="3">
        <f t="shared" si="7"/>
        <v>27720</v>
      </c>
      <c r="K401" t="s">
        <v>17</v>
      </c>
      <c r="L401" s="233">
        <v>46113</v>
      </c>
      <c r="T401" t="s">
        <v>5393</v>
      </c>
      <c r="U401" s="360">
        <v>0.27152777777777776</v>
      </c>
      <c r="V401" s="360">
        <v>0.46666666666666662</v>
      </c>
    </row>
    <row r="402" spans="1:24" hidden="1" x14ac:dyDescent="0.25">
      <c r="A402" s="483" t="s">
        <v>7505</v>
      </c>
      <c r="B402" t="s">
        <v>1720</v>
      </c>
      <c r="C402" s="233" t="s">
        <v>4218</v>
      </c>
      <c r="D402" s="233">
        <v>46029</v>
      </c>
      <c r="E402" s="28"/>
      <c r="F402" s="28" t="s">
        <v>545</v>
      </c>
      <c r="G402" t="s">
        <v>7529</v>
      </c>
      <c r="H402" s="30" t="s">
        <v>7530</v>
      </c>
      <c r="I402" s="88">
        <v>24320</v>
      </c>
      <c r="J402" s="3">
        <f t="shared" si="7"/>
        <v>21402</v>
      </c>
      <c r="K402" s="30" t="s">
        <v>17</v>
      </c>
      <c r="L402" s="233">
        <v>46100</v>
      </c>
      <c r="M402" s="313"/>
      <c r="T402" t="s">
        <v>4140</v>
      </c>
      <c r="U402" s="360"/>
      <c r="V402" s="360"/>
    </row>
    <row r="403" spans="1:24" hidden="1" x14ac:dyDescent="0.25">
      <c r="A403" s="483" t="s">
        <v>7542</v>
      </c>
      <c r="B403" t="s">
        <v>1720</v>
      </c>
      <c r="C403" s="28" t="s">
        <v>410</v>
      </c>
      <c r="D403" s="233">
        <v>46037</v>
      </c>
      <c r="E403" s="28"/>
      <c r="F403" s="28" t="s">
        <v>545</v>
      </c>
      <c r="G403" s="1067" t="s">
        <v>7577</v>
      </c>
      <c r="H403" s="30" t="s">
        <v>7576</v>
      </c>
      <c r="I403" s="240">
        <v>31500</v>
      </c>
      <c r="J403" s="3">
        <f t="shared" si="7"/>
        <v>27720</v>
      </c>
      <c r="K403" t="s">
        <v>17</v>
      </c>
      <c r="L403" s="233">
        <v>46120</v>
      </c>
      <c r="M403" s="88"/>
      <c r="T403" t="s">
        <v>7092</v>
      </c>
      <c r="U403" s="360"/>
      <c r="V403" s="360"/>
    </row>
    <row r="404" spans="1:24" hidden="1" x14ac:dyDescent="0.25">
      <c r="A404" s="483" t="s">
        <v>7578</v>
      </c>
      <c r="B404" t="s">
        <v>1720</v>
      </c>
      <c r="C404" s="28" t="s">
        <v>410</v>
      </c>
      <c r="D404" s="233">
        <v>46042</v>
      </c>
      <c r="E404" s="28"/>
      <c r="F404" s="28" t="s">
        <v>545</v>
      </c>
      <c r="G404" s="1067" t="s">
        <v>7584</v>
      </c>
      <c r="H404" s="30" t="s">
        <v>7585</v>
      </c>
      <c r="I404" s="313">
        <v>31500</v>
      </c>
      <c r="J404" s="3">
        <f t="shared" si="7"/>
        <v>27720</v>
      </c>
      <c r="K404" t="s">
        <v>17</v>
      </c>
      <c r="L404" s="233">
        <v>46120</v>
      </c>
      <c r="M404" s="88"/>
      <c r="T404" t="s">
        <v>7078</v>
      </c>
      <c r="U404" s="360"/>
      <c r="V404" s="360"/>
    </row>
    <row r="405" spans="1:24" hidden="1" x14ac:dyDescent="0.25">
      <c r="A405" s="483" t="s">
        <v>7582</v>
      </c>
      <c r="B405" t="s">
        <v>1720</v>
      </c>
      <c r="C405" s="28" t="s">
        <v>410</v>
      </c>
      <c r="D405" s="233">
        <v>46043</v>
      </c>
      <c r="E405" s="28"/>
      <c r="F405" s="28" t="s">
        <v>545</v>
      </c>
      <c r="G405" s="1067" t="s">
        <v>7595</v>
      </c>
      <c r="H405" s="1067" t="s">
        <v>7596</v>
      </c>
      <c r="I405" s="313">
        <v>31500</v>
      </c>
      <c r="J405" s="3">
        <f t="shared" si="7"/>
        <v>27720</v>
      </c>
      <c r="K405" t="s">
        <v>17</v>
      </c>
      <c r="L405" s="233">
        <v>46120</v>
      </c>
      <c r="M405" s="88"/>
      <c r="T405" t="s">
        <v>4140</v>
      </c>
      <c r="U405" s="360"/>
      <c r="V405" s="360"/>
    </row>
    <row r="406" spans="1:24" hidden="1" x14ac:dyDescent="0.25">
      <c r="A406" s="483" t="s">
        <v>7625</v>
      </c>
      <c r="B406" t="s">
        <v>1720</v>
      </c>
      <c r="C406" s="28" t="s">
        <v>4218</v>
      </c>
      <c r="D406" s="233">
        <v>46057</v>
      </c>
      <c r="E406" s="28"/>
      <c r="F406" s="28" t="s">
        <v>545</v>
      </c>
      <c r="G406" s="1067" t="s">
        <v>7674</v>
      </c>
      <c r="H406" s="30" t="s">
        <v>7630</v>
      </c>
      <c r="I406" s="313">
        <v>24320</v>
      </c>
      <c r="J406" s="3">
        <f t="shared" ref="J406:J425" si="8">+I406-ROUND(I406*0.12,0)</f>
        <v>21402</v>
      </c>
      <c r="K406" s="30" t="s">
        <v>17</v>
      </c>
      <c r="L406" s="233">
        <v>46100</v>
      </c>
      <c r="M406" s="88"/>
      <c r="T406" t="s">
        <v>7335</v>
      </c>
      <c r="U406" s="360"/>
      <c r="V406" s="360"/>
    </row>
    <row r="407" spans="1:24" ht="15" hidden="1" customHeight="1" x14ac:dyDescent="0.25">
      <c r="A407" s="483">
        <v>26022026</v>
      </c>
      <c r="B407" t="s">
        <v>1720</v>
      </c>
      <c r="C407" s="28" t="s">
        <v>410</v>
      </c>
      <c r="D407" s="233">
        <v>46079</v>
      </c>
      <c r="E407" s="28"/>
      <c r="F407" s="28" t="s">
        <v>545</v>
      </c>
      <c r="G407" s="1108" t="s">
        <v>7733</v>
      </c>
      <c r="H407" s="30" t="s">
        <v>7732</v>
      </c>
      <c r="I407" s="798">
        <v>34048</v>
      </c>
      <c r="J407" s="3">
        <f t="shared" si="8"/>
        <v>29962</v>
      </c>
      <c r="K407" t="s">
        <v>17</v>
      </c>
      <c r="L407" s="233">
        <v>46164</v>
      </c>
      <c r="M407" s="88"/>
      <c r="T407" t="s">
        <v>5131</v>
      </c>
      <c r="U407" s="360">
        <v>0.27152777777777776</v>
      </c>
      <c r="V407" s="360">
        <v>0.41944444444444445</v>
      </c>
    </row>
    <row r="408" spans="1:24" ht="15" hidden="1" customHeight="1" x14ac:dyDescent="0.25">
      <c r="A408" s="483">
        <v>28022026</v>
      </c>
      <c r="B408" t="s">
        <v>1720</v>
      </c>
      <c r="C408" s="28" t="s">
        <v>4218</v>
      </c>
      <c r="D408" s="233">
        <v>46081</v>
      </c>
      <c r="E408" s="28"/>
      <c r="F408" s="28" t="s">
        <v>545</v>
      </c>
      <c r="G408" s="1067" t="s">
        <v>7794</v>
      </c>
      <c r="H408" s="30" t="s">
        <v>7795</v>
      </c>
      <c r="I408" s="798">
        <v>31500</v>
      </c>
      <c r="J408" s="3">
        <f t="shared" si="8"/>
        <v>27720</v>
      </c>
      <c r="K408" t="s">
        <v>17</v>
      </c>
      <c r="L408" s="233">
        <v>46164</v>
      </c>
      <c r="M408" s="88"/>
      <c r="T408" t="s">
        <v>5131</v>
      </c>
      <c r="U408" s="360">
        <v>0.625</v>
      </c>
      <c r="V408" s="360">
        <v>0.77847222222222223</v>
      </c>
    </row>
    <row r="409" spans="1:24" hidden="1" x14ac:dyDescent="0.25">
      <c r="A409" s="483">
        <v>28022026</v>
      </c>
      <c r="B409" t="s">
        <v>1720</v>
      </c>
      <c r="C409" s="28" t="s">
        <v>410</v>
      </c>
      <c r="D409" s="233">
        <v>46081</v>
      </c>
      <c r="E409" s="28"/>
      <c r="F409" s="28" t="s">
        <v>545</v>
      </c>
      <c r="G409" s="1067" t="s">
        <v>7797</v>
      </c>
      <c r="H409" s="30" t="s">
        <v>7796</v>
      </c>
      <c r="I409" s="798">
        <v>31500</v>
      </c>
      <c r="J409" s="3">
        <f t="shared" si="8"/>
        <v>27720</v>
      </c>
      <c r="K409" t="s">
        <v>17</v>
      </c>
      <c r="L409" s="233">
        <v>46164</v>
      </c>
      <c r="M409" s="88"/>
      <c r="T409" t="s">
        <v>7763</v>
      </c>
      <c r="U409" s="360">
        <v>0.74930555555555556</v>
      </c>
      <c r="V409" s="360">
        <v>0.92708333333333337</v>
      </c>
    </row>
    <row r="410" spans="1:24" s="21" customFormat="1" hidden="1" x14ac:dyDescent="0.25">
      <c r="A410" s="509" t="s">
        <v>7856</v>
      </c>
      <c r="B410" s="21" t="s">
        <v>1720</v>
      </c>
      <c r="C410" s="177" t="s">
        <v>4218</v>
      </c>
      <c r="D410" s="510">
        <v>46099</v>
      </c>
      <c r="E410" s="177"/>
      <c r="F410" s="177" t="s">
        <v>545</v>
      </c>
      <c r="G410" s="1175" t="s">
        <v>7867</v>
      </c>
      <c r="H410" s="21" t="s">
        <v>7868</v>
      </c>
      <c r="I410" s="915">
        <v>36500</v>
      </c>
      <c r="J410" s="3">
        <f t="shared" si="8"/>
        <v>32120</v>
      </c>
      <c r="K410" s="30" t="s">
        <v>17</v>
      </c>
      <c r="L410" s="233">
        <v>46175</v>
      </c>
      <c r="M410" s="1289"/>
      <c r="N410" s="181"/>
      <c r="U410" s="21" t="s">
        <v>4983</v>
      </c>
      <c r="V410" s="488">
        <v>0.7402777777777777</v>
      </c>
      <c r="W410" s="488">
        <v>0.91249999999999998</v>
      </c>
    </row>
    <row r="411" spans="1:24" hidden="1" x14ac:dyDescent="0.25">
      <c r="A411" s="483" t="s">
        <v>7860</v>
      </c>
      <c r="B411" s="21" t="s">
        <v>1720</v>
      </c>
      <c r="C411" s="28" t="s">
        <v>4218</v>
      </c>
      <c r="D411" s="233">
        <v>46101</v>
      </c>
      <c r="E411" s="28"/>
      <c r="F411" s="28" t="s">
        <v>545</v>
      </c>
      <c r="G411" s="1175" t="s">
        <v>7874</v>
      </c>
      <c r="H411" s="30" t="s">
        <v>7875</v>
      </c>
      <c r="I411" s="915">
        <v>36500</v>
      </c>
      <c r="J411" s="3">
        <f t="shared" si="8"/>
        <v>32120</v>
      </c>
      <c r="K411" s="1067" t="s">
        <v>17</v>
      </c>
      <c r="L411" s="233">
        <v>46192</v>
      </c>
      <c r="M411" s="558"/>
      <c r="N411" s="88"/>
      <c r="U411" t="s">
        <v>4138</v>
      </c>
      <c r="V411" s="360"/>
      <c r="W411" s="360"/>
    </row>
    <row r="412" spans="1:24" hidden="1" x14ac:dyDescent="0.25">
      <c r="A412" s="483" t="s">
        <v>7887</v>
      </c>
      <c r="B412" t="s">
        <v>1720</v>
      </c>
      <c r="C412" s="28" t="s">
        <v>410</v>
      </c>
      <c r="D412" s="233">
        <v>46113</v>
      </c>
      <c r="E412" s="28"/>
      <c r="F412" s="28" t="s">
        <v>545</v>
      </c>
      <c r="G412" s="1276" t="s">
        <v>8017</v>
      </c>
      <c r="H412" s="30" t="s">
        <v>7924</v>
      </c>
      <c r="I412" s="798">
        <v>36500</v>
      </c>
      <c r="J412" s="3">
        <f t="shared" si="8"/>
        <v>32120</v>
      </c>
      <c r="K412" s="1276" t="s">
        <v>17</v>
      </c>
      <c r="L412" s="233">
        <v>46212</v>
      </c>
      <c r="M412" s="558"/>
      <c r="N412" s="88"/>
      <c r="S412" t="s">
        <v>5131</v>
      </c>
      <c r="T412" s="360"/>
      <c r="U412" s="360"/>
    </row>
    <row r="413" spans="1:24" hidden="1" x14ac:dyDescent="0.25">
      <c r="A413" s="483" t="s">
        <v>7997</v>
      </c>
      <c r="B413" t="s">
        <v>1720</v>
      </c>
      <c r="C413" s="28" t="s">
        <v>410</v>
      </c>
      <c r="D413" s="233">
        <v>46130</v>
      </c>
      <c r="E413" s="28"/>
      <c r="F413" s="28" t="s">
        <v>545</v>
      </c>
      <c r="G413" s="88" t="s">
        <v>8016</v>
      </c>
      <c r="H413" s="30" t="s">
        <v>8014</v>
      </c>
      <c r="I413" s="798">
        <v>37500</v>
      </c>
      <c r="J413" s="3">
        <f t="shared" si="8"/>
        <v>33000</v>
      </c>
      <c r="K413" s="1276" t="s">
        <v>17</v>
      </c>
      <c r="L413" s="233">
        <v>46213</v>
      </c>
      <c r="M413" s="798"/>
      <c r="U413" t="s">
        <v>7417</v>
      </c>
      <c r="V413" s="360">
        <v>0.67222222222222217</v>
      </c>
      <c r="W413" s="360">
        <v>0.84236111111111101</v>
      </c>
    </row>
    <row r="414" spans="1:24" hidden="1" x14ac:dyDescent="0.25">
      <c r="A414" s="483" t="s">
        <v>8027</v>
      </c>
      <c r="B414" t="s">
        <v>1720</v>
      </c>
      <c r="C414" s="28" t="s">
        <v>410</v>
      </c>
      <c r="D414" s="233">
        <v>46140</v>
      </c>
      <c r="E414" s="28"/>
      <c r="F414" s="28" t="s">
        <v>545</v>
      </c>
      <c r="G414" s="88" t="s">
        <v>8091</v>
      </c>
      <c r="H414" s="30" t="s">
        <v>8046</v>
      </c>
      <c r="I414" s="798">
        <v>37500</v>
      </c>
      <c r="J414" s="3">
        <f t="shared" si="8"/>
        <v>33000</v>
      </c>
      <c r="K414" s="1276" t="s">
        <v>17</v>
      </c>
      <c r="L414" s="233">
        <v>46212</v>
      </c>
      <c r="M414" s="798"/>
      <c r="U414" t="s">
        <v>4297</v>
      </c>
      <c r="V414" s="360">
        <v>13.51</v>
      </c>
      <c r="W414" s="360"/>
    </row>
    <row r="415" spans="1:24" ht="13.5" hidden="1" customHeight="1" x14ac:dyDescent="0.25">
      <c r="A415" s="483" t="s">
        <v>8055</v>
      </c>
      <c r="B415" t="s">
        <v>1720</v>
      </c>
      <c r="C415" s="28" t="s">
        <v>4218</v>
      </c>
      <c r="D415" s="233">
        <v>46143</v>
      </c>
      <c r="F415" s="28" t="s">
        <v>545</v>
      </c>
      <c r="G415" s="88" t="s">
        <v>8089</v>
      </c>
      <c r="H415" s="30" t="s">
        <v>8074</v>
      </c>
      <c r="I415" s="798">
        <v>37500</v>
      </c>
      <c r="J415" s="3">
        <f t="shared" si="8"/>
        <v>33000</v>
      </c>
      <c r="K415" s="1293" t="s">
        <v>17</v>
      </c>
      <c r="L415" s="510">
        <v>46239</v>
      </c>
      <c r="M415" s="798"/>
      <c r="N415" s="798"/>
      <c r="V415" t="s">
        <v>6067</v>
      </c>
      <c r="W415" s="360">
        <v>0.57430555555555551</v>
      </c>
      <c r="X415" s="360">
        <v>0.75347222222222221</v>
      </c>
    </row>
    <row r="416" spans="1:24" hidden="1" x14ac:dyDescent="0.25">
      <c r="A416" s="483" t="s">
        <v>8056</v>
      </c>
      <c r="B416" t="s">
        <v>1720</v>
      </c>
      <c r="C416" s="28" t="s">
        <v>410</v>
      </c>
      <c r="D416" s="233">
        <v>46144</v>
      </c>
      <c r="F416" s="28" t="s">
        <v>545</v>
      </c>
      <c r="G416" s="88" t="s">
        <v>8090</v>
      </c>
      <c r="H416" s="30" t="s">
        <v>8073</v>
      </c>
      <c r="I416" s="798">
        <v>37500</v>
      </c>
      <c r="J416" s="3">
        <f t="shared" si="8"/>
        <v>33000</v>
      </c>
      <c r="K416" s="1293" t="s">
        <v>17</v>
      </c>
      <c r="L416" s="510">
        <v>46239</v>
      </c>
      <c r="M416" s="798"/>
      <c r="N416" s="798"/>
      <c r="V416" t="s">
        <v>4140</v>
      </c>
      <c r="W416" s="360">
        <v>0.70138888888888884</v>
      </c>
      <c r="X416" s="360">
        <v>0.96875</v>
      </c>
    </row>
    <row r="417" spans="1:24" s="21" customFormat="1" hidden="1" x14ac:dyDescent="0.25">
      <c r="A417" s="509">
        <v>16062026</v>
      </c>
      <c r="B417" s="21" t="s">
        <v>1720</v>
      </c>
      <c r="C417" s="1474" t="s">
        <v>13</v>
      </c>
      <c r="D417" s="510">
        <v>46189</v>
      </c>
      <c r="E417" s="177"/>
      <c r="F417" s="177" t="s">
        <v>545</v>
      </c>
      <c r="G417" s="181" t="s">
        <v>8234</v>
      </c>
      <c r="H417" s="169" t="s">
        <v>8235</v>
      </c>
      <c r="I417" s="911">
        <v>37500</v>
      </c>
      <c r="J417" s="22">
        <f t="shared" si="8"/>
        <v>33000</v>
      </c>
      <c r="K417" s="1293" t="s">
        <v>17</v>
      </c>
      <c r="L417" s="510">
        <v>46258</v>
      </c>
      <c r="N417" s="911"/>
      <c r="V417" s="21" t="s">
        <v>4983</v>
      </c>
      <c r="W417" s="488">
        <v>0.80902777777777779</v>
      </c>
      <c r="X417" s="488">
        <v>0.97916666666666663</v>
      </c>
    </row>
    <row r="418" spans="1:24" hidden="1" x14ac:dyDescent="0.25">
      <c r="A418" s="483">
        <v>17062026</v>
      </c>
      <c r="B418" s="21" t="s">
        <v>1720</v>
      </c>
      <c r="C418" s="31" t="s">
        <v>13</v>
      </c>
      <c r="D418" s="233">
        <v>46190</v>
      </c>
      <c r="E418" s="28"/>
      <c r="F418" s="28" t="s">
        <v>545</v>
      </c>
      <c r="G418" s="88" t="s">
        <v>8241</v>
      </c>
      <c r="H418" s="30" t="s">
        <v>8282</v>
      </c>
      <c r="I418" s="798">
        <v>27500</v>
      </c>
      <c r="J418" s="3">
        <f t="shared" si="8"/>
        <v>24200</v>
      </c>
      <c r="K418" s="1345" t="s">
        <v>17</v>
      </c>
      <c r="L418" s="233">
        <v>46267</v>
      </c>
      <c r="N418" s="798"/>
      <c r="V418" s="21" t="s">
        <v>8125</v>
      </c>
      <c r="W418" s="360">
        <v>0.86041666666666661</v>
      </c>
      <c r="X418" s="360">
        <v>0.98125000000000007</v>
      </c>
    </row>
    <row r="419" spans="1:24" hidden="1" x14ac:dyDescent="0.25">
      <c r="A419" s="483">
        <v>25062026</v>
      </c>
      <c r="B419" s="21" t="s">
        <v>1720</v>
      </c>
      <c r="C419" s="31" t="s">
        <v>410</v>
      </c>
      <c r="D419" s="233">
        <v>46198</v>
      </c>
      <c r="E419" s="28"/>
      <c r="F419" s="28" t="s">
        <v>545</v>
      </c>
      <c r="G419" s="88" t="s">
        <v>8294</v>
      </c>
      <c r="H419" s="30" t="s">
        <v>8293</v>
      </c>
      <c r="I419" s="798">
        <v>27500</v>
      </c>
      <c r="J419" s="3">
        <f t="shared" si="8"/>
        <v>24200</v>
      </c>
      <c r="K419" s="1345" t="s">
        <v>17</v>
      </c>
      <c r="L419" s="233">
        <v>46268</v>
      </c>
      <c r="N419" s="798"/>
      <c r="V419" s="21" t="s">
        <v>6503</v>
      </c>
      <c r="W419" s="360">
        <v>0.64513888888888882</v>
      </c>
      <c r="X419" s="360"/>
    </row>
    <row r="420" spans="1:24" hidden="1" x14ac:dyDescent="0.25">
      <c r="A420" s="483">
        <v>25062026</v>
      </c>
      <c r="B420" s="21" t="s">
        <v>1720</v>
      </c>
      <c r="C420" s="31" t="s">
        <v>13</v>
      </c>
      <c r="D420" s="233">
        <v>46198</v>
      </c>
      <c r="E420" s="28"/>
      <c r="F420" s="28" t="s">
        <v>545</v>
      </c>
      <c r="G420" s="88" t="s">
        <v>8291</v>
      </c>
      <c r="H420" s="30" t="s">
        <v>8292</v>
      </c>
      <c r="I420" s="798">
        <v>37500</v>
      </c>
      <c r="J420" s="3">
        <f t="shared" si="8"/>
        <v>33000</v>
      </c>
      <c r="K420" s="1345" t="s">
        <v>17</v>
      </c>
      <c r="L420" s="233">
        <v>46267</v>
      </c>
      <c r="N420" s="798"/>
      <c r="V420" s="21" t="s">
        <v>7833</v>
      </c>
      <c r="W420" s="360">
        <v>0.62152777777777779</v>
      </c>
      <c r="X420" s="360"/>
    </row>
    <row r="421" spans="1:24" hidden="1" x14ac:dyDescent="0.25">
      <c r="A421" s="483" t="s">
        <v>8288</v>
      </c>
      <c r="B421" t="s">
        <v>1720</v>
      </c>
      <c r="C421" s="31" t="s">
        <v>13</v>
      </c>
      <c r="D421" s="233">
        <v>46204</v>
      </c>
      <c r="E421" s="28"/>
      <c r="F421" s="313" t="s">
        <v>545</v>
      </c>
      <c r="G421" s="88" t="s">
        <v>8308</v>
      </c>
      <c r="H421" s="30" t="s">
        <v>8309</v>
      </c>
      <c r="I421" s="313">
        <v>37500</v>
      </c>
      <c r="J421" s="3">
        <f t="shared" si="8"/>
        <v>33000</v>
      </c>
      <c r="K421" s="1345" t="s">
        <v>17</v>
      </c>
      <c r="L421" s="233">
        <v>46268</v>
      </c>
      <c r="N421" s="88"/>
      <c r="V421" t="s">
        <v>8289</v>
      </c>
      <c r="W421" s="360">
        <v>0.63055555555555554</v>
      </c>
      <c r="X421" s="30"/>
    </row>
    <row r="422" spans="1:24" hidden="1" x14ac:dyDescent="0.25">
      <c r="A422" s="483" t="s">
        <v>8295</v>
      </c>
      <c r="B422" t="s">
        <v>1720</v>
      </c>
      <c r="C422" s="31"/>
      <c r="D422" s="233">
        <v>46205</v>
      </c>
      <c r="E422" s="28"/>
      <c r="F422" s="313" t="s">
        <v>545</v>
      </c>
      <c r="G422" s="88" t="s">
        <v>8311</v>
      </c>
      <c r="H422" s="30" t="s">
        <v>8310</v>
      </c>
      <c r="I422" s="313">
        <v>27500</v>
      </c>
      <c r="J422" s="3">
        <f t="shared" si="8"/>
        <v>24200</v>
      </c>
      <c r="K422" s="358" t="s">
        <v>17</v>
      </c>
      <c r="L422" s="233">
        <v>46269</v>
      </c>
      <c r="N422" s="88"/>
      <c r="W422" s="360"/>
      <c r="X422" s="30"/>
    </row>
    <row r="423" spans="1:24" x14ac:dyDescent="0.25">
      <c r="A423" s="483" t="s">
        <v>8297</v>
      </c>
      <c r="B423" t="s">
        <v>1720</v>
      </c>
      <c r="C423" s="31"/>
      <c r="D423" s="233">
        <v>46206</v>
      </c>
      <c r="E423" s="28"/>
      <c r="F423" s="313" t="s">
        <v>545</v>
      </c>
      <c r="G423" s="88" t="s">
        <v>8336</v>
      </c>
      <c r="H423" s="30" t="s">
        <v>8335</v>
      </c>
      <c r="I423" s="313">
        <v>37500</v>
      </c>
      <c r="J423" s="3">
        <f t="shared" si="8"/>
        <v>33000</v>
      </c>
      <c r="N423" s="88"/>
      <c r="O423" s="88"/>
      <c r="W423" s="360"/>
      <c r="X423" s="30"/>
    </row>
    <row r="424" spans="1:24" x14ac:dyDescent="0.25">
      <c r="A424" s="483" t="s">
        <v>8319</v>
      </c>
      <c r="B424" t="s">
        <v>1720</v>
      </c>
      <c r="C424" s="31" t="s">
        <v>13</v>
      </c>
      <c r="D424" s="233">
        <v>46212</v>
      </c>
      <c r="E424" s="28"/>
      <c r="F424" s="313" t="s">
        <v>545</v>
      </c>
      <c r="G424" s="88" t="s">
        <v>8370</v>
      </c>
      <c r="H424" s="30" t="s">
        <v>8385</v>
      </c>
      <c r="I424" s="313">
        <v>37500</v>
      </c>
      <c r="J424" s="3">
        <f t="shared" si="8"/>
        <v>33000</v>
      </c>
      <c r="N424" s="88"/>
      <c r="O424" s="88"/>
      <c r="V424" t="s">
        <v>4867</v>
      </c>
      <c r="W424" s="360">
        <v>0.78749999999999998</v>
      </c>
      <c r="X424" s="360">
        <v>0.97638888888888886</v>
      </c>
    </row>
    <row r="425" spans="1:24" x14ac:dyDescent="0.25">
      <c r="A425" s="30">
        <v>22072026</v>
      </c>
      <c r="B425" t="s">
        <v>1720</v>
      </c>
      <c r="D425" s="1068">
        <v>46225</v>
      </c>
      <c r="F425" s="313" t="s">
        <v>545</v>
      </c>
      <c r="G425" s="88" t="s">
        <v>8384</v>
      </c>
      <c r="H425" s="30" t="s">
        <v>8409</v>
      </c>
      <c r="I425" s="88">
        <v>27500</v>
      </c>
      <c r="J425" s="3">
        <f t="shared" si="8"/>
        <v>24200</v>
      </c>
    </row>
    <row r="426" spans="1:24" ht="15.75" thickBot="1" x14ac:dyDescent="0.3">
      <c r="K426" s="30"/>
    </row>
    <row r="427" spans="1:24" ht="15.75" thickBot="1" x14ac:dyDescent="0.3">
      <c r="I427" s="242">
        <f>SUBTOTAL(9,I310:I426)</f>
        <v>102500</v>
      </c>
      <c r="K427" s="30"/>
    </row>
    <row r="428" spans="1:24" x14ac:dyDescent="0.25">
      <c r="K428" s="30"/>
    </row>
    <row r="429" spans="1:24" x14ac:dyDescent="0.25">
      <c r="K429" s="30"/>
    </row>
    <row r="430" spans="1:24" ht="15.75" thickBot="1" x14ac:dyDescent="0.3">
      <c r="K430" s="30"/>
    </row>
    <row r="431" spans="1:24" ht="15.75" thickBot="1" x14ac:dyDescent="0.3">
      <c r="H431" t="s">
        <v>3218</v>
      </c>
      <c r="I431" s="242">
        <f>+I288+I427</f>
        <v>77484</v>
      </c>
      <c r="K431" s="30"/>
    </row>
    <row r="432" spans="1:24" x14ac:dyDescent="0.25">
      <c r="K432" s="30"/>
    </row>
    <row r="433" spans="10:11" x14ac:dyDescent="0.25">
      <c r="K433" s="30"/>
    </row>
    <row r="434" spans="10:11" x14ac:dyDescent="0.25">
      <c r="J434" s="3"/>
    </row>
  </sheetData>
  <autoFilter ref="A2:AD433" xr:uid="{00000000-0009-0000-0000-000033000000}">
    <filterColumn colId="10">
      <filters blank="1">
        <filter val="7,680,856.00"/>
        <filter val="DESCRIPC"/>
        <filter val="Ejecutado"/>
        <filter val="Facturado"/>
        <filter val="Pagado"/>
        <filter val="Total facturado"/>
        <filter val="Total pagado"/>
      </filters>
    </filterColumn>
    <filterColumn colId="13" showButton="0"/>
    <filterColumn colId="14" showButton="0"/>
    <filterColumn colId="15" showButton="0"/>
  </autoFilter>
  <mergeCells count="9">
    <mergeCell ref="H303:I303"/>
    <mergeCell ref="J298:K298"/>
    <mergeCell ref="J303:K303"/>
    <mergeCell ref="J304:L304"/>
    <mergeCell ref="N2:Q2"/>
    <mergeCell ref="J296:L296"/>
    <mergeCell ref="M296:Q296"/>
    <mergeCell ref="R296:S296"/>
    <mergeCell ref="J297:L297"/>
  </mergeCells>
  <pageMargins left="0.7" right="0.7" top="0.75" bottom="0.75" header="0.3" footer="0.3"/>
  <pageSetup orientation="portrait" r:id="rId1"/>
  <ignoredErrors>
    <ignoredError sqref="A37"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566299" r:id="rId4" name="Button 1">
              <controlPr defaultSize="0" print="0" autoFill="0" autoPict="0" macro="[0]!RETORNAR">
                <anchor moveWithCells="1" sizeWithCells="1">
                  <from>
                    <xdr:col>0</xdr:col>
                    <xdr:colOff>38100</xdr:colOff>
                    <xdr:row>0</xdr:row>
                    <xdr:rowOff>47625</xdr:rowOff>
                  </from>
                  <to>
                    <xdr:col>1</xdr:col>
                    <xdr:colOff>1095375</xdr:colOff>
                    <xdr:row>0</xdr:row>
                    <xdr:rowOff>314325</xdr:rowOff>
                  </to>
                </anchor>
              </controlPr>
            </control>
          </mc:Choice>
        </mc:AlternateContent>
        <mc:AlternateContent xmlns:mc="http://schemas.openxmlformats.org/markup-compatibility/2006">
          <mc:Choice Requires="x14">
            <control shapeId="566380" r:id="rId5" name="Botón 108">
              <controlPr defaultSize="0" print="0" autoFill="0" autoPict="0" macro="[0]!IR_VENTAS_B200_2026">
                <anchor moveWithCells="1" sizeWithCells="1">
                  <from>
                    <xdr:col>1</xdr:col>
                    <xdr:colOff>123825</xdr:colOff>
                    <xdr:row>432</xdr:row>
                    <xdr:rowOff>161925</xdr:rowOff>
                  </from>
                  <to>
                    <xdr:col>1</xdr:col>
                    <xdr:colOff>1428750</xdr:colOff>
                    <xdr:row>436</xdr:row>
                    <xdr:rowOff>9525</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Hoja53" filterMode="1"/>
  <dimension ref="A2:V34"/>
  <sheetViews>
    <sheetView workbookViewId="0">
      <selection activeCell="K30" sqref="K30"/>
    </sheetView>
  </sheetViews>
  <sheetFormatPr baseColWidth="10" defaultColWidth="10.85546875" defaultRowHeight="15" x14ac:dyDescent="0.25"/>
  <cols>
    <col min="2" max="2" width="27.7109375" customWidth="1"/>
    <col min="5" max="5" width="12.85546875" customWidth="1"/>
    <col min="6" max="6" width="10.85546875" style="28"/>
    <col min="7" max="7" width="46.28515625" customWidth="1"/>
    <col min="8" max="8" width="13.85546875" customWidth="1"/>
    <col min="9" max="9" width="14.140625" style="32" customWidth="1"/>
    <col min="11" max="11" width="14.42578125" style="30" customWidth="1"/>
  </cols>
  <sheetData>
    <row r="2" spans="1:22" x14ac:dyDescent="0.25">
      <c r="A2" t="s">
        <v>706</v>
      </c>
      <c r="B2" s="1" t="s">
        <v>0</v>
      </c>
      <c r="C2" s="1" t="s">
        <v>1</v>
      </c>
      <c r="D2" s="1" t="s">
        <v>2</v>
      </c>
      <c r="E2" s="1" t="s">
        <v>5275</v>
      </c>
      <c r="F2" s="25" t="s">
        <v>3</v>
      </c>
      <c r="G2" s="1" t="s">
        <v>4</v>
      </c>
      <c r="H2" s="1" t="s">
        <v>5</v>
      </c>
      <c r="I2" s="1" t="s">
        <v>7</v>
      </c>
      <c r="J2" s="1" t="s">
        <v>1780</v>
      </c>
      <c r="K2" s="115" t="s">
        <v>8</v>
      </c>
      <c r="L2" s="1" t="s">
        <v>3997</v>
      </c>
      <c r="M2" s="1" t="s">
        <v>10</v>
      </c>
      <c r="N2" s="1480" t="s">
        <v>11</v>
      </c>
      <c r="O2" s="1480"/>
      <c r="P2" s="1480"/>
      <c r="Q2" s="1480"/>
    </row>
    <row r="3" spans="1:22" hidden="1" x14ac:dyDescent="0.25">
      <c r="A3" s="246">
        <v>26012023</v>
      </c>
      <c r="B3" t="s">
        <v>1809</v>
      </c>
      <c r="C3" t="s">
        <v>13</v>
      </c>
      <c r="D3" s="122">
        <v>44952</v>
      </c>
      <c r="F3" t="s">
        <v>1810</v>
      </c>
      <c r="G3" t="s">
        <v>2156</v>
      </c>
      <c r="H3" t="s">
        <v>2041</v>
      </c>
      <c r="I3" s="32">
        <v>7080</v>
      </c>
      <c r="J3" s="32">
        <f>+I3*0.88</f>
        <v>6230.4</v>
      </c>
      <c r="K3" s="30" t="s">
        <v>17</v>
      </c>
      <c r="L3" s="122">
        <v>45100</v>
      </c>
      <c r="S3" t="s">
        <v>1644</v>
      </c>
      <c r="T3" s="14">
        <v>0.47569444444444442</v>
      </c>
      <c r="U3">
        <v>0.67986111111111114</v>
      </c>
    </row>
    <row r="4" spans="1:22" hidden="1" x14ac:dyDescent="0.25">
      <c r="A4" s="256">
        <v>29112023</v>
      </c>
      <c r="B4" t="s">
        <v>3238</v>
      </c>
      <c r="C4" t="s">
        <v>13</v>
      </c>
      <c r="D4" s="122">
        <v>45259</v>
      </c>
      <c r="F4" s="28" t="s">
        <v>877</v>
      </c>
      <c r="G4" s="30" t="s">
        <v>3364</v>
      </c>
      <c r="H4" s="30" t="s">
        <v>4482</v>
      </c>
      <c r="I4" s="236">
        <v>7080</v>
      </c>
      <c r="J4" s="32">
        <f>+I4*0.88</f>
        <v>6230.4</v>
      </c>
      <c r="K4" s="30" t="s">
        <v>17</v>
      </c>
      <c r="L4" s="122">
        <v>45505</v>
      </c>
      <c r="T4" s="14" t="s">
        <v>989</v>
      </c>
      <c r="U4" s="14">
        <v>0.33888888888888885</v>
      </c>
      <c r="V4" s="14"/>
    </row>
    <row r="5" spans="1:22" hidden="1" x14ac:dyDescent="0.25">
      <c r="A5" s="483">
        <v>31072024</v>
      </c>
      <c r="B5" t="s">
        <v>3238</v>
      </c>
      <c r="C5" s="28" t="s">
        <v>410</v>
      </c>
      <c r="D5" s="233">
        <v>45504</v>
      </c>
      <c r="E5" s="28" t="s">
        <v>5274</v>
      </c>
      <c r="F5" s="28" t="s">
        <v>68</v>
      </c>
      <c r="G5" s="30" t="s">
        <v>4647</v>
      </c>
      <c r="H5" s="339" t="s">
        <v>5271</v>
      </c>
      <c r="I5" s="236">
        <v>11505</v>
      </c>
      <c r="J5" s="4">
        <f>+I5-ROUND(I5*0.12,0)</f>
        <v>10124</v>
      </c>
      <c r="K5" s="30" t="s">
        <v>17</v>
      </c>
      <c r="L5" s="233">
        <v>45660</v>
      </c>
      <c r="T5" s="14" t="s">
        <v>4365</v>
      </c>
      <c r="U5" s="360">
        <v>0.68888888888888899</v>
      </c>
      <c r="V5" s="360"/>
    </row>
    <row r="6" spans="1:22" hidden="1" x14ac:dyDescent="0.25">
      <c r="A6" s="95">
        <v>27082024</v>
      </c>
      <c r="B6" t="s">
        <v>3238</v>
      </c>
      <c r="C6" s="28" t="s">
        <v>410</v>
      </c>
      <c r="D6" s="233">
        <v>45531</v>
      </c>
      <c r="E6" s="28" t="s">
        <v>5274</v>
      </c>
      <c r="F6" s="28" t="s">
        <v>207</v>
      </c>
      <c r="G6" s="30" t="s">
        <v>4791</v>
      </c>
      <c r="H6" s="339" t="s">
        <v>5271</v>
      </c>
      <c r="I6" s="88">
        <v>9204</v>
      </c>
      <c r="J6" s="4">
        <f t="shared" ref="J6:J17" si="0">+I6-ROUND(I6*0.12,0)</f>
        <v>8100</v>
      </c>
      <c r="K6" s="30" t="s">
        <v>17</v>
      </c>
      <c r="L6" s="233">
        <v>45660</v>
      </c>
      <c r="T6" t="s">
        <v>1644</v>
      </c>
      <c r="U6" s="360">
        <v>0.25972222222222224</v>
      </c>
      <c r="V6" s="360">
        <v>0.46875</v>
      </c>
    </row>
    <row r="7" spans="1:22" hidden="1" x14ac:dyDescent="0.25">
      <c r="A7" s="483" t="s">
        <v>4910</v>
      </c>
      <c r="B7" t="s">
        <v>3238</v>
      </c>
      <c r="C7" s="28" t="s">
        <v>4218</v>
      </c>
      <c r="D7" s="233">
        <v>45577</v>
      </c>
      <c r="E7" s="28" t="s">
        <v>5247</v>
      </c>
      <c r="F7" s="28" t="s">
        <v>861</v>
      </c>
      <c r="G7" s="30" t="s">
        <v>5153</v>
      </c>
      <c r="H7" s="339" t="s">
        <v>5311</v>
      </c>
      <c r="I7" s="313">
        <v>8743.7999999999993</v>
      </c>
      <c r="J7" s="4">
        <f t="shared" si="0"/>
        <v>7694.7999999999993</v>
      </c>
      <c r="K7" s="30" t="s">
        <v>17</v>
      </c>
      <c r="L7" s="233">
        <v>45660</v>
      </c>
      <c r="T7" t="s">
        <v>4911</v>
      </c>
      <c r="U7" s="360">
        <v>0.54652777777777783</v>
      </c>
      <c r="V7" s="360">
        <v>0.73541666666666661</v>
      </c>
    </row>
    <row r="8" spans="1:22" s="28" customFormat="1" hidden="1" x14ac:dyDescent="0.25">
      <c r="A8" s="483" t="s">
        <v>5082</v>
      </c>
      <c r="B8" t="s">
        <v>5635</v>
      </c>
      <c r="C8" s="233" t="s">
        <v>809</v>
      </c>
      <c r="D8" s="233">
        <v>45604</v>
      </c>
      <c r="E8" s="28" t="s">
        <v>5247</v>
      </c>
      <c r="F8" s="28" t="s">
        <v>285</v>
      </c>
      <c r="G8" s="30" t="s">
        <v>5154</v>
      </c>
      <c r="H8" s="339" t="s">
        <v>5251</v>
      </c>
      <c r="I8" s="313">
        <v>11505</v>
      </c>
      <c r="J8" s="4">
        <f t="shared" si="0"/>
        <v>10124</v>
      </c>
      <c r="K8" s="30" t="s">
        <v>17</v>
      </c>
      <c r="L8" s="233">
        <v>45748</v>
      </c>
      <c r="T8" s="28" t="s">
        <v>3206</v>
      </c>
      <c r="U8" s="276">
        <v>0.35000000000000003</v>
      </c>
      <c r="V8" s="276"/>
    </row>
    <row r="9" spans="1:22" hidden="1" x14ac:dyDescent="0.25">
      <c r="A9" s="483">
        <v>19112024</v>
      </c>
      <c r="B9" t="s">
        <v>5635</v>
      </c>
      <c r="C9" s="233" t="s">
        <v>13</v>
      </c>
      <c r="D9" s="233">
        <v>45615</v>
      </c>
      <c r="E9" s="28" t="s">
        <v>5247</v>
      </c>
      <c r="F9" s="28" t="s">
        <v>2029</v>
      </c>
      <c r="G9" t="s">
        <v>5155</v>
      </c>
      <c r="H9" s="339" t="s">
        <v>5252</v>
      </c>
      <c r="I9" s="313">
        <v>6442.7999999999993</v>
      </c>
      <c r="J9" s="4">
        <f t="shared" si="0"/>
        <v>5669.7999999999993</v>
      </c>
      <c r="K9" s="30" t="s">
        <v>17</v>
      </c>
      <c r="L9" s="233">
        <v>45748</v>
      </c>
      <c r="T9" t="s">
        <v>4853</v>
      </c>
      <c r="U9" s="360">
        <v>0.33958333333333335</v>
      </c>
      <c r="V9" s="360">
        <v>0.51597222222222217</v>
      </c>
    </row>
    <row r="10" spans="1:22" hidden="1" x14ac:dyDescent="0.25">
      <c r="A10" s="483">
        <v>27112024</v>
      </c>
      <c r="B10" t="s">
        <v>3238</v>
      </c>
      <c r="C10" s="233" t="s">
        <v>4218</v>
      </c>
      <c r="D10" s="233">
        <v>45623</v>
      </c>
      <c r="E10" s="28" t="s">
        <v>5274</v>
      </c>
      <c r="F10" s="28" t="s">
        <v>872</v>
      </c>
      <c r="G10" t="s">
        <v>5248</v>
      </c>
      <c r="H10" s="339" t="s">
        <v>5505</v>
      </c>
      <c r="I10" s="313">
        <v>9011.5419999999995</v>
      </c>
      <c r="J10" s="4">
        <f t="shared" si="0"/>
        <v>7930.5419999999995</v>
      </c>
      <c r="K10" s="236" t="s">
        <v>17</v>
      </c>
      <c r="L10" s="233">
        <v>45728</v>
      </c>
      <c r="T10" t="s">
        <v>4509</v>
      </c>
      <c r="U10" s="360"/>
      <c r="V10" s="360"/>
    </row>
    <row r="11" spans="1:22" hidden="1" x14ac:dyDescent="0.25">
      <c r="A11" s="483">
        <v>27112024</v>
      </c>
      <c r="B11" t="s">
        <v>3238</v>
      </c>
      <c r="C11" s="233" t="s">
        <v>13</v>
      </c>
      <c r="D11" s="233">
        <v>45623</v>
      </c>
      <c r="E11" s="28" t="s">
        <v>5274</v>
      </c>
      <c r="F11" s="28" t="s">
        <v>294</v>
      </c>
      <c r="G11" t="s">
        <v>5249</v>
      </c>
      <c r="H11" s="339" t="s">
        <v>5505</v>
      </c>
      <c r="I11" s="313">
        <v>9990.9419999999991</v>
      </c>
      <c r="J11" s="4">
        <f t="shared" si="0"/>
        <v>8791.9419999999991</v>
      </c>
      <c r="K11" s="236" t="s">
        <v>17</v>
      </c>
      <c r="L11" s="233">
        <v>45728</v>
      </c>
      <c r="T11" t="s">
        <v>4911</v>
      </c>
      <c r="U11" s="360"/>
      <c r="V11" s="360"/>
    </row>
    <row r="12" spans="1:22" hidden="1" x14ac:dyDescent="0.25">
      <c r="A12" s="483">
        <v>1122024</v>
      </c>
      <c r="B12" t="s">
        <v>5635</v>
      </c>
      <c r="C12" s="233" t="s">
        <v>13</v>
      </c>
      <c r="D12" s="233">
        <v>45627</v>
      </c>
      <c r="E12" s="28" t="s">
        <v>5247</v>
      </c>
      <c r="F12" s="28" t="s">
        <v>2437</v>
      </c>
      <c r="G12" t="s">
        <v>5241</v>
      </c>
      <c r="H12" s="339" t="s">
        <v>5253</v>
      </c>
      <c r="I12" s="313">
        <v>5752.5</v>
      </c>
      <c r="J12" s="4">
        <f t="shared" si="0"/>
        <v>5062.5</v>
      </c>
      <c r="K12" s="30" t="s">
        <v>17</v>
      </c>
      <c r="L12" s="233">
        <v>45748</v>
      </c>
      <c r="T12" t="s">
        <v>5020</v>
      </c>
      <c r="U12" s="360">
        <v>0.30624999999999997</v>
      </c>
      <c r="V12" s="360">
        <v>0.51041666666666663</v>
      </c>
    </row>
    <row r="13" spans="1:22" hidden="1" x14ac:dyDescent="0.25">
      <c r="A13" s="483">
        <v>2122024</v>
      </c>
      <c r="B13" t="s">
        <v>5635</v>
      </c>
      <c r="C13" s="233" t="s">
        <v>410</v>
      </c>
      <c r="D13" s="233">
        <v>45628</v>
      </c>
      <c r="E13" s="28" t="s">
        <v>5247</v>
      </c>
      <c r="F13" s="28" t="s">
        <v>285</v>
      </c>
      <c r="G13" t="s">
        <v>5250</v>
      </c>
      <c r="H13" s="339" t="s">
        <v>5254</v>
      </c>
      <c r="I13" s="313">
        <v>11505</v>
      </c>
      <c r="J13" s="4">
        <f t="shared" si="0"/>
        <v>10124</v>
      </c>
      <c r="K13" s="30" t="s">
        <v>17</v>
      </c>
      <c r="L13" s="233">
        <v>45748</v>
      </c>
      <c r="T13" t="s">
        <v>5004</v>
      </c>
      <c r="U13" s="360">
        <v>0.29305555555555557</v>
      </c>
      <c r="V13" s="360"/>
    </row>
    <row r="14" spans="1:22" hidden="1" x14ac:dyDescent="0.25">
      <c r="A14" s="483" t="s">
        <v>5634</v>
      </c>
      <c r="B14" t="s">
        <v>5635</v>
      </c>
      <c r="C14" s="28" t="s">
        <v>13</v>
      </c>
      <c r="D14" s="233">
        <v>45695</v>
      </c>
      <c r="E14" s="28" t="s">
        <v>5247</v>
      </c>
      <c r="F14" s="28" t="s">
        <v>2029</v>
      </c>
      <c r="G14" s="30" t="s">
        <v>5707</v>
      </c>
      <c r="H14" s="28" t="s">
        <v>6738</v>
      </c>
      <c r="I14" s="88">
        <f>5460*1.18</f>
        <v>6442.7999999999993</v>
      </c>
      <c r="J14" s="4">
        <f>+I14*0.88</f>
        <v>5669.6639999999998</v>
      </c>
      <c r="K14" s="359" t="s">
        <v>17</v>
      </c>
      <c r="L14" s="233">
        <v>45917</v>
      </c>
      <c r="T14" t="s">
        <v>4365</v>
      </c>
      <c r="U14" s="360">
        <v>0.3215277777777778</v>
      </c>
      <c r="V14" s="360">
        <v>0.53472222222222221</v>
      </c>
    </row>
    <row r="15" spans="1:22" hidden="1" x14ac:dyDescent="0.25">
      <c r="A15" s="483">
        <v>25032025</v>
      </c>
      <c r="B15" s="21" t="s">
        <v>3238</v>
      </c>
      <c r="C15" s="28" t="s">
        <v>4218</v>
      </c>
      <c r="D15" s="233">
        <v>45741</v>
      </c>
      <c r="E15" s="28" t="s">
        <v>5247</v>
      </c>
      <c r="F15" s="28" t="s">
        <v>236</v>
      </c>
      <c r="G15" t="s">
        <v>6197</v>
      </c>
      <c r="H15" s="28" t="s">
        <v>6740</v>
      </c>
      <c r="I15" s="798">
        <f>11700*1.18</f>
        <v>13806</v>
      </c>
      <c r="J15" s="4">
        <f>+I15*0.88</f>
        <v>12149.28</v>
      </c>
      <c r="K15" s="359" t="s">
        <v>17</v>
      </c>
      <c r="L15" s="233">
        <v>45917</v>
      </c>
      <c r="T15" t="s">
        <v>2050</v>
      </c>
      <c r="U15" s="360">
        <v>0.30069444444444443</v>
      </c>
      <c r="V15" s="30"/>
    </row>
    <row r="16" spans="1:22" hidden="1" x14ac:dyDescent="0.25">
      <c r="A16" s="483" t="s">
        <v>6106</v>
      </c>
      <c r="B16" t="s">
        <v>3238</v>
      </c>
      <c r="C16" s="28" t="s">
        <v>660</v>
      </c>
      <c r="D16" s="233">
        <v>45780</v>
      </c>
      <c r="E16" s="28" t="s">
        <v>5247</v>
      </c>
      <c r="F16" s="28" t="s">
        <v>425</v>
      </c>
      <c r="G16" t="s">
        <v>6198</v>
      </c>
      <c r="H16" s="28" t="s">
        <v>6739</v>
      </c>
      <c r="I16" s="798">
        <f>6630*1.18</f>
        <v>7823.4</v>
      </c>
      <c r="J16" s="4">
        <f t="shared" si="0"/>
        <v>6884.4</v>
      </c>
      <c r="K16" s="359" t="s">
        <v>17</v>
      </c>
      <c r="L16" s="233">
        <v>45898</v>
      </c>
      <c r="T16" t="s">
        <v>5026</v>
      </c>
      <c r="U16" s="360">
        <v>0.53194444444444444</v>
      </c>
      <c r="V16" s="360">
        <v>0.74513888888888891</v>
      </c>
    </row>
    <row r="17" spans="1:22" hidden="1" x14ac:dyDescent="0.25">
      <c r="A17" s="483" t="s">
        <v>7778</v>
      </c>
      <c r="B17" s="33" t="s">
        <v>3238</v>
      </c>
      <c r="C17" s="28" t="s">
        <v>13</v>
      </c>
      <c r="D17" s="233">
        <v>46084</v>
      </c>
      <c r="E17" s="28"/>
      <c r="F17" s="28" t="s">
        <v>425</v>
      </c>
      <c r="G17" s="1067" t="s">
        <v>7910</v>
      </c>
      <c r="H17" s="28" t="s">
        <v>7911</v>
      </c>
      <c r="I17" s="915">
        <f>6630*1.18</f>
        <v>7823.4</v>
      </c>
      <c r="J17" s="4">
        <f t="shared" si="0"/>
        <v>6884.4</v>
      </c>
      <c r="K17" s="798" t="s">
        <v>17</v>
      </c>
      <c r="L17" s="233">
        <v>46169</v>
      </c>
      <c r="M17" s="88"/>
      <c r="T17" s="33" t="s">
        <v>4297</v>
      </c>
      <c r="U17" s="360">
        <v>0.33124999999999999</v>
      </c>
      <c r="V17" s="360">
        <v>0.52847222222222223</v>
      </c>
    </row>
    <row r="18" spans="1:22" x14ac:dyDescent="0.25">
      <c r="A18" s="116"/>
      <c r="D18" s="122"/>
      <c r="E18" s="88"/>
      <c r="I18" s="88"/>
      <c r="J18" s="3"/>
      <c r="K18" s="368"/>
      <c r="P18" s="14"/>
      <c r="Q18" s="14"/>
    </row>
    <row r="19" spans="1:22" x14ac:dyDescent="0.25">
      <c r="H19" s="5" t="s">
        <v>5259</v>
      </c>
      <c r="I19" s="906">
        <f>SUBTOTAL(9,I3:I18)</f>
        <v>0</v>
      </c>
      <c r="J19" s="88"/>
      <c r="K19" s="688"/>
    </row>
    <row r="20" spans="1:22" x14ac:dyDescent="0.25">
      <c r="J20" s="88"/>
      <c r="K20" s="368"/>
    </row>
    <row r="21" spans="1:22" x14ac:dyDescent="0.25">
      <c r="J21" s="32"/>
    </row>
    <row r="22" spans="1:22" x14ac:dyDescent="0.25">
      <c r="F22" s="746"/>
      <c r="H22" s="158"/>
      <c r="K22" s="368"/>
    </row>
    <row r="23" spans="1:22" x14ac:dyDescent="0.25">
      <c r="D23" s="2"/>
      <c r="E23" s="32"/>
      <c r="I23" s="32">
        <v>9750</v>
      </c>
      <c r="J23" s="32" t="s">
        <v>5179</v>
      </c>
      <c r="K23" s="236"/>
      <c r="P23" s="14"/>
      <c r="Q23" s="14"/>
    </row>
    <row r="24" spans="1:22" x14ac:dyDescent="0.25">
      <c r="I24" s="32">
        <v>7800</v>
      </c>
      <c r="J24" s="32" t="s">
        <v>5179</v>
      </c>
      <c r="K24" s="236"/>
    </row>
    <row r="25" spans="1:22" x14ac:dyDescent="0.25">
      <c r="I25" s="32">
        <v>7410</v>
      </c>
      <c r="J25" s="32" t="s">
        <v>5179</v>
      </c>
      <c r="K25" s="236"/>
    </row>
    <row r="26" spans="1:22" x14ac:dyDescent="0.25">
      <c r="I26" s="32">
        <v>9750</v>
      </c>
      <c r="J26" s="32" t="s">
        <v>5179</v>
      </c>
      <c r="K26" s="236"/>
    </row>
    <row r="27" spans="1:22" x14ac:dyDescent="0.25">
      <c r="I27" s="32">
        <v>5460</v>
      </c>
      <c r="J27" s="32" t="s">
        <v>5179</v>
      </c>
      <c r="K27" s="236"/>
    </row>
    <row r="28" spans="1:22" x14ac:dyDescent="0.25">
      <c r="I28" s="32">
        <f>+I10</f>
        <v>9011.5419999999995</v>
      </c>
      <c r="J28" s="32" t="s">
        <v>5179</v>
      </c>
    </row>
    <row r="29" spans="1:22" x14ac:dyDescent="0.25">
      <c r="I29" s="32">
        <v>7800</v>
      </c>
      <c r="J29" s="32" t="s">
        <v>5179</v>
      </c>
    </row>
    <row r="30" spans="1:22" x14ac:dyDescent="0.25">
      <c r="H30" s="32"/>
      <c r="I30" s="32">
        <v>4875</v>
      </c>
      <c r="J30" s="32" t="s">
        <v>5179</v>
      </c>
    </row>
    <row r="31" spans="1:22" x14ac:dyDescent="0.25">
      <c r="G31" s="28"/>
      <c r="H31" s="32"/>
      <c r="I31" s="32">
        <v>9750</v>
      </c>
      <c r="J31" s="32" t="s">
        <v>5179</v>
      </c>
    </row>
    <row r="34" spans="9:9" x14ac:dyDescent="0.25">
      <c r="I34" s="32">
        <v>8743.7999999999993</v>
      </c>
    </row>
  </sheetData>
  <autoFilter ref="A2:R20" xr:uid="{00000000-0009-0000-0000-000034000000}">
    <filterColumn colId="10">
      <filters blank="1"/>
    </filterColumn>
    <filterColumn colId="14" showButton="0"/>
    <filterColumn colId="15" showButton="0"/>
    <filterColumn colId="16" showButton="0"/>
  </autoFilter>
  <mergeCells count="1">
    <mergeCell ref="N2:Q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9829" r:id="rId4" name="Button 1">
              <controlPr defaultSize="0" print="0" autoFill="0" autoPict="0" macro="[0]!RETORNAR">
                <anchor moveWithCells="1" sizeWithCells="1">
                  <from>
                    <xdr:col>0</xdr:col>
                    <xdr:colOff>38100</xdr:colOff>
                    <xdr:row>0</xdr:row>
                    <xdr:rowOff>47625</xdr:rowOff>
                  </from>
                  <to>
                    <xdr:col>1</xdr:col>
                    <xdr:colOff>1095375</xdr:colOff>
                    <xdr:row>0</xdr:row>
                    <xdr:rowOff>314325</xdr:rowOff>
                  </to>
                </anchor>
              </controlPr>
            </control>
          </mc:Choice>
        </mc:AlternateContent>
        <mc:AlternateContent xmlns:mc="http://schemas.openxmlformats.org/markup-compatibility/2006">
          <mc:Choice Requires="x14">
            <control shapeId="589842" r:id="rId5" name="Botón 18">
              <controlPr defaultSize="0" print="0" autoFill="0" autoPict="0" macro="[0]!IR_VENTAS_B200_2026">
                <anchor moveWithCells="1" sizeWithCells="1">
                  <from>
                    <xdr:col>1</xdr:col>
                    <xdr:colOff>123825</xdr:colOff>
                    <xdr:row>28</xdr:row>
                    <xdr:rowOff>133350</xdr:rowOff>
                  </from>
                  <to>
                    <xdr:col>1</xdr:col>
                    <xdr:colOff>1428750</xdr:colOff>
                    <xdr:row>31</xdr:row>
                    <xdr:rowOff>161925</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Hoja57" filterMode="1"/>
  <dimension ref="A1:U12"/>
  <sheetViews>
    <sheetView workbookViewId="0">
      <selection activeCell="D5" sqref="D5"/>
    </sheetView>
  </sheetViews>
  <sheetFormatPr baseColWidth="10" defaultColWidth="10.85546875" defaultRowHeight="15" x14ac:dyDescent="0.25"/>
  <cols>
    <col min="2" max="2" width="33.7109375" customWidth="1"/>
    <col min="7" max="7" width="40.140625" customWidth="1"/>
    <col min="8" max="8" width="13.85546875" customWidth="1"/>
    <col min="9" max="9" width="10.85546875" style="32"/>
    <col min="11" max="11" width="14.42578125" customWidth="1"/>
  </cols>
  <sheetData>
    <row r="1" spans="1:21" ht="38.1" customHeight="1" x14ac:dyDescent="0.25"/>
    <row r="2" spans="1:21" x14ac:dyDescent="0.25">
      <c r="A2" t="s">
        <v>706</v>
      </c>
      <c r="B2" s="1" t="s">
        <v>0</v>
      </c>
      <c r="C2" s="1" t="s">
        <v>1</v>
      </c>
      <c r="D2" s="1" t="s">
        <v>2</v>
      </c>
      <c r="E2" s="1"/>
      <c r="F2" s="1" t="s">
        <v>3</v>
      </c>
      <c r="G2" s="1" t="s">
        <v>4</v>
      </c>
      <c r="H2" s="1" t="s">
        <v>5</v>
      </c>
      <c r="I2" s="1" t="s">
        <v>6</v>
      </c>
      <c r="J2" s="1" t="s">
        <v>1780</v>
      </c>
      <c r="K2" s="1" t="s">
        <v>8</v>
      </c>
      <c r="L2" s="1" t="s">
        <v>3997</v>
      </c>
      <c r="M2" s="1" t="s">
        <v>10</v>
      </c>
      <c r="N2" s="1480" t="s">
        <v>11</v>
      </c>
      <c r="O2" s="1480"/>
      <c r="P2" s="1480"/>
      <c r="Q2" s="1480"/>
    </row>
    <row r="3" spans="1:21" hidden="1" x14ac:dyDescent="0.25">
      <c r="A3" s="256">
        <v>17032023</v>
      </c>
      <c r="B3" t="s">
        <v>2028</v>
      </c>
      <c r="C3" t="s">
        <v>13</v>
      </c>
      <c r="D3" s="122">
        <v>45002</v>
      </c>
      <c r="E3">
        <v>1.8</v>
      </c>
      <c r="F3" t="s">
        <v>2029</v>
      </c>
      <c r="G3" t="s">
        <v>2365</v>
      </c>
      <c r="H3" t="s">
        <v>2953</v>
      </c>
      <c r="I3" s="88">
        <v>26432</v>
      </c>
      <c r="J3" s="88">
        <f>+I3*0.88</f>
        <v>23260.16</v>
      </c>
      <c r="K3" s="88" t="s">
        <v>17</v>
      </c>
      <c r="L3" s="122">
        <v>45160</v>
      </c>
      <c r="S3" t="s">
        <v>1029</v>
      </c>
      <c r="T3" s="14">
        <v>0.35416666666666669</v>
      </c>
      <c r="U3" s="14"/>
    </row>
    <row r="4" spans="1:21" x14ac:dyDescent="0.25">
      <c r="A4" s="116"/>
      <c r="D4" s="122"/>
      <c r="E4" s="32"/>
      <c r="H4" s="19"/>
      <c r="K4" s="32"/>
      <c r="P4" s="14"/>
      <c r="Q4" s="14"/>
    </row>
    <row r="5" spans="1:21" x14ac:dyDescent="0.25">
      <c r="H5" t="s">
        <v>423</v>
      </c>
      <c r="I5" s="89">
        <f>SUBTOTAL(9,I3:I4)</f>
        <v>0</v>
      </c>
      <c r="J5" s="3"/>
      <c r="K5" s="17"/>
    </row>
    <row r="11" spans="1:21" x14ac:dyDescent="0.25">
      <c r="H11" s="2"/>
    </row>
    <row r="12" spans="1:21" x14ac:dyDescent="0.25">
      <c r="G12" s="28"/>
      <c r="H12" s="2"/>
    </row>
  </sheetData>
  <autoFilter ref="A2:R6" xr:uid="{00000000-0009-0000-0000-000035000000}">
    <filterColumn colId="10">
      <filters blank="1"/>
    </filterColumn>
    <filterColumn colId="14" showButton="0"/>
    <filterColumn colId="15" showButton="0"/>
    <filterColumn colId="16" showButton="0"/>
  </autoFilter>
  <mergeCells count="1">
    <mergeCell ref="N2:Q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0853" r:id="rId4" name="Button 1">
              <controlPr defaultSize="0" print="0" autoFill="0" autoPict="0" macro="[0]!RETORNAR">
                <anchor moveWithCells="1" sizeWithCells="1">
                  <from>
                    <xdr:col>0</xdr:col>
                    <xdr:colOff>38100</xdr:colOff>
                    <xdr:row>0</xdr:row>
                    <xdr:rowOff>47625</xdr:rowOff>
                  </from>
                  <to>
                    <xdr:col>1</xdr:col>
                    <xdr:colOff>1095375</xdr:colOff>
                    <xdr:row>0</xdr:row>
                    <xdr:rowOff>314325</xdr:rowOff>
                  </to>
                </anchor>
              </controlPr>
            </control>
          </mc:Choice>
        </mc:AlternateContent>
        <mc:AlternateContent xmlns:mc="http://schemas.openxmlformats.org/markup-compatibility/2006">
          <mc:Choice Requires="x14">
            <control shapeId="590858" r:id="rId5" name="Botón 10">
              <controlPr defaultSize="0" print="0" autoFill="0" autoPict="0" macro="[0]!IR_VENTAS_B200_2026">
                <anchor moveWithCells="1" sizeWithCells="1">
                  <from>
                    <xdr:col>0</xdr:col>
                    <xdr:colOff>123825</xdr:colOff>
                    <xdr:row>11</xdr:row>
                    <xdr:rowOff>19050</xdr:rowOff>
                  </from>
                  <to>
                    <xdr:col>1</xdr:col>
                    <xdr:colOff>676275</xdr:colOff>
                    <xdr:row>14</xdr:row>
                    <xdr:rowOff>47625</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Hoja58" filterMode="1"/>
  <dimension ref="A1:V14"/>
  <sheetViews>
    <sheetView workbookViewId="0">
      <selection activeCell="A13" sqref="A13"/>
    </sheetView>
  </sheetViews>
  <sheetFormatPr baseColWidth="10" defaultColWidth="10.85546875" defaultRowHeight="15" x14ac:dyDescent="0.25"/>
  <cols>
    <col min="2" max="2" width="33.7109375" customWidth="1"/>
    <col min="7" max="7" width="44.28515625" customWidth="1"/>
    <col min="8" max="8" width="13.85546875" customWidth="1"/>
    <col min="9" max="9" width="10.85546875" style="32"/>
    <col min="11" max="11" width="14.42578125" customWidth="1"/>
  </cols>
  <sheetData>
    <row r="1" spans="1:22" ht="26.45" customHeight="1" x14ac:dyDescent="0.25"/>
    <row r="2" spans="1:22" x14ac:dyDescent="0.25">
      <c r="A2" t="s">
        <v>706</v>
      </c>
      <c r="B2" s="1" t="s">
        <v>0</v>
      </c>
      <c r="C2" s="1" t="s">
        <v>1</v>
      </c>
      <c r="D2" s="1" t="s">
        <v>2</v>
      </c>
      <c r="E2" s="1"/>
      <c r="F2" s="1" t="s">
        <v>3</v>
      </c>
      <c r="G2" s="1" t="s">
        <v>4</v>
      </c>
      <c r="H2" s="1" t="s">
        <v>5</v>
      </c>
      <c r="I2" s="1" t="s">
        <v>6</v>
      </c>
      <c r="J2" s="1" t="s">
        <v>1780</v>
      </c>
      <c r="K2" s="1" t="s">
        <v>8</v>
      </c>
      <c r="L2" s="1" t="s">
        <v>3997</v>
      </c>
      <c r="M2" s="1" t="s">
        <v>10</v>
      </c>
      <c r="N2" s="1480" t="s">
        <v>11</v>
      </c>
      <c r="O2" s="1480"/>
      <c r="P2" s="1480"/>
      <c r="Q2" s="1480"/>
    </row>
    <row r="3" spans="1:22" hidden="1" x14ac:dyDescent="0.25">
      <c r="A3" s="256">
        <v>23042023</v>
      </c>
      <c r="B3" t="s">
        <v>2250</v>
      </c>
      <c r="C3" t="s">
        <v>693</v>
      </c>
      <c r="D3" s="122">
        <v>45039</v>
      </c>
      <c r="F3" s="28" t="s">
        <v>1930</v>
      </c>
      <c r="G3" s="30" t="s">
        <v>2370</v>
      </c>
      <c r="H3" t="s">
        <v>2419</v>
      </c>
      <c r="I3" s="313">
        <v>36345</v>
      </c>
      <c r="J3">
        <f>+I3*0.88</f>
        <v>31983.599999999999</v>
      </c>
      <c r="K3" t="s">
        <v>17</v>
      </c>
      <c r="L3" s="122">
        <v>45090</v>
      </c>
      <c r="T3" t="s">
        <v>1029</v>
      </c>
      <c r="U3" s="14">
        <v>0.50555555555555554</v>
      </c>
      <c r="V3" s="14">
        <v>0.68472222222222223</v>
      </c>
    </row>
    <row r="4" spans="1:22" hidden="1" x14ac:dyDescent="0.25">
      <c r="A4" s="256" t="s">
        <v>3006</v>
      </c>
      <c r="B4" t="s">
        <v>3008</v>
      </c>
      <c r="C4" t="s">
        <v>410</v>
      </c>
      <c r="D4" s="122">
        <v>45204</v>
      </c>
      <c r="F4" s="28" t="s">
        <v>207</v>
      </c>
      <c r="G4" s="28" t="s">
        <v>3080</v>
      </c>
      <c r="H4" t="s">
        <v>3079</v>
      </c>
      <c r="I4" s="313">
        <v>35650</v>
      </c>
      <c r="J4">
        <f>+I4*0.88</f>
        <v>31372</v>
      </c>
      <c r="K4" t="s">
        <v>17</v>
      </c>
      <c r="L4" s="122">
        <v>45218</v>
      </c>
      <c r="T4" s="14" t="s">
        <v>916</v>
      </c>
      <c r="U4" s="14">
        <v>0.27847222222222223</v>
      </c>
      <c r="V4" s="14">
        <v>0.44097222222222227</v>
      </c>
    </row>
    <row r="5" spans="1:22" x14ac:dyDescent="0.25">
      <c r="A5" s="116"/>
      <c r="D5" s="122"/>
      <c r="E5" s="32"/>
      <c r="H5" s="19"/>
      <c r="K5" s="32"/>
      <c r="L5" s="122"/>
      <c r="P5" s="14"/>
      <c r="Q5" s="14"/>
    </row>
    <row r="6" spans="1:22" x14ac:dyDescent="0.25">
      <c r="H6" t="s">
        <v>423</v>
      </c>
      <c r="I6" s="89">
        <f>SUBTOTAL(9,I3:I5)</f>
        <v>0</v>
      </c>
      <c r="J6" s="3"/>
      <c r="K6" s="17"/>
      <c r="L6" s="122"/>
    </row>
    <row r="7" spans="1:22" x14ac:dyDescent="0.25">
      <c r="L7" s="122"/>
    </row>
    <row r="8" spans="1:22" x14ac:dyDescent="0.25">
      <c r="L8" s="122"/>
    </row>
    <row r="13" spans="1:22" x14ac:dyDescent="0.25">
      <c r="H13" s="32"/>
    </row>
    <row r="14" spans="1:22" x14ac:dyDescent="0.25">
      <c r="G14" s="28"/>
      <c r="H14" s="2"/>
    </row>
  </sheetData>
  <autoFilter ref="A2:R7" xr:uid="{00000000-0009-0000-0000-000036000000}">
    <filterColumn colId="10">
      <filters blank="1"/>
    </filterColumn>
    <filterColumn colId="14" showButton="0"/>
    <filterColumn colId="15" showButton="0"/>
    <filterColumn colId="16" showButton="0"/>
  </autoFilter>
  <mergeCells count="1">
    <mergeCell ref="N2:Q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1876" r:id="rId4" name="Button 1">
              <controlPr defaultSize="0" print="0" autoFill="0" autoPict="0" macro="[0]!RETORNAR">
                <anchor moveWithCells="1" sizeWithCells="1">
                  <from>
                    <xdr:col>0</xdr:col>
                    <xdr:colOff>38100</xdr:colOff>
                    <xdr:row>0</xdr:row>
                    <xdr:rowOff>47625</xdr:rowOff>
                  </from>
                  <to>
                    <xdr:col>1</xdr:col>
                    <xdr:colOff>1095375</xdr:colOff>
                    <xdr:row>0</xdr:row>
                    <xdr:rowOff>314325</xdr:rowOff>
                  </to>
                </anchor>
              </controlPr>
            </control>
          </mc:Choice>
        </mc:AlternateContent>
        <mc:AlternateContent xmlns:mc="http://schemas.openxmlformats.org/markup-compatibility/2006">
          <mc:Choice Requires="x14">
            <control shapeId="591880" r:id="rId5" name="Botón 8">
              <controlPr defaultSize="0" print="0" autoFill="0" autoPict="0" macro="[0]!IR_VENTAS_B200_2026">
                <anchor moveWithCells="1" sizeWithCells="1">
                  <from>
                    <xdr:col>0</xdr:col>
                    <xdr:colOff>447675</xdr:colOff>
                    <xdr:row>7</xdr:row>
                    <xdr:rowOff>85725</xdr:rowOff>
                  </from>
                  <to>
                    <xdr:col>1</xdr:col>
                    <xdr:colOff>990600</xdr:colOff>
                    <xdr:row>10</xdr:row>
                    <xdr:rowOff>114300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Hoja59" filterMode="1"/>
  <dimension ref="A1:V8"/>
  <sheetViews>
    <sheetView workbookViewId="0">
      <selection activeCell="A14" sqref="A14"/>
    </sheetView>
  </sheetViews>
  <sheetFormatPr baseColWidth="10" defaultColWidth="10.85546875" defaultRowHeight="15" x14ac:dyDescent="0.25"/>
  <cols>
    <col min="3" max="3" width="5.42578125" customWidth="1"/>
    <col min="5" max="5" width="5.28515625" customWidth="1"/>
    <col min="7" max="7" width="42.5703125" customWidth="1"/>
    <col min="9" max="9" width="11.5703125" bestFit="1" customWidth="1"/>
    <col min="10" max="10" width="12" bestFit="1" customWidth="1"/>
  </cols>
  <sheetData>
    <row r="1" spans="1:22" ht="25.5" customHeight="1" x14ac:dyDescent="0.25"/>
    <row r="2" spans="1:22" x14ac:dyDescent="0.25">
      <c r="A2" t="s">
        <v>706</v>
      </c>
      <c r="B2" s="1" t="s">
        <v>0</v>
      </c>
      <c r="C2" s="1" t="s">
        <v>1</v>
      </c>
      <c r="D2" s="1" t="s">
        <v>2</v>
      </c>
      <c r="E2" s="1"/>
      <c r="F2" s="1" t="s">
        <v>3</v>
      </c>
      <c r="G2" s="1" t="s">
        <v>4</v>
      </c>
      <c r="H2" s="1" t="s">
        <v>5</v>
      </c>
      <c r="I2" s="1" t="s">
        <v>6</v>
      </c>
      <c r="J2" s="1" t="s">
        <v>1780</v>
      </c>
      <c r="K2" s="1" t="s">
        <v>3997</v>
      </c>
      <c r="L2" s="1" t="s">
        <v>9</v>
      </c>
      <c r="M2" s="1" t="s">
        <v>10</v>
      </c>
      <c r="N2" s="1480" t="s">
        <v>11</v>
      </c>
      <c r="O2" s="1480"/>
      <c r="P2" s="1480"/>
      <c r="Q2" s="1480"/>
    </row>
    <row r="3" spans="1:22" hidden="1" x14ac:dyDescent="0.25">
      <c r="A3" s="95"/>
      <c r="D3" s="122"/>
      <c r="F3" s="30"/>
      <c r="G3" s="30" t="s">
        <v>2382</v>
      </c>
      <c r="H3" t="s">
        <v>2462</v>
      </c>
      <c r="I3" s="236">
        <v>38656.800000000003</v>
      </c>
      <c r="J3" s="160">
        <f>+I3*0.88</f>
        <v>34017.984000000004</v>
      </c>
      <c r="K3" s="88" t="s">
        <v>17</v>
      </c>
      <c r="L3" s="122">
        <v>45166</v>
      </c>
    </row>
    <row r="4" spans="1:22" hidden="1" x14ac:dyDescent="0.25">
      <c r="A4" s="256">
        <v>15052023</v>
      </c>
      <c r="B4" t="s">
        <v>1155</v>
      </c>
      <c r="D4" s="122">
        <v>45061</v>
      </c>
      <c r="F4" s="30" t="s">
        <v>317</v>
      </c>
      <c r="G4" s="30" t="s">
        <v>2383</v>
      </c>
      <c r="H4" t="s">
        <v>2463</v>
      </c>
      <c r="I4" s="160">
        <v>9204</v>
      </c>
      <c r="J4" s="160">
        <f>+I4*0.88</f>
        <v>8099.52</v>
      </c>
      <c r="K4" s="88" t="s">
        <v>17</v>
      </c>
      <c r="L4" s="122">
        <v>45166</v>
      </c>
      <c r="T4" t="s">
        <v>1225</v>
      </c>
      <c r="U4" s="14"/>
      <c r="V4" s="14"/>
    </row>
    <row r="5" spans="1:22" hidden="1" x14ac:dyDescent="0.25">
      <c r="A5" s="256"/>
      <c r="D5" s="122"/>
      <c r="F5" s="30"/>
      <c r="G5" s="30" t="s">
        <v>2665</v>
      </c>
      <c r="H5" s="21" t="s">
        <v>3183</v>
      </c>
      <c r="I5" s="236">
        <v>35000</v>
      </c>
      <c r="J5" s="160">
        <f>+I5*0.88</f>
        <v>30800</v>
      </c>
      <c r="K5" s="88" t="s">
        <v>17</v>
      </c>
      <c r="L5" s="122">
        <v>45250</v>
      </c>
      <c r="U5" s="14"/>
      <c r="V5" s="14"/>
    </row>
    <row r="6" spans="1:22" hidden="1" x14ac:dyDescent="0.25">
      <c r="A6" s="95" t="s">
        <v>2470</v>
      </c>
      <c r="B6" t="s">
        <v>2471</v>
      </c>
      <c r="C6" t="s">
        <v>410</v>
      </c>
      <c r="D6" s="122">
        <v>45084</v>
      </c>
      <c r="F6" s="30" t="s">
        <v>317</v>
      </c>
      <c r="G6" s="30" t="s">
        <v>2666</v>
      </c>
      <c r="H6" s="21" t="s">
        <v>3184</v>
      </c>
      <c r="I6" s="160">
        <v>12860.8</v>
      </c>
      <c r="J6" s="160">
        <f>+I6*0.88</f>
        <v>11317.503999999999</v>
      </c>
      <c r="K6" t="s">
        <v>17</v>
      </c>
      <c r="L6" s="122">
        <v>45258</v>
      </c>
      <c r="T6" t="s">
        <v>1506</v>
      </c>
      <c r="U6" s="14">
        <v>0.31527777777777777</v>
      </c>
    </row>
    <row r="7" spans="1:22" x14ac:dyDescent="0.25">
      <c r="A7" s="116"/>
      <c r="B7" s="169"/>
      <c r="C7" s="21"/>
      <c r="D7" s="123"/>
      <c r="E7" s="88"/>
      <c r="F7" s="21"/>
      <c r="G7" s="21"/>
      <c r="I7" s="160"/>
      <c r="J7" s="160"/>
      <c r="K7" s="160"/>
      <c r="O7" s="163"/>
      <c r="P7" s="157"/>
      <c r="Q7" s="157"/>
    </row>
    <row r="8" spans="1:22" x14ac:dyDescent="0.25">
      <c r="H8" s="5" t="s">
        <v>423</v>
      </c>
      <c r="I8" s="9">
        <f>SUBTOTAL(9,I3:I7)</f>
        <v>0</v>
      </c>
      <c r="J8" s="149"/>
    </row>
  </sheetData>
  <autoFilter ref="A2:Q7" xr:uid="{00000000-0009-0000-0000-000037000000}">
    <filterColumn colId="10">
      <filters blank="1"/>
    </filterColumn>
    <filterColumn colId="13" showButton="0"/>
    <filterColumn colId="14" showButton="0"/>
    <filterColumn colId="15" showButton="0"/>
  </autoFilter>
  <mergeCells count="1">
    <mergeCell ref="N2:Q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3618" r:id="rId4" name="Button 1">
              <controlPr defaultSize="0" print="0" autoFill="0" autoPict="0" macro="[0]!RETORNAR">
                <anchor moveWithCells="1" sizeWithCells="1">
                  <from>
                    <xdr:col>0</xdr:col>
                    <xdr:colOff>38100</xdr:colOff>
                    <xdr:row>0</xdr:row>
                    <xdr:rowOff>47625</xdr:rowOff>
                  </from>
                  <to>
                    <xdr:col>2</xdr:col>
                    <xdr:colOff>333375</xdr:colOff>
                    <xdr:row>0</xdr:row>
                    <xdr:rowOff>314325</xdr:rowOff>
                  </to>
                </anchor>
              </controlPr>
            </control>
          </mc:Choice>
        </mc:AlternateContent>
        <mc:AlternateContent xmlns:mc="http://schemas.openxmlformats.org/markup-compatibility/2006">
          <mc:Choice Requires="x14">
            <control shapeId="623624" r:id="rId5" name="Botón 8">
              <controlPr defaultSize="0" print="0" autoFill="0" autoPict="0" macro="[0]!IR_VENTAS_B200_2026">
                <anchor moveWithCells="1" sizeWithCells="1">
                  <from>
                    <xdr:col>0</xdr:col>
                    <xdr:colOff>466725</xdr:colOff>
                    <xdr:row>9</xdr:row>
                    <xdr:rowOff>142875</xdr:rowOff>
                  </from>
                  <to>
                    <xdr:col>2</xdr:col>
                    <xdr:colOff>257175</xdr:colOff>
                    <xdr:row>12</xdr:row>
                    <xdr:rowOff>180975</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Hoja60" filterMode="1"/>
  <dimension ref="A1:X75"/>
  <sheetViews>
    <sheetView topLeftCell="A16" zoomScale="86" zoomScaleNormal="86" workbookViewId="0">
      <selection activeCell="B77" sqref="B77"/>
    </sheetView>
  </sheetViews>
  <sheetFormatPr baseColWidth="10" defaultColWidth="10.85546875" defaultRowHeight="15" x14ac:dyDescent="0.25"/>
  <cols>
    <col min="1" max="1" width="10.7109375" customWidth="1"/>
    <col min="3" max="3" width="5.42578125" customWidth="1"/>
    <col min="5" max="5" width="5.28515625" customWidth="1"/>
    <col min="7" max="7" width="42.5703125" customWidth="1"/>
    <col min="8" max="8" width="16.5703125" customWidth="1"/>
    <col min="9" max="9" width="26.7109375" bestFit="1" customWidth="1"/>
    <col min="10" max="10" width="22.42578125" style="32" bestFit="1" customWidth="1"/>
    <col min="11" max="11" width="19" style="32" customWidth="1"/>
  </cols>
  <sheetData>
    <row r="1" spans="1:22" ht="25.5" customHeight="1" x14ac:dyDescent="0.25"/>
    <row r="2" spans="1:22" x14ac:dyDescent="0.25">
      <c r="A2" t="s">
        <v>706</v>
      </c>
      <c r="B2" s="1" t="s">
        <v>0</v>
      </c>
      <c r="C2" s="1" t="s">
        <v>1</v>
      </c>
      <c r="D2" s="1" t="s">
        <v>2</v>
      </c>
      <c r="E2" s="1"/>
      <c r="F2" s="1" t="s">
        <v>3</v>
      </c>
      <c r="G2" s="1" t="s">
        <v>4</v>
      </c>
      <c r="H2" s="1" t="s">
        <v>5</v>
      </c>
      <c r="I2" s="1" t="s">
        <v>6</v>
      </c>
      <c r="J2" s="87" t="s">
        <v>1780</v>
      </c>
      <c r="K2" s="87" t="s">
        <v>8</v>
      </c>
      <c r="L2" s="1" t="s">
        <v>3997</v>
      </c>
      <c r="M2" s="1" t="s">
        <v>81</v>
      </c>
      <c r="N2" s="1480" t="s">
        <v>11</v>
      </c>
      <c r="O2" s="1480"/>
      <c r="P2" s="1480"/>
      <c r="Q2" s="1480"/>
    </row>
    <row r="3" spans="1:22" hidden="1" x14ac:dyDescent="0.25">
      <c r="A3" s="256">
        <v>30052023</v>
      </c>
      <c r="B3" t="s">
        <v>2422</v>
      </c>
      <c r="C3" t="s">
        <v>693</v>
      </c>
      <c r="D3" s="122">
        <v>45076</v>
      </c>
      <c r="F3" s="28" t="s">
        <v>68</v>
      </c>
      <c r="G3" s="30" t="s">
        <v>2481</v>
      </c>
      <c r="H3" s="30" t="s">
        <v>2480</v>
      </c>
      <c r="I3" s="236">
        <v>42522.48</v>
      </c>
      <c r="J3">
        <f>+I3*0.88</f>
        <v>37419.782400000004</v>
      </c>
      <c r="K3" s="236" t="s">
        <v>17</v>
      </c>
      <c r="L3" s="122">
        <v>45120</v>
      </c>
      <c r="T3" t="s">
        <v>893</v>
      </c>
      <c r="U3" s="14">
        <v>0.54722222222222217</v>
      </c>
      <c r="V3" s="14">
        <v>0.83194444444444438</v>
      </c>
    </row>
    <row r="4" spans="1:22" x14ac:dyDescent="0.25">
      <c r="A4" s="256"/>
      <c r="D4" s="122"/>
      <c r="F4" s="28"/>
      <c r="G4" s="30"/>
      <c r="H4" s="30"/>
      <c r="I4" s="236">
        <f>SUBTOTAL(9,I3)</f>
        <v>0</v>
      </c>
      <c r="K4" s="236"/>
      <c r="L4" s="122"/>
      <c r="U4" s="14"/>
      <c r="V4" s="14"/>
    </row>
    <row r="5" spans="1:22" ht="15.75" thickBot="1" x14ac:dyDescent="0.3">
      <c r="A5" s="256"/>
      <c r="D5" s="122"/>
      <c r="F5" s="28"/>
      <c r="G5" s="30"/>
      <c r="H5" s="30"/>
      <c r="I5" s="236"/>
      <c r="K5" s="236"/>
      <c r="L5" s="122"/>
      <c r="U5" s="14"/>
      <c r="V5" s="14"/>
    </row>
    <row r="6" spans="1:22" ht="15.75" thickBot="1" x14ac:dyDescent="0.3">
      <c r="A6" s="1481" t="s">
        <v>2805</v>
      </c>
      <c r="B6" s="1482"/>
      <c r="C6" s="1482"/>
      <c r="D6" s="1482"/>
      <c r="E6" s="1482"/>
      <c r="F6" s="1482"/>
      <c r="G6" s="1482"/>
      <c r="H6" s="1482"/>
      <c r="I6" s="1483"/>
      <c r="K6" s="236"/>
      <c r="L6" s="122"/>
      <c r="U6" s="14"/>
      <c r="V6" s="14"/>
    </row>
    <row r="7" spans="1:22" hidden="1" x14ac:dyDescent="0.25">
      <c r="A7" s="256">
        <v>19082023</v>
      </c>
      <c r="B7" t="s">
        <v>2804</v>
      </c>
      <c r="C7" t="s">
        <v>13</v>
      </c>
      <c r="D7" s="122">
        <v>45157</v>
      </c>
      <c r="F7" s="28" t="s">
        <v>68</v>
      </c>
      <c r="G7" s="30" t="s">
        <v>2816</v>
      </c>
      <c r="H7" s="30" t="s">
        <v>3269</v>
      </c>
      <c r="I7" s="236">
        <v>42480</v>
      </c>
      <c r="J7">
        <f>+I7*0.88</f>
        <v>37382.400000000001</v>
      </c>
      <c r="K7" t="s">
        <v>17</v>
      </c>
      <c r="L7" s="122">
        <v>45267</v>
      </c>
      <c r="T7" s="14" t="s">
        <v>1644</v>
      </c>
      <c r="U7" s="14">
        <v>0.55625000000000002</v>
      </c>
      <c r="V7" s="14">
        <v>0.81041666666666667</v>
      </c>
    </row>
    <row r="8" spans="1:22" hidden="1" x14ac:dyDescent="0.25">
      <c r="A8" s="95" t="s">
        <v>2850</v>
      </c>
      <c r="B8" t="s">
        <v>2804</v>
      </c>
      <c r="C8" t="s">
        <v>13</v>
      </c>
      <c r="D8" s="122">
        <v>45170</v>
      </c>
      <c r="F8" s="28" t="s">
        <v>68</v>
      </c>
      <c r="G8" t="s">
        <v>2894</v>
      </c>
      <c r="H8" t="s">
        <v>2895</v>
      </c>
      <c r="I8" s="414">
        <v>42480</v>
      </c>
      <c r="J8">
        <f>+I8*0.88</f>
        <v>37382.400000000001</v>
      </c>
      <c r="K8" t="s">
        <v>17</v>
      </c>
      <c r="L8" s="122">
        <v>45205</v>
      </c>
      <c r="T8" s="14" t="s">
        <v>1656</v>
      </c>
      <c r="U8" s="14">
        <v>0.66805555555555562</v>
      </c>
      <c r="V8" s="14">
        <v>0.4458333333333333</v>
      </c>
    </row>
    <row r="9" spans="1:22" hidden="1" x14ac:dyDescent="0.25">
      <c r="A9" s="256">
        <v>16102023</v>
      </c>
      <c r="B9" t="s">
        <v>2422</v>
      </c>
      <c r="C9" t="s">
        <v>13</v>
      </c>
      <c r="D9" s="122">
        <v>45215</v>
      </c>
      <c r="F9" s="28" t="s">
        <v>68</v>
      </c>
      <c r="G9" s="30" t="s">
        <v>3066</v>
      </c>
      <c r="H9" t="s">
        <v>3268</v>
      </c>
      <c r="I9" s="313">
        <v>42480</v>
      </c>
      <c r="J9">
        <f>+I9*0.88</f>
        <v>37382.400000000001</v>
      </c>
      <c r="K9" t="s">
        <v>17</v>
      </c>
      <c r="L9" s="122">
        <v>45267</v>
      </c>
      <c r="T9" s="14" t="s">
        <v>1656</v>
      </c>
      <c r="U9" s="14">
        <v>0.31597222222222221</v>
      </c>
      <c r="V9" s="14">
        <v>0.57361111111111118</v>
      </c>
    </row>
    <row r="10" spans="1:22" x14ac:dyDescent="0.25">
      <c r="A10" s="256"/>
      <c r="D10" s="122"/>
      <c r="F10" s="28"/>
      <c r="G10" s="30" t="s">
        <v>1716</v>
      </c>
      <c r="H10" s="30"/>
      <c r="I10" s="236"/>
      <c r="K10" s="236"/>
      <c r="L10" s="122"/>
      <c r="U10" s="14"/>
      <c r="V10" s="14"/>
    </row>
    <row r="11" spans="1:22" x14ac:dyDescent="0.25">
      <c r="A11" s="256"/>
      <c r="D11" s="122"/>
      <c r="F11" s="30"/>
      <c r="G11" s="30"/>
      <c r="H11" s="30"/>
      <c r="I11" s="161">
        <f>SUBTOTAL(9,I7:I10)</f>
        <v>0</v>
      </c>
      <c r="K11" s="88"/>
      <c r="L11" s="88"/>
      <c r="U11" s="14"/>
      <c r="V11" s="14"/>
    </row>
    <row r="12" spans="1:22" x14ac:dyDescent="0.25">
      <c r="A12" s="116"/>
      <c r="B12" s="169"/>
      <c r="C12" s="21"/>
      <c r="D12" s="123"/>
      <c r="E12" s="88"/>
      <c r="F12" s="21"/>
      <c r="G12" s="21"/>
      <c r="I12" s="160"/>
      <c r="J12" s="160"/>
      <c r="K12" s="160"/>
      <c r="O12" s="163"/>
      <c r="P12" s="157"/>
      <c r="Q12" s="157"/>
    </row>
    <row r="13" spans="1:22" x14ac:dyDescent="0.25">
      <c r="I13" s="3"/>
    </row>
    <row r="15" spans="1:22" ht="15.75" thickBot="1" x14ac:dyDescent="0.3"/>
    <row r="16" spans="1:22" ht="15.75" thickBot="1" x14ac:dyDescent="0.3">
      <c r="A16" s="1481" t="s">
        <v>3270</v>
      </c>
      <c r="B16" s="1482"/>
      <c r="C16" s="1482"/>
      <c r="D16" s="1482"/>
      <c r="E16" s="1482"/>
      <c r="F16" s="1482"/>
      <c r="G16" s="1482"/>
      <c r="H16" s="1482"/>
      <c r="I16" s="1483"/>
      <c r="J16" s="474"/>
      <c r="K16" s="56"/>
    </row>
    <row r="17" spans="1:22" hidden="1" x14ac:dyDescent="0.25">
      <c r="A17" s="256">
        <v>25112023</v>
      </c>
      <c r="B17" t="s">
        <v>2422</v>
      </c>
      <c r="C17" t="s">
        <v>13</v>
      </c>
      <c r="D17" s="122">
        <v>45255</v>
      </c>
      <c r="F17" s="28" t="s">
        <v>68</v>
      </c>
      <c r="G17" s="30" t="s">
        <v>3271</v>
      </c>
      <c r="H17" s="30" t="s">
        <v>3272</v>
      </c>
      <c r="I17" s="236">
        <v>42399</v>
      </c>
      <c r="J17">
        <f>+I17*0.88</f>
        <v>37311.120000000003</v>
      </c>
      <c r="K17" t="s">
        <v>17</v>
      </c>
      <c r="L17" s="122">
        <v>45289</v>
      </c>
      <c r="T17" s="14" t="s">
        <v>989</v>
      </c>
      <c r="U17" s="14">
        <v>0.4069444444444445</v>
      </c>
      <c r="V17" s="14">
        <v>0.72013888888888899</v>
      </c>
    </row>
    <row r="18" spans="1:22" hidden="1" x14ac:dyDescent="0.25">
      <c r="A18" s="256">
        <v>10122023</v>
      </c>
      <c r="B18" t="s">
        <v>3298</v>
      </c>
      <c r="C18" t="s">
        <v>410</v>
      </c>
      <c r="D18" s="122">
        <v>45270</v>
      </c>
      <c r="F18" s="28" t="s">
        <v>68</v>
      </c>
      <c r="G18" s="30" t="s">
        <v>3363</v>
      </c>
      <c r="H18" t="s">
        <v>3518</v>
      </c>
      <c r="I18" s="313">
        <v>42399</v>
      </c>
      <c r="J18">
        <f>+I18*0.88</f>
        <v>37311.120000000003</v>
      </c>
      <c r="K18" t="s">
        <v>17</v>
      </c>
      <c r="L18" s="122">
        <v>45322</v>
      </c>
      <c r="T18" s="14" t="s">
        <v>3151</v>
      </c>
      <c r="U18" s="14">
        <v>0.4291666666666667</v>
      </c>
      <c r="V18" s="14">
        <v>0.69305555555555554</v>
      </c>
    </row>
    <row r="19" spans="1:22" s="21" customFormat="1" hidden="1" x14ac:dyDescent="0.25">
      <c r="A19" s="489" t="s">
        <v>3400</v>
      </c>
      <c r="B19" s="21" t="s">
        <v>3447</v>
      </c>
      <c r="C19" s="21" t="s">
        <v>410</v>
      </c>
      <c r="D19" s="123">
        <v>45288</v>
      </c>
      <c r="F19" s="177" t="s">
        <v>68</v>
      </c>
      <c r="G19" s="169" t="s">
        <v>3448</v>
      </c>
      <c r="H19" s="169" t="s">
        <v>3417</v>
      </c>
      <c r="I19" s="313">
        <v>42399</v>
      </c>
      <c r="J19">
        <f>+I19*0.88</f>
        <v>37311.120000000003</v>
      </c>
      <c r="K19" t="s">
        <v>17</v>
      </c>
      <c r="L19" s="122">
        <v>45322</v>
      </c>
      <c r="T19" s="157" t="s">
        <v>1029</v>
      </c>
      <c r="U19" s="157">
        <v>0.62708333333333333</v>
      </c>
      <c r="V19" s="157">
        <v>0.97986111111111107</v>
      </c>
    </row>
    <row r="20" spans="1:22" s="21" customFormat="1" hidden="1" x14ac:dyDescent="0.25">
      <c r="A20" s="489"/>
      <c r="D20" s="123">
        <v>45307</v>
      </c>
      <c r="F20" s="177" t="s">
        <v>68</v>
      </c>
      <c r="G20" s="169" t="s">
        <v>3651</v>
      </c>
      <c r="H20" s="169" t="s">
        <v>4175</v>
      </c>
      <c r="I20" s="313">
        <v>492</v>
      </c>
      <c r="J20" s="32">
        <f>+I20</f>
        <v>492</v>
      </c>
      <c r="K20" t="s">
        <v>17</v>
      </c>
      <c r="L20" s="122">
        <v>45454</v>
      </c>
      <c r="T20" s="157"/>
      <c r="U20" s="157"/>
      <c r="V20" s="157"/>
    </row>
    <row r="21" spans="1:22" s="21" customFormat="1" hidden="1" x14ac:dyDescent="0.25">
      <c r="A21" s="489"/>
      <c r="D21" s="123">
        <v>45307</v>
      </c>
      <c r="F21" s="177" t="s">
        <v>68</v>
      </c>
      <c r="G21" s="169" t="s">
        <v>3651</v>
      </c>
      <c r="H21" s="169" t="s">
        <v>4176</v>
      </c>
      <c r="I21" s="313">
        <v>2</v>
      </c>
      <c r="J21" s="32">
        <f>+I21</f>
        <v>2</v>
      </c>
      <c r="K21" t="s">
        <v>17</v>
      </c>
      <c r="L21" s="122">
        <v>45454</v>
      </c>
      <c r="T21" s="157"/>
      <c r="U21" s="157"/>
      <c r="V21" s="157"/>
    </row>
    <row r="22" spans="1:22" s="21" customFormat="1" hidden="1" x14ac:dyDescent="0.25">
      <c r="A22" s="489"/>
      <c r="D22" s="123">
        <v>45307</v>
      </c>
      <c r="F22" s="177" t="s">
        <v>68</v>
      </c>
      <c r="G22" s="169" t="s">
        <v>3651</v>
      </c>
      <c r="H22" s="169" t="s">
        <v>4177</v>
      </c>
      <c r="I22" s="313">
        <v>217</v>
      </c>
      <c r="J22" s="32">
        <f>+I22</f>
        <v>217</v>
      </c>
      <c r="K22" t="s">
        <v>17</v>
      </c>
      <c r="L22" s="122">
        <v>45454</v>
      </c>
      <c r="T22" s="157"/>
      <c r="U22" s="157"/>
      <c r="V22" s="157"/>
    </row>
    <row r="23" spans="1:22" s="21" customFormat="1" hidden="1" x14ac:dyDescent="0.25">
      <c r="A23" s="489"/>
      <c r="D23" s="123">
        <v>45307</v>
      </c>
      <c r="F23" s="177" t="s">
        <v>68</v>
      </c>
      <c r="G23" s="169" t="s">
        <v>3651</v>
      </c>
      <c r="H23" s="169" t="s">
        <v>4178</v>
      </c>
      <c r="I23" s="313">
        <v>1388</v>
      </c>
      <c r="J23" s="32">
        <f t="shared" ref="J23:J34" si="0">+I23*0.88</f>
        <v>1221.44</v>
      </c>
      <c r="K23" t="s">
        <v>17</v>
      </c>
      <c r="L23" s="122">
        <v>45454</v>
      </c>
      <c r="T23" s="157"/>
      <c r="U23" s="157"/>
      <c r="V23" s="157"/>
    </row>
    <row r="24" spans="1:22" s="21" customFormat="1" hidden="1" x14ac:dyDescent="0.25">
      <c r="A24" s="489"/>
      <c r="D24" s="123">
        <v>45307</v>
      </c>
      <c r="F24" s="177" t="s">
        <v>68</v>
      </c>
      <c r="G24" s="169" t="s">
        <v>3651</v>
      </c>
      <c r="H24" s="169" t="s">
        <v>4179</v>
      </c>
      <c r="I24" s="313">
        <v>40299</v>
      </c>
      <c r="J24" s="32">
        <f t="shared" si="0"/>
        <v>35463.120000000003</v>
      </c>
      <c r="K24" t="s">
        <v>17</v>
      </c>
      <c r="L24" s="122">
        <v>45454</v>
      </c>
      <c r="T24" s="157"/>
      <c r="U24" s="157"/>
      <c r="V24" s="157"/>
    </row>
    <row r="25" spans="1:22" hidden="1" x14ac:dyDescent="0.25">
      <c r="A25" s="483">
        <v>16012024</v>
      </c>
      <c r="B25" s="28" t="s">
        <v>2422</v>
      </c>
      <c r="C25" s="28" t="s">
        <v>3414</v>
      </c>
      <c r="D25" s="374">
        <v>45307</v>
      </c>
      <c r="F25" s="28" t="s">
        <v>68</v>
      </c>
      <c r="G25" s="30" t="s">
        <v>3651</v>
      </c>
      <c r="H25" s="169" t="s">
        <v>4180</v>
      </c>
      <c r="I25" s="251">
        <v>1</v>
      </c>
      <c r="J25" s="32">
        <f>+I25</f>
        <v>1</v>
      </c>
      <c r="K25" t="s">
        <v>17</v>
      </c>
      <c r="L25" s="122">
        <v>45454</v>
      </c>
      <c r="T25" s="14"/>
      <c r="U25" s="360"/>
      <c r="V25" s="360"/>
    </row>
    <row r="26" spans="1:22" hidden="1" x14ac:dyDescent="0.25">
      <c r="A26" s="483"/>
      <c r="B26" s="28"/>
      <c r="C26" s="28"/>
      <c r="D26" s="233">
        <v>45344</v>
      </c>
      <c r="F26" s="28" t="s">
        <v>68</v>
      </c>
      <c r="G26" s="30" t="s">
        <v>3869</v>
      </c>
      <c r="H26" s="169" t="s">
        <v>4182</v>
      </c>
      <c r="I26" s="251">
        <v>23869</v>
      </c>
      <c r="J26" s="88">
        <f t="shared" si="0"/>
        <v>21004.720000000001</v>
      </c>
      <c r="K26" t="s">
        <v>17</v>
      </c>
      <c r="L26" s="122">
        <v>45434</v>
      </c>
      <c r="T26" s="14"/>
      <c r="U26" s="360"/>
      <c r="V26" s="360"/>
    </row>
    <row r="27" spans="1:22" ht="15" hidden="1" customHeight="1" x14ac:dyDescent="0.25">
      <c r="A27" s="509">
        <v>22022024</v>
      </c>
      <c r="B27" s="30" t="s">
        <v>3766</v>
      </c>
      <c r="C27" s="28" t="s">
        <v>410</v>
      </c>
      <c r="D27" s="233">
        <v>45344</v>
      </c>
      <c r="F27" s="28" t="s">
        <v>68</v>
      </c>
      <c r="G27" s="30" t="s">
        <v>3869</v>
      </c>
      <c r="H27" s="73" t="s">
        <v>4181</v>
      </c>
      <c r="I27" s="237">
        <v>18530</v>
      </c>
      <c r="J27" s="88">
        <f t="shared" si="0"/>
        <v>16306.4</v>
      </c>
      <c r="K27" t="s">
        <v>17</v>
      </c>
      <c r="L27" s="122">
        <v>45434</v>
      </c>
      <c r="T27" s="14" t="s">
        <v>2380</v>
      </c>
      <c r="U27" s="360">
        <v>0.80347222222222225</v>
      </c>
      <c r="V27" s="360">
        <v>8.1944444444444445E-2</v>
      </c>
    </row>
    <row r="28" spans="1:22" hidden="1" x14ac:dyDescent="0.25">
      <c r="A28" s="509">
        <v>27022024</v>
      </c>
      <c r="B28" s="30" t="s">
        <v>3766</v>
      </c>
      <c r="C28" s="28" t="s">
        <v>410</v>
      </c>
      <c r="D28" s="233">
        <v>45350</v>
      </c>
      <c r="F28" s="28" t="s">
        <v>68</v>
      </c>
      <c r="G28" s="30" t="s">
        <v>3868</v>
      </c>
      <c r="H28" s="73" t="s">
        <v>4171</v>
      </c>
      <c r="I28" s="237">
        <v>42399</v>
      </c>
      <c r="J28" s="88">
        <f>+I28*0.88</f>
        <v>37311.120000000003</v>
      </c>
      <c r="K28" t="s">
        <v>17</v>
      </c>
      <c r="L28" s="122">
        <v>45434</v>
      </c>
      <c r="T28" s="14" t="s">
        <v>3151</v>
      </c>
      <c r="U28" s="360">
        <v>0.26041666666666669</v>
      </c>
      <c r="V28" s="360"/>
    </row>
    <row r="29" spans="1:22" hidden="1" x14ac:dyDescent="0.25">
      <c r="A29" s="509"/>
      <c r="B29" s="30"/>
      <c r="C29" s="28"/>
      <c r="D29" s="233">
        <v>45361</v>
      </c>
      <c r="F29" s="28" t="s">
        <v>68</v>
      </c>
      <c r="G29" s="30" t="s">
        <v>4172</v>
      </c>
      <c r="H29" s="73" t="s">
        <v>4184</v>
      </c>
      <c r="I29" s="237">
        <v>19201</v>
      </c>
      <c r="J29" s="88">
        <f t="shared" si="0"/>
        <v>16896.88</v>
      </c>
      <c r="K29" t="s">
        <v>17</v>
      </c>
      <c r="L29" s="122">
        <v>45434</v>
      </c>
      <c r="T29" s="14"/>
      <c r="U29" s="360"/>
      <c r="V29" s="360"/>
    </row>
    <row r="30" spans="1:22" hidden="1" x14ac:dyDescent="0.25">
      <c r="A30" s="509" t="s">
        <v>3834</v>
      </c>
      <c r="B30" s="30" t="s">
        <v>3766</v>
      </c>
      <c r="C30" s="28" t="s">
        <v>13</v>
      </c>
      <c r="D30" s="233">
        <v>45361</v>
      </c>
      <c r="F30" s="28" t="s">
        <v>68</v>
      </c>
      <c r="G30" s="30" t="s">
        <v>4172</v>
      </c>
      <c r="H30" s="73" t="s">
        <v>4183</v>
      </c>
      <c r="I30" s="251">
        <v>23198</v>
      </c>
      <c r="J30" s="88">
        <f t="shared" si="0"/>
        <v>20414.240000000002</v>
      </c>
      <c r="K30" t="s">
        <v>17</v>
      </c>
      <c r="L30" s="122">
        <v>45434</v>
      </c>
      <c r="T30" s="14" t="s">
        <v>1029</v>
      </c>
      <c r="U30" s="360">
        <v>0.26111111111111113</v>
      </c>
      <c r="V30" s="360">
        <v>0.52361111111111114</v>
      </c>
    </row>
    <row r="31" spans="1:22" hidden="1" x14ac:dyDescent="0.25">
      <c r="A31" s="509">
        <v>26022024</v>
      </c>
      <c r="B31" s="30" t="s">
        <v>3927</v>
      </c>
      <c r="C31" s="28" t="s">
        <v>13</v>
      </c>
      <c r="D31" s="233">
        <v>45378</v>
      </c>
      <c r="F31" s="28" t="s">
        <v>68</v>
      </c>
      <c r="G31" s="30" t="s">
        <v>3928</v>
      </c>
      <c r="H31" s="73" t="s">
        <v>4173</v>
      </c>
      <c r="I31" s="237">
        <v>42399</v>
      </c>
      <c r="J31" s="88">
        <f t="shared" si="0"/>
        <v>37311.120000000003</v>
      </c>
      <c r="K31" t="s">
        <v>17</v>
      </c>
      <c r="L31" s="122">
        <v>45434</v>
      </c>
      <c r="T31" s="14" t="s">
        <v>1506</v>
      </c>
      <c r="U31" s="360"/>
      <c r="V31" s="360"/>
    </row>
    <row r="32" spans="1:22" hidden="1" x14ac:dyDescent="0.25">
      <c r="A32" s="509" t="s">
        <v>3978</v>
      </c>
      <c r="B32" s="30" t="s">
        <v>3979</v>
      </c>
      <c r="C32" s="28"/>
      <c r="D32" s="233">
        <v>45387</v>
      </c>
      <c r="F32" s="28" t="s">
        <v>68</v>
      </c>
      <c r="G32" s="30" t="s">
        <v>4003</v>
      </c>
      <c r="H32" s="73" t="s">
        <v>4174</v>
      </c>
      <c r="I32" s="237">
        <v>42399</v>
      </c>
      <c r="J32" s="32">
        <f t="shared" si="0"/>
        <v>37311.120000000003</v>
      </c>
      <c r="K32" t="s">
        <v>17</v>
      </c>
      <c r="L32" s="122">
        <v>45448</v>
      </c>
      <c r="T32" s="14"/>
      <c r="U32" s="360"/>
      <c r="V32" s="360"/>
    </row>
    <row r="33" spans="1:22" hidden="1" x14ac:dyDescent="0.25">
      <c r="A33" s="483" t="s">
        <v>4508</v>
      </c>
      <c r="B33" t="s">
        <v>4511</v>
      </c>
      <c r="C33" s="28" t="s">
        <v>13</v>
      </c>
      <c r="D33" s="233">
        <v>45485</v>
      </c>
      <c r="F33" s="28" t="s">
        <v>68</v>
      </c>
      <c r="G33" s="30" t="s">
        <v>4619</v>
      </c>
      <c r="H33" t="s">
        <v>4620</v>
      </c>
      <c r="I33" s="313">
        <v>42399</v>
      </c>
      <c r="J33" s="88">
        <f t="shared" si="0"/>
        <v>37311.120000000003</v>
      </c>
      <c r="K33" t="s">
        <v>17</v>
      </c>
      <c r="L33" s="233">
        <v>45513</v>
      </c>
      <c r="T33" s="14" t="s">
        <v>4097</v>
      </c>
      <c r="U33" s="360">
        <v>0.84166666666666667</v>
      </c>
      <c r="V33" s="360">
        <v>0.12222222222222223</v>
      </c>
    </row>
    <row r="34" spans="1:22" hidden="1" x14ac:dyDescent="0.25">
      <c r="A34" s="483" t="s">
        <v>4514</v>
      </c>
      <c r="B34" t="s">
        <v>4511</v>
      </c>
      <c r="C34" s="28" t="s">
        <v>410</v>
      </c>
      <c r="D34" s="233">
        <v>45488</v>
      </c>
      <c r="F34" s="28" t="s">
        <v>68</v>
      </c>
      <c r="G34" s="30" t="s">
        <v>4614</v>
      </c>
      <c r="H34" s="30" t="s">
        <v>4618</v>
      </c>
      <c r="I34" s="236">
        <v>42399</v>
      </c>
      <c r="J34" s="88">
        <f t="shared" si="0"/>
        <v>37311.120000000003</v>
      </c>
      <c r="K34" t="s">
        <v>17</v>
      </c>
      <c r="L34" s="233">
        <v>45513</v>
      </c>
      <c r="T34" s="14" t="s">
        <v>4345</v>
      </c>
      <c r="U34" s="360">
        <v>0.26041666666666669</v>
      </c>
      <c r="V34" s="30"/>
    </row>
    <row r="35" spans="1:22" x14ac:dyDescent="0.25">
      <c r="A35" s="509"/>
      <c r="B35" s="30"/>
      <c r="C35" s="28"/>
      <c r="D35" s="233"/>
      <c r="F35" s="28"/>
      <c r="G35" s="30"/>
      <c r="H35" s="73"/>
      <c r="I35" s="237"/>
      <c r="K35" s="6"/>
      <c r="L35" s="88"/>
      <c r="T35" s="14"/>
      <c r="U35" s="360"/>
      <c r="V35" s="360"/>
    </row>
    <row r="36" spans="1:22" x14ac:dyDescent="0.25">
      <c r="A36" s="483"/>
      <c r="B36" s="28"/>
      <c r="C36" s="28"/>
      <c r="D36" s="233"/>
      <c r="F36" s="28"/>
      <c r="H36" s="28"/>
      <c r="I36" s="251"/>
      <c r="K36"/>
      <c r="L36" s="88"/>
      <c r="T36" s="14"/>
      <c r="U36" s="360"/>
      <c r="V36" s="360"/>
    </row>
    <row r="37" spans="1:22" x14ac:dyDescent="0.25">
      <c r="I37" s="138">
        <f>SUBTOTAL(9,I17:I36)</f>
        <v>0</v>
      </c>
      <c r="K37" s="88"/>
    </row>
    <row r="38" spans="1:22" x14ac:dyDescent="0.25">
      <c r="I38" s="17"/>
      <c r="J38" s="88"/>
      <c r="K38" s="88"/>
    </row>
    <row r="39" spans="1:22" ht="15.75" thickBot="1" x14ac:dyDescent="0.3">
      <c r="I39" s="17"/>
      <c r="J39" s="88"/>
      <c r="K39" s="88"/>
    </row>
    <row r="40" spans="1:22" ht="15.75" thickBot="1" x14ac:dyDescent="0.3">
      <c r="A40" s="1481" t="s">
        <v>8348</v>
      </c>
      <c r="B40" s="1482"/>
      <c r="C40" s="1482"/>
      <c r="D40" s="1482"/>
      <c r="E40" s="1482"/>
      <c r="F40" s="1482"/>
      <c r="G40" s="1482"/>
      <c r="H40" s="1482"/>
      <c r="I40" s="1483"/>
      <c r="J40" s="88"/>
      <c r="K40" s="88"/>
    </row>
    <row r="41" spans="1:22" s="28" customFormat="1" x14ac:dyDescent="0.25">
      <c r="A41" s="28" t="s">
        <v>706</v>
      </c>
      <c r="B41" s="25" t="s">
        <v>0</v>
      </c>
      <c r="C41" s="25" t="s">
        <v>1</v>
      </c>
      <c r="D41" s="25" t="s">
        <v>2</v>
      </c>
      <c r="E41" s="25"/>
      <c r="F41" s="25" t="s">
        <v>3</v>
      </c>
      <c r="G41" s="25" t="s">
        <v>4</v>
      </c>
      <c r="H41" s="25" t="s">
        <v>5</v>
      </c>
      <c r="I41" s="25" t="s">
        <v>6</v>
      </c>
      <c r="J41" s="60" t="s">
        <v>1780</v>
      </c>
      <c r="K41" s="60" t="s">
        <v>8</v>
      </c>
      <c r="L41" s="25" t="s">
        <v>3997</v>
      </c>
      <c r="M41" s="25" t="s">
        <v>81</v>
      </c>
      <c r="N41" s="1480" t="s">
        <v>11</v>
      </c>
      <c r="O41" s="1480"/>
      <c r="P41" s="1480"/>
      <c r="Q41" s="1480"/>
    </row>
    <row r="42" spans="1:22" hidden="1" x14ac:dyDescent="0.25">
      <c r="A42" s="483" t="s">
        <v>6799</v>
      </c>
      <c r="B42" t="s">
        <v>3298</v>
      </c>
      <c r="C42" s="28" t="s">
        <v>410</v>
      </c>
      <c r="D42" s="233">
        <v>45885</v>
      </c>
      <c r="E42" s="28"/>
      <c r="F42" s="472" t="s">
        <v>68</v>
      </c>
      <c r="G42" s="1084" t="s">
        <v>6826</v>
      </c>
      <c r="H42" s="1491" t="s">
        <v>7453</v>
      </c>
      <c r="I42" s="140">
        <v>44000</v>
      </c>
      <c r="J42" s="3">
        <f t="shared" ref="J42:J50" si="1">+I42-ROUND(I42*0.12,0)</f>
        <v>38720</v>
      </c>
      <c r="K42" s="798" t="s">
        <v>17</v>
      </c>
      <c r="L42" s="233">
        <v>46043</v>
      </c>
      <c r="M42" s="32"/>
      <c r="T42" t="s">
        <v>6503</v>
      </c>
      <c r="U42" s="360">
        <v>0.34722222222222221</v>
      </c>
      <c r="V42" s="360"/>
    </row>
    <row r="43" spans="1:22" hidden="1" x14ac:dyDescent="0.25">
      <c r="A43" s="483">
        <v>26082025</v>
      </c>
      <c r="B43" t="s">
        <v>3298</v>
      </c>
      <c r="C43" s="28" t="s">
        <v>13</v>
      </c>
      <c r="D43" s="233">
        <v>45895</v>
      </c>
      <c r="E43" s="28"/>
      <c r="F43" s="28" t="s">
        <v>68</v>
      </c>
      <c r="G43" s="1067" t="s">
        <v>6942</v>
      </c>
      <c r="H43" s="1491"/>
      <c r="I43" s="140">
        <v>44000</v>
      </c>
      <c r="J43" s="3">
        <f t="shared" si="1"/>
        <v>38720</v>
      </c>
      <c r="K43" s="798" t="s">
        <v>17</v>
      </c>
      <c r="L43" s="233">
        <v>46043</v>
      </c>
      <c r="M43" s="32"/>
      <c r="T43" t="s">
        <v>5131</v>
      </c>
      <c r="U43" s="360">
        <v>0.32083333333333336</v>
      </c>
      <c r="V43" s="360"/>
    </row>
    <row r="44" spans="1:22" hidden="1" x14ac:dyDescent="0.25">
      <c r="A44" s="483">
        <v>26092025</v>
      </c>
      <c r="B44" t="s">
        <v>3298</v>
      </c>
      <c r="C44" s="28" t="s">
        <v>4218</v>
      </c>
      <c r="D44" s="233">
        <v>45926</v>
      </c>
      <c r="E44" s="28"/>
      <c r="F44" s="28" t="s">
        <v>68</v>
      </c>
      <c r="G44" s="1067" t="s">
        <v>7055</v>
      </c>
      <c r="H44" s="1491"/>
      <c r="I44" s="313">
        <v>44000</v>
      </c>
      <c r="J44" s="3">
        <f t="shared" si="1"/>
        <v>38720</v>
      </c>
      <c r="K44" s="798" t="s">
        <v>17</v>
      </c>
      <c r="L44" s="233">
        <v>46043</v>
      </c>
      <c r="M44" s="88"/>
      <c r="T44" t="s">
        <v>5021</v>
      </c>
      <c r="U44" s="360"/>
      <c r="V44" s="360"/>
    </row>
    <row r="45" spans="1:22" hidden="1" x14ac:dyDescent="0.25">
      <c r="A45" s="483" t="s">
        <v>7021</v>
      </c>
      <c r="B45" t="s">
        <v>3298</v>
      </c>
      <c r="C45" s="28" t="s">
        <v>4218</v>
      </c>
      <c r="D45" s="233">
        <v>45927</v>
      </c>
      <c r="E45" s="28"/>
      <c r="F45" s="28" t="s">
        <v>68</v>
      </c>
      <c r="G45" s="1067" t="s">
        <v>7056</v>
      </c>
      <c r="H45" s="1491"/>
      <c r="I45" s="313">
        <v>44000</v>
      </c>
      <c r="J45" s="3">
        <f t="shared" si="1"/>
        <v>38720</v>
      </c>
      <c r="K45" s="798" t="s">
        <v>17</v>
      </c>
      <c r="L45" s="233">
        <v>46043</v>
      </c>
      <c r="M45" s="88"/>
      <c r="T45" t="s">
        <v>6952</v>
      </c>
      <c r="U45" s="360">
        <v>0.31319444444444444</v>
      </c>
      <c r="V45" s="360">
        <v>0.59097222222222223</v>
      </c>
    </row>
    <row r="46" spans="1:22" hidden="1" x14ac:dyDescent="0.25">
      <c r="A46" s="483" t="s">
        <v>7224</v>
      </c>
      <c r="B46" t="s">
        <v>3298</v>
      </c>
      <c r="C46" s="28" t="s">
        <v>13</v>
      </c>
      <c r="D46" s="233">
        <v>45965</v>
      </c>
      <c r="E46" s="28"/>
      <c r="F46" s="28" t="s">
        <v>68</v>
      </c>
      <c r="G46" s="1067" t="s">
        <v>7306</v>
      </c>
      <c r="H46" s="1491" t="s">
        <v>7456</v>
      </c>
      <c r="I46" s="798">
        <v>44000</v>
      </c>
      <c r="J46" s="3">
        <f t="shared" si="1"/>
        <v>38720</v>
      </c>
      <c r="K46" s="798" t="s">
        <v>17</v>
      </c>
      <c r="L46" s="233">
        <v>46038</v>
      </c>
      <c r="M46" s="88"/>
      <c r="T46" t="s">
        <v>5026</v>
      </c>
      <c r="U46" s="360">
        <v>0.51249999999999996</v>
      </c>
      <c r="V46" s="360"/>
    </row>
    <row r="47" spans="1:22" hidden="1" x14ac:dyDescent="0.25">
      <c r="A47" s="483">
        <v>15112025</v>
      </c>
      <c r="B47" t="s">
        <v>2422</v>
      </c>
      <c r="C47" s="28" t="s">
        <v>615</v>
      </c>
      <c r="D47" s="233">
        <v>45976</v>
      </c>
      <c r="E47" s="28"/>
      <c r="F47" s="28" t="s">
        <v>68</v>
      </c>
      <c r="G47" s="1067" t="s">
        <v>7283</v>
      </c>
      <c r="H47" s="1491"/>
      <c r="I47" s="798">
        <v>44000</v>
      </c>
      <c r="J47" s="3">
        <f t="shared" si="1"/>
        <v>38720</v>
      </c>
      <c r="K47" s="798" t="s">
        <v>17</v>
      </c>
      <c r="L47" s="233">
        <v>46038</v>
      </c>
      <c r="M47" s="88"/>
      <c r="T47" s="926" t="s">
        <v>7261</v>
      </c>
      <c r="U47" s="360">
        <v>0.63958333333333328</v>
      </c>
      <c r="V47" s="360">
        <v>0.87638888888888899</v>
      </c>
    </row>
    <row r="48" spans="1:22" hidden="1" x14ac:dyDescent="0.25">
      <c r="A48" s="483" t="s">
        <v>7378</v>
      </c>
      <c r="B48" t="s">
        <v>3298</v>
      </c>
      <c r="C48" s="28" t="s">
        <v>3932</v>
      </c>
      <c r="D48" s="233">
        <v>46003</v>
      </c>
      <c r="E48" s="28"/>
      <c r="F48" s="28" t="s">
        <v>68</v>
      </c>
      <c r="G48" s="1067" t="s">
        <v>7454</v>
      </c>
      <c r="H48" s="1491"/>
      <c r="I48" s="240">
        <v>44000</v>
      </c>
      <c r="J48" s="3">
        <f t="shared" si="1"/>
        <v>38720</v>
      </c>
      <c r="K48" s="798" t="s">
        <v>17</v>
      </c>
      <c r="L48" s="233">
        <v>46038</v>
      </c>
      <c r="M48" s="88"/>
      <c r="T48" t="s">
        <v>7383</v>
      </c>
      <c r="U48" s="360">
        <v>0.62013888888888891</v>
      </c>
      <c r="V48" s="360">
        <v>0.90763888888888899</v>
      </c>
    </row>
    <row r="49" spans="1:24" hidden="1" x14ac:dyDescent="0.25">
      <c r="A49" s="483">
        <v>19122025</v>
      </c>
      <c r="B49" t="s">
        <v>7420</v>
      </c>
      <c r="C49" s="28" t="s">
        <v>4218</v>
      </c>
      <c r="D49" s="233">
        <v>46010</v>
      </c>
      <c r="E49" s="28"/>
      <c r="F49" s="28" t="s">
        <v>68</v>
      </c>
      <c r="G49" s="1067" t="s">
        <v>7455</v>
      </c>
      <c r="H49" s="1491"/>
      <c r="I49" s="240">
        <v>44000</v>
      </c>
      <c r="J49" s="3">
        <f t="shared" si="1"/>
        <v>38720</v>
      </c>
      <c r="K49" s="798" t="s">
        <v>17</v>
      </c>
      <c r="L49" s="233">
        <v>46038</v>
      </c>
      <c r="M49" s="88"/>
      <c r="T49" s="5" t="s">
        <v>4140</v>
      </c>
      <c r="U49" s="360">
        <v>0.28402777777777777</v>
      </c>
      <c r="V49" s="360">
        <v>0.54097222222222219</v>
      </c>
    </row>
    <row r="50" spans="1:24" hidden="1" x14ac:dyDescent="0.25">
      <c r="A50" t="s">
        <v>7444</v>
      </c>
      <c r="B50" t="s">
        <v>7447</v>
      </c>
      <c r="C50" t="s">
        <v>809</v>
      </c>
      <c r="D50" s="233">
        <v>46024</v>
      </c>
      <c r="F50" t="s">
        <v>68</v>
      </c>
      <c r="G50" t="s">
        <v>7500</v>
      </c>
      <c r="H50" s="28" t="s">
        <v>8440</v>
      </c>
      <c r="I50" s="240">
        <v>44000</v>
      </c>
      <c r="J50" s="3">
        <f t="shared" si="1"/>
        <v>38720</v>
      </c>
      <c r="K50" s="32" t="s">
        <v>17</v>
      </c>
      <c r="L50" s="233">
        <v>46218</v>
      </c>
      <c r="T50" t="s">
        <v>6155</v>
      </c>
      <c r="U50">
        <v>0.67152777777777783</v>
      </c>
      <c r="V50">
        <v>0.96597222222222223</v>
      </c>
    </row>
    <row r="52" spans="1:24" ht="15.75" thickBot="1" x14ac:dyDescent="0.3"/>
    <row r="53" spans="1:24" ht="15.75" thickBot="1" x14ac:dyDescent="0.3">
      <c r="I53" s="415">
        <f>SUBTOTAL(9,I42:I52)</f>
        <v>0</v>
      </c>
      <c r="K53" s="88"/>
    </row>
    <row r="54" spans="1:24" ht="15.75" thickBot="1" x14ac:dyDescent="0.3"/>
    <row r="55" spans="1:24" ht="15.75" thickBot="1" x14ac:dyDescent="0.3">
      <c r="A55" s="1481" t="s">
        <v>8023</v>
      </c>
      <c r="B55" s="1482"/>
      <c r="C55" s="1482"/>
      <c r="D55" s="1482"/>
      <c r="E55" s="1482"/>
      <c r="F55" s="1482"/>
      <c r="G55" s="1482"/>
      <c r="H55" s="1482"/>
      <c r="I55" s="1483"/>
      <c r="J55" s="88"/>
      <c r="K55" s="88"/>
    </row>
    <row r="56" spans="1:24" s="28" customFormat="1" x14ac:dyDescent="0.25">
      <c r="A56" s="28" t="s">
        <v>706</v>
      </c>
      <c r="B56" s="25" t="s">
        <v>0</v>
      </c>
      <c r="C56" s="25" t="s">
        <v>1</v>
      </c>
      <c r="D56" s="25" t="s">
        <v>2</v>
      </c>
      <c r="E56" s="25"/>
      <c r="F56" s="25" t="s">
        <v>3</v>
      </c>
      <c r="G56" s="25" t="s">
        <v>4</v>
      </c>
      <c r="H56" s="25" t="s">
        <v>5</v>
      </c>
      <c r="I56" s="25" t="s">
        <v>6</v>
      </c>
      <c r="J56" s="60" t="s">
        <v>1780</v>
      </c>
      <c r="K56" s="60" t="s">
        <v>8</v>
      </c>
      <c r="L56" s="25" t="s">
        <v>3997</v>
      </c>
      <c r="M56" s="25" t="s">
        <v>81</v>
      </c>
      <c r="N56" s="1480" t="s">
        <v>11</v>
      </c>
      <c r="O56" s="1480"/>
      <c r="P56" s="1480"/>
      <c r="Q56" s="1480"/>
    </row>
    <row r="57" spans="1:24" hidden="1" x14ac:dyDescent="0.25">
      <c r="A57" s="483" t="s">
        <v>8021</v>
      </c>
      <c r="B57" t="s">
        <v>8022</v>
      </c>
      <c r="C57" s="28" t="s">
        <v>410</v>
      </c>
      <c r="D57" s="233">
        <v>46137</v>
      </c>
      <c r="E57" s="28"/>
      <c r="F57" s="28" t="s">
        <v>68</v>
      </c>
      <c r="G57" s="88" t="s">
        <v>8040</v>
      </c>
      <c r="H57" s="28" t="s">
        <v>8041</v>
      </c>
      <c r="I57" s="88">
        <v>47700</v>
      </c>
      <c r="J57" s="3">
        <f t="shared" ref="J57:J60" si="2">+I57-ROUND(I57*0.12,0)</f>
        <v>41976</v>
      </c>
      <c r="K57" s="1293" t="s">
        <v>17</v>
      </c>
      <c r="L57" s="233">
        <v>46199</v>
      </c>
      <c r="M57" s="798"/>
      <c r="U57" t="s">
        <v>7942</v>
      </c>
      <c r="V57" s="360">
        <v>0.42986111111111108</v>
      </c>
      <c r="W57" s="360">
        <v>0.74097222222222225</v>
      </c>
    </row>
    <row r="58" spans="1:24" hidden="1" x14ac:dyDescent="0.25">
      <c r="A58" s="483" t="s">
        <v>8108</v>
      </c>
      <c r="B58" t="s">
        <v>2422</v>
      </c>
      <c r="C58" s="28" t="s">
        <v>13</v>
      </c>
      <c r="D58" s="233">
        <v>46157</v>
      </c>
      <c r="E58" s="28"/>
      <c r="F58" s="28" t="s">
        <v>68</v>
      </c>
      <c r="G58" s="88" t="s">
        <v>8142</v>
      </c>
      <c r="H58" s="28" t="s">
        <v>8144</v>
      </c>
      <c r="I58" s="798">
        <v>47700</v>
      </c>
      <c r="J58" s="3">
        <f t="shared" si="2"/>
        <v>41976</v>
      </c>
      <c r="K58" s="1293" t="s">
        <v>17</v>
      </c>
      <c r="L58" s="233">
        <v>46199</v>
      </c>
      <c r="N58" s="798"/>
      <c r="V58" t="s">
        <v>7842</v>
      </c>
      <c r="W58" s="360">
        <v>0.66597222222222219</v>
      </c>
      <c r="X58" s="360">
        <v>0.95972222222222225</v>
      </c>
    </row>
    <row r="59" spans="1:24" hidden="1" x14ac:dyDescent="0.25">
      <c r="A59" s="483">
        <v>19052026</v>
      </c>
      <c r="B59" t="s">
        <v>8122</v>
      </c>
      <c r="C59" s="28" t="s">
        <v>4218</v>
      </c>
      <c r="D59" s="233">
        <v>46161</v>
      </c>
      <c r="E59" s="28"/>
      <c r="F59" s="28" t="s">
        <v>68</v>
      </c>
      <c r="G59" s="88" t="s">
        <v>8143</v>
      </c>
      <c r="H59" s="28" t="s">
        <v>8145</v>
      </c>
      <c r="I59" s="798">
        <v>47700</v>
      </c>
      <c r="J59" s="3">
        <f t="shared" si="2"/>
        <v>41976</v>
      </c>
      <c r="K59" s="1293" t="s">
        <v>17</v>
      </c>
      <c r="L59" s="233">
        <v>46199</v>
      </c>
      <c r="N59" s="798"/>
      <c r="V59" t="s">
        <v>7858</v>
      </c>
      <c r="W59" s="360">
        <v>0.24305555555555555</v>
      </c>
      <c r="X59" s="360"/>
    </row>
    <row r="60" spans="1:24" hidden="1" x14ac:dyDescent="0.25">
      <c r="A60" s="483">
        <v>17062026</v>
      </c>
      <c r="B60" t="s">
        <v>7447</v>
      </c>
      <c r="C60" s="31" t="s">
        <v>4218</v>
      </c>
      <c r="D60" s="233">
        <v>46190</v>
      </c>
      <c r="E60" s="28"/>
      <c r="F60" s="28" t="s">
        <v>68</v>
      </c>
      <c r="G60" s="88" t="s">
        <v>8236</v>
      </c>
      <c r="H60" s="28" t="s">
        <v>8439</v>
      </c>
      <c r="I60" s="798">
        <v>47700</v>
      </c>
      <c r="J60" s="3">
        <f t="shared" si="2"/>
        <v>41976</v>
      </c>
      <c r="K60" s="88" t="s">
        <v>17</v>
      </c>
      <c r="L60" s="233">
        <v>46213</v>
      </c>
      <c r="N60" s="798"/>
      <c r="V60" s="21" t="s">
        <v>4983</v>
      </c>
      <c r="W60" s="360">
        <v>0.65069444444444446</v>
      </c>
      <c r="X60" s="360"/>
    </row>
    <row r="61" spans="1:24" hidden="1" x14ac:dyDescent="0.25">
      <c r="A61" s="483" t="s">
        <v>8301</v>
      </c>
      <c r="B61" t="s">
        <v>2422</v>
      </c>
      <c r="C61" s="31" t="s">
        <v>410</v>
      </c>
      <c r="D61" s="233">
        <v>46207</v>
      </c>
      <c r="E61" s="28"/>
      <c r="F61" s="313" t="s">
        <v>68</v>
      </c>
      <c r="G61" s="88" t="s">
        <v>8324</v>
      </c>
      <c r="H61" s="28" t="s">
        <v>8539</v>
      </c>
      <c r="I61" s="798">
        <v>47700</v>
      </c>
      <c r="J61" s="3">
        <f t="shared" ref="J61:J64" si="3">+I61-ROUND(I61*0.12,0)</f>
        <v>41976</v>
      </c>
      <c r="K61" s="1293" t="s">
        <v>17</v>
      </c>
      <c r="L61" s="233">
        <v>46265</v>
      </c>
      <c r="M61" s="313"/>
      <c r="N61" s="88"/>
      <c r="O61" s="88"/>
      <c r="V61" t="s">
        <v>8289</v>
      </c>
      <c r="W61" s="360">
        <v>0.34166666666666662</v>
      </c>
      <c r="X61" s="360">
        <v>0.64930555555555558</v>
      </c>
    </row>
    <row r="62" spans="1:24" hidden="1" x14ac:dyDescent="0.25">
      <c r="A62" s="483" t="s">
        <v>8344</v>
      </c>
      <c r="B62" t="s">
        <v>2422</v>
      </c>
      <c r="C62" s="31" t="s">
        <v>4218</v>
      </c>
      <c r="D62" s="233">
        <v>46217</v>
      </c>
      <c r="E62" s="28"/>
      <c r="F62" s="313" t="s">
        <v>68</v>
      </c>
      <c r="G62" s="88" t="s">
        <v>8349</v>
      </c>
      <c r="H62" s="28" t="s">
        <v>8558</v>
      </c>
      <c r="I62" s="313">
        <v>47700</v>
      </c>
      <c r="J62" s="3">
        <f t="shared" si="3"/>
        <v>41976</v>
      </c>
      <c r="K62" s="1293" t="s">
        <v>17</v>
      </c>
      <c r="L62" s="1479">
        <v>46272</v>
      </c>
      <c r="N62" s="88"/>
      <c r="O62" s="88"/>
      <c r="V62" t="s">
        <v>8286</v>
      </c>
      <c r="W62" s="360">
        <v>0.27708333333333335</v>
      </c>
      <c r="X62" s="360">
        <v>0.56736111111111109</v>
      </c>
    </row>
    <row r="63" spans="1:24" hidden="1" x14ac:dyDescent="0.25">
      <c r="A63" s="483">
        <v>23072026</v>
      </c>
      <c r="B63" t="s">
        <v>2422</v>
      </c>
      <c r="C63" s="31" t="s">
        <v>4218</v>
      </c>
      <c r="D63" s="233">
        <v>46226</v>
      </c>
      <c r="E63" s="28"/>
      <c r="F63" s="313" t="s">
        <v>68</v>
      </c>
      <c r="G63" t="s">
        <v>8392</v>
      </c>
      <c r="H63" s="28" t="s">
        <v>8558</v>
      </c>
      <c r="I63" s="313">
        <v>47700</v>
      </c>
      <c r="J63" s="3">
        <f t="shared" si="3"/>
        <v>41976</v>
      </c>
      <c r="K63" s="1293" t="s">
        <v>17</v>
      </c>
      <c r="L63" s="1479">
        <v>46272</v>
      </c>
      <c r="N63" s="88"/>
      <c r="O63" s="88"/>
      <c r="V63" t="s">
        <v>8387</v>
      </c>
      <c r="W63" s="360"/>
      <c r="X63" s="360"/>
    </row>
    <row r="64" spans="1:24" x14ac:dyDescent="0.25">
      <c r="A64" s="483" t="s">
        <v>8187</v>
      </c>
      <c r="B64" t="s">
        <v>2422</v>
      </c>
      <c r="C64" s="31" t="s">
        <v>4218</v>
      </c>
      <c r="D64" s="233">
        <v>46274</v>
      </c>
      <c r="E64" s="28"/>
      <c r="F64" s="313" t="s">
        <v>68</v>
      </c>
      <c r="G64" t="s">
        <v>8611</v>
      </c>
      <c r="H64" s="88"/>
      <c r="I64" s="313">
        <v>47700</v>
      </c>
      <c r="J64" s="3">
        <f t="shared" si="3"/>
        <v>41976</v>
      </c>
      <c r="K64"/>
      <c r="M64" s="313"/>
      <c r="N64" s="88"/>
      <c r="O64" s="88"/>
      <c r="W64" s="360"/>
      <c r="X64" s="360"/>
    </row>
    <row r="65" spans="1:24" ht="15.75" thickBot="1" x14ac:dyDescent="0.3">
      <c r="A65" s="483"/>
      <c r="C65" s="31"/>
      <c r="D65" s="233"/>
      <c r="E65" s="28"/>
      <c r="F65" s="313"/>
      <c r="H65" s="88"/>
      <c r="J65"/>
      <c r="K65"/>
      <c r="M65" s="313"/>
      <c r="N65" s="88"/>
      <c r="O65" s="88"/>
      <c r="W65" s="360"/>
      <c r="X65" s="360"/>
    </row>
    <row r="66" spans="1:24" ht="15.75" thickBot="1" x14ac:dyDescent="0.3">
      <c r="I66" s="415">
        <f>SUBTOTAL(9,I57:I64)</f>
        <v>47700</v>
      </c>
      <c r="K66" s="88"/>
    </row>
    <row r="68" spans="1:24" x14ac:dyDescent="0.25">
      <c r="H68" s="5" t="s">
        <v>4480</v>
      </c>
      <c r="I68" s="27">
        <f>+I11+I4+I37+I53+I66</f>
        <v>47700</v>
      </c>
    </row>
    <row r="69" spans="1:24" x14ac:dyDescent="0.25">
      <c r="G69" s="13"/>
    </row>
    <row r="70" spans="1:24" x14ac:dyDescent="0.25">
      <c r="I70" s="102"/>
      <c r="J70" s="1219" t="s">
        <v>8023</v>
      </c>
      <c r="K70" s="726"/>
      <c r="L70" s="28" t="s">
        <v>2468</v>
      </c>
    </row>
    <row r="71" spans="1:24" x14ac:dyDescent="0.25">
      <c r="I71" s="102" t="s">
        <v>219</v>
      </c>
      <c r="J71" s="793">
        <v>429300</v>
      </c>
      <c r="K71" s="1216">
        <v>9</v>
      </c>
      <c r="L71" s="122">
        <v>46266</v>
      </c>
    </row>
    <row r="72" spans="1:24" x14ac:dyDescent="0.25">
      <c r="I72" s="102" t="s">
        <v>2048</v>
      </c>
      <c r="J72" s="793">
        <v>333900</v>
      </c>
      <c r="K72" s="1217">
        <f>+J72/47700</f>
        <v>7</v>
      </c>
      <c r="L72" s="122">
        <f>+L71</f>
        <v>46266</v>
      </c>
    </row>
    <row r="73" spans="1:24" x14ac:dyDescent="0.25">
      <c r="I73" s="728" t="s">
        <v>2128</v>
      </c>
      <c r="J73" s="1218">
        <f>+J71-J72</f>
        <v>95400</v>
      </c>
      <c r="K73" s="1220">
        <f>+K71-K72</f>
        <v>2</v>
      </c>
    </row>
    <row r="75" spans="1:24" x14ac:dyDescent="0.25">
      <c r="K75"/>
    </row>
  </sheetData>
  <autoFilter ref="A2:X75" xr:uid="{00000000-0009-0000-0000-000038000000}">
    <filterColumn colId="10">
      <filters blank="1">
        <filter val="2"/>
        <filter val="7"/>
        <filter val="9"/>
        <filter val="STATUS"/>
      </filters>
    </filterColumn>
    <filterColumn colId="13" showButton="0"/>
    <filterColumn colId="14" showButton="0"/>
    <filterColumn colId="15" showButton="0"/>
  </autoFilter>
  <mergeCells count="9">
    <mergeCell ref="N56:Q56"/>
    <mergeCell ref="H46:H49"/>
    <mergeCell ref="H42:H45"/>
    <mergeCell ref="N41:Q41"/>
    <mergeCell ref="N2:Q2"/>
    <mergeCell ref="A6:I6"/>
    <mergeCell ref="A16:I16"/>
    <mergeCell ref="A40:I40"/>
    <mergeCell ref="A55:I5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0786" r:id="rId4" name="Button 1">
              <controlPr defaultSize="0" print="0" autoFill="0" autoPict="0" macro="[0]!RETORNAR">
                <anchor moveWithCells="1" sizeWithCells="1">
                  <from>
                    <xdr:col>0</xdr:col>
                    <xdr:colOff>38100</xdr:colOff>
                    <xdr:row>0</xdr:row>
                    <xdr:rowOff>47625</xdr:rowOff>
                  </from>
                  <to>
                    <xdr:col>2</xdr:col>
                    <xdr:colOff>333375</xdr:colOff>
                    <xdr:row>0</xdr:row>
                    <xdr:rowOff>314325</xdr:rowOff>
                  </to>
                </anchor>
              </controlPr>
            </control>
          </mc:Choice>
        </mc:AlternateContent>
        <mc:AlternateContent xmlns:mc="http://schemas.openxmlformats.org/markup-compatibility/2006">
          <mc:Choice Requires="x14">
            <control shapeId="630796" r:id="rId5" name="Botón 12">
              <controlPr defaultSize="0" print="0" autoFill="0" autoPict="0" macro="[0]!IR_VENTAS_B200_2026">
                <anchor moveWithCells="1" sizeWithCells="1">
                  <from>
                    <xdr:col>0</xdr:col>
                    <xdr:colOff>581025</xdr:colOff>
                    <xdr:row>72</xdr:row>
                    <xdr:rowOff>19050</xdr:rowOff>
                  </from>
                  <to>
                    <xdr:col>3</xdr:col>
                    <xdr:colOff>0</xdr:colOff>
                    <xdr:row>75</xdr:row>
                    <xdr:rowOff>47625</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Hoja61" filterMode="1"/>
  <dimension ref="A1:V12"/>
  <sheetViews>
    <sheetView workbookViewId="0">
      <selection activeCell="A19" sqref="A19"/>
    </sheetView>
  </sheetViews>
  <sheetFormatPr baseColWidth="10" defaultColWidth="10.85546875" defaultRowHeight="15" x14ac:dyDescent="0.25"/>
  <cols>
    <col min="2" max="2" width="16" customWidth="1"/>
    <col min="3" max="3" width="5.42578125" customWidth="1"/>
    <col min="5" max="5" width="5.28515625" customWidth="1"/>
    <col min="7" max="7" width="44.28515625" customWidth="1"/>
    <col min="9" max="9" width="11.5703125" bestFit="1" customWidth="1"/>
    <col min="10" max="10" width="12" bestFit="1" customWidth="1"/>
  </cols>
  <sheetData>
    <row r="1" spans="1:22" ht="25.5" customHeight="1" x14ac:dyDescent="0.25"/>
    <row r="2" spans="1:22" x14ac:dyDescent="0.25">
      <c r="A2" t="s">
        <v>706</v>
      </c>
      <c r="B2" s="1" t="s">
        <v>0</v>
      </c>
      <c r="C2" s="1" t="s">
        <v>1</v>
      </c>
      <c r="D2" s="1" t="s">
        <v>2</v>
      </c>
      <c r="E2" s="1"/>
      <c r="F2" s="1" t="s">
        <v>3</v>
      </c>
      <c r="G2" s="1" t="s">
        <v>4</v>
      </c>
      <c r="H2" s="1" t="s">
        <v>5</v>
      </c>
      <c r="I2" s="1" t="s">
        <v>6</v>
      </c>
      <c r="J2" s="1" t="s">
        <v>1780</v>
      </c>
      <c r="K2" s="1" t="s">
        <v>8</v>
      </c>
      <c r="L2" s="1" t="s">
        <v>3997</v>
      </c>
      <c r="M2" s="1" t="s">
        <v>10</v>
      </c>
      <c r="N2" s="1480" t="s">
        <v>11</v>
      </c>
      <c r="O2" s="1480"/>
      <c r="P2" s="1480"/>
      <c r="Q2" s="1480"/>
    </row>
    <row r="3" spans="1:22" hidden="1" x14ac:dyDescent="0.25">
      <c r="B3" s="1"/>
      <c r="C3" s="1"/>
      <c r="D3" s="1"/>
      <c r="E3" s="1"/>
      <c r="F3" s="1"/>
      <c r="G3" s="30" t="s">
        <v>2482</v>
      </c>
      <c r="H3" s="236" t="s">
        <v>2483</v>
      </c>
      <c r="I3" s="236">
        <v>17409</v>
      </c>
      <c r="J3" s="236">
        <f>+I3*0.88</f>
        <v>15319.92</v>
      </c>
      <c r="K3" t="s">
        <v>17</v>
      </c>
      <c r="L3" s="122">
        <v>45132</v>
      </c>
      <c r="M3" s="1"/>
      <c r="N3" s="25"/>
      <c r="O3" s="25"/>
      <c r="P3" s="25"/>
      <c r="Q3" s="25"/>
    </row>
    <row r="4" spans="1:22" hidden="1" x14ac:dyDescent="0.25">
      <c r="A4" s="256" t="s">
        <v>2438</v>
      </c>
      <c r="B4" t="s">
        <v>2439</v>
      </c>
      <c r="C4" t="s">
        <v>693</v>
      </c>
      <c r="D4" s="122">
        <v>45079</v>
      </c>
      <c r="F4" s="28" t="s">
        <v>2437</v>
      </c>
      <c r="G4" s="30" t="s">
        <v>2482</v>
      </c>
      <c r="H4" s="236" t="s">
        <v>2484</v>
      </c>
      <c r="I4" s="236">
        <v>8041</v>
      </c>
      <c r="J4" s="236">
        <f>+I4*0.88</f>
        <v>7076.08</v>
      </c>
      <c r="K4" t="s">
        <v>17</v>
      </c>
      <c r="L4" s="122">
        <v>45132</v>
      </c>
      <c r="T4" t="s">
        <v>893</v>
      </c>
      <c r="U4" s="14">
        <v>0.54722222222222217</v>
      </c>
      <c r="V4" s="14">
        <v>0.83194444444444438</v>
      </c>
    </row>
    <row r="5" spans="1:22" hidden="1" x14ac:dyDescent="0.25">
      <c r="A5" s="483" t="s">
        <v>5097</v>
      </c>
      <c r="B5" t="s">
        <v>2439</v>
      </c>
      <c r="C5" s="233" t="s">
        <v>13</v>
      </c>
      <c r="D5" s="374">
        <v>45609</v>
      </c>
      <c r="E5" s="28"/>
      <c r="F5" s="28" t="s">
        <v>796</v>
      </c>
      <c r="G5" t="s">
        <v>5126</v>
      </c>
      <c r="H5" t="s">
        <v>5127</v>
      </c>
      <c r="I5" s="88">
        <v>27612</v>
      </c>
      <c r="J5" s="3">
        <f>+I5-ROUND(I5*0.12,0)</f>
        <v>24299</v>
      </c>
      <c r="K5" t="s">
        <v>17</v>
      </c>
      <c r="L5" s="374">
        <v>45625</v>
      </c>
      <c r="T5" t="s">
        <v>4139</v>
      </c>
      <c r="U5" s="360">
        <v>0.27847222222222223</v>
      </c>
      <c r="V5" s="360"/>
    </row>
    <row r="6" spans="1:22" hidden="1" x14ac:dyDescent="0.25">
      <c r="A6" s="483"/>
      <c r="C6" s="233"/>
      <c r="D6" s="233">
        <v>45632</v>
      </c>
      <c r="E6" s="28"/>
      <c r="F6" s="28" t="s">
        <v>3676</v>
      </c>
      <c r="G6" t="s">
        <v>5294</v>
      </c>
      <c r="H6" t="s">
        <v>5295</v>
      </c>
      <c r="I6" s="88">
        <v>1020</v>
      </c>
      <c r="J6" s="3">
        <f>+I6-ROUND(I6*0.12,0)</f>
        <v>898</v>
      </c>
      <c r="K6" t="s">
        <v>17</v>
      </c>
      <c r="L6" s="374">
        <v>45667</v>
      </c>
      <c r="U6" s="360"/>
      <c r="V6" s="360"/>
    </row>
    <row r="7" spans="1:22" hidden="1" x14ac:dyDescent="0.25">
      <c r="A7" s="483"/>
      <c r="C7" s="233"/>
      <c r="D7" s="233">
        <v>45632</v>
      </c>
      <c r="E7" s="28"/>
      <c r="F7" s="28" t="s">
        <v>3676</v>
      </c>
      <c r="G7" t="s">
        <v>5294</v>
      </c>
      <c r="H7" t="s">
        <v>5296</v>
      </c>
      <c r="I7" s="88">
        <v>8020</v>
      </c>
      <c r="J7" s="3">
        <f>+I7-ROUND(I7*0.12,0)</f>
        <v>7058</v>
      </c>
      <c r="K7" t="s">
        <v>17</v>
      </c>
      <c r="L7" s="374">
        <v>45667</v>
      </c>
      <c r="U7" s="360"/>
      <c r="V7" s="360"/>
    </row>
    <row r="8" spans="1:22" hidden="1" x14ac:dyDescent="0.25">
      <c r="A8" s="483"/>
      <c r="C8" s="233"/>
      <c r="D8" s="233">
        <v>45632</v>
      </c>
      <c r="E8" s="28"/>
      <c r="F8" s="28" t="s">
        <v>3676</v>
      </c>
      <c r="G8" t="s">
        <v>5294</v>
      </c>
      <c r="H8" t="s">
        <v>5297</v>
      </c>
      <c r="I8" s="88">
        <v>7976</v>
      </c>
      <c r="J8" s="3">
        <f>+I8-ROUND(I8*0.12,0)</f>
        <v>7019</v>
      </c>
      <c r="K8" t="s">
        <v>17</v>
      </c>
      <c r="L8" s="374">
        <v>45667</v>
      </c>
      <c r="U8" s="360"/>
      <c r="V8" s="360"/>
    </row>
    <row r="9" spans="1:22" hidden="1" x14ac:dyDescent="0.25">
      <c r="A9" s="483">
        <v>6122024</v>
      </c>
      <c r="B9" t="s">
        <v>2439</v>
      </c>
      <c r="C9" s="233" t="s">
        <v>4218</v>
      </c>
      <c r="D9" s="233">
        <v>45632</v>
      </c>
      <c r="E9" s="28"/>
      <c r="F9" s="28" t="s">
        <v>3676</v>
      </c>
      <c r="G9" t="s">
        <v>5294</v>
      </c>
      <c r="H9" t="s">
        <v>5298</v>
      </c>
      <c r="I9" s="88">
        <v>10950</v>
      </c>
      <c r="J9" s="3">
        <f>+I9-ROUND(I9*0.12,0)</f>
        <v>9636</v>
      </c>
      <c r="K9" t="s">
        <v>17</v>
      </c>
      <c r="L9" s="374">
        <v>45667</v>
      </c>
      <c r="T9" t="s">
        <v>5078</v>
      </c>
      <c r="U9" s="360">
        <v>0.43611111111111112</v>
      </c>
      <c r="V9" s="360"/>
    </row>
    <row r="10" spans="1:22" x14ac:dyDescent="0.25">
      <c r="A10" s="256"/>
      <c r="D10" s="122"/>
      <c r="F10" s="30"/>
      <c r="G10" s="30"/>
      <c r="H10" s="30"/>
      <c r="I10" s="160"/>
      <c r="L10" s="122"/>
      <c r="U10" s="14"/>
      <c r="V10" s="14"/>
    </row>
    <row r="11" spans="1:22" x14ac:dyDescent="0.25">
      <c r="A11" s="116"/>
      <c r="B11" s="169"/>
      <c r="C11" s="21"/>
      <c r="D11" s="123"/>
      <c r="E11" s="88"/>
      <c r="F11" s="21"/>
      <c r="G11" s="21"/>
      <c r="I11" s="160"/>
      <c r="J11" s="160"/>
      <c r="K11" s="160"/>
      <c r="L11" s="122"/>
      <c r="O11" s="163"/>
      <c r="P11" s="157"/>
      <c r="Q11" s="157"/>
    </row>
    <row r="12" spans="1:22" x14ac:dyDescent="0.25">
      <c r="H12" s="5" t="s">
        <v>423</v>
      </c>
      <c r="I12" s="9">
        <f>SUBTOTAL(9,I3:I11)</f>
        <v>0</v>
      </c>
      <c r="L12" s="122"/>
    </row>
  </sheetData>
  <autoFilter ref="A2:Q11" xr:uid="{00000000-0009-0000-0000-000039000000}">
    <filterColumn colId="10">
      <filters blank="1"/>
    </filterColumn>
    <filterColumn colId="13" showButton="0"/>
    <filterColumn colId="14" showButton="0"/>
    <filterColumn colId="15" showButton="0"/>
  </autoFilter>
  <mergeCells count="1">
    <mergeCell ref="N2: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37954" r:id="rId3" name="Button 1">
              <controlPr defaultSize="0" print="0" autoFill="0" autoPict="0" macro="[0]!RETORNAR">
                <anchor moveWithCells="1" sizeWithCells="1">
                  <from>
                    <xdr:col>0</xdr:col>
                    <xdr:colOff>38100</xdr:colOff>
                    <xdr:row>0</xdr:row>
                    <xdr:rowOff>47625</xdr:rowOff>
                  </from>
                  <to>
                    <xdr:col>1</xdr:col>
                    <xdr:colOff>1095375</xdr:colOff>
                    <xdr:row>0</xdr:row>
                    <xdr:rowOff>314325</xdr:rowOff>
                  </to>
                </anchor>
              </controlPr>
            </control>
          </mc:Choice>
        </mc:AlternateContent>
        <mc:AlternateContent xmlns:mc="http://schemas.openxmlformats.org/markup-compatibility/2006">
          <mc:Choice Requires="x14">
            <control shapeId="637958" r:id="rId4" name="Botón 6">
              <controlPr defaultSize="0" print="0" autoFill="0" autoPict="0" macro="[0]!IR_VENTAS_B200_2026">
                <anchor moveWithCells="1" sizeWithCells="1">
                  <from>
                    <xdr:col>0</xdr:col>
                    <xdr:colOff>600075</xdr:colOff>
                    <xdr:row>13</xdr:row>
                    <xdr:rowOff>104775</xdr:rowOff>
                  </from>
                  <to>
                    <xdr:col>2</xdr:col>
                    <xdr:colOff>28575</xdr:colOff>
                    <xdr:row>16</xdr:row>
                    <xdr:rowOff>142875</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Hoja62" filterMode="1"/>
  <dimension ref="A1:V56"/>
  <sheetViews>
    <sheetView zoomScale="89" zoomScaleNormal="89" workbookViewId="0">
      <selection activeCell="A55" sqref="A55"/>
    </sheetView>
  </sheetViews>
  <sheetFormatPr baseColWidth="10" defaultColWidth="10.85546875" defaultRowHeight="15" x14ac:dyDescent="0.25"/>
  <cols>
    <col min="2" max="2" width="16" customWidth="1"/>
    <col min="3" max="3" width="5.42578125" customWidth="1"/>
    <col min="5" max="5" width="5.28515625" customWidth="1"/>
    <col min="7" max="7" width="42.5703125" customWidth="1"/>
    <col min="9" max="9" width="14" customWidth="1"/>
    <col min="10" max="10" width="12" style="32" bestFit="1" customWidth="1"/>
    <col min="12" max="12" width="12.5703125" customWidth="1"/>
  </cols>
  <sheetData>
    <row r="1" spans="1:22" ht="25.5" customHeight="1" x14ac:dyDescent="0.25"/>
    <row r="2" spans="1:22" x14ac:dyDescent="0.25">
      <c r="A2" t="s">
        <v>706</v>
      </c>
      <c r="B2" s="1" t="s">
        <v>0</v>
      </c>
      <c r="C2" s="1" t="s">
        <v>1</v>
      </c>
      <c r="D2" s="1" t="s">
        <v>2</v>
      </c>
      <c r="E2" s="1"/>
      <c r="F2" s="1" t="s">
        <v>3</v>
      </c>
      <c r="G2" s="1" t="s">
        <v>4</v>
      </c>
      <c r="H2" s="1" t="s">
        <v>5</v>
      </c>
      <c r="I2" s="1" t="s">
        <v>6</v>
      </c>
      <c r="J2" s="87" t="s">
        <v>1780</v>
      </c>
      <c r="K2" s="1" t="s">
        <v>8</v>
      </c>
      <c r="L2" s="1" t="s">
        <v>3997</v>
      </c>
      <c r="M2" s="1" t="s">
        <v>10</v>
      </c>
      <c r="N2" s="1480" t="s">
        <v>11</v>
      </c>
      <c r="O2" s="1480"/>
      <c r="P2" s="1480"/>
      <c r="Q2" s="1480"/>
    </row>
    <row r="3" spans="1:22" hidden="1" x14ac:dyDescent="0.25">
      <c r="A3" s="256">
        <v>17062023</v>
      </c>
      <c r="B3" t="s">
        <v>2547</v>
      </c>
      <c r="C3" t="s">
        <v>693</v>
      </c>
      <c r="D3" s="122">
        <v>45094</v>
      </c>
      <c r="F3" t="s">
        <v>285</v>
      </c>
      <c r="G3" s="28" t="s">
        <v>2546</v>
      </c>
      <c r="H3" t="s">
        <v>3568</v>
      </c>
      <c r="I3" s="313">
        <v>45430</v>
      </c>
      <c r="J3" s="3">
        <f t="shared" ref="J3:J7" si="0">+I3-ROUND(I3*0.12,0)</f>
        <v>39978</v>
      </c>
      <c r="K3" t="s">
        <v>17</v>
      </c>
      <c r="L3" s="122">
        <v>45243</v>
      </c>
      <c r="T3" t="s">
        <v>1225</v>
      </c>
      <c r="U3" s="14">
        <v>0.26805555555555555</v>
      </c>
      <c r="V3" s="14">
        <v>0.5493055555555556</v>
      </c>
    </row>
    <row r="4" spans="1:22" hidden="1" x14ac:dyDescent="0.25">
      <c r="A4" s="95">
        <v>20082023</v>
      </c>
      <c r="B4" t="s">
        <v>2768</v>
      </c>
      <c r="C4" t="s">
        <v>410</v>
      </c>
      <c r="D4" s="122">
        <v>45158</v>
      </c>
      <c r="F4" t="s">
        <v>285</v>
      </c>
      <c r="G4" t="s">
        <v>2922</v>
      </c>
      <c r="H4" t="s">
        <v>3491</v>
      </c>
      <c r="I4" s="414">
        <v>45430</v>
      </c>
      <c r="J4" s="3">
        <f t="shared" si="0"/>
        <v>39978</v>
      </c>
      <c r="K4" t="s">
        <v>17</v>
      </c>
      <c r="L4" s="122">
        <v>45300</v>
      </c>
      <c r="T4" s="14" t="s">
        <v>2380</v>
      </c>
      <c r="U4" s="14">
        <v>0.37291666666666662</v>
      </c>
      <c r="V4" s="14">
        <v>0.6743055555555556</v>
      </c>
    </row>
    <row r="5" spans="1:22" hidden="1" x14ac:dyDescent="0.25">
      <c r="A5" s="509">
        <v>27062024</v>
      </c>
      <c r="B5" t="s">
        <v>2527</v>
      </c>
      <c r="C5" s="28" t="s">
        <v>4218</v>
      </c>
      <c r="D5" s="233">
        <v>45470</v>
      </c>
      <c r="F5" s="28" t="s">
        <v>285</v>
      </c>
      <c r="G5" s="30" t="s">
        <v>4429</v>
      </c>
      <c r="H5" s="30" t="s">
        <v>4679</v>
      </c>
      <c r="I5" s="641">
        <f>+I30-I31</f>
        <v>4543</v>
      </c>
      <c r="J5" s="3">
        <f t="shared" si="0"/>
        <v>3998</v>
      </c>
      <c r="K5" t="s">
        <v>17</v>
      </c>
      <c r="L5" s="233">
        <v>45532</v>
      </c>
      <c r="T5" s="14" t="s">
        <v>4417</v>
      </c>
      <c r="U5" s="360">
        <v>0.44166666666666665</v>
      </c>
      <c r="V5" s="360"/>
    </row>
    <row r="6" spans="1:22" hidden="1" x14ac:dyDescent="0.25">
      <c r="A6" s="483" t="s">
        <v>4448</v>
      </c>
      <c r="B6" t="s">
        <v>2527</v>
      </c>
      <c r="C6" s="28" t="s">
        <v>13</v>
      </c>
      <c r="D6" s="233">
        <v>45476</v>
      </c>
      <c r="F6" s="28" t="s">
        <v>285</v>
      </c>
      <c r="G6" s="30" t="s">
        <v>4624</v>
      </c>
      <c r="H6" s="30" t="s">
        <v>4650</v>
      </c>
      <c r="I6" s="637">
        <v>36344</v>
      </c>
      <c r="J6" s="3">
        <f t="shared" si="0"/>
        <v>31983</v>
      </c>
      <c r="K6" t="s">
        <v>17</v>
      </c>
      <c r="L6" s="233">
        <v>45532</v>
      </c>
      <c r="T6" s="14" t="s">
        <v>4295</v>
      </c>
      <c r="U6" s="360">
        <v>0.30624999999999997</v>
      </c>
      <c r="V6" s="30"/>
    </row>
    <row r="7" spans="1:22" hidden="1" x14ac:dyDescent="0.25">
      <c r="A7" s="256"/>
      <c r="B7" t="s">
        <v>2527</v>
      </c>
      <c r="C7" s="28" t="s">
        <v>13</v>
      </c>
      <c r="D7" s="233">
        <v>45476</v>
      </c>
      <c r="F7" s="28" t="s">
        <v>285</v>
      </c>
      <c r="G7" s="30" t="s">
        <v>4625</v>
      </c>
      <c r="H7" s="30" t="s">
        <v>4651</v>
      </c>
      <c r="I7" s="637">
        <v>9086</v>
      </c>
      <c r="J7" s="3">
        <f t="shared" si="0"/>
        <v>7996</v>
      </c>
      <c r="K7" t="s">
        <v>17</v>
      </c>
      <c r="L7" s="233">
        <v>45532</v>
      </c>
      <c r="U7" s="14"/>
      <c r="V7" s="14"/>
    </row>
    <row r="8" spans="1:22" hidden="1" x14ac:dyDescent="0.25">
      <c r="A8" s="256"/>
      <c r="C8" s="28"/>
      <c r="D8" s="233"/>
      <c r="F8" s="28"/>
      <c r="G8" s="30" t="s">
        <v>6322</v>
      </c>
      <c r="H8" s="30" t="s">
        <v>6323</v>
      </c>
      <c r="I8" s="798">
        <v>36342.75</v>
      </c>
      <c r="J8" s="3">
        <f>+I8-ROUND(I8*0.12,0)</f>
        <v>31981.75</v>
      </c>
      <c r="K8" t="s">
        <v>17</v>
      </c>
      <c r="L8" s="233">
        <v>45817</v>
      </c>
      <c r="U8" s="14"/>
      <c r="V8" s="14"/>
    </row>
    <row r="9" spans="1:22" hidden="1" x14ac:dyDescent="0.25">
      <c r="A9" s="495" t="s">
        <v>6156</v>
      </c>
      <c r="B9" t="s">
        <v>4724</v>
      </c>
      <c r="C9" s="28" t="s">
        <v>6152</v>
      </c>
      <c r="D9" s="233">
        <v>45787</v>
      </c>
      <c r="E9" s="28"/>
      <c r="F9" s="28" t="s">
        <v>285</v>
      </c>
      <c r="G9" s="30" t="s">
        <v>6321</v>
      </c>
      <c r="H9" s="30" t="s">
        <v>6324</v>
      </c>
      <c r="I9" s="798">
        <f>9086</f>
        <v>9086</v>
      </c>
      <c r="J9" s="3">
        <f t="shared" ref="J9:J17" si="1">+I9-ROUND(I9*0.12,0)</f>
        <v>7996</v>
      </c>
      <c r="K9" t="s">
        <v>17</v>
      </c>
      <c r="L9" s="233">
        <v>45817</v>
      </c>
      <c r="T9" t="s">
        <v>6150</v>
      </c>
      <c r="U9" s="360">
        <v>0.2638888888888889</v>
      </c>
      <c r="V9" s="360">
        <v>0.56874999999999998</v>
      </c>
    </row>
    <row r="10" spans="1:22" hidden="1" x14ac:dyDescent="0.25">
      <c r="A10" s="495"/>
      <c r="C10" s="28"/>
      <c r="D10" s="233"/>
      <c r="E10" s="28"/>
      <c r="F10" s="28"/>
      <c r="G10" s="30" t="s">
        <v>6325</v>
      </c>
      <c r="H10" t="s">
        <v>6368</v>
      </c>
      <c r="I10" s="798">
        <v>36342.75</v>
      </c>
      <c r="J10" s="3">
        <f t="shared" si="1"/>
        <v>31981.75</v>
      </c>
      <c r="K10" t="s">
        <v>17</v>
      </c>
      <c r="L10" s="233">
        <v>45831</v>
      </c>
      <c r="U10" s="360"/>
      <c r="V10" s="360"/>
    </row>
    <row r="11" spans="1:22" hidden="1" x14ac:dyDescent="0.25">
      <c r="A11" s="483">
        <v>31052025</v>
      </c>
      <c r="B11" t="s">
        <v>4724</v>
      </c>
      <c r="C11" s="28" t="s">
        <v>4437</v>
      </c>
      <c r="D11" s="233">
        <v>45808</v>
      </c>
      <c r="E11" s="28"/>
      <c r="F11" s="28" t="s">
        <v>285</v>
      </c>
      <c r="G11" t="s">
        <v>6364</v>
      </c>
      <c r="H11" t="s">
        <v>6369</v>
      </c>
      <c r="I11" s="798">
        <f>9086</f>
        <v>9086</v>
      </c>
      <c r="J11" s="3">
        <f t="shared" si="1"/>
        <v>7996</v>
      </c>
      <c r="K11" t="s">
        <v>17</v>
      </c>
      <c r="L11" s="233">
        <v>45831</v>
      </c>
      <c r="T11" t="s">
        <v>6307</v>
      </c>
      <c r="U11" s="360">
        <v>0.40486111111111112</v>
      </c>
      <c r="V11" s="30">
        <v>17.23</v>
      </c>
    </row>
    <row r="12" spans="1:22" hidden="1" x14ac:dyDescent="0.25">
      <c r="A12" s="483">
        <v>21062025</v>
      </c>
      <c r="B12" t="s">
        <v>2527</v>
      </c>
      <c r="C12" s="28" t="s">
        <v>660</v>
      </c>
      <c r="D12" s="233">
        <v>45829</v>
      </c>
      <c r="E12" s="28"/>
      <c r="F12" s="28" t="s">
        <v>285</v>
      </c>
      <c r="G12" t="s">
        <v>6597</v>
      </c>
      <c r="H12" s="28" t="s">
        <v>6599</v>
      </c>
      <c r="I12" s="32">
        <v>9086</v>
      </c>
      <c r="J12" s="3">
        <f t="shared" si="1"/>
        <v>7996</v>
      </c>
      <c r="K12" s="798" t="s">
        <v>17</v>
      </c>
      <c r="L12" s="233">
        <v>45881</v>
      </c>
      <c r="T12" t="s">
        <v>4983</v>
      </c>
      <c r="U12" s="360">
        <v>0.31944444444444448</v>
      </c>
      <c r="V12" s="360">
        <v>0.75347222222222221</v>
      </c>
    </row>
    <row r="13" spans="1:22" hidden="1" x14ac:dyDescent="0.25">
      <c r="A13" s="483">
        <v>21062025</v>
      </c>
      <c r="B13" t="s">
        <v>2527</v>
      </c>
      <c r="C13" s="28" t="s">
        <v>660</v>
      </c>
      <c r="D13" s="233">
        <v>45829</v>
      </c>
      <c r="E13" s="28"/>
      <c r="F13" s="28" t="s">
        <v>285</v>
      </c>
      <c r="G13" t="s">
        <v>6598</v>
      </c>
      <c r="H13" s="28" t="s">
        <v>6600</v>
      </c>
      <c r="I13" s="32">
        <v>36342.75</v>
      </c>
      <c r="J13" s="3">
        <f t="shared" ref="J13:J14" si="2">+I13-ROUND(I13*0.12,0)</f>
        <v>31981.75</v>
      </c>
      <c r="K13" s="798" t="s">
        <v>17</v>
      </c>
      <c r="L13" s="233">
        <v>45881</v>
      </c>
      <c r="T13" t="s">
        <v>4983</v>
      </c>
      <c r="U13" s="360">
        <v>0.31944444444444448</v>
      </c>
      <c r="V13" s="360">
        <v>0.75347222222222221</v>
      </c>
    </row>
    <row r="14" spans="1:22" hidden="1" x14ac:dyDescent="0.25">
      <c r="A14" s="483" t="s">
        <v>6595</v>
      </c>
      <c r="B14" t="s">
        <v>2527</v>
      </c>
      <c r="C14" s="28" t="s">
        <v>4437</v>
      </c>
      <c r="D14" s="233">
        <v>45854</v>
      </c>
      <c r="E14" s="28"/>
      <c r="F14" s="28" t="s">
        <v>285</v>
      </c>
      <c r="G14" t="s">
        <v>6741</v>
      </c>
      <c r="H14" s="28" t="s">
        <v>6742</v>
      </c>
      <c r="I14" s="798">
        <v>9086</v>
      </c>
      <c r="J14" s="3">
        <f t="shared" si="2"/>
        <v>7996</v>
      </c>
      <c r="K14" s="798" t="s">
        <v>17</v>
      </c>
      <c r="L14" s="233">
        <v>45910</v>
      </c>
      <c r="T14" t="s">
        <v>6151</v>
      </c>
      <c r="U14" s="360">
        <v>0.28888888888888892</v>
      </c>
      <c r="V14" s="360"/>
    </row>
    <row r="15" spans="1:22" hidden="1" x14ac:dyDescent="0.25">
      <c r="A15" s="483" t="s">
        <v>6595</v>
      </c>
      <c r="B15" t="s">
        <v>2527</v>
      </c>
      <c r="C15" s="28" t="s">
        <v>4437</v>
      </c>
      <c r="D15" s="233">
        <v>45854</v>
      </c>
      <c r="E15" s="28"/>
      <c r="F15" s="28" t="s">
        <v>285</v>
      </c>
      <c r="G15" t="s">
        <v>6839</v>
      </c>
      <c r="H15" s="28" t="s">
        <v>6731</v>
      </c>
      <c r="I15" s="798">
        <v>36342.75</v>
      </c>
      <c r="J15" s="3">
        <f t="shared" si="1"/>
        <v>31981.75</v>
      </c>
      <c r="K15" s="798" t="s">
        <v>17</v>
      </c>
      <c r="L15" s="233">
        <v>45910</v>
      </c>
      <c r="T15" t="s">
        <v>6151</v>
      </c>
      <c r="U15" s="360">
        <v>0.28888888888888892</v>
      </c>
      <c r="V15" s="360"/>
    </row>
    <row r="16" spans="1:22" hidden="1" x14ac:dyDescent="0.25">
      <c r="A16" s="483" t="s">
        <v>6717</v>
      </c>
      <c r="B16" t="s">
        <v>2527</v>
      </c>
      <c r="C16" s="28" t="s">
        <v>4218</v>
      </c>
      <c r="D16" s="233">
        <v>45877</v>
      </c>
      <c r="E16" s="28"/>
      <c r="F16" s="28" t="s">
        <v>285</v>
      </c>
      <c r="G16" t="s">
        <v>6782</v>
      </c>
      <c r="H16" s="28" t="s">
        <v>6785</v>
      </c>
      <c r="I16" s="61">
        <v>9086</v>
      </c>
      <c r="J16" s="3">
        <f t="shared" ref="J16:J23" si="3">+I16-ROUND(I16*0.12,0)</f>
        <v>7996</v>
      </c>
      <c r="K16" s="798" t="s">
        <v>17</v>
      </c>
      <c r="L16" s="233">
        <v>45910</v>
      </c>
      <c r="M16" s="32"/>
      <c r="T16" t="s">
        <v>6718</v>
      </c>
      <c r="U16" s="360">
        <v>0.29166666666666669</v>
      </c>
      <c r="V16" s="360">
        <v>0.53125</v>
      </c>
    </row>
    <row r="17" spans="1:22" hidden="1" x14ac:dyDescent="0.25">
      <c r="A17" s="483" t="s">
        <v>6717</v>
      </c>
      <c r="B17" t="s">
        <v>2527</v>
      </c>
      <c r="C17" s="28" t="s">
        <v>4218</v>
      </c>
      <c r="D17" s="233">
        <v>45877</v>
      </c>
      <c r="E17" s="28"/>
      <c r="F17" s="28" t="s">
        <v>285</v>
      </c>
      <c r="G17" t="s">
        <v>6783</v>
      </c>
      <c r="H17" s="28" t="s">
        <v>6784</v>
      </c>
      <c r="I17" s="61">
        <v>36342.75</v>
      </c>
      <c r="J17" s="3">
        <f t="shared" si="1"/>
        <v>31981.75</v>
      </c>
      <c r="K17" t="s">
        <v>17</v>
      </c>
      <c r="L17" s="233">
        <v>45887</v>
      </c>
      <c r="M17" s="32"/>
      <c r="T17" t="s">
        <v>6718</v>
      </c>
      <c r="U17" s="360">
        <v>0.29166666666666669</v>
      </c>
      <c r="V17" s="360">
        <v>0.53125</v>
      </c>
    </row>
    <row r="18" spans="1:22" hidden="1" x14ac:dyDescent="0.25">
      <c r="A18" s="483"/>
      <c r="C18" s="28"/>
      <c r="D18" s="233"/>
      <c r="E18" s="28"/>
      <c r="F18" s="28" t="s">
        <v>285</v>
      </c>
      <c r="G18" s="1067" t="s">
        <v>6841</v>
      </c>
      <c r="H18" s="28" t="s">
        <v>7057</v>
      </c>
      <c r="I18" s="61">
        <v>9086</v>
      </c>
      <c r="J18" s="3">
        <f t="shared" si="3"/>
        <v>7996</v>
      </c>
      <c r="K18" s="798" t="s">
        <v>17</v>
      </c>
      <c r="L18" s="233">
        <v>45910</v>
      </c>
      <c r="M18" s="32"/>
      <c r="U18" s="360"/>
      <c r="V18" s="360"/>
    </row>
    <row r="19" spans="1:22" s="13" customFormat="1" hidden="1" x14ac:dyDescent="0.25">
      <c r="A19" s="483" t="s">
        <v>6796</v>
      </c>
      <c r="B19" t="s">
        <v>4724</v>
      </c>
      <c r="C19" s="28" t="s">
        <v>410</v>
      </c>
      <c r="D19" s="233">
        <v>45883</v>
      </c>
      <c r="E19" s="28"/>
      <c r="F19" s="28" t="s">
        <v>285</v>
      </c>
      <c r="G19" s="1067" t="s">
        <v>6840</v>
      </c>
      <c r="H19" s="21" t="s">
        <v>7058</v>
      </c>
      <c r="I19" s="251">
        <v>36342.75</v>
      </c>
      <c r="J19" s="3">
        <f t="shared" si="3"/>
        <v>31981.75</v>
      </c>
      <c r="K19" s="798" t="s">
        <v>17</v>
      </c>
      <c r="L19" s="233">
        <v>45910</v>
      </c>
      <c r="M19" s="180"/>
      <c r="T19" t="s">
        <v>6151</v>
      </c>
      <c r="U19" s="360">
        <v>0.43472222222222223</v>
      </c>
      <c r="V19" s="482"/>
    </row>
    <row r="20" spans="1:22" s="13" customFormat="1" hidden="1" x14ac:dyDescent="0.25">
      <c r="A20" s="483"/>
      <c r="B20"/>
      <c r="C20" s="28"/>
      <c r="D20" s="233"/>
      <c r="E20" s="28"/>
      <c r="F20" s="28"/>
      <c r="G20" s="1067" t="s">
        <v>7065</v>
      </c>
      <c r="H20" s="28" t="s">
        <v>7071</v>
      </c>
      <c r="I20" s="61">
        <v>9086</v>
      </c>
      <c r="J20" s="3">
        <f t="shared" si="3"/>
        <v>7996</v>
      </c>
      <c r="K20" s="798" t="s">
        <v>17</v>
      </c>
      <c r="L20" s="233">
        <v>45945</v>
      </c>
      <c r="M20" s="180"/>
      <c r="T20"/>
      <c r="U20" s="360"/>
      <c r="V20" s="482"/>
    </row>
    <row r="21" spans="1:22" hidden="1" x14ac:dyDescent="0.25">
      <c r="A21" s="483">
        <v>19092025</v>
      </c>
      <c r="B21" t="s">
        <v>2527</v>
      </c>
      <c r="C21" s="28" t="s">
        <v>410</v>
      </c>
      <c r="D21" s="233">
        <v>45919</v>
      </c>
      <c r="E21" s="28"/>
      <c r="F21" s="28" t="s">
        <v>285</v>
      </c>
      <c r="G21" s="1067" t="s">
        <v>7064</v>
      </c>
      <c r="H21" s="28" t="s">
        <v>7070</v>
      </c>
      <c r="I21" s="251">
        <v>36342.75</v>
      </c>
      <c r="J21" s="3">
        <f t="shared" si="3"/>
        <v>31981.75</v>
      </c>
      <c r="K21" s="798" t="s">
        <v>17</v>
      </c>
      <c r="L21" s="233">
        <v>45945</v>
      </c>
      <c r="M21" s="88"/>
      <c r="T21" t="s">
        <v>6952</v>
      </c>
      <c r="U21" s="360">
        <v>0.45069444444444445</v>
      </c>
      <c r="V21" s="360"/>
    </row>
    <row r="22" spans="1:22" hidden="1" x14ac:dyDescent="0.25">
      <c r="A22" s="483"/>
      <c r="C22" s="28"/>
      <c r="D22" s="233"/>
      <c r="E22" s="28"/>
      <c r="F22" s="28"/>
      <c r="G22" s="1067" t="s">
        <v>7163</v>
      </c>
      <c r="H22" s="28" t="s">
        <v>7165</v>
      </c>
      <c r="I22" s="251">
        <v>9086</v>
      </c>
      <c r="J22" s="3">
        <f t="shared" si="3"/>
        <v>7996</v>
      </c>
      <c r="K22" s="798" t="s">
        <v>17</v>
      </c>
      <c r="L22" s="233">
        <v>45964</v>
      </c>
      <c r="M22" s="88"/>
      <c r="U22" s="360"/>
      <c r="V22" s="360"/>
    </row>
    <row r="23" spans="1:22" hidden="1" x14ac:dyDescent="0.25">
      <c r="A23" s="483">
        <v>16102025</v>
      </c>
      <c r="B23" t="s">
        <v>2527</v>
      </c>
      <c r="C23" s="28" t="s">
        <v>4218</v>
      </c>
      <c r="D23" s="233">
        <v>45946</v>
      </c>
      <c r="E23" s="28"/>
      <c r="F23" s="28" t="s">
        <v>285</v>
      </c>
      <c r="G23" s="1067" t="s">
        <v>7164</v>
      </c>
      <c r="H23" s="28" t="s">
        <v>7166</v>
      </c>
      <c r="I23" s="313">
        <v>36342.75</v>
      </c>
      <c r="J23" s="3">
        <f t="shared" si="3"/>
        <v>31981.75</v>
      </c>
      <c r="K23" s="798" t="s">
        <v>17</v>
      </c>
      <c r="L23" s="233">
        <v>45964</v>
      </c>
      <c r="M23" s="88"/>
      <c r="T23" t="s">
        <v>6347</v>
      </c>
      <c r="U23" s="360">
        <v>0.29583333333333334</v>
      </c>
      <c r="V23" s="360"/>
    </row>
    <row r="24" spans="1:22" s="13" customFormat="1" ht="15.75" thickBot="1" x14ac:dyDescent="0.3">
      <c r="A24" s="483"/>
      <c r="B24"/>
      <c r="C24" s="28"/>
      <c r="D24" s="233"/>
      <c r="E24" s="28"/>
      <c r="F24" s="28"/>
      <c r="G24" s="1067" t="s">
        <v>1716</v>
      </c>
      <c r="I24" s="251"/>
      <c r="J24" s="3"/>
      <c r="K24" s="251"/>
      <c r="L24" s="233"/>
      <c r="M24" s="180"/>
      <c r="T24"/>
      <c r="U24" s="360"/>
      <c r="V24" s="482"/>
    </row>
    <row r="25" spans="1:22" ht="15.75" thickBot="1" x14ac:dyDescent="0.3">
      <c r="A25" s="95"/>
      <c r="D25" s="122"/>
      <c r="I25" s="962">
        <f>SUBTOTAL(9,I3:I24)</f>
        <v>0</v>
      </c>
      <c r="L25" s="233"/>
      <c r="T25" s="14"/>
      <c r="U25" s="14"/>
      <c r="V25" s="14"/>
    </row>
    <row r="26" spans="1:22" ht="15.75" thickBot="1" x14ac:dyDescent="0.3">
      <c r="A26" s="95"/>
      <c r="D26" s="122"/>
      <c r="I26" s="414"/>
      <c r="L26" s="122"/>
      <c r="T26" s="14"/>
      <c r="U26" s="14"/>
      <c r="V26" s="14"/>
    </row>
    <row r="27" spans="1:22" ht="15.75" thickBot="1" x14ac:dyDescent="0.3">
      <c r="A27" s="1481" t="s">
        <v>3722</v>
      </c>
      <c r="B27" s="1482"/>
      <c r="C27" s="1482"/>
      <c r="D27" s="1482"/>
      <c r="E27" s="1482"/>
      <c r="F27" s="1482"/>
      <c r="G27" s="1482"/>
      <c r="H27" s="1482"/>
      <c r="I27" s="1482"/>
      <c r="J27" s="1483"/>
      <c r="L27" s="122"/>
      <c r="T27" s="14"/>
      <c r="U27" s="14"/>
      <c r="V27" s="14"/>
    </row>
    <row r="28" spans="1:22" s="28" customFormat="1" hidden="1" x14ac:dyDescent="0.25">
      <c r="A28" s="483" t="s">
        <v>3410</v>
      </c>
      <c r="B28" s="28" t="s">
        <v>3409</v>
      </c>
      <c r="C28" s="233" t="s">
        <v>13</v>
      </c>
      <c r="D28" s="233">
        <v>45292</v>
      </c>
      <c r="E28" s="251"/>
      <c r="F28" s="30" t="s">
        <v>285</v>
      </c>
      <c r="G28" t="s">
        <v>3476</v>
      </c>
      <c r="H28" s="30" t="s">
        <v>4029</v>
      </c>
      <c r="I28" s="251">
        <v>45430</v>
      </c>
      <c r="J28" s="3">
        <f>+I28-ROUND(I28*0.12,0)</f>
        <v>39978</v>
      </c>
      <c r="K28" t="s">
        <v>17</v>
      </c>
      <c r="L28" s="233">
        <v>45411</v>
      </c>
      <c r="T28" s="28" t="s">
        <v>2050</v>
      </c>
      <c r="U28" s="488">
        <v>0.64444444444444449</v>
      </c>
      <c r="V28" s="488">
        <v>0.91388888888888886</v>
      </c>
    </row>
    <row r="29" spans="1:22" hidden="1" x14ac:dyDescent="0.25">
      <c r="A29" s="509" t="s">
        <v>3834</v>
      </c>
      <c r="B29" s="30" t="s">
        <v>3835</v>
      </c>
      <c r="C29" s="28" t="s">
        <v>410</v>
      </c>
      <c r="D29" s="233">
        <v>45361</v>
      </c>
      <c r="F29" s="30" t="s">
        <v>285</v>
      </c>
      <c r="G29" s="30" t="s">
        <v>3876</v>
      </c>
      <c r="H29" t="s">
        <v>4049</v>
      </c>
      <c r="I29" s="251">
        <v>45430</v>
      </c>
      <c r="J29" s="3">
        <f>+I29-ROUND(I29*0.12,0)</f>
        <v>39978</v>
      </c>
      <c r="K29" t="s">
        <v>17</v>
      </c>
      <c r="L29" s="233">
        <v>45418</v>
      </c>
      <c r="T29" s="14" t="s">
        <v>1644</v>
      </c>
      <c r="U29" s="360">
        <v>0.7006944444444444</v>
      </c>
      <c r="V29" s="360">
        <v>1.8055555555555557E-2</v>
      </c>
    </row>
    <row r="30" spans="1:22" hidden="1" x14ac:dyDescent="0.25">
      <c r="A30" s="483">
        <v>18052024</v>
      </c>
      <c r="B30" t="s">
        <v>4196</v>
      </c>
      <c r="C30" s="28" t="s">
        <v>809</v>
      </c>
      <c r="D30" s="233">
        <v>45430</v>
      </c>
      <c r="F30" s="30" t="s">
        <v>285</v>
      </c>
      <c r="G30" s="30" t="s">
        <v>4244</v>
      </c>
      <c r="H30" t="s">
        <v>4280</v>
      </c>
      <c r="I30" s="251">
        <v>45430</v>
      </c>
      <c r="J30" s="3">
        <f>+I30-ROUND(I30*0.12,0)</f>
        <v>39978</v>
      </c>
      <c r="K30" t="s">
        <v>17</v>
      </c>
      <c r="L30" s="233">
        <v>45471</v>
      </c>
      <c r="T30" s="14" t="s">
        <v>4198</v>
      </c>
      <c r="U30" s="360">
        <v>0.26597222222222222</v>
      </c>
      <c r="V30" s="360">
        <v>0.58611111111111114</v>
      </c>
    </row>
    <row r="31" spans="1:22" hidden="1" x14ac:dyDescent="0.25">
      <c r="A31" s="509">
        <v>27062024</v>
      </c>
      <c r="B31" t="s">
        <v>2527</v>
      </c>
      <c r="C31" s="28" t="s">
        <v>4218</v>
      </c>
      <c r="D31" s="233">
        <v>45470</v>
      </c>
      <c r="F31" s="30" t="s">
        <v>285</v>
      </c>
      <c r="G31" s="30" t="s">
        <v>4429</v>
      </c>
      <c r="H31" s="30" t="s">
        <v>4680</v>
      </c>
      <c r="I31" s="237">
        <v>40887</v>
      </c>
      <c r="J31" s="3">
        <f>+I31-ROUND(I31*0.12,0)</f>
        <v>35981</v>
      </c>
      <c r="K31" t="s">
        <v>17</v>
      </c>
      <c r="L31" s="233">
        <v>45532</v>
      </c>
      <c r="T31" s="14" t="s">
        <v>4417</v>
      </c>
      <c r="U31" s="360">
        <v>0.44166666666666665</v>
      </c>
      <c r="V31" s="360"/>
    </row>
    <row r="32" spans="1:22" x14ac:dyDescent="0.25">
      <c r="A32" s="256"/>
      <c r="C32" s="28"/>
      <c r="D32" s="233"/>
      <c r="F32" s="28"/>
      <c r="G32" s="30"/>
      <c r="H32" s="30"/>
      <c r="I32" s="637"/>
      <c r="J32" s="236"/>
      <c r="L32" s="32">
        <f>+I31-40887</f>
        <v>0</v>
      </c>
      <c r="U32" s="14"/>
      <c r="V32" s="14"/>
    </row>
    <row r="33" spans="1:22" x14ac:dyDescent="0.25">
      <c r="A33" s="256"/>
      <c r="D33" s="122"/>
      <c r="F33" s="30"/>
      <c r="G33" s="30"/>
      <c r="H33" s="30"/>
      <c r="I33" s="161">
        <f>SUBTOTAL(9,I28:I32)</f>
        <v>0</v>
      </c>
      <c r="K33" s="17"/>
      <c r="L33" s="122"/>
      <c r="U33" s="14"/>
      <c r="V33" s="14"/>
    </row>
    <row r="34" spans="1:22" x14ac:dyDescent="0.25">
      <c r="A34" s="116"/>
      <c r="B34" s="169"/>
      <c r="C34" s="21"/>
      <c r="D34" s="123"/>
      <c r="E34" s="88"/>
      <c r="F34" s="21"/>
      <c r="G34" s="21"/>
      <c r="I34" s="160"/>
      <c r="J34" s="160"/>
      <c r="K34" s="160"/>
      <c r="L34" s="122"/>
      <c r="O34" s="163"/>
      <c r="P34" s="157"/>
      <c r="Q34" s="157"/>
    </row>
    <row r="35" spans="1:22" x14ac:dyDescent="0.25">
      <c r="L35" s="122"/>
    </row>
    <row r="36" spans="1:22" ht="15.75" thickBot="1" x14ac:dyDescent="0.3"/>
    <row r="37" spans="1:22" ht="15.75" thickBot="1" x14ac:dyDescent="0.3">
      <c r="A37" s="1481" t="s">
        <v>6225</v>
      </c>
      <c r="B37" s="1482"/>
      <c r="C37" s="1482"/>
      <c r="D37" s="1482"/>
      <c r="E37" s="1482"/>
      <c r="F37" s="1482"/>
      <c r="G37" s="1482"/>
      <c r="H37" s="1482"/>
      <c r="I37" s="1482"/>
      <c r="J37" s="1483"/>
      <c r="M37" s="28"/>
      <c r="N37" s="28"/>
    </row>
    <row r="38" spans="1:22" hidden="1" x14ac:dyDescent="0.25">
      <c r="A38" s="95">
        <v>15082024</v>
      </c>
      <c r="B38" t="s">
        <v>2527</v>
      </c>
      <c r="C38" s="28" t="s">
        <v>410</v>
      </c>
      <c r="D38" s="233">
        <v>45519</v>
      </c>
      <c r="F38" s="28" t="s">
        <v>285</v>
      </c>
      <c r="G38" s="30" t="s">
        <v>4706</v>
      </c>
      <c r="H38" s="30" t="s">
        <v>4707</v>
      </c>
      <c r="I38" s="368">
        <v>45428.75</v>
      </c>
      <c r="J38" s="3">
        <f t="shared" ref="J38:J47" si="4">+I38-ROUND(I38*0.12,0)</f>
        <v>39977.75</v>
      </c>
      <c r="K38" t="s">
        <v>17</v>
      </c>
      <c r="L38" s="233">
        <v>45555</v>
      </c>
      <c r="T38" t="s">
        <v>4097</v>
      </c>
      <c r="U38" s="360">
        <v>0.28611111111111115</v>
      </c>
      <c r="V38" s="360"/>
    </row>
    <row r="39" spans="1:22" hidden="1" x14ac:dyDescent="0.25">
      <c r="A39" s="95">
        <v>19082024</v>
      </c>
      <c r="B39" t="s">
        <v>2527</v>
      </c>
      <c r="C39" s="28" t="s">
        <v>410</v>
      </c>
      <c r="D39" s="233">
        <v>45523</v>
      </c>
      <c r="F39" s="28" t="s">
        <v>285</v>
      </c>
      <c r="G39" s="30" t="s">
        <v>4709</v>
      </c>
      <c r="H39" s="30" t="s">
        <v>4708</v>
      </c>
      <c r="I39" s="368">
        <v>45428.75</v>
      </c>
      <c r="J39" s="3">
        <f t="shared" si="4"/>
        <v>39977.75</v>
      </c>
      <c r="K39" t="s">
        <v>17</v>
      </c>
      <c r="L39" s="233">
        <v>45555</v>
      </c>
      <c r="T39" t="s">
        <v>4550</v>
      </c>
      <c r="U39" s="360">
        <v>0.32361111111111113</v>
      </c>
      <c r="V39" s="360">
        <v>0.56319444444444444</v>
      </c>
    </row>
    <row r="40" spans="1:22" hidden="1" x14ac:dyDescent="0.25">
      <c r="A40" s="95">
        <v>4092024</v>
      </c>
      <c r="B40" t="s">
        <v>4724</v>
      </c>
      <c r="C40" s="28" t="s">
        <v>13</v>
      </c>
      <c r="D40" s="233">
        <v>45539</v>
      </c>
      <c r="F40" s="28" t="s">
        <v>285</v>
      </c>
      <c r="G40" s="30" t="s">
        <v>4769</v>
      </c>
      <c r="H40" s="30" t="s">
        <v>4986</v>
      </c>
      <c r="I40" s="368">
        <v>45428.75</v>
      </c>
      <c r="J40" s="3">
        <f t="shared" si="4"/>
        <v>39977.75</v>
      </c>
      <c r="K40" t="s">
        <v>17</v>
      </c>
      <c r="L40" s="233">
        <v>45568</v>
      </c>
      <c r="T40" t="s">
        <v>1644</v>
      </c>
      <c r="U40" s="360">
        <v>0.3125</v>
      </c>
      <c r="V40" s="360">
        <v>0.56527777777777777</v>
      </c>
    </row>
    <row r="41" spans="1:22" hidden="1" x14ac:dyDescent="0.25">
      <c r="A41" s="483" t="s">
        <v>4882</v>
      </c>
      <c r="B41" t="s">
        <v>2527</v>
      </c>
      <c r="C41" s="28" t="s">
        <v>4218</v>
      </c>
      <c r="D41" s="233">
        <v>45570</v>
      </c>
      <c r="F41" s="28" t="s">
        <v>285</v>
      </c>
      <c r="G41" s="30" t="s">
        <v>4987</v>
      </c>
      <c r="H41" s="30" t="s">
        <v>5202</v>
      </c>
      <c r="I41" s="236">
        <v>45428.75</v>
      </c>
      <c r="J41" s="3">
        <f t="shared" si="4"/>
        <v>39977.75</v>
      </c>
      <c r="K41" t="s">
        <v>17</v>
      </c>
      <c r="L41" s="233">
        <v>45611</v>
      </c>
      <c r="T41" t="s">
        <v>4867</v>
      </c>
      <c r="U41" s="360">
        <v>0.54513888888888895</v>
      </c>
      <c r="V41" s="360">
        <v>0.79791666666666661</v>
      </c>
    </row>
    <row r="42" spans="1:22" hidden="1" x14ac:dyDescent="0.25">
      <c r="A42" s="483" t="s">
        <v>4910</v>
      </c>
      <c r="B42" t="s">
        <v>4918</v>
      </c>
      <c r="C42" s="28" t="s">
        <v>410</v>
      </c>
      <c r="D42" s="233">
        <v>45577</v>
      </c>
      <c r="F42" s="28" t="s">
        <v>285</v>
      </c>
      <c r="G42" s="30" t="s">
        <v>4988</v>
      </c>
      <c r="H42" s="30" t="s">
        <v>5201</v>
      </c>
      <c r="I42" s="313">
        <v>45428.75</v>
      </c>
      <c r="J42" s="3">
        <f t="shared" si="4"/>
        <v>39977.75</v>
      </c>
      <c r="K42" t="s">
        <v>17</v>
      </c>
      <c r="L42" s="233">
        <v>45614</v>
      </c>
      <c r="M42" s="13"/>
      <c r="T42" t="s">
        <v>4550</v>
      </c>
      <c r="U42" s="360">
        <v>0.29444444444444445</v>
      </c>
      <c r="V42" s="360">
        <v>0.54166666666666663</v>
      </c>
    </row>
    <row r="43" spans="1:22" hidden="1" x14ac:dyDescent="0.25">
      <c r="A43" s="483" t="s">
        <v>5089</v>
      </c>
      <c r="B43" t="s">
        <v>2527</v>
      </c>
      <c r="C43" s="233" t="s">
        <v>13</v>
      </c>
      <c r="D43" s="233">
        <v>45605</v>
      </c>
      <c r="E43" s="28"/>
      <c r="F43" s="28" t="s">
        <v>285</v>
      </c>
      <c r="G43" t="s">
        <v>5156</v>
      </c>
      <c r="H43" t="s">
        <v>5203</v>
      </c>
      <c r="I43" s="88">
        <v>45428.75</v>
      </c>
      <c r="J43" s="3">
        <f t="shared" si="4"/>
        <v>39977.75</v>
      </c>
      <c r="K43" t="s">
        <v>17</v>
      </c>
      <c r="L43" s="233">
        <v>45629</v>
      </c>
      <c r="T43" t="s">
        <v>5088</v>
      </c>
      <c r="U43" s="360">
        <v>0.55972222222222223</v>
      </c>
      <c r="V43" s="360">
        <v>0.81041666666666667</v>
      </c>
    </row>
    <row r="44" spans="1:22" hidden="1" x14ac:dyDescent="0.25">
      <c r="A44" s="483">
        <v>21122024</v>
      </c>
      <c r="B44" t="s">
        <v>4724</v>
      </c>
      <c r="C44" s="233" t="s">
        <v>4218</v>
      </c>
      <c r="D44" s="233">
        <v>45647</v>
      </c>
      <c r="E44" s="28"/>
      <c r="F44" s="28" t="s">
        <v>285</v>
      </c>
      <c r="G44" t="s">
        <v>5396</v>
      </c>
      <c r="H44" s="30" t="s">
        <v>5397</v>
      </c>
      <c r="I44" s="88">
        <v>45428.75</v>
      </c>
      <c r="J44" s="3">
        <f t="shared" si="4"/>
        <v>39977.75</v>
      </c>
      <c r="K44" t="s">
        <v>17</v>
      </c>
      <c r="L44" s="233">
        <v>45659</v>
      </c>
      <c r="T44" t="s">
        <v>5393</v>
      </c>
      <c r="U44" s="360"/>
      <c r="V44" s="360"/>
    </row>
    <row r="45" spans="1:22" hidden="1" x14ac:dyDescent="0.25">
      <c r="A45" s="483">
        <v>9012025</v>
      </c>
      <c r="B45" t="s">
        <v>2527</v>
      </c>
      <c r="C45" s="233" t="s">
        <v>410</v>
      </c>
      <c r="D45" s="233">
        <v>45666</v>
      </c>
      <c r="E45" s="28"/>
      <c r="F45" s="28" t="s">
        <v>285</v>
      </c>
      <c r="G45" t="s">
        <v>5524</v>
      </c>
      <c r="H45" t="s">
        <v>5525</v>
      </c>
      <c r="I45" s="88">
        <v>45428.75</v>
      </c>
      <c r="J45" s="3">
        <f t="shared" si="4"/>
        <v>39977.75</v>
      </c>
      <c r="K45" t="s">
        <v>17</v>
      </c>
      <c r="L45" s="233">
        <v>45680</v>
      </c>
      <c r="T45" t="s">
        <v>5393</v>
      </c>
      <c r="U45" s="360">
        <v>0.34097222222222223</v>
      </c>
      <c r="V45" s="360"/>
    </row>
    <row r="46" spans="1:22" hidden="1" x14ac:dyDescent="0.25">
      <c r="A46" s="483">
        <v>24042025</v>
      </c>
      <c r="B46" t="s">
        <v>1465</v>
      </c>
      <c r="C46" s="28" t="s">
        <v>660</v>
      </c>
      <c r="D46" s="233">
        <v>45771</v>
      </c>
      <c r="E46" s="28"/>
      <c r="F46" s="28" t="s">
        <v>285</v>
      </c>
      <c r="G46" t="s">
        <v>6200</v>
      </c>
      <c r="H46" s="30" t="s">
        <v>6226</v>
      </c>
      <c r="I46" s="88">
        <v>45428.75</v>
      </c>
      <c r="J46" s="3">
        <f t="shared" si="4"/>
        <v>39977.75</v>
      </c>
      <c r="K46" s="971" t="s">
        <v>17</v>
      </c>
      <c r="L46" s="233">
        <v>45800</v>
      </c>
      <c r="T46" t="s">
        <v>4139</v>
      </c>
      <c r="U46" s="360">
        <v>0.3</v>
      </c>
      <c r="V46" s="360">
        <v>0.56944444444444442</v>
      </c>
    </row>
    <row r="47" spans="1:22" hidden="1" x14ac:dyDescent="0.25">
      <c r="A47" s="483">
        <v>25042025</v>
      </c>
      <c r="B47" t="s">
        <v>6073</v>
      </c>
      <c r="C47" s="28" t="s">
        <v>660</v>
      </c>
      <c r="D47" s="233">
        <v>45772</v>
      </c>
      <c r="E47" s="28"/>
      <c r="F47" s="28" t="s">
        <v>285</v>
      </c>
      <c r="G47" t="s">
        <v>6199</v>
      </c>
      <c r="H47" t="s">
        <v>6227</v>
      </c>
      <c r="I47" s="798">
        <v>45428.75</v>
      </c>
      <c r="J47" s="3">
        <f t="shared" si="4"/>
        <v>39977.75</v>
      </c>
      <c r="K47" s="971" t="s">
        <v>17</v>
      </c>
      <c r="L47" s="233">
        <v>45800</v>
      </c>
      <c r="T47" t="s">
        <v>5989</v>
      </c>
      <c r="U47" s="30">
        <v>14.21</v>
      </c>
      <c r="V47" s="360">
        <v>0.81388888888888899</v>
      </c>
    </row>
    <row r="48" spans="1:22" x14ac:dyDescent="0.25">
      <c r="A48" s="95"/>
      <c r="C48" s="28"/>
      <c r="D48" s="233"/>
      <c r="F48" s="28"/>
      <c r="G48" s="30"/>
      <c r="H48" s="30"/>
      <c r="I48" s="368"/>
      <c r="L48" s="32"/>
      <c r="U48" s="360"/>
      <c r="V48" s="360"/>
    </row>
    <row r="49" spans="1:22" x14ac:dyDescent="0.25">
      <c r="A49" s="95"/>
      <c r="C49" s="28"/>
      <c r="D49" s="233"/>
      <c r="F49" s="28"/>
      <c r="G49" s="30"/>
      <c r="H49" s="30"/>
      <c r="I49" s="375">
        <f>SUBTOTAL(9,I38:I48)</f>
        <v>0</v>
      </c>
      <c r="L49" s="32"/>
      <c r="U49" s="360"/>
      <c r="V49" s="360"/>
    </row>
    <row r="50" spans="1:22" x14ac:dyDescent="0.25">
      <c r="A50" s="95"/>
      <c r="C50" s="28"/>
      <c r="D50" s="233"/>
      <c r="F50" s="28"/>
      <c r="G50" s="30"/>
      <c r="H50" s="30"/>
      <c r="I50" s="368"/>
      <c r="L50" s="32"/>
      <c r="U50" s="360"/>
      <c r="V50" s="360"/>
    </row>
    <row r="51" spans="1:22" x14ac:dyDescent="0.25">
      <c r="A51" s="95"/>
      <c r="C51" s="28"/>
      <c r="D51" s="233"/>
      <c r="F51" s="28"/>
      <c r="G51" s="30"/>
      <c r="H51" s="30"/>
      <c r="I51" s="368"/>
      <c r="L51" s="32"/>
      <c r="U51" s="360"/>
      <c r="V51" s="360"/>
    </row>
    <row r="52" spans="1:22" x14ac:dyDescent="0.25">
      <c r="K52" t="s">
        <v>219</v>
      </c>
      <c r="L52" s="32">
        <f>363430+45428.75*2</f>
        <v>454287.5</v>
      </c>
      <c r="M52">
        <v>10</v>
      </c>
      <c r="N52" s="122">
        <v>45428</v>
      </c>
    </row>
    <row r="53" spans="1:22" x14ac:dyDescent="0.25">
      <c r="K53" t="s">
        <v>2048</v>
      </c>
      <c r="L53" s="32">
        <f>363430+45428.75*2</f>
        <v>454287.5</v>
      </c>
      <c r="M53" s="520">
        <f>+L53/45430</f>
        <v>9.9997248514197672</v>
      </c>
      <c r="N53" s="122">
        <f>+N52</f>
        <v>45428</v>
      </c>
    </row>
    <row r="54" spans="1:22" x14ac:dyDescent="0.25">
      <c r="K54" s="342" t="s">
        <v>2128</v>
      </c>
      <c r="L54" s="343">
        <f>+L52-L53</f>
        <v>0</v>
      </c>
      <c r="M54" s="520">
        <f>+M52-M53</f>
        <v>2.7514858023280908E-4</v>
      </c>
    </row>
    <row r="56" spans="1:22" x14ac:dyDescent="0.25">
      <c r="H56" s="5" t="s">
        <v>423</v>
      </c>
      <c r="I56" s="9">
        <f>+I25+I33+I49</f>
        <v>0</v>
      </c>
    </row>
  </sheetData>
  <autoFilter ref="A2:V56" xr:uid="{00000000-0009-0000-0000-00003A000000}">
    <filterColumn colId="10">
      <filters blank="1">
        <filter val="CONTRATO"/>
        <filter val="EJECUCIÓN"/>
        <filter val="SALDO PENDIENTE EJECUTAR"/>
      </filters>
    </filterColumn>
    <filterColumn colId="13" showButton="0"/>
    <filterColumn colId="14" showButton="0"/>
    <filterColumn colId="15" showButton="0"/>
  </autoFilter>
  <mergeCells count="3">
    <mergeCell ref="N2:Q2"/>
    <mergeCell ref="A27:J27"/>
    <mergeCell ref="A37:J3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45122" r:id="rId4" name="Button 1">
              <controlPr defaultSize="0" print="0" autoFill="0" autoPict="0" macro="[0]!RETORNAR">
                <anchor moveWithCells="1" sizeWithCells="1">
                  <from>
                    <xdr:col>0</xdr:col>
                    <xdr:colOff>38100</xdr:colOff>
                    <xdr:row>0</xdr:row>
                    <xdr:rowOff>47625</xdr:rowOff>
                  </from>
                  <to>
                    <xdr:col>1</xdr:col>
                    <xdr:colOff>1095375</xdr:colOff>
                    <xdr:row>0</xdr:row>
                    <xdr:rowOff>314325</xdr:rowOff>
                  </to>
                </anchor>
              </controlPr>
            </control>
          </mc:Choice>
        </mc:AlternateContent>
        <mc:AlternateContent xmlns:mc="http://schemas.openxmlformats.org/markup-compatibility/2006">
          <mc:Choice Requires="x14">
            <control shapeId="645142" r:id="rId5" name="Botón 22">
              <controlPr defaultSize="0" print="0" autoFill="0" autoPict="0" macro="[0]!IR_VENTAS_B200_2026">
                <anchor moveWithCells="1" sizeWithCells="1">
                  <from>
                    <xdr:col>0</xdr:col>
                    <xdr:colOff>695325</xdr:colOff>
                    <xdr:row>55</xdr:row>
                    <xdr:rowOff>28575</xdr:rowOff>
                  </from>
                  <to>
                    <xdr:col>2</xdr:col>
                    <xdr:colOff>114300</xdr:colOff>
                    <xdr:row>58</xdr:row>
                    <xdr:rowOff>57150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Hoja63" filterMode="1"/>
  <dimension ref="A1:X53"/>
  <sheetViews>
    <sheetView workbookViewId="0">
      <selection activeCell="A30" sqref="A30:XFD30"/>
    </sheetView>
  </sheetViews>
  <sheetFormatPr baseColWidth="10" defaultColWidth="10.85546875" defaultRowHeight="15" x14ac:dyDescent="0.25"/>
  <cols>
    <col min="2" max="2" width="16" customWidth="1"/>
    <col min="3" max="3" width="5.42578125" customWidth="1"/>
    <col min="5" max="5" width="5.28515625" hidden="1" customWidth="1"/>
    <col min="7" max="7" width="42.5703125" customWidth="1"/>
    <col min="8" max="8" width="12.28515625" customWidth="1"/>
    <col min="9" max="9" width="11.5703125" bestFit="1" customWidth="1"/>
    <col min="10" max="10" width="12" style="32" bestFit="1" customWidth="1"/>
  </cols>
  <sheetData>
    <row r="1" spans="1:22" ht="25.5" customHeight="1" x14ac:dyDescent="0.25">
      <c r="C1" s="1"/>
    </row>
    <row r="2" spans="1:22" x14ac:dyDescent="0.25">
      <c r="A2" t="s">
        <v>706</v>
      </c>
      <c r="B2" s="1" t="s">
        <v>0</v>
      </c>
      <c r="C2" s="1" t="s">
        <v>1</v>
      </c>
      <c r="D2" s="1" t="s">
        <v>2</v>
      </c>
      <c r="E2" s="1"/>
      <c r="F2" s="1" t="s">
        <v>3</v>
      </c>
      <c r="G2" s="1" t="s">
        <v>4</v>
      </c>
      <c r="H2" s="1" t="s">
        <v>5</v>
      </c>
      <c r="I2" s="1" t="s">
        <v>6</v>
      </c>
      <c r="J2" s="87" t="s">
        <v>1780</v>
      </c>
      <c r="K2" s="1" t="s">
        <v>8</v>
      </c>
      <c r="L2" s="1" t="s">
        <v>3997</v>
      </c>
      <c r="M2" s="1" t="s">
        <v>10</v>
      </c>
      <c r="N2" s="1480" t="s">
        <v>11</v>
      </c>
      <c r="O2" s="1480"/>
      <c r="P2" s="1480"/>
      <c r="Q2" s="1480"/>
    </row>
    <row r="3" spans="1:22" hidden="1" x14ac:dyDescent="0.25">
      <c r="A3" s="256" t="s">
        <v>2599</v>
      </c>
      <c r="B3" t="s">
        <v>2598</v>
      </c>
      <c r="C3" t="s">
        <v>809</v>
      </c>
      <c r="D3" s="122">
        <v>45115</v>
      </c>
      <c r="F3" s="28" t="s">
        <v>143</v>
      </c>
      <c r="G3" s="28" t="s">
        <v>2656</v>
      </c>
      <c r="H3" t="s">
        <v>2655</v>
      </c>
      <c r="I3" s="61">
        <v>37170</v>
      </c>
      <c r="J3" s="3">
        <f t="shared" ref="J3:J33" si="0">+I3-ROUND(I3*0.12,0)</f>
        <v>32710</v>
      </c>
      <c r="K3" t="s">
        <v>17</v>
      </c>
      <c r="L3" s="257">
        <v>45134</v>
      </c>
      <c r="T3" s="14" t="s">
        <v>1894</v>
      </c>
      <c r="U3" s="14">
        <v>0.26874999999999999</v>
      </c>
      <c r="V3" s="14">
        <v>0.52777777777777779</v>
      </c>
    </row>
    <row r="4" spans="1:22" hidden="1" x14ac:dyDescent="0.25">
      <c r="A4" s="256" t="s">
        <v>2698</v>
      </c>
      <c r="B4" t="s">
        <v>2697</v>
      </c>
      <c r="C4" t="s">
        <v>410</v>
      </c>
      <c r="D4" s="122">
        <v>45140</v>
      </c>
      <c r="F4" s="28" t="s">
        <v>143</v>
      </c>
      <c r="G4" s="30" t="s">
        <v>2729</v>
      </c>
      <c r="H4" t="s">
        <v>2792</v>
      </c>
      <c r="I4" s="61">
        <v>37170</v>
      </c>
      <c r="J4" s="3">
        <f t="shared" si="0"/>
        <v>32710</v>
      </c>
      <c r="K4" t="s">
        <v>17</v>
      </c>
      <c r="L4" s="122">
        <v>45180</v>
      </c>
      <c r="T4" s="14" t="s">
        <v>893</v>
      </c>
      <c r="U4" s="14">
        <v>0.62847222222222221</v>
      </c>
      <c r="V4" s="14">
        <v>0.87152777777777779</v>
      </c>
    </row>
    <row r="5" spans="1:22" hidden="1" x14ac:dyDescent="0.25">
      <c r="A5" s="483">
        <v>19012024</v>
      </c>
      <c r="B5" s="28" t="s">
        <v>3573</v>
      </c>
      <c r="C5" s="28" t="s">
        <v>3414</v>
      </c>
      <c r="D5" s="374">
        <v>45310</v>
      </c>
      <c r="F5" s="28" t="s">
        <v>143</v>
      </c>
      <c r="G5" s="30" t="s">
        <v>3609</v>
      </c>
      <c r="H5" s="30" t="s">
        <v>3882</v>
      </c>
      <c r="I5" s="237">
        <v>37170</v>
      </c>
      <c r="J5" s="3">
        <f t="shared" si="0"/>
        <v>32710</v>
      </c>
      <c r="K5" s="236" t="s">
        <v>17</v>
      </c>
      <c r="L5" s="374">
        <v>45372</v>
      </c>
      <c r="T5" s="14" t="s">
        <v>922</v>
      </c>
      <c r="U5" s="360"/>
      <c r="V5" s="360"/>
    </row>
    <row r="6" spans="1:22" hidden="1" x14ac:dyDescent="0.25">
      <c r="A6" s="483">
        <v>24012024</v>
      </c>
      <c r="B6" s="28" t="s">
        <v>3573</v>
      </c>
      <c r="C6" s="28" t="s">
        <v>3414</v>
      </c>
      <c r="D6" s="233">
        <v>45315</v>
      </c>
      <c r="F6" s="28" t="s">
        <v>143</v>
      </c>
      <c r="G6" s="30" t="s">
        <v>3647</v>
      </c>
      <c r="H6" s="30" t="s">
        <v>3883</v>
      </c>
      <c r="I6" s="237">
        <v>37170</v>
      </c>
      <c r="J6" s="3">
        <f t="shared" si="0"/>
        <v>32710</v>
      </c>
      <c r="K6" s="236" t="s">
        <v>17</v>
      </c>
      <c r="L6" s="374">
        <v>45372</v>
      </c>
      <c r="T6" s="14" t="s">
        <v>922</v>
      </c>
      <c r="U6" s="360">
        <v>0.73125000000000007</v>
      </c>
      <c r="V6" s="360"/>
    </row>
    <row r="7" spans="1:22" hidden="1" x14ac:dyDescent="0.25">
      <c r="A7" s="483">
        <v>26012023</v>
      </c>
      <c r="B7" s="28" t="s">
        <v>3573</v>
      </c>
      <c r="C7" s="28" t="s">
        <v>3414</v>
      </c>
      <c r="D7" s="233">
        <v>45317</v>
      </c>
      <c r="F7" s="28" t="s">
        <v>143</v>
      </c>
      <c r="G7" s="30" t="s">
        <v>3648</v>
      </c>
      <c r="H7" s="30" t="s">
        <v>3888</v>
      </c>
      <c r="I7" s="237">
        <v>37170</v>
      </c>
      <c r="J7" s="3">
        <f t="shared" si="0"/>
        <v>32710</v>
      </c>
      <c r="K7" s="236" t="s">
        <v>17</v>
      </c>
      <c r="L7" s="233">
        <v>45376</v>
      </c>
      <c r="T7" s="14" t="s">
        <v>3463</v>
      </c>
      <c r="U7" s="360">
        <v>0.42430555555555555</v>
      </c>
      <c r="V7" s="360">
        <v>0.65208333333333335</v>
      </c>
    </row>
    <row r="8" spans="1:22" ht="14.45" hidden="1" customHeight="1" x14ac:dyDescent="0.25">
      <c r="A8" s="509">
        <v>18022024</v>
      </c>
      <c r="B8" s="30" t="s">
        <v>3741</v>
      </c>
      <c r="C8" s="28" t="s">
        <v>410</v>
      </c>
      <c r="D8" s="233">
        <v>45340</v>
      </c>
      <c r="F8" s="28" t="s">
        <v>143</v>
      </c>
      <c r="G8" s="30" t="s">
        <v>3870</v>
      </c>
      <c r="H8" s="339" t="s">
        <v>4012</v>
      </c>
      <c r="I8" s="251">
        <v>37170</v>
      </c>
      <c r="J8" s="3">
        <f t="shared" si="0"/>
        <v>32710</v>
      </c>
      <c r="K8" t="s">
        <v>17</v>
      </c>
      <c r="L8" s="233">
        <v>45398</v>
      </c>
      <c r="T8" s="14" t="s">
        <v>2050</v>
      </c>
      <c r="U8" s="360">
        <v>0.41805555555555557</v>
      </c>
      <c r="V8" s="360">
        <v>0.61597222222222225</v>
      </c>
    </row>
    <row r="9" spans="1:22" hidden="1" x14ac:dyDescent="0.25">
      <c r="A9" s="509" t="s">
        <v>3811</v>
      </c>
      <c r="B9" s="30" t="s">
        <v>3812</v>
      </c>
      <c r="C9" s="28" t="s">
        <v>13</v>
      </c>
      <c r="D9" s="233">
        <v>45356</v>
      </c>
      <c r="F9" s="28" t="s">
        <v>143</v>
      </c>
      <c r="G9" s="30" t="s">
        <v>3863</v>
      </c>
      <c r="H9" s="339" t="s">
        <v>4085</v>
      </c>
      <c r="I9" s="237">
        <v>37170</v>
      </c>
      <c r="J9" s="3">
        <f t="shared" si="0"/>
        <v>32710</v>
      </c>
      <c r="K9" s="236" t="s">
        <v>17</v>
      </c>
      <c r="L9" s="233">
        <v>45411</v>
      </c>
      <c r="T9" s="14" t="s">
        <v>2037</v>
      </c>
      <c r="U9" s="360">
        <v>0.82430555555555562</v>
      </c>
      <c r="V9" s="360">
        <v>2.9166666666666664E-2</v>
      </c>
    </row>
    <row r="10" spans="1:22" hidden="1" x14ac:dyDescent="0.25">
      <c r="A10" s="509"/>
      <c r="B10" s="30"/>
      <c r="C10" s="28"/>
      <c r="D10" s="233">
        <v>45576</v>
      </c>
      <c r="F10" s="28" t="s">
        <v>143</v>
      </c>
      <c r="G10" s="30" t="s">
        <v>4920</v>
      </c>
      <c r="H10" s="339" t="s">
        <v>5238</v>
      </c>
      <c r="I10" s="237">
        <v>30127</v>
      </c>
      <c r="J10" s="3">
        <f t="shared" si="0"/>
        <v>26512</v>
      </c>
      <c r="K10" s="236" t="s">
        <v>17</v>
      </c>
      <c r="L10" s="233">
        <v>45631</v>
      </c>
      <c r="T10" s="14"/>
      <c r="U10" s="360"/>
      <c r="V10" s="360"/>
    </row>
    <row r="11" spans="1:22" hidden="1" x14ac:dyDescent="0.25">
      <c r="A11" s="483" t="s">
        <v>4908</v>
      </c>
      <c r="B11" t="s">
        <v>2754</v>
      </c>
      <c r="C11" s="28" t="s">
        <v>4218</v>
      </c>
      <c r="D11" s="233">
        <v>45576</v>
      </c>
      <c r="F11" s="28" t="s">
        <v>143</v>
      </c>
      <c r="G11" s="30" t="s">
        <v>4920</v>
      </c>
      <c r="H11" s="339" t="s">
        <v>5189</v>
      </c>
      <c r="I11" s="236">
        <v>7043</v>
      </c>
      <c r="J11" s="3">
        <f t="shared" si="0"/>
        <v>6198</v>
      </c>
      <c r="K11" t="s">
        <v>17</v>
      </c>
      <c r="L11" s="233">
        <v>45595</v>
      </c>
      <c r="T11" t="s">
        <v>4550</v>
      </c>
      <c r="U11" s="360">
        <v>0.50694444444444442</v>
      </c>
      <c r="V11" s="360">
        <v>0.69097222222222221</v>
      </c>
    </row>
    <row r="12" spans="1:22" hidden="1" x14ac:dyDescent="0.25">
      <c r="A12" s="483"/>
      <c r="C12" s="28"/>
      <c r="D12" s="233">
        <v>45604</v>
      </c>
      <c r="F12" s="28" t="s">
        <v>143</v>
      </c>
      <c r="G12" t="s">
        <v>5184</v>
      </c>
      <c r="H12" s="30" t="s">
        <v>5185</v>
      </c>
      <c r="I12" s="236">
        <v>3270</v>
      </c>
      <c r="J12" s="3">
        <f t="shared" si="0"/>
        <v>2878</v>
      </c>
      <c r="K12" t="s">
        <v>17</v>
      </c>
      <c r="L12" s="233">
        <v>45650</v>
      </c>
      <c r="U12" s="360"/>
      <c r="V12" s="360"/>
    </row>
    <row r="13" spans="1:22" hidden="1" x14ac:dyDescent="0.25">
      <c r="A13" s="483"/>
      <c r="C13" s="28"/>
      <c r="D13" s="233">
        <v>45604</v>
      </c>
      <c r="F13" s="28" t="s">
        <v>143</v>
      </c>
      <c r="G13" t="s">
        <v>5184</v>
      </c>
      <c r="H13" s="30" t="s">
        <v>5186</v>
      </c>
      <c r="I13" s="236">
        <v>19375.21</v>
      </c>
      <c r="J13" s="3">
        <f t="shared" si="0"/>
        <v>17050.21</v>
      </c>
      <c r="K13" t="s">
        <v>17</v>
      </c>
      <c r="L13" s="233">
        <v>45660</v>
      </c>
      <c r="U13" s="360"/>
      <c r="V13" s="360"/>
    </row>
    <row r="14" spans="1:22" hidden="1" x14ac:dyDescent="0.25">
      <c r="A14" s="483"/>
      <c r="C14" s="28"/>
      <c r="D14" s="233">
        <v>45604</v>
      </c>
      <c r="F14" s="28" t="s">
        <v>143</v>
      </c>
      <c r="G14" t="s">
        <v>5184</v>
      </c>
      <c r="H14" s="30" t="s">
        <v>5187</v>
      </c>
      <c r="I14" s="236">
        <v>14145.76</v>
      </c>
      <c r="J14" s="3">
        <f t="shared" si="0"/>
        <v>12448.76</v>
      </c>
      <c r="K14" t="s">
        <v>17</v>
      </c>
      <c r="L14" s="233">
        <v>45650</v>
      </c>
      <c r="U14" s="360"/>
      <c r="V14" s="360"/>
    </row>
    <row r="15" spans="1:22" hidden="1" x14ac:dyDescent="0.25">
      <c r="A15" s="483" t="s">
        <v>5082</v>
      </c>
      <c r="B15" t="s">
        <v>3812</v>
      </c>
      <c r="C15" s="233" t="s">
        <v>13</v>
      </c>
      <c r="D15" s="233">
        <v>45604</v>
      </c>
      <c r="E15" s="28"/>
      <c r="F15" s="28" t="s">
        <v>143</v>
      </c>
      <c r="G15" t="s">
        <v>5184</v>
      </c>
      <c r="H15" s="30" t="s">
        <v>5188</v>
      </c>
      <c r="I15" s="236">
        <v>379.03</v>
      </c>
      <c r="J15" s="3">
        <f t="shared" si="0"/>
        <v>334.03</v>
      </c>
      <c r="K15" t="s">
        <v>17</v>
      </c>
      <c r="L15" s="233">
        <v>45650</v>
      </c>
      <c r="T15" t="s">
        <v>5004</v>
      </c>
      <c r="U15" s="360">
        <v>0.88611111111111107</v>
      </c>
      <c r="V15" s="360">
        <v>0.1111111111111111</v>
      </c>
    </row>
    <row r="16" spans="1:22" hidden="1" x14ac:dyDescent="0.25">
      <c r="A16" s="483">
        <v>20042025</v>
      </c>
      <c r="B16" t="s">
        <v>6065</v>
      </c>
      <c r="C16" s="28" t="s">
        <v>4437</v>
      </c>
      <c r="D16" s="233">
        <v>45767</v>
      </c>
      <c r="E16" s="28"/>
      <c r="F16" s="28" t="s">
        <v>143</v>
      </c>
      <c r="G16" t="s">
        <v>6140</v>
      </c>
      <c r="H16" s="28" t="s">
        <v>6272</v>
      </c>
      <c r="I16" s="798">
        <v>37170</v>
      </c>
      <c r="J16" s="3">
        <f t="shared" si="0"/>
        <v>32710</v>
      </c>
      <c r="K16" t="s">
        <v>17</v>
      </c>
      <c r="L16" s="233">
        <v>45828</v>
      </c>
      <c r="T16" t="s">
        <v>4140</v>
      </c>
      <c r="U16" s="360">
        <v>0.61041666666666672</v>
      </c>
      <c r="V16" s="360">
        <v>0.83125000000000004</v>
      </c>
    </row>
    <row r="17" spans="1:24" hidden="1" x14ac:dyDescent="0.25">
      <c r="A17" s="690">
        <v>21052025</v>
      </c>
      <c r="B17" t="s">
        <v>6266</v>
      </c>
      <c r="C17" s="28" t="s">
        <v>278</v>
      </c>
      <c r="D17" s="233">
        <v>45798</v>
      </c>
      <c r="E17" s="28"/>
      <c r="F17" s="28" t="s">
        <v>143</v>
      </c>
      <c r="G17" t="s">
        <v>6271</v>
      </c>
      <c r="H17" s="127" t="s">
        <v>6501</v>
      </c>
      <c r="I17" s="935">
        <v>37170</v>
      </c>
      <c r="J17" s="9">
        <f t="shared" si="0"/>
        <v>32710</v>
      </c>
      <c r="K17" t="s">
        <v>17</v>
      </c>
      <c r="L17" s="233">
        <v>45854</v>
      </c>
      <c r="T17" t="s">
        <v>5078</v>
      </c>
      <c r="U17" s="30"/>
      <c r="V17" s="30"/>
    </row>
    <row r="18" spans="1:24" hidden="1" x14ac:dyDescent="0.25">
      <c r="A18" s="690"/>
      <c r="C18" s="28"/>
      <c r="D18" s="233"/>
      <c r="E18" s="28"/>
      <c r="F18" s="28"/>
      <c r="G18" t="s">
        <v>6328</v>
      </c>
      <c r="H18" s="127" t="s">
        <v>6499</v>
      </c>
      <c r="I18" s="935">
        <v>32906</v>
      </c>
      <c r="J18" s="9">
        <f t="shared" si="0"/>
        <v>28957</v>
      </c>
      <c r="K18" t="s">
        <v>17</v>
      </c>
      <c r="L18" s="233">
        <v>45840</v>
      </c>
      <c r="U18" s="30"/>
      <c r="V18" s="30"/>
    </row>
    <row r="19" spans="1:24" hidden="1" x14ac:dyDescent="0.25">
      <c r="A19" s="483">
        <v>24052025</v>
      </c>
      <c r="B19" t="s">
        <v>6281</v>
      </c>
      <c r="C19" s="28" t="s">
        <v>4437</v>
      </c>
      <c r="D19" s="233">
        <v>45801</v>
      </c>
      <c r="E19" s="28"/>
      <c r="F19" s="28" t="s">
        <v>143</v>
      </c>
      <c r="G19" t="s">
        <v>6328</v>
      </c>
      <c r="H19" s="28" t="s">
        <v>6500</v>
      </c>
      <c r="I19" s="798">
        <v>4264</v>
      </c>
      <c r="J19" s="3">
        <f t="shared" si="0"/>
        <v>3752</v>
      </c>
      <c r="K19" t="s">
        <v>17</v>
      </c>
      <c r="L19" s="233">
        <v>45840</v>
      </c>
      <c r="T19" t="s">
        <v>6282</v>
      </c>
      <c r="U19" s="360">
        <v>0.25694444444444448</v>
      </c>
      <c r="V19" s="360">
        <v>11.4</v>
      </c>
    </row>
    <row r="20" spans="1:24" hidden="1" x14ac:dyDescent="0.25">
      <c r="A20" s="483">
        <v>25052025</v>
      </c>
      <c r="B20" t="s">
        <v>6281</v>
      </c>
      <c r="C20" s="28" t="s">
        <v>660</v>
      </c>
      <c r="D20" s="233">
        <v>45802</v>
      </c>
      <c r="E20" s="28"/>
      <c r="F20" s="28" t="s">
        <v>143</v>
      </c>
      <c r="G20" t="s">
        <v>6327</v>
      </c>
      <c r="H20" s="28" t="s">
        <v>6660</v>
      </c>
      <c r="I20" s="798">
        <v>4208</v>
      </c>
      <c r="J20" s="23">
        <f t="shared" si="0"/>
        <v>3703</v>
      </c>
      <c r="K20" t="s">
        <v>17</v>
      </c>
      <c r="L20" s="233">
        <v>45950</v>
      </c>
      <c r="T20" t="s">
        <v>4853</v>
      </c>
      <c r="U20" s="360">
        <v>0.25694444444444448</v>
      </c>
      <c r="V20" s="360">
        <v>0.4909722222222222</v>
      </c>
    </row>
    <row r="21" spans="1:24" hidden="1" x14ac:dyDescent="0.25">
      <c r="A21" s="483">
        <v>25052025</v>
      </c>
      <c r="B21" t="s">
        <v>6281</v>
      </c>
      <c r="C21" s="28" t="s">
        <v>660</v>
      </c>
      <c r="D21" s="233">
        <v>45802</v>
      </c>
      <c r="E21" s="28"/>
      <c r="F21" s="28" t="s">
        <v>143</v>
      </c>
      <c r="G21" t="s">
        <v>6327</v>
      </c>
      <c r="H21" s="28" t="s">
        <v>6661</v>
      </c>
      <c r="I21" s="798">
        <v>5533</v>
      </c>
      <c r="J21" s="23">
        <f t="shared" si="0"/>
        <v>4869</v>
      </c>
      <c r="K21" t="s">
        <v>17</v>
      </c>
      <c r="L21" s="233">
        <v>45950</v>
      </c>
      <c r="T21" t="s">
        <v>4853</v>
      </c>
      <c r="U21" s="360">
        <v>0.25694444444444448</v>
      </c>
      <c r="V21" s="360">
        <v>0.4909722222222222</v>
      </c>
    </row>
    <row r="22" spans="1:24" hidden="1" x14ac:dyDescent="0.25">
      <c r="A22" s="483">
        <v>25052025</v>
      </c>
      <c r="B22" t="s">
        <v>6281</v>
      </c>
      <c r="C22" s="28" t="s">
        <v>660</v>
      </c>
      <c r="D22" s="233">
        <v>45802</v>
      </c>
      <c r="E22" s="28"/>
      <c r="F22" s="28" t="s">
        <v>143</v>
      </c>
      <c r="G22" t="s">
        <v>6327</v>
      </c>
      <c r="H22" s="28" t="s">
        <v>6662</v>
      </c>
      <c r="I22" s="798">
        <v>2830</v>
      </c>
      <c r="J22" s="23">
        <f t="shared" ref="J22:J25" si="1">+I22-ROUND(I22*0.12,0)</f>
        <v>2490</v>
      </c>
      <c r="K22" t="s">
        <v>17</v>
      </c>
      <c r="L22" s="233">
        <v>45950</v>
      </c>
      <c r="T22" t="s">
        <v>4853</v>
      </c>
      <c r="U22" s="360">
        <v>0.25694444444444448</v>
      </c>
      <c r="V22" s="360">
        <v>0.4909722222222222</v>
      </c>
    </row>
    <row r="23" spans="1:24" hidden="1" x14ac:dyDescent="0.25">
      <c r="A23" s="483">
        <v>25052025</v>
      </c>
      <c r="B23" t="s">
        <v>6281</v>
      </c>
      <c r="C23" s="28" t="s">
        <v>660</v>
      </c>
      <c r="D23" s="233">
        <v>45802</v>
      </c>
      <c r="E23" s="28"/>
      <c r="F23" s="28" t="s">
        <v>143</v>
      </c>
      <c r="G23" t="s">
        <v>6327</v>
      </c>
      <c r="H23" s="28" t="s">
        <v>6859</v>
      </c>
      <c r="I23" s="798">
        <v>5815</v>
      </c>
      <c r="J23" s="23">
        <f t="shared" si="1"/>
        <v>5117</v>
      </c>
      <c r="K23" t="s">
        <v>17</v>
      </c>
      <c r="L23" s="233">
        <v>45950</v>
      </c>
      <c r="T23" t="s">
        <v>4853</v>
      </c>
      <c r="U23" s="360">
        <v>0.25694444444444448</v>
      </c>
      <c r="V23" s="360">
        <v>0.4909722222222222</v>
      </c>
    </row>
    <row r="24" spans="1:24" hidden="1" x14ac:dyDescent="0.25">
      <c r="A24" s="483">
        <v>25052025</v>
      </c>
      <c r="B24" t="s">
        <v>6281</v>
      </c>
      <c r="C24" s="28" t="s">
        <v>660</v>
      </c>
      <c r="D24" s="233">
        <v>45802</v>
      </c>
      <c r="E24" s="28"/>
      <c r="F24" s="28" t="s">
        <v>143</v>
      </c>
      <c r="G24" t="s">
        <v>6327</v>
      </c>
      <c r="H24" s="28" t="s">
        <v>6663</v>
      </c>
      <c r="I24" s="798">
        <v>2875</v>
      </c>
      <c r="J24" s="23">
        <f t="shared" si="1"/>
        <v>2530</v>
      </c>
      <c r="K24" t="s">
        <v>17</v>
      </c>
      <c r="L24" s="233">
        <v>45950</v>
      </c>
      <c r="T24" t="s">
        <v>4853</v>
      </c>
      <c r="U24" s="360">
        <v>0.25694444444444448</v>
      </c>
      <c r="V24" s="360">
        <v>0.4909722222222222</v>
      </c>
    </row>
    <row r="25" spans="1:24" hidden="1" x14ac:dyDescent="0.25">
      <c r="A25" s="483">
        <v>25052025</v>
      </c>
      <c r="B25" t="s">
        <v>6281</v>
      </c>
      <c r="C25" s="28" t="s">
        <v>660</v>
      </c>
      <c r="D25" s="233">
        <v>45802</v>
      </c>
      <c r="E25" s="28"/>
      <c r="F25" s="28" t="s">
        <v>143</v>
      </c>
      <c r="G25" t="s">
        <v>6327</v>
      </c>
      <c r="H25" s="28" t="s">
        <v>6664</v>
      </c>
      <c r="I25" s="798">
        <v>2320</v>
      </c>
      <c r="J25" s="23">
        <f t="shared" si="1"/>
        <v>2042</v>
      </c>
      <c r="K25" t="s">
        <v>17</v>
      </c>
      <c r="L25" s="233">
        <v>45950</v>
      </c>
      <c r="T25" t="s">
        <v>4853</v>
      </c>
      <c r="U25" s="360">
        <v>0.25694444444444448</v>
      </c>
      <c r="V25" s="360">
        <v>0.4909722222222222</v>
      </c>
    </row>
    <row r="26" spans="1:24" hidden="1" x14ac:dyDescent="0.25">
      <c r="A26" s="483">
        <v>25052025</v>
      </c>
      <c r="B26" t="s">
        <v>6281</v>
      </c>
      <c r="C26" s="28" t="s">
        <v>660</v>
      </c>
      <c r="D26" s="233">
        <v>45802</v>
      </c>
      <c r="E26" s="28"/>
      <c r="F26" s="28" t="s">
        <v>143</v>
      </c>
      <c r="G26" t="s">
        <v>6327</v>
      </c>
      <c r="H26" s="28" t="s">
        <v>6665</v>
      </c>
      <c r="I26" s="798">
        <v>7644</v>
      </c>
      <c r="J26" s="23">
        <f t="shared" si="0"/>
        <v>6727</v>
      </c>
      <c r="K26" t="s">
        <v>17</v>
      </c>
      <c r="L26" s="233">
        <v>45950</v>
      </c>
      <c r="T26" t="s">
        <v>4853</v>
      </c>
      <c r="U26" s="360">
        <v>0.25694444444444448</v>
      </c>
      <c r="V26" s="360">
        <v>0.4909722222222222</v>
      </c>
    </row>
    <row r="27" spans="1:24" hidden="1" x14ac:dyDescent="0.25">
      <c r="A27" s="483">
        <v>25052025</v>
      </c>
      <c r="B27" t="s">
        <v>6281</v>
      </c>
      <c r="C27" s="28" t="s">
        <v>660</v>
      </c>
      <c r="D27" s="233">
        <v>45802</v>
      </c>
      <c r="E27" s="28"/>
      <c r="F27" s="28" t="s">
        <v>143</v>
      </c>
      <c r="G27" t="s">
        <v>6327</v>
      </c>
      <c r="H27" s="28" t="s">
        <v>6860</v>
      </c>
      <c r="I27" s="798">
        <v>3537</v>
      </c>
      <c r="J27" s="23">
        <f t="shared" ref="J27" si="2">+I27-ROUND(I27*0.12,0)</f>
        <v>3113</v>
      </c>
      <c r="K27" t="s">
        <v>17</v>
      </c>
      <c r="L27" s="233">
        <v>45950</v>
      </c>
      <c r="T27" t="s">
        <v>4853</v>
      </c>
      <c r="U27" s="360">
        <v>0.25694444444444448</v>
      </c>
      <c r="V27" s="360">
        <v>0.4909722222222222</v>
      </c>
    </row>
    <row r="28" spans="1:24" hidden="1" x14ac:dyDescent="0.25">
      <c r="A28" s="483">
        <v>25052025</v>
      </c>
      <c r="B28" t="s">
        <v>6281</v>
      </c>
      <c r="C28" s="28" t="s">
        <v>660</v>
      </c>
      <c r="D28" s="233">
        <v>45802</v>
      </c>
      <c r="E28" s="28"/>
      <c r="F28" s="28" t="s">
        <v>143</v>
      </c>
      <c r="G28" t="s">
        <v>6327</v>
      </c>
      <c r="H28" s="28" t="s">
        <v>6861</v>
      </c>
      <c r="I28" s="798">
        <v>1049</v>
      </c>
      <c r="J28" s="23">
        <f t="shared" ref="J28" si="3">+I28-ROUND(I28*0.12,0)</f>
        <v>923</v>
      </c>
      <c r="K28" t="s">
        <v>17</v>
      </c>
      <c r="L28" s="233">
        <v>45950</v>
      </c>
      <c r="T28" t="s">
        <v>4853</v>
      </c>
      <c r="U28" s="360">
        <v>0.25694444444444448</v>
      </c>
      <c r="V28" s="360">
        <v>0.4909722222222222</v>
      </c>
    </row>
    <row r="29" spans="1:24" hidden="1" x14ac:dyDescent="0.25">
      <c r="A29" s="483">
        <v>25052025</v>
      </c>
      <c r="B29" t="s">
        <v>6281</v>
      </c>
      <c r="C29" s="28" t="s">
        <v>660</v>
      </c>
      <c r="D29" s="233">
        <v>45802</v>
      </c>
      <c r="E29" s="28"/>
      <c r="F29" s="28" t="s">
        <v>143</v>
      </c>
      <c r="G29" t="s">
        <v>6327</v>
      </c>
      <c r="H29" s="28" t="s">
        <v>6666</v>
      </c>
      <c r="I29" s="798">
        <v>1359</v>
      </c>
      <c r="J29" s="23">
        <f t="shared" si="0"/>
        <v>1196</v>
      </c>
      <c r="K29" t="s">
        <v>17</v>
      </c>
      <c r="L29" s="233">
        <v>45950</v>
      </c>
      <c r="T29" t="s">
        <v>4853</v>
      </c>
      <c r="U29" s="360">
        <v>0.25694444444444448</v>
      </c>
      <c r="V29" s="360">
        <v>0.4909722222222222</v>
      </c>
    </row>
    <row r="30" spans="1:24" x14ac:dyDescent="0.25">
      <c r="A30" s="483" t="s">
        <v>6308</v>
      </c>
      <c r="B30" t="s">
        <v>3812</v>
      </c>
      <c r="C30" s="28" t="s">
        <v>4437</v>
      </c>
      <c r="D30" s="233">
        <v>45810</v>
      </c>
      <c r="E30" s="28"/>
      <c r="F30" s="28" t="s">
        <v>143</v>
      </c>
      <c r="G30" t="s">
        <v>6326</v>
      </c>
      <c r="I30" s="798">
        <v>37170</v>
      </c>
      <c r="J30" s="3">
        <f t="shared" si="0"/>
        <v>32710</v>
      </c>
      <c r="L30" s="798"/>
      <c r="T30" t="s">
        <v>5393</v>
      </c>
      <c r="U30" s="360">
        <v>0.42222222222222222</v>
      </c>
      <c r="V30" s="30"/>
    </row>
    <row r="31" spans="1:24" ht="30" hidden="1" x14ac:dyDescent="0.25">
      <c r="A31" s="483" t="s">
        <v>7857</v>
      </c>
      <c r="B31" t="s">
        <v>6281</v>
      </c>
      <c r="C31" s="28" t="s">
        <v>410</v>
      </c>
      <c r="D31" s="233">
        <v>46100</v>
      </c>
      <c r="E31" s="28"/>
      <c r="F31" s="28" t="s">
        <v>143</v>
      </c>
      <c r="G31" s="1313" t="s">
        <v>7872</v>
      </c>
      <c r="H31" s="28" t="s">
        <v>7877</v>
      </c>
      <c r="I31" s="915">
        <v>40630</v>
      </c>
      <c r="J31" s="3">
        <f t="shared" si="0"/>
        <v>35754</v>
      </c>
      <c r="K31" s="1067" t="s">
        <v>17</v>
      </c>
      <c r="L31" s="233">
        <v>46112</v>
      </c>
      <c r="M31" s="558"/>
      <c r="N31" s="88"/>
      <c r="U31" t="s">
        <v>4297</v>
      </c>
      <c r="V31" s="360">
        <v>0.43333333333333335</v>
      </c>
      <c r="W31" s="360"/>
    </row>
    <row r="32" spans="1:24" hidden="1" x14ac:dyDescent="0.25">
      <c r="A32" s="1448" t="s">
        <v>8456</v>
      </c>
      <c r="B32" t="s">
        <v>3812</v>
      </c>
      <c r="C32" s="31" t="s">
        <v>13</v>
      </c>
      <c r="D32" s="233">
        <v>46242</v>
      </c>
      <c r="E32" s="28" t="s">
        <v>8462</v>
      </c>
      <c r="F32" s="313" t="s">
        <v>143</v>
      </c>
      <c r="G32" s="236" t="s">
        <v>8489</v>
      </c>
      <c r="H32" t="s">
        <v>8462</v>
      </c>
      <c r="I32" s="915">
        <v>42830</v>
      </c>
      <c r="J32" s="3">
        <f t="shared" si="0"/>
        <v>37690</v>
      </c>
      <c r="K32" t="s">
        <v>17</v>
      </c>
      <c r="L32" s="233">
        <v>46254</v>
      </c>
      <c r="O32" s="88"/>
      <c r="V32" t="s">
        <v>7552</v>
      </c>
      <c r="W32" s="360">
        <v>0.78402777777777777</v>
      </c>
      <c r="X32" s="360">
        <v>0.98611111111111116</v>
      </c>
    </row>
    <row r="33" spans="1:24" hidden="1" x14ac:dyDescent="0.25">
      <c r="A33" s="1448" t="s">
        <v>8488</v>
      </c>
      <c r="B33" s="21" t="s">
        <v>3812</v>
      </c>
      <c r="C33" s="31" t="s">
        <v>410</v>
      </c>
      <c r="D33" s="233">
        <v>46253</v>
      </c>
      <c r="E33" s="28"/>
      <c r="F33" s="313" t="s">
        <v>143</v>
      </c>
      <c r="G33" s="88" t="s">
        <v>8524</v>
      </c>
      <c r="H33" t="s">
        <v>8521</v>
      </c>
      <c r="I33" s="915">
        <v>42830</v>
      </c>
      <c r="J33" s="3">
        <f t="shared" si="0"/>
        <v>37690</v>
      </c>
      <c r="K33" t="s">
        <v>17</v>
      </c>
      <c r="L33" s="233">
        <v>46265</v>
      </c>
      <c r="N33" s="558"/>
      <c r="O33" s="88"/>
      <c r="V33" t="s">
        <v>7078</v>
      </c>
      <c r="W33" s="360"/>
      <c r="X33" s="30"/>
    </row>
    <row r="34" spans="1:24" x14ac:dyDescent="0.25">
      <c r="L34" s="233"/>
    </row>
    <row r="35" spans="1:24" x14ac:dyDescent="0.25">
      <c r="H35" s="732" t="s">
        <v>1292</v>
      </c>
      <c r="I35" s="27">
        <f>SUBTOTAL(9,I3:I34)</f>
        <v>37170</v>
      </c>
      <c r="L35" s="122"/>
    </row>
    <row r="38" spans="1:24" x14ac:dyDescent="0.25">
      <c r="I38" s="17"/>
    </row>
    <row r="42" spans="1:24" x14ac:dyDescent="0.25">
      <c r="H42" s="88"/>
    </row>
    <row r="43" spans="1:24" x14ac:dyDescent="0.25">
      <c r="H43" s="88"/>
    </row>
    <row r="44" spans="1:24" x14ac:dyDescent="0.25">
      <c r="H44" s="88"/>
      <c r="I44" s="17"/>
    </row>
    <row r="45" spans="1:24" x14ac:dyDescent="0.25">
      <c r="H45" s="88"/>
    </row>
    <row r="46" spans="1:24" x14ac:dyDescent="0.25">
      <c r="H46" s="88"/>
    </row>
    <row r="47" spans="1:24" x14ac:dyDescent="0.25">
      <c r="H47" s="88"/>
    </row>
    <row r="48" spans="1:24" x14ac:dyDescent="0.25">
      <c r="H48" s="88"/>
    </row>
    <row r="49" spans="8:8" x14ac:dyDescent="0.25">
      <c r="H49" s="88"/>
    </row>
    <row r="50" spans="8:8" x14ac:dyDescent="0.25">
      <c r="H50" s="88"/>
    </row>
    <row r="51" spans="8:8" x14ac:dyDescent="0.25">
      <c r="H51" s="86"/>
    </row>
    <row r="52" spans="8:8" x14ac:dyDescent="0.25">
      <c r="H52" s="88"/>
    </row>
    <row r="53" spans="8:8" x14ac:dyDescent="0.25">
      <c r="H53" s="149"/>
    </row>
  </sheetData>
  <autoFilter ref="A2:Q34" xr:uid="{00000000-0009-0000-0000-00003B000000}">
    <filterColumn colId="10">
      <filters blank="1"/>
    </filterColumn>
    <filterColumn colId="13" showButton="0"/>
    <filterColumn colId="14" showButton="0"/>
    <filterColumn colId="15" showButton="0"/>
  </autoFilter>
  <mergeCells count="1">
    <mergeCell ref="N2: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52291" r:id="rId3" name="Button 1">
              <controlPr defaultSize="0" print="0" autoFill="0" autoPict="0" macro="[0]!RETORNAR">
                <anchor moveWithCells="1" sizeWithCells="1">
                  <from>
                    <xdr:col>0</xdr:col>
                    <xdr:colOff>38100</xdr:colOff>
                    <xdr:row>0</xdr:row>
                    <xdr:rowOff>47625</xdr:rowOff>
                  </from>
                  <to>
                    <xdr:col>1</xdr:col>
                    <xdr:colOff>1095375</xdr:colOff>
                    <xdr:row>0</xdr:row>
                    <xdr:rowOff>314325</xdr:rowOff>
                  </to>
                </anchor>
              </controlPr>
            </control>
          </mc:Choice>
        </mc:AlternateContent>
        <mc:AlternateContent xmlns:mc="http://schemas.openxmlformats.org/markup-compatibility/2006">
          <mc:Choice Requires="x14">
            <control shapeId="652306" r:id="rId4" name="Botón 18">
              <controlPr defaultSize="0" print="0" autoFill="0" autoPict="0" macro="[0]!IR_VENTAS_B200_2026">
                <anchor moveWithCells="1" sizeWithCells="1">
                  <from>
                    <xdr:col>0</xdr:col>
                    <xdr:colOff>666750</xdr:colOff>
                    <xdr:row>37</xdr:row>
                    <xdr:rowOff>9525</xdr:rowOff>
                  </from>
                  <to>
                    <xdr:col>2</xdr:col>
                    <xdr:colOff>95250</xdr:colOff>
                    <xdr:row>40</xdr:row>
                    <xdr:rowOff>47625</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Hoja64" filterMode="1"/>
  <dimension ref="A1:X23"/>
  <sheetViews>
    <sheetView workbookViewId="0">
      <selection activeCell="A21" sqref="A21:M21"/>
    </sheetView>
  </sheetViews>
  <sheetFormatPr baseColWidth="10" defaultColWidth="10.85546875" defaultRowHeight="15" x14ac:dyDescent="0.25"/>
  <cols>
    <col min="2" max="2" width="19.140625" customWidth="1"/>
    <col min="3" max="3" width="9.42578125" customWidth="1"/>
    <col min="5" max="5" width="5.28515625" customWidth="1"/>
    <col min="7" max="7" width="42.5703125" customWidth="1"/>
    <col min="9" max="9" width="12.85546875" customWidth="1"/>
    <col min="10" max="10" width="12" style="32" bestFit="1" customWidth="1"/>
    <col min="11" max="11" width="10.85546875" style="30"/>
  </cols>
  <sheetData>
    <row r="1" spans="1:22" ht="25.5" customHeight="1" x14ac:dyDescent="0.25"/>
    <row r="2" spans="1:22" x14ac:dyDescent="0.25">
      <c r="A2" t="s">
        <v>706</v>
      </c>
      <c r="B2" s="1" t="s">
        <v>0</v>
      </c>
      <c r="C2" s="1" t="s">
        <v>1</v>
      </c>
      <c r="D2" s="1" t="s">
        <v>2</v>
      </c>
      <c r="E2" s="1"/>
      <c r="F2" s="1" t="s">
        <v>3</v>
      </c>
      <c r="G2" s="1" t="s">
        <v>4</v>
      </c>
      <c r="H2" s="1" t="s">
        <v>5</v>
      </c>
      <c r="I2" s="1" t="s">
        <v>6</v>
      </c>
      <c r="J2" s="87" t="s">
        <v>1780</v>
      </c>
      <c r="K2" s="115" t="s">
        <v>8</v>
      </c>
      <c r="L2" s="1" t="s">
        <v>3997</v>
      </c>
      <c r="M2" s="1" t="s">
        <v>10</v>
      </c>
      <c r="N2" s="1480" t="s">
        <v>11</v>
      </c>
      <c r="O2" s="1480"/>
      <c r="P2" s="1480"/>
      <c r="Q2" s="1480"/>
    </row>
    <row r="3" spans="1:22" hidden="1" x14ac:dyDescent="0.25">
      <c r="A3" s="256" t="s">
        <v>2750</v>
      </c>
      <c r="B3" t="s">
        <v>2739</v>
      </c>
      <c r="C3" t="s">
        <v>13</v>
      </c>
      <c r="D3" s="122">
        <v>45147</v>
      </c>
      <c r="F3" s="28" t="s">
        <v>2107</v>
      </c>
      <c r="G3" t="s">
        <v>2751</v>
      </c>
      <c r="H3" t="s">
        <v>2892</v>
      </c>
      <c r="I3" s="313">
        <v>29984</v>
      </c>
      <c r="J3" s="32">
        <f>+I3*0.88</f>
        <v>26385.920000000002</v>
      </c>
      <c r="K3" s="30" t="s">
        <v>17</v>
      </c>
      <c r="L3" s="122">
        <v>45154</v>
      </c>
      <c r="T3" s="14" t="s">
        <v>893</v>
      </c>
      <c r="U3" s="14">
        <v>0.32222222222222224</v>
      </c>
      <c r="V3" s="14">
        <v>0.48541666666666666</v>
      </c>
    </row>
    <row r="4" spans="1:22" hidden="1" x14ac:dyDescent="0.25">
      <c r="A4" s="256" t="s">
        <v>2886</v>
      </c>
      <c r="B4" t="s">
        <v>2739</v>
      </c>
      <c r="C4" t="s">
        <v>410</v>
      </c>
      <c r="D4" s="122">
        <v>45174</v>
      </c>
      <c r="F4" s="28" t="s">
        <v>2253</v>
      </c>
      <c r="G4" s="30" t="s">
        <v>2927</v>
      </c>
      <c r="H4" s="30" t="s">
        <v>2928</v>
      </c>
      <c r="I4" s="236">
        <v>29984</v>
      </c>
      <c r="K4" s="30" t="s">
        <v>17</v>
      </c>
      <c r="L4" s="122">
        <v>45198</v>
      </c>
      <c r="T4" s="14" t="s">
        <v>929</v>
      </c>
      <c r="U4" s="14">
        <v>0.45555555555555555</v>
      </c>
      <c r="V4" s="14">
        <v>0.61458333333333337</v>
      </c>
    </row>
    <row r="5" spans="1:22" hidden="1" x14ac:dyDescent="0.25">
      <c r="A5" s="256" t="s">
        <v>2886</v>
      </c>
      <c r="B5" t="s">
        <v>2739</v>
      </c>
      <c r="C5" t="s">
        <v>410</v>
      </c>
      <c r="D5" s="122">
        <v>45174</v>
      </c>
      <c r="F5" s="28" t="s">
        <v>2253</v>
      </c>
      <c r="G5" s="30" t="s">
        <v>2926</v>
      </c>
      <c r="H5" s="30" t="s">
        <v>2929</v>
      </c>
      <c r="I5" s="236">
        <v>29984</v>
      </c>
      <c r="K5" s="30" t="s">
        <v>17</v>
      </c>
      <c r="L5" s="122">
        <v>45201</v>
      </c>
      <c r="T5" s="14" t="s">
        <v>929</v>
      </c>
      <c r="U5" s="14">
        <v>0.65347222222222223</v>
      </c>
      <c r="V5" s="14">
        <v>0.78888888888888886</v>
      </c>
    </row>
    <row r="6" spans="1:22" hidden="1" x14ac:dyDescent="0.25">
      <c r="A6" s="256">
        <v>22092023</v>
      </c>
      <c r="B6" t="s">
        <v>2739</v>
      </c>
      <c r="C6" t="s">
        <v>13</v>
      </c>
      <c r="D6" s="122">
        <v>45191</v>
      </c>
      <c r="F6" s="28" t="s">
        <v>2253</v>
      </c>
      <c r="G6" s="30" t="s">
        <v>2979</v>
      </c>
      <c r="H6" s="30" t="s">
        <v>2980</v>
      </c>
      <c r="I6" s="236">
        <v>29984</v>
      </c>
      <c r="J6" s="32">
        <f t="shared" ref="J6:J20" si="0">+I6*0.88</f>
        <v>26385.920000000002</v>
      </c>
      <c r="K6" s="30" t="s">
        <v>17</v>
      </c>
      <c r="L6" s="122">
        <v>45209</v>
      </c>
      <c r="M6" t="s">
        <v>388</v>
      </c>
      <c r="T6" s="14" t="s">
        <v>989</v>
      </c>
      <c r="U6" s="14">
        <v>0.40972222222222227</v>
      </c>
      <c r="V6" s="14">
        <v>0.57847222222222217</v>
      </c>
    </row>
    <row r="7" spans="1:22" hidden="1" x14ac:dyDescent="0.25">
      <c r="A7" s="256"/>
      <c r="D7" s="122"/>
      <c r="F7" s="28"/>
      <c r="G7" t="s">
        <v>3134</v>
      </c>
      <c r="H7" s="30" t="s">
        <v>3135</v>
      </c>
      <c r="I7" s="236">
        <v>19816</v>
      </c>
      <c r="J7" s="32">
        <f t="shared" si="0"/>
        <v>17438.080000000002</v>
      </c>
      <c r="K7" s="30" t="s">
        <v>17</v>
      </c>
      <c r="L7" s="122">
        <v>45239</v>
      </c>
      <c r="T7" s="14"/>
      <c r="U7" s="14"/>
      <c r="V7" s="14"/>
    </row>
    <row r="8" spans="1:22" ht="24.6" hidden="1" customHeight="1" x14ac:dyDescent="0.25">
      <c r="A8" s="95">
        <v>17102023</v>
      </c>
      <c r="B8" t="s">
        <v>2739</v>
      </c>
      <c r="C8" t="s">
        <v>13</v>
      </c>
      <c r="D8" s="122">
        <v>45216</v>
      </c>
      <c r="F8" s="28" t="s">
        <v>2253</v>
      </c>
      <c r="G8" t="s">
        <v>3134</v>
      </c>
      <c r="H8" s="30" t="s">
        <v>3136</v>
      </c>
      <c r="I8" s="414">
        <v>10048</v>
      </c>
      <c r="J8" s="32">
        <f t="shared" si="0"/>
        <v>8842.24</v>
      </c>
      <c r="K8" s="30" t="s">
        <v>17</v>
      </c>
      <c r="L8" s="122">
        <v>45239</v>
      </c>
      <c r="T8" s="14" t="s">
        <v>1029</v>
      </c>
      <c r="U8" s="14"/>
      <c r="V8" s="14"/>
    </row>
    <row r="9" spans="1:22" hidden="1" x14ac:dyDescent="0.25">
      <c r="A9" s="509" t="s">
        <v>1854</v>
      </c>
      <c r="B9" s="30" t="s">
        <v>2739</v>
      </c>
      <c r="C9" s="28" t="s">
        <v>3546</v>
      </c>
      <c r="D9" s="233">
        <v>45328</v>
      </c>
      <c r="F9" s="28" t="s">
        <v>2253</v>
      </c>
      <c r="G9" s="28" t="s">
        <v>3675</v>
      </c>
      <c r="H9" s="28" t="s">
        <v>3721</v>
      </c>
      <c r="I9" s="251">
        <v>29880</v>
      </c>
      <c r="J9" s="32">
        <f t="shared" si="0"/>
        <v>26294.400000000001</v>
      </c>
      <c r="K9" s="30" t="s">
        <v>17</v>
      </c>
      <c r="L9" s="233">
        <v>45335</v>
      </c>
      <c r="T9" s="14" t="s">
        <v>2050</v>
      </c>
      <c r="U9" s="360">
        <v>0.51458333333333328</v>
      </c>
      <c r="V9" s="360"/>
    </row>
    <row r="10" spans="1:22" hidden="1" x14ac:dyDescent="0.25">
      <c r="A10" s="509">
        <v>10022024</v>
      </c>
      <c r="B10" s="30" t="s">
        <v>2739</v>
      </c>
      <c r="C10" s="28" t="s">
        <v>410</v>
      </c>
      <c r="D10" s="233">
        <v>45332</v>
      </c>
      <c r="F10" s="28" t="s">
        <v>2107</v>
      </c>
      <c r="G10" s="30" t="s">
        <v>3885</v>
      </c>
      <c r="H10" s="30" t="s">
        <v>3886</v>
      </c>
      <c r="I10" s="237">
        <v>29880</v>
      </c>
      <c r="J10" s="32">
        <f t="shared" si="0"/>
        <v>26294.400000000001</v>
      </c>
      <c r="K10" s="30" t="s">
        <v>17</v>
      </c>
      <c r="L10" s="233">
        <v>45372</v>
      </c>
      <c r="T10" s="14" t="s">
        <v>3408</v>
      </c>
      <c r="U10" s="360">
        <v>0.48680555555555555</v>
      </c>
      <c r="V10" s="360">
        <v>0.67083333333333339</v>
      </c>
    </row>
    <row r="11" spans="1:22" hidden="1" x14ac:dyDescent="0.25">
      <c r="A11" s="509">
        <v>24022024</v>
      </c>
      <c r="B11" s="30" t="s">
        <v>2739</v>
      </c>
      <c r="C11" s="28" t="s">
        <v>13</v>
      </c>
      <c r="D11" s="233">
        <v>45346</v>
      </c>
      <c r="F11" s="28" t="s">
        <v>2107</v>
      </c>
      <c r="G11" s="30" t="s">
        <v>3777</v>
      </c>
      <c r="H11" s="30" t="s">
        <v>3887</v>
      </c>
      <c r="I11" s="251">
        <v>29880</v>
      </c>
      <c r="J11" s="32">
        <f t="shared" si="0"/>
        <v>26294.400000000001</v>
      </c>
      <c r="K11" s="30" t="s">
        <v>17</v>
      </c>
      <c r="L11" s="233">
        <v>45372</v>
      </c>
      <c r="T11" s="14" t="s">
        <v>989</v>
      </c>
      <c r="U11" s="360">
        <v>0.4055555555555555</v>
      </c>
      <c r="V11" s="360">
        <v>0.55694444444444446</v>
      </c>
    </row>
    <row r="12" spans="1:22" hidden="1" x14ac:dyDescent="0.25">
      <c r="A12" s="509" t="s">
        <v>3834</v>
      </c>
      <c r="B12" s="30" t="s">
        <v>2739</v>
      </c>
      <c r="C12" s="28" t="s">
        <v>13</v>
      </c>
      <c r="D12" s="233">
        <v>45361</v>
      </c>
      <c r="F12" s="28" t="s">
        <v>2107</v>
      </c>
      <c r="G12" s="30" t="s">
        <v>3877</v>
      </c>
      <c r="H12" t="s">
        <v>3894</v>
      </c>
      <c r="I12" s="251">
        <v>29880</v>
      </c>
      <c r="J12" s="32">
        <f t="shared" si="0"/>
        <v>26294.400000000001</v>
      </c>
      <c r="K12" s="30" t="s">
        <v>17</v>
      </c>
      <c r="L12" s="233">
        <v>45372</v>
      </c>
      <c r="T12" s="14" t="s">
        <v>1029</v>
      </c>
      <c r="U12" s="360">
        <v>0.57222222222222219</v>
      </c>
      <c r="V12" s="360">
        <v>0.74861111111111101</v>
      </c>
    </row>
    <row r="13" spans="1:22" hidden="1" x14ac:dyDescent="0.25">
      <c r="A13" s="509">
        <v>11062024</v>
      </c>
      <c r="B13" t="s">
        <v>2739</v>
      </c>
      <c r="C13" s="28" t="s">
        <v>410</v>
      </c>
      <c r="D13" s="233">
        <v>45454</v>
      </c>
      <c r="F13" s="28" t="s">
        <v>2107</v>
      </c>
      <c r="G13" s="30" t="s">
        <v>4420</v>
      </c>
      <c r="H13" s="30" t="s">
        <v>4421</v>
      </c>
      <c r="I13" s="237">
        <v>29880</v>
      </c>
      <c r="J13" s="32">
        <f t="shared" si="0"/>
        <v>26294.400000000001</v>
      </c>
      <c r="K13" s="30" t="s">
        <v>17</v>
      </c>
      <c r="L13" s="233">
        <v>45476</v>
      </c>
      <c r="T13" s="14" t="s">
        <v>4138</v>
      </c>
      <c r="U13" s="360">
        <v>0.36805555555555558</v>
      </c>
      <c r="V13" s="360">
        <v>0.50347222222222221</v>
      </c>
    </row>
    <row r="14" spans="1:22" hidden="1" x14ac:dyDescent="0.25">
      <c r="A14" s="95">
        <v>26092024</v>
      </c>
      <c r="B14" t="s">
        <v>2739</v>
      </c>
      <c r="C14" s="28" t="s">
        <v>410</v>
      </c>
      <c r="D14" s="233">
        <v>45561</v>
      </c>
      <c r="F14" s="28" t="s">
        <v>2107</v>
      </c>
      <c r="G14" s="30" t="s">
        <v>4905</v>
      </c>
      <c r="H14" s="30" t="s">
        <v>5011</v>
      </c>
      <c r="I14" s="236">
        <v>29880</v>
      </c>
      <c r="J14" s="32">
        <f t="shared" si="0"/>
        <v>26294.400000000001</v>
      </c>
      <c r="K14" s="30" t="s">
        <v>17</v>
      </c>
      <c r="L14" s="233">
        <v>45586</v>
      </c>
      <c r="T14" t="s">
        <v>4792</v>
      </c>
      <c r="U14" s="360">
        <v>0.51666666666666672</v>
      </c>
      <c r="V14" s="360">
        <v>0.66249999999999998</v>
      </c>
    </row>
    <row r="15" spans="1:22" hidden="1" x14ac:dyDescent="0.25">
      <c r="A15" s="483">
        <v>15012025</v>
      </c>
      <c r="B15" t="s">
        <v>2739</v>
      </c>
      <c r="C15" s="233" t="s">
        <v>13</v>
      </c>
      <c r="D15" s="233">
        <v>45672</v>
      </c>
      <c r="E15" s="28"/>
      <c r="F15" s="28" t="s">
        <v>2107</v>
      </c>
      <c r="G15" t="s">
        <v>5827</v>
      </c>
      <c r="H15" t="s">
        <v>5887</v>
      </c>
      <c r="I15" s="88">
        <v>30380</v>
      </c>
      <c r="J15" s="32">
        <f t="shared" si="0"/>
        <v>26734.400000000001</v>
      </c>
      <c r="K15" s="30" t="s">
        <v>17</v>
      </c>
      <c r="L15" s="233">
        <v>45748</v>
      </c>
      <c r="T15" t="s">
        <v>4297</v>
      </c>
      <c r="U15" s="360">
        <v>0.61041666666666672</v>
      </c>
      <c r="V15" s="360">
        <v>0.74583333333333324</v>
      </c>
    </row>
    <row r="16" spans="1:22" s="19" customFormat="1" hidden="1" x14ac:dyDescent="0.25">
      <c r="A16" s="690" t="s">
        <v>7024</v>
      </c>
      <c r="B16" s="19" t="s">
        <v>2739</v>
      </c>
      <c r="C16" s="472" t="s">
        <v>13</v>
      </c>
      <c r="D16" s="691">
        <v>45929</v>
      </c>
      <c r="E16" s="472"/>
      <c r="F16" s="472" t="s">
        <v>2107</v>
      </c>
      <c r="G16" s="1084" t="s">
        <v>7106</v>
      </c>
      <c r="H16" s="19" t="s">
        <v>7107</v>
      </c>
      <c r="I16" s="1101">
        <v>33305</v>
      </c>
      <c r="J16" s="32">
        <f t="shared" si="0"/>
        <v>29308.400000000001</v>
      </c>
      <c r="K16" s="19" t="s">
        <v>17</v>
      </c>
      <c r="L16" s="691">
        <v>45945</v>
      </c>
      <c r="M16" s="140"/>
      <c r="T16" s="19" t="s">
        <v>6503</v>
      </c>
      <c r="U16" s="693">
        <v>0.46597222222222223</v>
      </c>
      <c r="V16" s="693">
        <v>0.63958333333333328</v>
      </c>
    </row>
    <row r="17" spans="1:24" hidden="1" x14ac:dyDescent="0.25">
      <c r="A17" s="483">
        <v>22122025</v>
      </c>
      <c r="B17" t="s">
        <v>2739</v>
      </c>
      <c r="C17" s="28" t="s">
        <v>4218</v>
      </c>
      <c r="D17" s="233">
        <v>46013</v>
      </c>
      <c r="E17" s="28"/>
      <c r="F17" s="28" t="s">
        <v>2107</v>
      </c>
      <c r="G17" s="1067" t="s">
        <v>7501</v>
      </c>
      <c r="H17" s="28" t="s">
        <v>7502</v>
      </c>
      <c r="I17" s="240">
        <v>33305</v>
      </c>
      <c r="J17" s="32">
        <f t="shared" si="0"/>
        <v>29308.400000000001</v>
      </c>
      <c r="K17" s="30" t="s">
        <v>17</v>
      </c>
      <c r="L17" s="691">
        <v>46031</v>
      </c>
      <c r="M17" s="88"/>
      <c r="T17" s="5" t="s">
        <v>4140</v>
      </c>
      <c r="U17" s="360">
        <v>0.45347222222222222</v>
      </c>
      <c r="V17" s="360">
        <v>0.62569444444444444</v>
      </c>
    </row>
    <row r="18" spans="1:24" s="21" customFormat="1" hidden="1" x14ac:dyDescent="0.25">
      <c r="A18" s="509" t="s">
        <v>7823</v>
      </c>
      <c r="B18" s="21" t="s">
        <v>7822</v>
      </c>
      <c r="C18" s="177" t="s">
        <v>13</v>
      </c>
      <c r="D18" s="510">
        <v>46094</v>
      </c>
      <c r="E18" s="177"/>
      <c r="F18" s="177" t="s">
        <v>7824</v>
      </c>
      <c r="G18" s="1175" t="s">
        <v>7850</v>
      </c>
      <c r="H18" s="21" t="s">
        <v>7904</v>
      </c>
      <c r="I18" s="911">
        <v>33305</v>
      </c>
      <c r="J18" s="32">
        <f t="shared" si="0"/>
        <v>29308.400000000001</v>
      </c>
      <c r="K18" s="21" t="s">
        <v>17</v>
      </c>
      <c r="L18" s="510">
        <v>46118</v>
      </c>
      <c r="M18" s="181"/>
      <c r="T18" s="21" t="s">
        <v>5393</v>
      </c>
      <c r="U18" s="488">
        <v>0.52638888888888891</v>
      </c>
      <c r="V18" s="488"/>
      <c r="W18" s="488"/>
    </row>
    <row r="19" spans="1:24" x14ac:dyDescent="0.25">
      <c r="A19" s="483">
        <v>26062026</v>
      </c>
      <c r="B19" t="s">
        <v>2739</v>
      </c>
      <c r="C19" s="31" t="s">
        <v>410</v>
      </c>
      <c r="D19" s="233">
        <v>46199</v>
      </c>
      <c r="E19" s="28"/>
      <c r="F19" s="313" t="s">
        <v>2107</v>
      </c>
      <c r="G19" s="88" t="s">
        <v>8337</v>
      </c>
      <c r="I19" s="313">
        <v>38863</v>
      </c>
      <c r="J19" s="32">
        <f t="shared" si="0"/>
        <v>34199.440000000002</v>
      </c>
      <c r="K19"/>
      <c r="N19" s="88"/>
      <c r="V19" t="s">
        <v>8118</v>
      </c>
      <c r="W19" s="360"/>
      <c r="X19" s="30"/>
    </row>
    <row r="20" spans="1:24" x14ac:dyDescent="0.25">
      <c r="A20" s="256" t="s">
        <v>8616</v>
      </c>
      <c r="B20" t="s">
        <v>2739</v>
      </c>
      <c r="C20" s="31" t="s">
        <v>13</v>
      </c>
      <c r="D20" s="233">
        <v>46278</v>
      </c>
      <c r="F20" s="313" t="s">
        <v>2107</v>
      </c>
      <c r="G20" s="30" t="s">
        <v>8627</v>
      </c>
      <c r="H20" s="236"/>
      <c r="I20" s="236">
        <v>33470</v>
      </c>
      <c r="J20" s="32">
        <f t="shared" si="0"/>
        <v>29453.599999999999</v>
      </c>
      <c r="L20" s="233"/>
      <c r="U20" s="14"/>
      <c r="V20" s="14"/>
    </row>
    <row r="21" spans="1:24" x14ac:dyDescent="0.25">
      <c r="A21" s="256"/>
      <c r="D21" s="122"/>
      <c r="F21" s="30"/>
      <c r="G21" s="30"/>
      <c r="H21" s="30"/>
      <c r="I21" s="160"/>
      <c r="L21" s="122"/>
      <c r="U21" s="14"/>
      <c r="V21" s="14"/>
    </row>
    <row r="22" spans="1:24" x14ac:dyDescent="0.25">
      <c r="A22" s="116"/>
      <c r="B22" s="169"/>
      <c r="C22" s="21"/>
      <c r="D22" s="123"/>
      <c r="E22" s="88"/>
      <c r="F22" s="21"/>
      <c r="G22" s="21"/>
      <c r="I22" s="160"/>
      <c r="J22" s="160"/>
      <c r="K22" s="237"/>
      <c r="L22" s="122"/>
      <c r="O22" s="163"/>
      <c r="P22" s="157"/>
      <c r="Q22" s="157"/>
    </row>
    <row r="23" spans="1:24" x14ac:dyDescent="0.25">
      <c r="H23" s="5" t="s">
        <v>8646</v>
      </c>
      <c r="I23" s="9">
        <f>SUBTOTAL(9,I3:I22)</f>
        <v>72333</v>
      </c>
      <c r="L23" s="122"/>
    </row>
  </sheetData>
  <autoFilter ref="A2:Q22" xr:uid="{00000000-0009-0000-0000-00003C000000}">
    <filterColumn colId="10">
      <filters blank="1"/>
    </filterColumn>
    <filterColumn colId="13" showButton="0"/>
    <filterColumn colId="14" showButton="0"/>
    <filterColumn colId="15" showButton="0"/>
  </autoFilter>
  <mergeCells count="1">
    <mergeCell ref="N2: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59457" r:id="rId3" name="Button 1">
              <controlPr defaultSize="0" print="0" autoFill="0" autoPict="0" macro="[0]!RETORNAR">
                <anchor moveWithCells="1" sizeWithCells="1">
                  <from>
                    <xdr:col>0</xdr:col>
                    <xdr:colOff>9525</xdr:colOff>
                    <xdr:row>0</xdr:row>
                    <xdr:rowOff>38100</xdr:rowOff>
                  </from>
                  <to>
                    <xdr:col>1</xdr:col>
                    <xdr:colOff>1066800</xdr:colOff>
                    <xdr:row>0</xdr:row>
                    <xdr:rowOff>276225</xdr:rowOff>
                  </to>
                </anchor>
              </controlPr>
            </control>
          </mc:Choice>
        </mc:AlternateContent>
        <mc:AlternateContent xmlns:mc="http://schemas.openxmlformats.org/markup-compatibility/2006">
          <mc:Choice Requires="x14">
            <control shapeId="659462" r:id="rId4" name="Botón 6">
              <controlPr defaultSize="0" print="0" autoFill="0" autoPict="0" macro="[0]!IR_VENTAS_B200_2026">
                <anchor moveWithCells="1" sizeWithCells="1">
                  <from>
                    <xdr:col>1</xdr:col>
                    <xdr:colOff>0</xdr:colOff>
                    <xdr:row>22</xdr:row>
                    <xdr:rowOff>142875</xdr:rowOff>
                  </from>
                  <to>
                    <xdr:col>1</xdr:col>
                    <xdr:colOff>1304925</xdr:colOff>
                    <xdr:row>25</xdr:row>
                    <xdr:rowOff>171450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Hoja65" filterMode="1"/>
  <dimension ref="A1:V12"/>
  <sheetViews>
    <sheetView workbookViewId="0">
      <selection activeCell="B15" sqref="B15"/>
    </sheetView>
  </sheetViews>
  <sheetFormatPr baseColWidth="10" defaultColWidth="10.85546875" defaultRowHeight="15" x14ac:dyDescent="0.25"/>
  <cols>
    <col min="2" max="2" width="26.42578125" customWidth="1"/>
    <col min="3" max="3" width="9.42578125" customWidth="1"/>
    <col min="5" max="5" width="5.28515625" customWidth="1"/>
    <col min="7" max="7" width="42.5703125" customWidth="1"/>
    <col min="9" max="9" width="11.5703125" bestFit="1" customWidth="1"/>
    <col min="10" max="10" width="12" bestFit="1" customWidth="1"/>
  </cols>
  <sheetData>
    <row r="1" spans="1:22" ht="35.450000000000003" customHeight="1" x14ac:dyDescent="0.25"/>
    <row r="2" spans="1:22" x14ac:dyDescent="0.25">
      <c r="A2" t="s">
        <v>706</v>
      </c>
      <c r="B2" s="1" t="s">
        <v>0</v>
      </c>
      <c r="C2" s="1" t="s">
        <v>1</v>
      </c>
      <c r="D2" s="1" t="s">
        <v>2</v>
      </c>
      <c r="E2" s="1"/>
      <c r="F2" s="1" t="s">
        <v>3</v>
      </c>
      <c r="G2" s="1" t="s">
        <v>4</v>
      </c>
      <c r="H2" s="1" t="s">
        <v>5</v>
      </c>
      <c r="I2" s="1" t="s">
        <v>6</v>
      </c>
      <c r="J2" s="1" t="s">
        <v>1780</v>
      </c>
      <c r="K2" s="1" t="s">
        <v>8</v>
      </c>
      <c r="L2" s="1" t="s">
        <v>3997</v>
      </c>
      <c r="M2" s="1" t="s">
        <v>10</v>
      </c>
      <c r="N2" s="1480" t="s">
        <v>11</v>
      </c>
      <c r="O2" s="1480"/>
      <c r="P2" s="1480"/>
      <c r="Q2" s="1480"/>
    </row>
    <row r="3" spans="1:22" hidden="1" x14ac:dyDescent="0.25">
      <c r="A3" s="430" t="s">
        <v>2887</v>
      </c>
      <c r="B3" s="5" t="s">
        <v>2763</v>
      </c>
      <c r="C3" s="5" t="s">
        <v>410</v>
      </c>
      <c r="D3" s="122">
        <v>45176</v>
      </c>
      <c r="F3" s="127" t="s">
        <v>545</v>
      </c>
      <c r="G3" s="373" t="s">
        <v>279</v>
      </c>
      <c r="I3" s="313">
        <v>33560</v>
      </c>
      <c r="K3" t="s">
        <v>17</v>
      </c>
      <c r="L3" s="122">
        <v>45182</v>
      </c>
      <c r="T3" s="14" t="s">
        <v>1178</v>
      </c>
      <c r="U3" s="14">
        <v>0.33194444444444443</v>
      </c>
      <c r="V3" s="14"/>
    </row>
    <row r="4" spans="1:22" hidden="1" x14ac:dyDescent="0.25">
      <c r="A4" s="256">
        <v>15092023</v>
      </c>
      <c r="B4" s="196" t="s">
        <v>2763</v>
      </c>
      <c r="C4" t="s">
        <v>13</v>
      </c>
      <c r="D4" s="122">
        <v>45184</v>
      </c>
      <c r="F4" s="28" t="s">
        <v>545</v>
      </c>
      <c r="G4" s="373" t="s">
        <v>279</v>
      </c>
      <c r="H4" s="30"/>
      <c r="I4" s="236">
        <v>33560</v>
      </c>
      <c r="K4" t="s">
        <v>17</v>
      </c>
      <c r="L4" s="122">
        <v>45184</v>
      </c>
      <c r="T4" s="14" t="s">
        <v>1029</v>
      </c>
      <c r="U4" s="14">
        <v>0.47500000000000003</v>
      </c>
      <c r="V4" s="14">
        <v>0.63194444444444442</v>
      </c>
    </row>
    <row r="5" spans="1:22" hidden="1" x14ac:dyDescent="0.25">
      <c r="A5" s="256">
        <v>23092023</v>
      </c>
      <c r="B5" s="196" t="s">
        <v>2763</v>
      </c>
      <c r="C5" t="s">
        <v>13</v>
      </c>
      <c r="D5" s="122">
        <v>45192</v>
      </c>
      <c r="F5" s="28" t="s">
        <v>545</v>
      </c>
      <c r="G5" s="30" t="s">
        <v>2968</v>
      </c>
      <c r="H5" s="30" t="s">
        <v>2969</v>
      </c>
      <c r="I5" s="236">
        <v>33560</v>
      </c>
      <c r="K5" t="s">
        <v>17</v>
      </c>
      <c r="L5" s="122">
        <v>45212</v>
      </c>
      <c r="T5" s="14" t="s">
        <v>1816</v>
      </c>
      <c r="U5" s="14">
        <v>0.49791666666666662</v>
      </c>
      <c r="V5" s="14">
        <v>0.70833333333333337</v>
      </c>
    </row>
    <row r="6" spans="1:22" x14ac:dyDescent="0.25">
      <c r="A6" s="256"/>
      <c r="D6" s="122"/>
      <c r="F6" s="30"/>
      <c r="G6" s="30"/>
      <c r="H6" s="30"/>
      <c r="I6" s="160"/>
      <c r="L6" s="122"/>
      <c r="U6" s="14"/>
      <c r="V6" s="14"/>
    </row>
    <row r="7" spans="1:22" x14ac:dyDescent="0.25">
      <c r="A7" s="116"/>
      <c r="B7" s="169"/>
      <c r="C7" s="21"/>
      <c r="D7" s="123"/>
      <c r="E7" s="88"/>
      <c r="F7" s="21"/>
      <c r="G7" s="21"/>
      <c r="I7" s="160"/>
      <c r="J7" s="160"/>
      <c r="K7" s="160"/>
      <c r="L7" s="122"/>
      <c r="O7" s="163"/>
      <c r="P7" s="157"/>
      <c r="Q7" s="157"/>
    </row>
    <row r="8" spans="1:22" x14ac:dyDescent="0.25">
      <c r="H8" s="5" t="s">
        <v>423</v>
      </c>
      <c r="I8" s="9">
        <f>SUBTOTAL(9,I3:I7)</f>
        <v>0</v>
      </c>
      <c r="L8" s="122"/>
    </row>
    <row r="12" spans="1:22" x14ac:dyDescent="0.25">
      <c r="I12" s="149"/>
    </row>
  </sheetData>
  <autoFilter ref="A2:Q7" xr:uid="{00000000-0009-0000-0000-00003D000000}">
    <filterColumn colId="10">
      <filters blank="1"/>
    </filterColumn>
    <filterColumn colId="13" showButton="0"/>
    <filterColumn colId="14" showButton="0"/>
    <filterColumn colId="15" showButton="0"/>
  </autoFilter>
  <mergeCells count="1">
    <mergeCell ref="N2: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27041" r:id="rId3" name="Button 1">
              <controlPr defaultSize="0" print="0" autoFill="0" autoPict="0" macro="[0]!RETORNAR">
                <anchor moveWithCells="1" sizeWithCells="1">
                  <from>
                    <xdr:col>0</xdr:col>
                    <xdr:colOff>9525</xdr:colOff>
                    <xdr:row>0</xdr:row>
                    <xdr:rowOff>38100</xdr:rowOff>
                  </from>
                  <to>
                    <xdr:col>1</xdr:col>
                    <xdr:colOff>1066800</xdr:colOff>
                    <xdr:row>0</xdr:row>
                    <xdr:rowOff>276225</xdr:rowOff>
                  </to>
                </anchor>
              </controlPr>
            </control>
          </mc:Choice>
        </mc:AlternateContent>
        <mc:AlternateContent xmlns:mc="http://schemas.openxmlformats.org/markup-compatibility/2006">
          <mc:Choice Requires="x14">
            <control shapeId="727046" r:id="rId4" name="Botón 6">
              <controlPr defaultSize="0" print="0" autoFill="0" autoPict="0" macro="[0]!IR_VENTAS_B200_2026">
                <anchor moveWithCells="1" sizeWithCells="1">
                  <from>
                    <xdr:col>0</xdr:col>
                    <xdr:colOff>676275</xdr:colOff>
                    <xdr:row>9</xdr:row>
                    <xdr:rowOff>85725</xdr:rowOff>
                  </from>
                  <to>
                    <xdr:col>1</xdr:col>
                    <xdr:colOff>1219200</xdr:colOff>
                    <xdr:row>12</xdr:row>
                    <xdr:rowOff>114300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Hoja66" filterMode="1"/>
  <dimension ref="A1:X46"/>
  <sheetViews>
    <sheetView workbookViewId="0">
      <selection activeCell="H32" sqref="H32:H33"/>
    </sheetView>
  </sheetViews>
  <sheetFormatPr baseColWidth="10" defaultColWidth="10.85546875" defaultRowHeight="15" x14ac:dyDescent="0.25"/>
  <cols>
    <col min="2" max="2" width="19.140625" customWidth="1"/>
    <col min="3" max="3" width="9.42578125" customWidth="1"/>
    <col min="5" max="5" width="5.28515625" customWidth="1"/>
    <col min="6" max="6" width="10.85546875" style="28"/>
    <col min="7" max="7" width="42.5703125" customWidth="1"/>
    <col min="9" max="9" width="15.42578125" customWidth="1"/>
    <col min="10" max="10" width="12" bestFit="1" customWidth="1"/>
    <col min="16" max="16" width="12" bestFit="1" customWidth="1"/>
  </cols>
  <sheetData>
    <row r="1" spans="1:22" ht="25.5" customHeight="1" x14ac:dyDescent="0.25"/>
    <row r="2" spans="1:22" x14ac:dyDescent="0.25">
      <c r="A2" t="s">
        <v>706</v>
      </c>
      <c r="B2" s="1" t="s">
        <v>0</v>
      </c>
      <c r="C2" s="1" t="s">
        <v>1</v>
      </c>
      <c r="D2" s="1" t="s">
        <v>2</v>
      </c>
      <c r="E2" s="1"/>
      <c r="F2" s="25" t="s">
        <v>3</v>
      </c>
      <c r="G2" s="1" t="s">
        <v>4</v>
      </c>
      <c r="H2" s="1" t="s">
        <v>5</v>
      </c>
      <c r="I2" s="1" t="s">
        <v>6</v>
      </c>
      <c r="J2" s="1" t="s">
        <v>1780</v>
      </c>
      <c r="K2" s="1" t="s">
        <v>8</v>
      </c>
      <c r="L2" s="1" t="s">
        <v>3997</v>
      </c>
      <c r="M2" s="1" t="s">
        <v>10</v>
      </c>
      <c r="N2" s="1480" t="s">
        <v>11</v>
      </c>
      <c r="O2" s="1480"/>
      <c r="P2" s="1480"/>
      <c r="Q2" s="1480"/>
    </row>
    <row r="3" spans="1:22" hidden="1" x14ac:dyDescent="0.25">
      <c r="A3" s="256">
        <v>16092023</v>
      </c>
      <c r="B3" t="s">
        <v>2938</v>
      </c>
      <c r="C3" t="s">
        <v>13</v>
      </c>
      <c r="D3" s="359">
        <v>45185</v>
      </c>
      <c r="F3" s="28" t="s">
        <v>113</v>
      </c>
      <c r="G3" s="30" t="s">
        <v>3038</v>
      </c>
      <c r="H3" t="s">
        <v>3039</v>
      </c>
      <c r="I3" s="313">
        <v>38055</v>
      </c>
      <c r="J3" s="313">
        <f t="shared" ref="J3:J22" si="0">+I3*0.88</f>
        <v>33488.400000000001</v>
      </c>
      <c r="K3" t="s">
        <v>17</v>
      </c>
      <c r="L3" s="359">
        <v>45208</v>
      </c>
      <c r="T3" s="14" t="s">
        <v>916</v>
      </c>
      <c r="U3" s="14">
        <v>0.3840277777777778</v>
      </c>
      <c r="V3" s="14">
        <v>0.56805555555555554</v>
      </c>
    </row>
    <row r="4" spans="1:22" s="30" customFormat="1" hidden="1" x14ac:dyDescent="0.25">
      <c r="A4" s="256">
        <v>28092023</v>
      </c>
      <c r="B4" s="30" t="s">
        <v>2956</v>
      </c>
      <c r="C4" s="30" t="s">
        <v>410</v>
      </c>
      <c r="D4" s="359">
        <v>45197</v>
      </c>
      <c r="F4" s="28" t="s">
        <v>113</v>
      </c>
      <c r="G4" s="30" t="s">
        <v>3009</v>
      </c>
      <c r="H4" s="30" t="s">
        <v>3040</v>
      </c>
      <c r="I4" s="236">
        <v>38055</v>
      </c>
      <c r="J4" s="313">
        <f t="shared" si="0"/>
        <v>33488.400000000001</v>
      </c>
      <c r="K4" s="30" t="s">
        <v>17</v>
      </c>
      <c r="L4" s="359">
        <v>45212</v>
      </c>
      <c r="T4" s="360" t="s">
        <v>916</v>
      </c>
      <c r="U4" s="360">
        <v>0.4145833333333333</v>
      </c>
      <c r="V4" s="360">
        <v>0.56597222222222221</v>
      </c>
    </row>
    <row r="5" spans="1:22" hidden="1" x14ac:dyDescent="0.25">
      <c r="A5" s="256">
        <v>25102023</v>
      </c>
      <c r="B5" t="s">
        <v>2938</v>
      </c>
      <c r="C5" t="s">
        <v>410</v>
      </c>
      <c r="D5" s="359">
        <v>45224</v>
      </c>
      <c r="F5" s="28" t="s">
        <v>113</v>
      </c>
      <c r="G5" s="30" t="s">
        <v>3121</v>
      </c>
      <c r="H5" s="30" t="s">
        <v>3123</v>
      </c>
      <c r="I5" s="236">
        <v>38055</v>
      </c>
      <c r="J5" s="313">
        <f t="shared" si="0"/>
        <v>33488.400000000001</v>
      </c>
      <c r="K5" s="30" t="s">
        <v>17</v>
      </c>
      <c r="L5" s="359">
        <v>45245</v>
      </c>
      <c r="T5" s="14" t="s">
        <v>916</v>
      </c>
      <c r="U5" s="14">
        <v>0.47569444444444442</v>
      </c>
      <c r="V5" s="14">
        <v>0.63124999999999998</v>
      </c>
    </row>
    <row r="6" spans="1:22" hidden="1" x14ac:dyDescent="0.25">
      <c r="A6" s="483">
        <v>27052024</v>
      </c>
      <c r="B6" t="s">
        <v>4251</v>
      </c>
      <c r="C6" s="28" t="s">
        <v>13</v>
      </c>
      <c r="D6" s="233">
        <v>45439</v>
      </c>
      <c r="F6" s="28" t="s">
        <v>4200</v>
      </c>
      <c r="G6" s="30" t="s">
        <v>4359</v>
      </c>
      <c r="H6" s="30" t="s">
        <v>4358</v>
      </c>
      <c r="I6" s="236">
        <v>40710</v>
      </c>
      <c r="J6" s="313">
        <f t="shared" si="0"/>
        <v>35824.800000000003</v>
      </c>
      <c r="K6" t="s">
        <v>17</v>
      </c>
      <c r="L6" s="233">
        <v>45463</v>
      </c>
      <c r="T6" s="14" t="s">
        <v>4139</v>
      </c>
      <c r="U6" s="360"/>
      <c r="V6" s="360"/>
    </row>
    <row r="7" spans="1:22" hidden="1" x14ac:dyDescent="0.25">
      <c r="A7" s="483">
        <v>31052024</v>
      </c>
      <c r="B7" t="s">
        <v>4251</v>
      </c>
      <c r="C7" s="28" t="s">
        <v>410</v>
      </c>
      <c r="D7" s="233">
        <v>45443</v>
      </c>
      <c r="F7" s="28" t="s">
        <v>4200</v>
      </c>
      <c r="G7" s="30" t="s">
        <v>4360</v>
      </c>
      <c r="H7" s="30" t="s">
        <v>4361</v>
      </c>
      <c r="I7" s="236">
        <v>40710</v>
      </c>
      <c r="J7" s="313">
        <f t="shared" si="0"/>
        <v>35824.800000000003</v>
      </c>
      <c r="K7" t="s">
        <v>17</v>
      </c>
      <c r="L7" s="233">
        <v>45467</v>
      </c>
      <c r="T7" s="14" t="s">
        <v>1644</v>
      </c>
      <c r="U7" s="360">
        <v>0.44861111111111113</v>
      </c>
      <c r="V7" s="360">
        <v>0.6972222222222223</v>
      </c>
    </row>
    <row r="8" spans="1:22" ht="30" hidden="1" x14ac:dyDescent="0.25">
      <c r="A8" s="483" t="s">
        <v>5077</v>
      </c>
      <c r="B8" t="s">
        <v>2912</v>
      </c>
      <c r="C8" s="233" t="s">
        <v>4218</v>
      </c>
      <c r="D8" s="233">
        <v>45603</v>
      </c>
      <c r="E8" s="28"/>
      <c r="F8" s="28" t="s">
        <v>4200</v>
      </c>
      <c r="G8" s="73" t="s">
        <v>5079</v>
      </c>
      <c r="H8" s="30" t="s">
        <v>5085</v>
      </c>
      <c r="I8" s="88">
        <v>40710</v>
      </c>
      <c r="J8" s="313">
        <f t="shared" si="0"/>
        <v>35824.800000000003</v>
      </c>
      <c r="K8" t="s">
        <v>17</v>
      </c>
      <c r="L8" s="233">
        <v>45622</v>
      </c>
      <c r="T8" t="s">
        <v>5078</v>
      </c>
      <c r="U8" s="360"/>
      <c r="V8" s="360"/>
    </row>
    <row r="9" spans="1:22" hidden="1" x14ac:dyDescent="0.25">
      <c r="A9" s="483">
        <v>12122024</v>
      </c>
      <c r="B9" t="s">
        <v>5325</v>
      </c>
      <c r="C9" s="233" t="s">
        <v>4218</v>
      </c>
      <c r="D9" s="233">
        <v>45638</v>
      </c>
      <c r="E9" s="28"/>
      <c r="F9" s="30" t="s">
        <v>4200</v>
      </c>
      <c r="G9" t="s">
        <v>5327</v>
      </c>
      <c r="H9" t="s">
        <v>5328</v>
      </c>
      <c r="I9" s="88">
        <v>41100</v>
      </c>
      <c r="J9" s="313">
        <f t="shared" si="0"/>
        <v>36168</v>
      </c>
      <c r="K9" t="s">
        <v>17</v>
      </c>
      <c r="L9" s="233">
        <v>45660</v>
      </c>
      <c r="T9" t="s">
        <v>2050</v>
      </c>
      <c r="U9" s="360">
        <v>0.36041666666666666</v>
      </c>
      <c r="V9" s="360"/>
    </row>
    <row r="10" spans="1:22" hidden="1" x14ac:dyDescent="0.25">
      <c r="A10" s="495">
        <v>18032025</v>
      </c>
      <c r="B10" s="5" t="s">
        <v>2912</v>
      </c>
      <c r="C10" s="28" t="s">
        <v>410</v>
      </c>
      <c r="D10" s="233">
        <v>45734</v>
      </c>
      <c r="E10" s="28"/>
      <c r="F10" s="28" t="s">
        <v>113</v>
      </c>
      <c r="G10" t="s">
        <v>5894</v>
      </c>
      <c r="H10" s="28" t="s">
        <v>6058</v>
      </c>
      <c r="I10" s="798">
        <v>39100</v>
      </c>
      <c r="J10" s="313">
        <f t="shared" si="0"/>
        <v>34408</v>
      </c>
      <c r="K10" t="s">
        <v>17</v>
      </c>
      <c r="L10" s="233">
        <v>45763</v>
      </c>
      <c r="T10" t="s">
        <v>4140</v>
      </c>
      <c r="U10" s="360">
        <v>0.42222222222222222</v>
      </c>
      <c r="V10" s="360">
        <v>0.61041666666666672</v>
      </c>
    </row>
    <row r="11" spans="1:22" hidden="1" x14ac:dyDescent="0.25">
      <c r="A11" s="483" t="s">
        <v>6450</v>
      </c>
      <c r="B11" t="s">
        <v>2938</v>
      </c>
      <c r="C11" s="28" t="s">
        <v>660</v>
      </c>
      <c r="D11" s="233">
        <v>45826</v>
      </c>
      <c r="E11" s="28"/>
      <c r="F11" s="28" t="s">
        <v>113</v>
      </c>
      <c r="G11" t="s">
        <v>6474</v>
      </c>
      <c r="H11" s="28" t="s">
        <v>6495</v>
      </c>
      <c r="I11" s="798">
        <v>38565</v>
      </c>
      <c r="J11" s="313">
        <f t="shared" si="0"/>
        <v>33937.199999999997</v>
      </c>
      <c r="K11" t="s">
        <v>17</v>
      </c>
      <c r="L11" s="233">
        <v>45848</v>
      </c>
      <c r="T11" t="s">
        <v>4867</v>
      </c>
      <c r="U11" s="360">
        <v>0.37708333333333338</v>
      </c>
      <c r="V11" s="30"/>
    </row>
    <row r="12" spans="1:22" hidden="1" x14ac:dyDescent="0.25">
      <c r="A12" s="483">
        <v>24062025</v>
      </c>
      <c r="B12" t="s">
        <v>2956</v>
      </c>
      <c r="C12" s="28" t="s">
        <v>278</v>
      </c>
      <c r="D12" s="233">
        <v>45832</v>
      </c>
      <c r="E12" s="28"/>
      <c r="F12" s="28" t="s">
        <v>113</v>
      </c>
      <c r="G12" t="s">
        <v>6497</v>
      </c>
      <c r="H12" s="28" t="s">
        <v>6498</v>
      </c>
      <c r="I12" s="798">
        <v>38565</v>
      </c>
      <c r="J12" s="313">
        <f t="shared" si="0"/>
        <v>33937.199999999997</v>
      </c>
      <c r="K12" t="s">
        <v>17</v>
      </c>
      <c r="L12" s="233">
        <v>45848</v>
      </c>
      <c r="T12" t="s">
        <v>4297</v>
      </c>
      <c r="U12" s="360">
        <v>0.39652777777777781</v>
      </c>
      <c r="V12" s="30"/>
    </row>
    <row r="13" spans="1:22" hidden="1" x14ac:dyDescent="0.25">
      <c r="A13" s="483">
        <v>29062025</v>
      </c>
      <c r="B13" t="s">
        <v>2938</v>
      </c>
      <c r="C13" s="28" t="s">
        <v>278</v>
      </c>
      <c r="D13" s="233">
        <v>45837</v>
      </c>
      <c r="E13" s="28"/>
      <c r="F13" s="28" t="s">
        <v>113</v>
      </c>
      <c r="G13" t="s">
        <v>6581</v>
      </c>
      <c r="H13" s="28" t="s">
        <v>6582</v>
      </c>
      <c r="I13" s="798">
        <v>39604</v>
      </c>
      <c r="J13" s="313">
        <f t="shared" si="0"/>
        <v>34851.519999999997</v>
      </c>
      <c r="K13" t="s">
        <v>17</v>
      </c>
      <c r="L13" s="233">
        <v>45854</v>
      </c>
      <c r="T13" t="s">
        <v>6294</v>
      </c>
      <c r="U13" s="360">
        <v>0.35000000000000003</v>
      </c>
      <c r="V13" s="360">
        <v>0.4993055555555555</v>
      </c>
    </row>
    <row r="14" spans="1:22" hidden="1" x14ac:dyDescent="0.25">
      <c r="A14" s="483" t="s">
        <v>6575</v>
      </c>
      <c r="B14" t="s">
        <v>2938</v>
      </c>
      <c r="C14" s="28" t="s">
        <v>660</v>
      </c>
      <c r="D14" s="233">
        <v>45848</v>
      </c>
      <c r="E14" s="28"/>
      <c r="F14" s="28" t="s">
        <v>113</v>
      </c>
      <c r="G14" t="s">
        <v>6603</v>
      </c>
      <c r="H14" s="28" t="s">
        <v>6656</v>
      </c>
      <c r="I14" s="798">
        <v>38565</v>
      </c>
      <c r="J14" s="313">
        <f t="shared" si="0"/>
        <v>33937.199999999997</v>
      </c>
      <c r="K14" s="971" t="s">
        <v>17</v>
      </c>
      <c r="L14" s="233">
        <v>45880</v>
      </c>
      <c r="T14" t="s">
        <v>6419</v>
      </c>
      <c r="U14" s="360">
        <v>0.3611111111111111</v>
      </c>
      <c r="V14" s="30"/>
    </row>
    <row r="15" spans="1:22" hidden="1" x14ac:dyDescent="0.25">
      <c r="A15" s="483" t="s">
        <v>6607</v>
      </c>
      <c r="B15" t="s">
        <v>2938</v>
      </c>
      <c r="C15" s="28" t="s">
        <v>4437</v>
      </c>
      <c r="D15" s="233">
        <v>45855</v>
      </c>
      <c r="E15" s="28"/>
      <c r="F15" s="28" t="s">
        <v>113</v>
      </c>
      <c r="G15" t="s">
        <v>6657</v>
      </c>
      <c r="H15" s="28" t="s">
        <v>6690</v>
      </c>
      <c r="I15" s="798">
        <v>38565</v>
      </c>
      <c r="J15" s="313">
        <f t="shared" si="0"/>
        <v>33937.199999999997</v>
      </c>
      <c r="K15" t="s">
        <v>17</v>
      </c>
      <c r="L15" s="233">
        <v>45883</v>
      </c>
      <c r="T15" t="s">
        <v>4139</v>
      </c>
      <c r="U15" s="360"/>
      <c r="V15" s="360"/>
    </row>
    <row r="16" spans="1:22" hidden="1" x14ac:dyDescent="0.25">
      <c r="A16" s="483">
        <v>22082025</v>
      </c>
      <c r="B16" t="s">
        <v>2938</v>
      </c>
      <c r="C16" s="28"/>
      <c r="D16" s="233">
        <v>45891</v>
      </c>
      <c r="E16" s="28"/>
      <c r="F16" s="1087" t="s">
        <v>113</v>
      </c>
      <c r="G16" s="1067" t="s">
        <v>6879</v>
      </c>
      <c r="H16" s="28" t="s">
        <v>6880</v>
      </c>
      <c r="I16" s="798">
        <v>38565</v>
      </c>
      <c r="J16" s="313">
        <f t="shared" si="0"/>
        <v>33937.199999999997</v>
      </c>
      <c r="K16" t="s">
        <v>17</v>
      </c>
      <c r="L16" s="233">
        <v>45933</v>
      </c>
      <c r="M16" s="32"/>
      <c r="T16" t="s">
        <v>4867</v>
      </c>
      <c r="U16" s="360">
        <v>0.55347222222222225</v>
      </c>
    </row>
    <row r="17" spans="1:24" hidden="1" x14ac:dyDescent="0.25">
      <c r="A17" s="483" t="s">
        <v>6891</v>
      </c>
      <c r="B17" t="s">
        <v>2938</v>
      </c>
      <c r="C17" s="28" t="s">
        <v>13</v>
      </c>
      <c r="D17" s="233">
        <v>45909</v>
      </c>
      <c r="E17" s="28"/>
      <c r="F17" s="28" t="s">
        <v>143</v>
      </c>
      <c r="G17" s="1067" t="s">
        <v>6943</v>
      </c>
      <c r="H17" s="28" t="s">
        <v>7014</v>
      </c>
      <c r="I17" s="1143">
        <v>36675</v>
      </c>
      <c r="J17" s="313">
        <f t="shared" si="0"/>
        <v>32274</v>
      </c>
      <c r="K17" t="s">
        <v>17</v>
      </c>
      <c r="L17" s="1005">
        <v>45957</v>
      </c>
      <c r="M17" s="32"/>
      <c r="U17" s="360"/>
      <c r="V17" s="360"/>
    </row>
    <row r="18" spans="1:24" hidden="1" x14ac:dyDescent="0.25">
      <c r="A18" s="483" t="s">
        <v>6962</v>
      </c>
      <c r="B18" t="s">
        <v>2938</v>
      </c>
      <c r="C18" s="28" t="s">
        <v>410</v>
      </c>
      <c r="D18" s="233">
        <v>45918</v>
      </c>
      <c r="E18" s="28"/>
      <c r="F18" s="28" t="s">
        <v>143</v>
      </c>
      <c r="G18" s="1067" t="s">
        <v>7010</v>
      </c>
      <c r="H18" s="28" t="s">
        <v>7011</v>
      </c>
      <c r="I18" s="1143">
        <v>36675</v>
      </c>
      <c r="J18" s="313">
        <f t="shared" si="0"/>
        <v>32274</v>
      </c>
      <c r="K18" t="s">
        <v>17</v>
      </c>
      <c r="L18" s="1005">
        <v>45957</v>
      </c>
      <c r="M18" s="32"/>
      <c r="T18" t="s">
        <v>6150</v>
      </c>
      <c r="U18" s="360"/>
      <c r="V18" s="360"/>
    </row>
    <row r="19" spans="1:24" hidden="1" x14ac:dyDescent="0.25">
      <c r="A19" s="483">
        <v>19092025</v>
      </c>
      <c r="B19" t="s">
        <v>2938</v>
      </c>
      <c r="C19" s="28" t="s">
        <v>410</v>
      </c>
      <c r="D19" s="233">
        <v>45919</v>
      </c>
      <c r="E19" s="28"/>
      <c r="F19" s="28" t="s">
        <v>143</v>
      </c>
      <c r="G19" s="1067" t="s">
        <v>7012</v>
      </c>
      <c r="H19" s="28" t="s">
        <v>7013</v>
      </c>
      <c r="I19" s="313">
        <v>36675</v>
      </c>
      <c r="J19" s="313">
        <f t="shared" si="0"/>
        <v>32274</v>
      </c>
      <c r="K19" t="s">
        <v>17</v>
      </c>
      <c r="L19" s="233">
        <v>45958</v>
      </c>
      <c r="M19" s="88"/>
      <c r="T19" t="s">
        <v>6067</v>
      </c>
      <c r="U19" s="360">
        <v>0.21180555555555555</v>
      </c>
      <c r="V19" s="360">
        <v>0.37638888888888888</v>
      </c>
    </row>
    <row r="20" spans="1:24" s="19" customFormat="1" hidden="1" x14ac:dyDescent="0.25">
      <c r="A20" s="690" t="s">
        <v>7024</v>
      </c>
      <c r="B20" s="19" t="s">
        <v>2938</v>
      </c>
      <c r="C20" s="472" t="s">
        <v>13</v>
      </c>
      <c r="D20" s="691">
        <v>45929</v>
      </c>
      <c r="E20" s="472"/>
      <c r="F20" s="472" t="s">
        <v>143</v>
      </c>
      <c r="G20" s="1084" t="s">
        <v>7093</v>
      </c>
      <c r="H20" s="19" t="s">
        <v>7094</v>
      </c>
      <c r="I20" s="1101">
        <v>38265</v>
      </c>
      <c r="J20" s="1101">
        <f t="shared" si="0"/>
        <v>33673.199999999997</v>
      </c>
      <c r="K20" t="s">
        <v>17</v>
      </c>
      <c r="L20" s="233">
        <v>45960</v>
      </c>
      <c r="M20" s="140"/>
      <c r="T20" s="19" t="s">
        <v>6503</v>
      </c>
      <c r="U20" s="693">
        <v>0.17986111111111111</v>
      </c>
      <c r="V20" s="693">
        <v>0.3888888888888889</v>
      </c>
    </row>
    <row r="21" spans="1:24" s="1150" customFormat="1" hidden="1" x14ac:dyDescent="0.25">
      <c r="A21" s="1149" t="s">
        <v>7062</v>
      </c>
      <c r="B21" s="1150" t="s">
        <v>7063</v>
      </c>
      <c r="C21" s="1151" t="s">
        <v>13</v>
      </c>
      <c r="D21" s="1152">
        <v>45934</v>
      </c>
      <c r="E21" s="1151"/>
      <c r="F21" s="1151" t="s">
        <v>143</v>
      </c>
      <c r="G21" s="1162" t="s">
        <v>7169</v>
      </c>
      <c r="H21" s="1151" t="s">
        <v>7170</v>
      </c>
      <c r="I21" s="1163">
        <v>36675</v>
      </c>
      <c r="J21" s="1163">
        <f t="shared" si="0"/>
        <v>32274</v>
      </c>
      <c r="K21" s="1150" t="s">
        <v>17</v>
      </c>
      <c r="L21" s="1152">
        <v>45978</v>
      </c>
      <c r="M21" s="1161"/>
      <c r="T21" s="1150" t="s">
        <v>6952</v>
      </c>
      <c r="U21" s="1154">
        <v>0.70416666666666672</v>
      </c>
      <c r="V21" s="1154">
        <v>0.8833333333333333</v>
      </c>
    </row>
    <row r="22" spans="1:24" hidden="1" x14ac:dyDescent="0.25">
      <c r="A22" s="483">
        <v>14102025</v>
      </c>
      <c r="B22" t="s">
        <v>7063</v>
      </c>
      <c r="C22" s="28" t="s">
        <v>4218</v>
      </c>
      <c r="D22" s="233">
        <v>45944</v>
      </c>
      <c r="E22" s="28"/>
      <c r="F22" s="28" t="s">
        <v>143</v>
      </c>
      <c r="G22" s="1067" t="s">
        <v>7168</v>
      </c>
      <c r="H22" s="28" t="s">
        <v>7167</v>
      </c>
      <c r="I22" s="313">
        <v>36675</v>
      </c>
      <c r="J22" s="313">
        <f t="shared" si="0"/>
        <v>32274</v>
      </c>
      <c r="K22" t="s">
        <v>17</v>
      </c>
      <c r="L22" s="233">
        <v>45978</v>
      </c>
      <c r="M22" s="88"/>
      <c r="T22" t="s">
        <v>7092</v>
      </c>
      <c r="U22" s="360">
        <v>0.20416666666666669</v>
      </c>
      <c r="V22" s="360">
        <v>0.38541666666666669</v>
      </c>
    </row>
    <row r="23" spans="1:24" ht="15" hidden="1" customHeight="1" x14ac:dyDescent="0.25">
      <c r="A23" s="483" t="s">
        <v>7624</v>
      </c>
      <c r="B23" t="s">
        <v>7063</v>
      </c>
      <c r="C23" s="28" t="s">
        <v>4218</v>
      </c>
      <c r="D23" s="233">
        <v>46056</v>
      </c>
      <c r="E23" s="28"/>
      <c r="F23" s="28" t="s">
        <v>4200</v>
      </c>
      <c r="G23" s="1067" t="s">
        <v>7675</v>
      </c>
      <c r="H23" s="28" t="s">
        <v>7660</v>
      </c>
      <c r="I23" s="313">
        <v>40170</v>
      </c>
      <c r="J23" s="3">
        <f>+I23-ROUND(I23*0.12,0)</f>
        <v>35350</v>
      </c>
      <c r="K23" t="s">
        <v>17</v>
      </c>
      <c r="L23" s="233">
        <v>46128</v>
      </c>
      <c r="M23" s="88"/>
      <c r="T23" t="s">
        <v>4140</v>
      </c>
      <c r="U23" s="360">
        <v>0.38472222222222219</v>
      </c>
      <c r="V23" s="360"/>
    </row>
    <row r="24" spans="1:24" hidden="1" x14ac:dyDescent="0.25">
      <c r="A24" s="483" t="s">
        <v>7647</v>
      </c>
      <c r="B24" t="s">
        <v>7063</v>
      </c>
      <c r="C24" s="28" t="s">
        <v>410</v>
      </c>
      <c r="D24" s="233">
        <v>46065</v>
      </c>
      <c r="E24" s="28"/>
      <c r="F24" s="28" t="s">
        <v>4200</v>
      </c>
      <c r="G24" s="1067" t="s">
        <v>7676</v>
      </c>
      <c r="H24" s="28" t="s">
        <v>7731</v>
      </c>
      <c r="I24" s="313">
        <v>40170</v>
      </c>
      <c r="J24" s="3">
        <f>+I24-ROUND(I24*0.12,0)</f>
        <v>35350</v>
      </c>
      <c r="K24" t="s">
        <v>17</v>
      </c>
      <c r="L24" s="233">
        <v>46128</v>
      </c>
      <c r="M24" s="88"/>
      <c r="T24" t="s">
        <v>4297</v>
      </c>
      <c r="U24" s="360">
        <v>0.41875000000000001</v>
      </c>
      <c r="V24" s="360"/>
    </row>
    <row r="25" spans="1:24" hidden="1" x14ac:dyDescent="0.25">
      <c r="A25" s="483">
        <v>18022026</v>
      </c>
      <c r="B25" t="s">
        <v>7063</v>
      </c>
      <c r="C25" s="28" t="s">
        <v>410</v>
      </c>
      <c r="D25" s="233">
        <v>46071</v>
      </c>
      <c r="E25" s="28"/>
      <c r="F25" s="28" t="s">
        <v>4200</v>
      </c>
      <c r="G25" s="1067" t="s">
        <v>7756</v>
      </c>
      <c r="H25" s="28" t="s">
        <v>7849</v>
      </c>
      <c r="I25" s="915">
        <v>40170</v>
      </c>
      <c r="J25" s="3">
        <f>+I25-ROUND(I25*0.12,0)</f>
        <v>35350</v>
      </c>
      <c r="K25" t="s">
        <v>17</v>
      </c>
      <c r="L25" s="233">
        <v>46129</v>
      </c>
      <c r="M25" s="88"/>
      <c r="T25" t="s">
        <v>5131</v>
      </c>
      <c r="U25" s="360">
        <v>0.3430555555555555</v>
      </c>
      <c r="V25" s="360"/>
    </row>
    <row r="26" spans="1:24" x14ac:dyDescent="0.25">
      <c r="A26" s="256"/>
      <c r="D26" s="122"/>
      <c r="G26" s="30"/>
      <c r="H26" s="30"/>
      <c r="I26" s="160"/>
      <c r="L26" s="122"/>
      <c r="U26" s="14"/>
      <c r="V26" s="14"/>
    </row>
    <row r="27" spans="1:24" ht="15.75" thickBot="1" x14ac:dyDescent="0.3">
      <c r="A27" s="116"/>
      <c r="B27" s="169"/>
      <c r="C27" s="21"/>
      <c r="D27" s="123"/>
      <c r="E27" s="88"/>
      <c r="F27" s="177"/>
      <c r="G27" s="21"/>
      <c r="I27" s="160"/>
      <c r="J27" s="160"/>
      <c r="K27" s="160"/>
      <c r="L27" s="122"/>
      <c r="O27" s="163"/>
      <c r="P27" s="157"/>
      <c r="Q27" s="157"/>
    </row>
    <row r="28" spans="1:24" ht="15.75" thickBot="1" x14ac:dyDescent="0.3">
      <c r="H28" s="732" t="s">
        <v>4480</v>
      </c>
      <c r="I28" s="560">
        <f>SUBTOTAL(9,I3:I27)</f>
        <v>0</v>
      </c>
      <c r="L28" s="122"/>
    </row>
    <row r="29" spans="1:24" ht="15.75" thickBot="1" x14ac:dyDescent="0.3"/>
    <row r="30" spans="1:24" ht="15.75" thickBot="1" x14ac:dyDescent="0.3">
      <c r="A30" s="1481" t="s">
        <v>8350</v>
      </c>
      <c r="B30" s="1482"/>
      <c r="C30" s="1482"/>
      <c r="D30" s="1482"/>
      <c r="E30" s="1482"/>
      <c r="F30" s="1482"/>
      <c r="G30" s="1482"/>
      <c r="H30" s="1482"/>
      <c r="I30" s="1483"/>
      <c r="J30" s="88"/>
      <c r="K30" s="88"/>
    </row>
    <row r="31" spans="1:24" s="28" customFormat="1" x14ac:dyDescent="0.25">
      <c r="A31" s="28" t="s">
        <v>706</v>
      </c>
      <c r="B31" s="25" t="s">
        <v>0</v>
      </c>
      <c r="C31" s="25" t="s">
        <v>1</v>
      </c>
      <c r="D31" s="25" t="s">
        <v>2</v>
      </c>
      <c r="E31" s="25"/>
      <c r="F31" s="25" t="s">
        <v>3</v>
      </c>
      <c r="G31" s="25" t="s">
        <v>4</v>
      </c>
      <c r="H31" s="25" t="s">
        <v>5</v>
      </c>
      <c r="I31" s="25" t="s">
        <v>6</v>
      </c>
      <c r="J31" s="60" t="s">
        <v>1780</v>
      </c>
      <c r="K31" s="60" t="s">
        <v>8</v>
      </c>
      <c r="L31" s="25" t="s">
        <v>3997</v>
      </c>
      <c r="M31" s="25" t="s">
        <v>81</v>
      </c>
      <c r="N31" s="1480" t="s">
        <v>11</v>
      </c>
      <c r="O31" s="1480"/>
      <c r="P31" s="1480"/>
      <c r="Q31" s="1480"/>
    </row>
    <row r="32" spans="1:24" hidden="1" x14ac:dyDescent="0.25">
      <c r="A32" s="1448" t="s">
        <v>8482</v>
      </c>
      <c r="B32" t="s">
        <v>2938</v>
      </c>
      <c r="C32" s="31" t="s">
        <v>13</v>
      </c>
      <c r="D32" s="233">
        <v>46251</v>
      </c>
      <c r="E32" s="28"/>
      <c r="F32" s="313" t="s">
        <v>113</v>
      </c>
      <c r="G32" s="88" t="s">
        <v>8567</v>
      </c>
      <c r="H32" t="s">
        <v>8676</v>
      </c>
      <c r="I32" s="915">
        <v>42610</v>
      </c>
      <c r="J32" s="3">
        <f>+I32-ROUND(I32*0.12,0)</f>
        <v>37497</v>
      </c>
      <c r="K32" t="s">
        <v>17</v>
      </c>
      <c r="L32" s="1479">
        <v>46283</v>
      </c>
      <c r="N32" s="3">
        <f>+J32</f>
        <v>37497</v>
      </c>
      <c r="O32" s="88">
        <f>435194*10%/5</f>
        <v>8703.880000000001</v>
      </c>
      <c r="P32" s="158">
        <f>+N32-O32</f>
        <v>28793.119999999999</v>
      </c>
      <c r="V32" t="s">
        <v>8478</v>
      </c>
      <c r="W32" s="360">
        <v>0.43263888888888885</v>
      </c>
      <c r="X32" s="30"/>
    </row>
    <row r="33" spans="1:24" hidden="1" x14ac:dyDescent="0.25">
      <c r="A33" s="1448" t="s">
        <v>8508</v>
      </c>
      <c r="B33" s="21" t="s">
        <v>4251</v>
      </c>
      <c r="C33" s="31" t="s">
        <v>410</v>
      </c>
      <c r="D33" s="233">
        <v>46255</v>
      </c>
      <c r="E33" s="28"/>
      <c r="F33" s="313" t="s">
        <v>143</v>
      </c>
      <c r="G33" s="88" t="s">
        <v>8568</v>
      </c>
      <c r="H33" t="s">
        <v>8601</v>
      </c>
      <c r="I33" s="915">
        <v>41600</v>
      </c>
      <c r="J33" s="3">
        <f>+I33-ROUND(I33*0.12,0)</f>
        <v>36608</v>
      </c>
      <c r="K33" t="s">
        <v>17</v>
      </c>
      <c r="L33" s="1479">
        <v>46283</v>
      </c>
      <c r="N33" s="3">
        <f>+J33</f>
        <v>36608</v>
      </c>
      <c r="O33" s="88">
        <f>435194*10%/5</f>
        <v>8703.880000000001</v>
      </c>
      <c r="P33" s="158">
        <f>+N33-O33</f>
        <v>27904.12</v>
      </c>
      <c r="V33" t="s">
        <v>4983</v>
      </c>
      <c r="W33" s="360">
        <v>0.13125000000000001</v>
      </c>
      <c r="X33" s="360">
        <v>0.32013888888888892</v>
      </c>
    </row>
    <row r="34" spans="1:24" x14ac:dyDescent="0.25">
      <c r="A34" s="483">
        <v>20092026</v>
      </c>
      <c r="B34" s="21" t="s">
        <v>4251</v>
      </c>
      <c r="C34" s="28" t="s">
        <v>13</v>
      </c>
      <c r="D34" s="233">
        <v>46285</v>
      </c>
      <c r="E34" s="28"/>
      <c r="F34" s="313" t="s">
        <v>143</v>
      </c>
      <c r="G34" s="88" t="s">
        <v>8648</v>
      </c>
      <c r="H34" s="28"/>
      <c r="I34" s="798">
        <v>41600</v>
      </c>
      <c r="J34" s="3">
        <f>+I34-ROUND(I34*0.12,0)</f>
        <v>36608</v>
      </c>
      <c r="K34" s="1293"/>
      <c r="L34" s="233"/>
      <c r="N34" s="3">
        <f t="shared" ref="N34:N36" si="1">+J34</f>
        <v>36608</v>
      </c>
      <c r="O34" s="88">
        <f t="shared" ref="O34:O36" si="2">435194*10%/5</f>
        <v>8703.880000000001</v>
      </c>
      <c r="P34" s="158">
        <f t="shared" ref="P34:P36" si="3">+N34-O34</f>
        <v>27904.12</v>
      </c>
      <c r="W34" s="360"/>
      <c r="X34" s="360"/>
    </row>
    <row r="35" spans="1:24" x14ac:dyDescent="0.25">
      <c r="A35" s="483"/>
      <c r="C35" s="31"/>
      <c r="D35" s="233"/>
      <c r="E35" s="28"/>
      <c r="G35" s="88"/>
      <c r="H35" s="28"/>
      <c r="I35" s="798"/>
      <c r="J35" s="3"/>
      <c r="K35" s="32"/>
      <c r="L35" s="233"/>
      <c r="N35" s="3">
        <f t="shared" si="1"/>
        <v>0</v>
      </c>
      <c r="O35" s="88">
        <f t="shared" si="2"/>
        <v>8703.880000000001</v>
      </c>
      <c r="P35" s="158">
        <f t="shared" si="3"/>
        <v>-8703.880000000001</v>
      </c>
      <c r="V35" s="21"/>
      <c r="W35" s="360"/>
      <c r="X35" s="360"/>
    </row>
    <row r="36" spans="1:24" x14ac:dyDescent="0.25">
      <c r="A36" s="483"/>
      <c r="C36" s="31"/>
      <c r="D36" s="233"/>
      <c r="E36" s="28"/>
      <c r="F36" s="313"/>
      <c r="G36" s="88"/>
      <c r="H36" s="28"/>
      <c r="I36" s="798"/>
      <c r="J36" s="3"/>
      <c r="M36" s="313"/>
      <c r="N36" s="3">
        <f t="shared" si="1"/>
        <v>0</v>
      </c>
      <c r="O36" s="88">
        <f t="shared" si="2"/>
        <v>8703.880000000001</v>
      </c>
      <c r="P36" s="158">
        <f t="shared" si="3"/>
        <v>-8703.880000000001</v>
      </c>
      <c r="W36" s="360"/>
      <c r="X36" s="360"/>
    </row>
    <row r="37" spans="1:24" x14ac:dyDescent="0.25">
      <c r="A37" s="483"/>
      <c r="C37" s="31"/>
      <c r="D37" s="233"/>
      <c r="E37" s="28"/>
      <c r="F37" s="313"/>
      <c r="G37" s="88"/>
      <c r="I37" s="313"/>
      <c r="J37" s="3"/>
      <c r="N37" s="88"/>
      <c r="O37" s="88"/>
      <c r="W37" s="360"/>
      <c r="X37" s="360"/>
    </row>
    <row r="38" spans="1:24" ht="15.75" thickBot="1" x14ac:dyDescent="0.3">
      <c r="F38"/>
      <c r="J38" s="32"/>
      <c r="K38" s="32"/>
    </row>
    <row r="39" spans="1:24" ht="15.75" thickBot="1" x14ac:dyDescent="0.3">
      <c r="F39"/>
      <c r="I39" s="415">
        <f>SUBTOTAL(9,I32:I38)</f>
        <v>41600</v>
      </c>
      <c r="J39" s="32"/>
      <c r="K39" s="88"/>
    </row>
    <row r="40" spans="1:24" x14ac:dyDescent="0.25">
      <c r="F40"/>
      <c r="J40" s="32"/>
      <c r="K40" s="32"/>
    </row>
    <row r="41" spans="1:24" x14ac:dyDescent="0.25">
      <c r="F41"/>
      <c r="H41" s="5" t="s">
        <v>4480</v>
      </c>
      <c r="I41" s="27">
        <f>+I28+I39</f>
        <v>41600</v>
      </c>
      <c r="J41" s="32"/>
      <c r="K41" s="32"/>
    </row>
    <row r="42" spans="1:24" x14ac:dyDescent="0.25">
      <c r="F42"/>
      <c r="G42" s="13"/>
      <c r="J42" s="32"/>
      <c r="K42" s="32"/>
    </row>
    <row r="43" spans="1:24" x14ac:dyDescent="0.25">
      <c r="F43"/>
      <c r="I43" s="102"/>
      <c r="J43" s="1219" t="s">
        <v>8351</v>
      </c>
      <c r="K43" s="726"/>
      <c r="L43" s="28" t="s">
        <v>2468</v>
      </c>
    </row>
    <row r="44" spans="1:24" x14ac:dyDescent="0.25">
      <c r="F44"/>
      <c r="I44" s="102" t="s">
        <v>219</v>
      </c>
      <c r="J44" s="793">
        <v>435194</v>
      </c>
      <c r="K44" s="1216">
        <v>10</v>
      </c>
      <c r="L44" s="122">
        <v>46255</v>
      </c>
    </row>
    <row r="45" spans="1:24" x14ac:dyDescent="0.25">
      <c r="F45"/>
      <c r="I45" s="102" t="s">
        <v>2048</v>
      </c>
      <c r="J45" s="793">
        <v>84210</v>
      </c>
      <c r="K45" s="1217">
        <v>2</v>
      </c>
      <c r="L45" s="122">
        <f>+L44</f>
        <v>46255</v>
      </c>
    </row>
    <row r="46" spans="1:24" x14ac:dyDescent="0.25">
      <c r="F46"/>
      <c r="I46" s="728" t="s">
        <v>2128</v>
      </c>
      <c r="J46" s="1218">
        <f>+J44-J45</f>
        <v>350984</v>
      </c>
      <c r="K46" s="1220">
        <f>+K44-K45</f>
        <v>8</v>
      </c>
    </row>
  </sheetData>
  <autoFilter ref="A2:X46" xr:uid="{00000000-0001-0000-3E00-000000000000}">
    <filterColumn colId="10">
      <filters blank="1">
        <filter val="10"/>
        <filter val="2"/>
        <filter val="8"/>
        <filter val="STATUS"/>
      </filters>
    </filterColumn>
    <filterColumn colId="13" showButton="0"/>
    <filterColumn colId="14" showButton="0"/>
    <filterColumn colId="15" showButton="0"/>
  </autoFilter>
  <mergeCells count="3">
    <mergeCell ref="N2:Q2"/>
    <mergeCell ref="A30:I30"/>
    <mergeCell ref="N31:Q3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2161" r:id="rId4" name="Button 1">
              <controlPr defaultSize="0" print="0" autoFill="0" autoPict="0" macro="[0]!RETORNAR">
                <anchor moveWithCells="1" sizeWithCells="1">
                  <from>
                    <xdr:col>0</xdr:col>
                    <xdr:colOff>9525</xdr:colOff>
                    <xdr:row>0</xdr:row>
                    <xdr:rowOff>38100</xdr:rowOff>
                  </from>
                  <to>
                    <xdr:col>1</xdr:col>
                    <xdr:colOff>1066800</xdr:colOff>
                    <xdr:row>0</xdr:row>
                    <xdr:rowOff>276225</xdr:rowOff>
                  </to>
                </anchor>
              </controlPr>
            </control>
          </mc:Choice>
        </mc:AlternateContent>
        <mc:AlternateContent xmlns:mc="http://schemas.openxmlformats.org/markup-compatibility/2006">
          <mc:Choice Requires="x14">
            <control shapeId="732167" r:id="rId5" name="Botón 7">
              <controlPr defaultSize="0" print="0" autoFill="0" autoPict="0" macro="[0]!IR_VENTAS_B200_2026">
                <anchor moveWithCells="1" sizeWithCells="1">
                  <from>
                    <xdr:col>1</xdr:col>
                    <xdr:colOff>581025</xdr:colOff>
                    <xdr:row>48</xdr:row>
                    <xdr:rowOff>161925</xdr:rowOff>
                  </from>
                  <to>
                    <xdr:col>2</xdr:col>
                    <xdr:colOff>542925</xdr:colOff>
                    <xdr:row>52</xdr:row>
                    <xdr:rowOff>19050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Hoja67" filterMode="1"/>
  <dimension ref="A1:V8"/>
  <sheetViews>
    <sheetView workbookViewId="0">
      <selection activeCell="A4" sqref="A4:XFD5"/>
    </sheetView>
  </sheetViews>
  <sheetFormatPr baseColWidth="10" defaultColWidth="10.85546875" defaultRowHeight="15" x14ac:dyDescent="0.25"/>
  <cols>
    <col min="2" max="2" width="19.140625" customWidth="1"/>
    <col min="3" max="3" width="9.42578125" customWidth="1"/>
    <col min="5" max="5" width="5.28515625" customWidth="1"/>
    <col min="7" max="7" width="42.5703125" customWidth="1"/>
    <col min="9" max="9" width="11.5703125" bestFit="1" customWidth="1"/>
    <col min="10" max="10" width="12" bestFit="1" customWidth="1"/>
  </cols>
  <sheetData>
    <row r="1" spans="1:22" ht="25.5" customHeight="1" x14ac:dyDescent="0.25"/>
    <row r="2" spans="1:22" x14ac:dyDescent="0.25">
      <c r="A2" t="s">
        <v>706</v>
      </c>
      <c r="B2" s="1" t="s">
        <v>0</v>
      </c>
      <c r="C2" s="1" t="s">
        <v>1</v>
      </c>
      <c r="D2" s="1" t="s">
        <v>2</v>
      </c>
      <c r="E2" s="1"/>
      <c r="F2" s="1" t="s">
        <v>3</v>
      </c>
      <c r="G2" s="1" t="s">
        <v>4</v>
      </c>
      <c r="H2" s="1" t="s">
        <v>5</v>
      </c>
      <c r="I2" s="1" t="s">
        <v>6</v>
      </c>
      <c r="J2" s="1" t="s">
        <v>1780</v>
      </c>
      <c r="K2" s="1" t="s">
        <v>8</v>
      </c>
      <c r="L2" s="1" t="s">
        <v>3997</v>
      </c>
      <c r="M2" s="1" t="s">
        <v>10</v>
      </c>
      <c r="N2" s="1480" t="s">
        <v>11</v>
      </c>
      <c r="O2" s="1480"/>
      <c r="P2" s="1480"/>
      <c r="Q2" s="1480"/>
    </row>
    <row r="3" spans="1:22" hidden="1" x14ac:dyDescent="0.25">
      <c r="A3" s="256" t="s">
        <v>2992</v>
      </c>
      <c r="B3" t="s">
        <v>2998</v>
      </c>
      <c r="C3" t="s">
        <v>13</v>
      </c>
      <c r="D3" s="122">
        <v>45202</v>
      </c>
      <c r="F3" s="28" t="s">
        <v>2561</v>
      </c>
      <c r="G3" s="30" t="s">
        <v>3344</v>
      </c>
      <c r="H3" t="s">
        <v>3555</v>
      </c>
      <c r="I3" s="313">
        <v>27000</v>
      </c>
      <c r="J3" s="313"/>
      <c r="K3" t="s">
        <v>17</v>
      </c>
      <c r="L3" s="122">
        <v>45286</v>
      </c>
      <c r="T3" s="14" t="s">
        <v>916</v>
      </c>
      <c r="U3" s="14">
        <v>0.3840277777777778</v>
      </c>
      <c r="V3" s="14">
        <v>0.56805555555555554</v>
      </c>
    </row>
    <row r="4" spans="1:22" x14ac:dyDescent="0.25">
      <c r="A4" s="430" t="s">
        <v>3263</v>
      </c>
      <c r="B4" t="s">
        <v>3264</v>
      </c>
      <c r="C4" t="s">
        <v>410</v>
      </c>
      <c r="D4" s="122">
        <v>45262</v>
      </c>
      <c r="F4" s="28" t="s">
        <v>2561</v>
      </c>
      <c r="G4" s="30" t="s">
        <v>3478</v>
      </c>
      <c r="H4" t="s">
        <v>3847</v>
      </c>
      <c r="I4" s="313">
        <v>27000</v>
      </c>
      <c r="J4" s="3">
        <f>+I4-ROUND(I4*0.12,0)</f>
        <v>23760</v>
      </c>
      <c r="K4" t="s">
        <v>4004</v>
      </c>
      <c r="L4" s="88"/>
      <c r="T4" s="14" t="s">
        <v>922</v>
      </c>
      <c r="U4" s="14">
        <v>0.59097222222222223</v>
      </c>
      <c r="V4" s="14">
        <v>0.7583333333333333</v>
      </c>
    </row>
    <row r="5" spans="1:22" x14ac:dyDescent="0.25">
      <c r="A5" s="430" t="s">
        <v>3263</v>
      </c>
      <c r="B5" t="s">
        <v>3343</v>
      </c>
      <c r="C5" t="s">
        <v>13</v>
      </c>
      <c r="D5" s="122">
        <v>45262</v>
      </c>
      <c r="F5" s="28" t="s">
        <v>2561</v>
      </c>
      <c r="G5" s="30" t="s">
        <v>3477</v>
      </c>
      <c r="H5" t="s">
        <v>3846</v>
      </c>
      <c r="I5" s="313">
        <v>27000</v>
      </c>
      <c r="J5" s="3">
        <f>+I5-ROUND(I5*0.12,0)</f>
        <v>23760</v>
      </c>
      <c r="K5" t="s">
        <v>4004</v>
      </c>
      <c r="L5" s="88"/>
      <c r="T5" s="14" t="s">
        <v>3151</v>
      </c>
      <c r="U5" s="14">
        <v>0.5854166666666667</v>
      </c>
      <c r="V5" s="14">
        <v>0.74652777777777779</v>
      </c>
    </row>
    <row r="6" spans="1:22" x14ac:dyDescent="0.25">
      <c r="A6" s="256"/>
      <c r="D6" s="122"/>
      <c r="F6" s="30"/>
      <c r="G6" s="30"/>
      <c r="H6" s="30"/>
      <c r="I6" s="160"/>
      <c r="L6" s="122"/>
      <c r="U6" s="14"/>
      <c r="V6" s="14"/>
    </row>
    <row r="7" spans="1:22" x14ac:dyDescent="0.25">
      <c r="A7" s="116"/>
      <c r="B7" s="169"/>
      <c r="C7" s="21"/>
      <c r="D7" s="123"/>
      <c r="E7" s="88"/>
      <c r="F7" s="21"/>
      <c r="G7" s="21"/>
      <c r="I7" s="160"/>
      <c r="J7" s="160"/>
      <c r="K7" s="160"/>
      <c r="L7" s="122"/>
      <c r="O7" s="163"/>
      <c r="P7" s="157"/>
      <c r="Q7" s="157"/>
    </row>
    <row r="8" spans="1:22" x14ac:dyDescent="0.25">
      <c r="H8" s="5" t="s">
        <v>423</v>
      </c>
      <c r="I8" s="9">
        <f>SUBTOTAL(9,I3:I7)</f>
        <v>54000</v>
      </c>
      <c r="L8" s="122"/>
    </row>
  </sheetData>
  <autoFilter ref="A2:Q7" xr:uid="{00000000-0009-0000-0000-00003F000000}">
    <filterColumn colId="10">
      <filters blank="1">
        <filter val="EN RECONOCIMIENTO"/>
      </filters>
    </filterColumn>
    <filterColumn colId="13" showButton="0"/>
    <filterColumn colId="14" showButton="0"/>
    <filterColumn colId="15" showButton="0"/>
  </autoFilter>
  <mergeCells count="1">
    <mergeCell ref="N2: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37281" r:id="rId3" name="Button 1">
              <controlPr defaultSize="0" print="0" autoFill="0" autoPict="0" macro="[0]!RETORNAR">
                <anchor moveWithCells="1" sizeWithCells="1">
                  <from>
                    <xdr:col>0</xdr:col>
                    <xdr:colOff>9525</xdr:colOff>
                    <xdr:row>0</xdr:row>
                    <xdr:rowOff>38100</xdr:rowOff>
                  </from>
                  <to>
                    <xdr:col>1</xdr:col>
                    <xdr:colOff>1066800</xdr:colOff>
                    <xdr:row>0</xdr:row>
                    <xdr:rowOff>276225</xdr:rowOff>
                  </to>
                </anchor>
              </controlPr>
            </control>
          </mc:Choice>
        </mc:AlternateContent>
        <mc:AlternateContent xmlns:mc="http://schemas.openxmlformats.org/markup-compatibility/2006">
          <mc:Choice Requires="x14">
            <control shapeId="737286" r:id="rId4" name="Botón 6">
              <controlPr defaultSize="0" print="0" autoFill="0" autoPict="0" macro="[0]!IR_VENTAS_B200_2026">
                <anchor moveWithCells="1" sizeWithCells="1">
                  <from>
                    <xdr:col>0</xdr:col>
                    <xdr:colOff>657225</xdr:colOff>
                    <xdr:row>10</xdr:row>
                    <xdr:rowOff>9525</xdr:rowOff>
                  </from>
                  <to>
                    <xdr:col>1</xdr:col>
                    <xdr:colOff>1209675</xdr:colOff>
                    <xdr:row>13</xdr:row>
                    <xdr:rowOff>47625</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Hoja68" filterMode="1"/>
  <dimension ref="A1:X11"/>
  <sheetViews>
    <sheetView workbookViewId="0">
      <selection activeCell="A7" sqref="A7:XFD7"/>
    </sheetView>
  </sheetViews>
  <sheetFormatPr baseColWidth="10" defaultColWidth="10.85546875" defaultRowHeight="15" x14ac:dyDescent="0.25"/>
  <cols>
    <col min="2" max="2" width="19.140625" customWidth="1"/>
    <col min="3" max="3" width="9.42578125" customWidth="1"/>
    <col min="5" max="5" width="5.28515625" customWidth="1"/>
    <col min="6" max="6" width="10.85546875" style="28"/>
    <col min="7" max="7" width="42.5703125" customWidth="1"/>
    <col min="9" max="9" width="12" bestFit="1" customWidth="1"/>
    <col min="10" max="10" width="12" style="32" bestFit="1" customWidth="1"/>
  </cols>
  <sheetData>
    <row r="1" spans="1:24" ht="25.5" customHeight="1" x14ac:dyDescent="0.25"/>
    <row r="2" spans="1:24" x14ac:dyDescent="0.25">
      <c r="A2" t="s">
        <v>706</v>
      </c>
      <c r="B2" s="1" t="s">
        <v>0</v>
      </c>
      <c r="C2" s="1" t="s">
        <v>1</v>
      </c>
      <c r="D2" s="1" t="s">
        <v>2</v>
      </c>
      <c r="E2" s="1"/>
      <c r="F2" s="25" t="s">
        <v>3</v>
      </c>
      <c r="G2" s="1" t="s">
        <v>4</v>
      </c>
      <c r="H2" s="1" t="s">
        <v>5</v>
      </c>
      <c r="I2" s="1" t="s">
        <v>6</v>
      </c>
      <c r="J2" s="87" t="s">
        <v>1780</v>
      </c>
      <c r="K2" s="1" t="s">
        <v>8</v>
      </c>
      <c r="L2" s="1" t="s">
        <v>3997</v>
      </c>
      <c r="M2" s="1" t="s">
        <v>10</v>
      </c>
      <c r="N2" s="1480" t="s">
        <v>11</v>
      </c>
      <c r="O2" s="1480"/>
      <c r="P2" s="1480"/>
      <c r="Q2" s="1480"/>
    </row>
    <row r="3" spans="1:24" hidden="1" x14ac:dyDescent="0.25">
      <c r="A3" s="256">
        <v>10092023</v>
      </c>
      <c r="B3" t="s">
        <v>3037</v>
      </c>
      <c r="C3" t="s">
        <v>13</v>
      </c>
      <c r="D3" s="122">
        <v>45209</v>
      </c>
      <c r="F3" s="28" t="s">
        <v>143</v>
      </c>
      <c r="G3" s="30" t="s">
        <v>3118</v>
      </c>
      <c r="H3" s="30" t="s">
        <v>3253</v>
      </c>
      <c r="I3" s="236">
        <v>37450</v>
      </c>
      <c r="J3" s="32">
        <f>+I3*0.88</f>
        <v>32956</v>
      </c>
      <c r="K3" t="s">
        <v>17</v>
      </c>
      <c r="L3" s="122">
        <v>45250</v>
      </c>
      <c r="T3" s="14" t="s">
        <v>1816</v>
      </c>
      <c r="U3" s="14">
        <v>0.53888888888888886</v>
      </c>
      <c r="V3" s="14"/>
    </row>
    <row r="4" spans="1:24" hidden="1" x14ac:dyDescent="0.25">
      <c r="A4" s="483" t="s">
        <v>6515</v>
      </c>
      <c r="B4" t="s">
        <v>6517</v>
      </c>
      <c r="C4" s="28" t="s">
        <v>4437</v>
      </c>
      <c r="D4" s="233">
        <v>45839</v>
      </c>
      <c r="E4" s="28"/>
      <c r="F4" s="28" t="s">
        <v>143</v>
      </c>
      <c r="G4" t="s">
        <v>6567</v>
      </c>
      <c r="H4" s="28" t="s">
        <v>6594</v>
      </c>
      <c r="I4" s="798">
        <v>37450</v>
      </c>
      <c r="J4" s="32">
        <f>+I4*0.88</f>
        <v>32956</v>
      </c>
      <c r="K4" t="s">
        <v>17</v>
      </c>
      <c r="L4" s="233">
        <v>45853</v>
      </c>
      <c r="T4" t="s">
        <v>6356</v>
      </c>
      <c r="U4" s="30"/>
      <c r="V4" s="30"/>
    </row>
    <row r="5" spans="1:24" hidden="1" x14ac:dyDescent="0.25">
      <c r="A5" s="483">
        <v>26122025</v>
      </c>
      <c r="B5" t="s">
        <v>6517</v>
      </c>
      <c r="C5" s="28" t="s">
        <v>4218</v>
      </c>
      <c r="D5" s="233">
        <v>46017</v>
      </c>
      <c r="E5" s="28"/>
      <c r="F5" s="28" t="s">
        <v>143</v>
      </c>
      <c r="G5" s="1067" t="s">
        <v>7503</v>
      </c>
      <c r="H5" s="28" t="s">
        <v>7514</v>
      </c>
      <c r="I5" s="240">
        <v>35685</v>
      </c>
      <c r="J5" s="32">
        <f>+I5*0.88</f>
        <v>31402.799999999999</v>
      </c>
      <c r="K5" t="s">
        <v>17</v>
      </c>
      <c r="L5" s="233">
        <v>46036</v>
      </c>
      <c r="M5" s="88"/>
      <c r="T5" s="5" t="s">
        <v>4983</v>
      </c>
      <c r="U5" s="360">
        <v>0.27986111111111112</v>
      </c>
      <c r="V5" s="360">
        <v>0.50694444444444442</v>
      </c>
    </row>
    <row r="6" spans="1:24" hidden="1" x14ac:dyDescent="0.25">
      <c r="A6" s="483" t="s">
        <v>7643</v>
      </c>
      <c r="B6" t="s">
        <v>7642</v>
      </c>
      <c r="C6" s="28" t="s">
        <v>410</v>
      </c>
      <c r="D6" s="233">
        <v>46059</v>
      </c>
      <c r="E6" s="28"/>
      <c r="F6" s="28" t="s">
        <v>143</v>
      </c>
      <c r="G6" s="1067" t="s">
        <v>7677</v>
      </c>
      <c r="H6" s="28" t="s">
        <v>7661</v>
      </c>
      <c r="I6" s="313">
        <v>35685</v>
      </c>
      <c r="J6" s="32">
        <f>+I6*0.88</f>
        <v>31402.799999999999</v>
      </c>
      <c r="K6" t="s">
        <v>17</v>
      </c>
      <c r="L6" s="233">
        <v>46083</v>
      </c>
      <c r="M6" s="88"/>
      <c r="T6" t="s">
        <v>5393</v>
      </c>
      <c r="U6" s="360"/>
      <c r="V6" s="360"/>
    </row>
    <row r="7" spans="1:24" x14ac:dyDescent="0.25">
      <c r="A7" s="483"/>
      <c r="C7" s="28"/>
      <c r="D7" s="233"/>
      <c r="E7" s="28"/>
      <c r="G7" s="88"/>
      <c r="I7" s="88"/>
      <c r="J7" s="1332"/>
      <c r="K7" s="1331"/>
      <c r="L7" s="1331"/>
      <c r="M7" s="798"/>
      <c r="N7" s="798"/>
      <c r="W7" s="360"/>
      <c r="X7" s="360"/>
    </row>
    <row r="8" spans="1:24" x14ac:dyDescent="0.25">
      <c r="A8" s="430"/>
      <c r="D8" s="122"/>
      <c r="G8" s="30"/>
      <c r="H8" s="30"/>
      <c r="I8" s="368"/>
      <c r="L8" s="122"/>
      <c r="T8" s="14"/>
      <c r="U8" s="14"/>
      <c r="V8" s="14"/>
    </row>
    <row r="9" spans="1:24" x14ac:dyDescent="0.25">
      <c r="A9" s="256"/>
      <c r="D9" s="122"/>
      <c r="G9" s="30"/>
      <c r="H9" s="30"/>
      <c r="I9" s="160"/>
      <c r="L9" s="122"/>
      <c r="U9" s="14"/>
      <c r="V9" s="14"/>
    </row>
    <row r="10" spans="1:24" x14ac:dyDescent="0.25">
      <c r="A10" s="116"/>
      <c r="B10" s="169"/>
      <c r="C10" s="21"/>
      <c r="D10" s="123"/>
      <c r="E10" s="88"/>
      <c r="F10" s="177"/>
      <c r="G10" s="21"/>
      <c r="I10" s="160"/>
      <c r="J10" s="160"/>
      <c r="K10" s="160"/>
      <c r="L10" s="122"/>
      <c r="O10" s="163"/>
      <c r="P10" s="157"/>
      <c r="Q10" s="157"/>
    </row>
    <row r="11" spans="1:24" x14ac:dyDescent="0.25">
      <c r="H11" s="5" t="s">
        <v>423</v>
      </c>
      <c r="I11" s="9">
        <f>SUBTOTAL(9,I3:I10)</f>
        <v>0</v>
      </c>
      <c r="L11" s="122"/>
    </row>
  </sheetData>
  <autoFilter ref="A2:Q10" xr:uid="{00000000-0009-0000-0000-000040000000}">
    <filterColumn colId="10">
      <filters blank="1"/>
    </filterColumn>
    <filterColumn colId="13" showButton="0"/>
    <filterColumn colId="14" showButton="0"/>
    <filterColumn colId="15" showButton="0"/>
  </autoFilter>
  <mergeCells count="1">
    <mergeCell ref="N2: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42401" r:id="rId3" name="Button 1">
              <controlPr defaultSize="0" print="0" autoFill="0" autoPict="0" macro="[0]!RETORNAR">
                <anchor moveWithCells="1" sizeWithCells="1">
                  <from>
                    <xdr:col>0</xdr:col>
                    <xdr:colOff>9525</xdr:colOff>
                    <xdr:row>0</xdr:row>
                    <xdr:rowOff>38100</xdr:rowOff>
                  </from>
                  <to>
                    <xdr:col>1</xdr:col>
                    <xdr:colOff>1066800</xdr:colOff>
                    <xdr:row>0</xdr:row>
                    <xdr:rowOff>276225</xdr:rowOff>
                  </to>
                </anchor>
              </controlPr>
            </control>
          </mc:Choice>
        </mc:AlternateContent>
        <mc:AlternateContent xmlns:mc="http://schemas.openxmlformats.org/markup-compatibility/2006">
          <mc:Choice Requires="x14">
            <control shapeId="742405" r:id="rId4" name="Botón 5">
              <controlPr defaultSize="0" print="0" autoFill="0" autoPict="0" macro="[0]!IR_VENTAS_B200_2026">
                <anchor moveWithCells="1" sizeWithCells="1">
                  <from>
                    <xdr:col>1</xdr:col>
                    <xdr:colOff>123825</xdr:colOff>
                    <xdr:row>11</xdr:row>
                    <xdr:rowOff>180975</xdr:rowOff>
                  </from>
                  <to>
                    <xdr:col>2</xdr:col>
                    <xdr:colOff>85725</xdr:colOff>
                    <xdr:row>15</xdr:row>
                    <xdr:rowOff>28575</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Hoja69" filterMode="1"/>
  <dimension ref="A1:X29"/>
  <sheetViews>
    <sheetView workbookViewId="0">
      <selection activeCell="I36" sqref="I36"/>
    </sheetView>
  </sheetViews>
  <sheetFormatPr baseColWidth="10" defaultColWidth="10.85546875" defaultRowHeight="15" x14ac:dyDescent="0.25"/>
  <cols>
    <col min="2" max="2" width="25.42578125" customWidth="1"/>
    <col min="3" max="3" width="9.42578125" customWidth="1"/>
    <col min="5" max="5" width="5.28515625" customWidth="1"/>
    <col min="7" max="7" width="46.5703125" customWidth="1"/>
    <col min="9" max="10" width="12" bestFit="1" customWidth="1"/>
    <col min="11" max="11" width="10.85546875" style="28"/>
  </cols>
  <sheetData>
    <row r="1" spans="1:22" ht="25.5" customHeight="1" x14ac:dyDescent="0.25"/>
    <row r="2" spans="1:22" x14ac:dyDescent="0.25">
      <c r="A2" t="s">
        <v>706</v>
      </c>
      <c r="B2" s="1" t="s">
        <v>0</v>
      </c>
      <c r="C2" s="1" t="s">
        <v>1</v>
      </c>
      <c r="D2" s="1" t="s">
        <v>2</v>
      </c>
      <c r="E2" s="1"/>
      <c r="F2" s="1" t="s">
        <v>3</v>
      </c>
      <c r="G2" s="1" t="s">
        <v>4</v>
      </c>
      <c r="H2" s="1" t="s">
        <v>5</v>
      </c>
      <c r="I2" s="1" t="s">
        <v>6</v>
      </c>
      <c r="J2" s="1" t="s">
        <v>1780</v>
      </c>
      <c r="K2" s="25" t="s">
        <v>8</v>
      </c>
      <c r="L2" s="1" t="s">
        <v>3997</v>
      </c>
      <c r="M2" s="1" t="s">
        <v>10</v>
      </c>
      <c r="N2" s="1480" t="s">
        <v>11</v>
      </c>
      <c r="O2" s="1480"/>
      <c r="P2" s="1480"/>
      <c r="Q2" s="1480"/>
    </row>
    <row r="3" spans="1:22" s="5" customFormat="1" hidden="1" x14ac:dyDescent="0.25">
      <c r="A3" s="261">
        <v>16112023</v>
      </c>
      <c r="B3" s="5" t="s">
        <v>3195</v>
      </c>
      <c r="C3" s="5" t="s">
        <v>410</v>
      </c>
      <c r="D3" s="257">
        <v>45246</v>
      </c>
      <c r="F3" s="127" t="s">
        <v>285</v>
      </c>
      <c r="G3" s="127" t="s">
        <v>3245</v>
      </c>
      <c r="H3" s="5" t="s">
        <v>3246</v>
      </c>
      <c r="I3" s="296">
        <v>39500</v>
      </c>
      <c r="J3" s="296">
        <f>+I3*0.88</f>
        <v>34760</v>
      </c>
      <c r="K3" s="296" t="s">
        <v>17</v>
      </c>
      <c r="L3" s="257">
        <v>45259</v>
      </c>
      <c r="T3" s="258" t="s">
        <v>1029</v>
      </c>
      <c r="U3" s="258">
        <v>0.30833333333333335</v>
      </c>
      <c r="V3" s="258"/>
    </row>
    <row r="4" spans="1:22" ht="14.45" hidden="1" customHeight="1" x14ac:dyDescent="0.25">
      <c r="A4" s="256"/>
      <c r="B4" t="s">
        <v>3195</v>
      </c>
      <c r="C4" t="s">
        <v>410</v>
      </c>
      <c r="D4" s="122">
        <v>45246</v>
      </c>
      <c r="F4" s="28" t="s">
        <v>285</v>
      </c>
      <c r="G4" s="28" t="s">
        <v>3245</v>
      </c>
      <c r="H4" s="339" t="s">
        <v>4732</v>
      </c>
      <c r="I4" s="313">
        <v>7110</v>
      </c>
      <c r="J4" s="313">
        <f>+I4*0.88</f>
        <v>6256.8</v>
      </c>
      <c r="K4" s="313" t="s">
        <v>17</v>
      </c>
      <c r="L4" s="122">
        <v>45547</v>
      </c>
      <c r="M4" s="5" t="s">
        <v>18</v>
      </c>
      <c r="T4" s="14"/>
      <c r="U4" s="14"/>
      <c r="V4" s="14"/>
    </row>
    <row r="5" spans="1:22" ht="14.45" hidden="1" customHeight="1" x14ac:dyDescent="0.25">
      <c r="A5" s="256"/>
      <c r="D5" s="233">
        <v>45296</v>
      </c>
      <c r="F5" s="28"/>
      <c r="G5" s="30" t="s">
        <v>3510</v>
      </c>
      <c r="H5" s="339" t="s">
        <v>4146</v>
      </c>
      <c r="I5" s="313">
        <v>39500</v>
      </c>
      <c r="J5" s="313">
        <f t="shared" ref="J5:J12" si="0">+I5*0.88</f>
        <v>34760</v>
      </c>
      <c r="K5" s="313" t="s">
        <v>17</v>
      </c>
      <c r="L5" s="122">
        <v>45428</v>
      </c>
      <c r="T5" s="14"/>
      <c r="U5" s="14"/>
      <c r="V5" s="14"/>
    </row>
    <row r="6" spans="1:22" hidden="1" x14ac:dyDescent="0.25">
      <c r="A6" s="483" t="s">
        <v>3456</v>
      </c>
      <c r="B6" s="28" t="s">
        <v>3455</v>
      </c>
      <c r="C6" s="28" t="s">
        <v>1604</v>
      </c>
      <c r="D6" s="233">
        <v>45296</v>
      </c>
      <c r="F6" s="28" t="s">
        <v>285</v>
      </c>
      <c r="G6" s="30" t="s">
        <v>3510</v>
      </c>
      <c r="H6" s="339" t="s">
        <v>4733</v>
      </c>
      <c r="I6" s="251">
        <v>7110</v>
      </c>
      <c r="J6" s="313">
        <f t="shared" si="0"/>
        <v>6256.8</v>
      </c>
      <c r="K6" s="313" t="s">
        <v>17</v>
      </c>
      <c r="L6" s="122">
        <v>45547</v>
      </c>
      <c r="M6" s="5" t="s">
        <v>18</v>
      </c>
      <c r="T6" s="14" t="s">
        <v>3458</v>
      </c>
      <c r="U6" s="360">
        <v>0.40416666666666662</v>
      </c>
      <c r="V6" s="360">
        <v>0.7416666666666667</v>
      </c>
    </row>
    <row r="7" spans="1:22" hidden="1" x14ac:dyDescent="0.25">
      <c r="A7" s="483"/>
      <c r="B7" s="28"/>
      <c r="C7" s="28"/>
      <c r="D7" s="233">
        <v>45344</v>
      </c>
      <c r="F7" s="28"/>
      <c r="G7" s="30" t="s">
        <v>3878</v>
      </c>
      <c r="H7" s="339" t="s">
        <v>4148</v>
      </c>
      <c r="I7" s="251">
        <v>39500</v>
      </c>
      <c r="J7" s="313">
        <f t="shared" si="0"/>
        <v>34760</v>
      </c>
      <c r="K7" s="313" t="s">
        <v>17</v>
      </c>
      <c r="L7" s="122">
        <v>45428</v>
      </c>
      <c r="T7" s="14"/>
      <c r="U7" s="360"/>
      <c r="V7" s="360"/>
    </row>
    <row r="8" spans="1:22" hidden="1" x14ac:dyDescent="0.25">
      <c r="A8" s="509">
        <v>22022024</v>
      </c>
      <c r="B8" s="30" t="s">
        <v>3757</v>
      </c>
      <c r="C8" s="28" t="s">
        <v>410</v>
      </c>
      <c r="D8" s="233">
        <v>45344</v>
      </c>
      <c r="F8" s="28" t="s">
        <v>285</v>
      </c>
      <c r="G8" s="30" t="s">
        <v>3878</v>
      </c>
      <c r="H8" s="339" t="s">
        <v>4732</v>
      </c>
      <c r="I8" s="251">
        <v>7110</v>
      </c>
      <c r="J8" s="313">
        <f t="shared" si="0"/>
        <v>6256.8</v>
      </c>
      <c r="K8" s="313" t="s">
        <v>17</v>
      </c>
      <c r="L8" s="122">
        <v>45547</v>
      </c>
      <c r="M8" s="5" t="s">
        <v>18</v>
      </c>
      <c r="T8" s="14" t="s">
        <v>916</v>
      </c>
      <c r="U8" s="360">
        <v>0.30486111111111108</v>
      </c>
      <c r="V8" s="360"/>
    </row>
    <row r="9" spans="1:22" hidden="1" x14ac:dyDescent="0.25">
      <c r="A9" s="509"/>
      <c r="B9" s="30"/>
      <c r="C9" s="28"/>
      <c r="D9" s="233">
        <v>45396</v>
      </c>
      <c r="F9" s="28"/>
      <c r="G9" s="30" t="s">
        <v>4143</v>
      </c>
      <c r="H9" s="339" t="s">
        <v>4149</v>
      </c>
      <c r="I9" s="251">
        <v>39500</v>
      </c>
      <c r="J9" s="313">
        <f t="shared" si="0"/>
        <v>34760</v>
      </c>
      <c r="K9" s="313" t="s">
        <v>17</v>
      </c>
      <c r="L9" s="122">
        <v>45428</v>
      </c>
      <c r="T9" s="14"/>
      <c r="U9" s="360"/>
      <c r="V9" s="360"/>
    </row>
    <row r="10" spans="1:22" hidden="1" x14ac:dyDescent="0.25">
      <c r="A10" s="509">
        <v>14042024</v>
      </c>
      <c r="B10" t="s">
        <v>4028</v>
      </c>
      <c r="C10" s="28" t="s">
        <v>410</v>
      </c>
      <c r="D10" s="233">
        <v>45396</v>
      </c>
      <c r="F10" s="28" t="s">
        <v>285</v>
      </c>
      <c r="G10" s="30" t="s">
        <v>4143</v>
      </c>
      <c r="H10" s="339" t="s">
        <v>4734</v>
      </c>
      <c r="I10" s="251">
        <v>7110</v>
      </c>
      <c r="J10" s="313">
        <f t="shared" si="0"/>
        <v>6256.8</v>
      </c>
      <c r="K10" s="313" t="s">
        <v>17</v>
      </c>
      <c r="L10" s="122">
        <v>45547</v>
      </c>
      <c r="M10" s="5" t="s">
        <v>18</v>
      </c>
      <c r="T10" s="14" t="s">
        <v>795</v>
      </c>
      <c r="U10" s="360">
        <v>0.27152777777777776</v>
      </c>
      <c r="V10" s="360">
        <v>0.56666666666666665</v>
      </c>
    </row>
    <row r="11" spans="1:22" hidden="1" x14ac:dyDescent="0.25">
      <c r="A11" s="509"/>
      <c r="C11" s="28"/>
      <c r="D11" s="233">
        <v>45405</v>
      </c>
      <c r="F11" s="28" t="s">
        <v>285</v>
      </c>
      <c r="G11" s="30" t="s">
        <v>4871</v>
      </c>
      <c r="H11" s="339" t="s">
        <v>4147</v>
      </c>
      <c r="I11" s="251">
        <v>39500</v>
      </c>
      <c r="J11" s="313">
        <f t="shared" si="0"/>
        <v>34760</v>
      </c>
      <c r="K11" s="313" t="s">
        <v>17</v>
      </c>
      <c r="L11" s="122">
        <v>45429</v>
      </c>
      <c r="T11" s="14"/>
      <c r="U11" s="360"/>
      <c r="V11" s="360"/>
    </row>
    <row r="12" spans="1:22" hidden="1" x14ac:dyDescent="0.25">
      <c r="A12" s="483">
        <v>23042024</v>
      </c>
      <c r="B12" t="s">
        <v>4077</v>
      </c>
      <c r="C12" s="28" t="s">
        <v>410</v>
      </c>
      <c r="D12" s="233">
        <v>45405</v>
      </c>
      <c r="F12" s="28" t="s">
        <v>285</v>
      </c>
      <c r="G12" s="30" t="s">
        <v>4872</v>
      </c>
      <c r="H12" s="339" t="s">
        <v>4735</v>
      </c>
      <c r="I12" s="237">
        <f>7110</f>
        <v>7110</v>
      </c>
      <c r="J12" s="313">
        <f t="shared" si="0"/>
        <v>6256.8</v>
      </c>
      <c r="K12" s="313" t="s">
        <v>17</v>
      </c>
      <c r="L12" s="122">
        <v>45547</v>
      </c>
      <c r="M12" s="5" t="s">
        <v>18</v>
      </c>
      <c r="T12" s="14" t="s">
        <v>3151</v>
      </c>
      <c r="U12" s="360">
        <v>0.31041666666666667</v>
      </c>
      <c r="V12" s="360"/>
    </row>
    <row r="13" spans="1:22" hidden="1" x14ac:dyDescent="0.25">
      <c r="A13" s="483"/>
      <c r="C13" s="28"/>
      <c r="D13" s="233"/>
      <c r="F13" s="28"/>
      <c r="G13" s="30" t="s">
        <v>4897</v>
      </c>
      <c r="H13" s="339" t="s">
        <v>4997</v>
      </c>
      <c r="I13" s="251">
        <v>39500</v>
      </c>
      <c r="J13" s="3">
        <f t="shared" ref="J13:J18" si="1">+I13-ROUND(I13*0.12,0)</f>
        <v>34760</v>
      </c>
      <c r="K13" s="28" t="s">
        <v>17</v>
      </c>
      <c r="L13" s="122">
        <v>45594</v>
      </c>
      <c r="M13" t="s">
        <v>18</v>
      </c>
      <c r="T13" s="14"/>
      <c r="U13" s="360"/>
      <c r="V13" s="360"/>
    </row>
    <row r="14" spans="1:22" hidden="1" x14ac:dyDescent="0.25">
      <c r="A14" s="483" t="s">
        <v>4869</v>
      </c>
      <c r="B14" t="s">
        <v>4870</v>
      </c>
      <c r="C14" s="28" t="s">
        <v>13</v>
      </c>
      <c r="D14" s="233">
        <v>45568</v>
      </c>
      <c r="F14" s="28" t="s">
        <v>285</v>
      </c>
      <c r="G14" s="30" t="s">
        <v>4896</v>
      </c>
      <c r="H14" t="s">
        <v>4996</v>
      </c>
      <c r="I14" s="237">
        <f>7110</f>
        <v>7110</v>
      </c>
      <c r="J14" s="3">
        <f t="shared" si="1"/>
        <v>6257</v>
      </c>
      <c r="K14" s="28" t="s">
        <v>17</v>
      </c>
      <c r="L14" s="122">
        <v>45594</v>
      </c>
      <c r="M14" t="s">
        <v>18</v>
      </c>
      <c r="T14" t="s">
        <v>4365</v>
      </c>
      <c r="U14" s="360">
        <v>0.29930555555555555</v>
      </c>
      <c r="V14" s="30"/>
    </row>
    <row r="15" spans="1:22" hidden="1" x14ac:dyDescent="0.25">
      <c r="A15" s="483">
        <v>23072025</v>
      </c>
      <c r="B15" t="s">
        <v>6679</v>
      </c>
      <c r="C15" s="28" t="s">
        <v>660</v>
      </c>
      <c r="D15" s="233">
        <v>45861</v>
      </c>
      <c r="E15" s="28"/>
      <c r="F15" s="28" t="s">
        <v>285</v>
      </c>
      <c r="G15" t="s">
        <v>6793</v>
      </c>
      <c r="H15" s="339" t="s">
        <v>6794</v>
      </c>
      <c r="I15" s="798">
        <v>35872</v>
      </c>
      <c r="J15" s="3">
        <f t="shared" si="1"/>
        <v>31567</v>
      </c>
      <c r="K15" s="28" t="s">
        <v>17</v>
      </c>
      <c r="L15" s="233">
        <v>45882</v>
      </c>
      <c r="M15" s="32"/>
      <c r="U15" s="360">
        <v>0.53333333333333333</v>
      </c>
      <c r="V15" s="360">
        <v>0.81597222222222221</v>
      </c>
    </row>
    <row r="16" spans="1:22" hidden="1" x14ac:dyDescent="0.25">
      <c r="A16" s="483">
        <v>23072025</v>
      </c>
      <c r="B16" t="s">
        <v>6679</v>
      </c>
      <c r="C16" s="28" t="s">
        <v>660</v>
      </c>
      <c r="D16" s="233">
        <v>45861</v>
      </c>
      <c r="E16" s="28"/>
      <c r="F16" s="28" t="s">
        <v>285</v>
      </c>
      <c r="G16" t="s">
        <v>6792</v>
      </c>
      <c r="H16" s="339" t="s">
        <v>6795</v>
      </c>
      <c r="I16" s="798">
        <v>9968</v>
      </c>
      <c r="J16" s="3">
        <f t="shared" si="1"/>
        <v>8772</v>
      </c>
      <c r="K16" s="28" t="s">
        <v>17</v>
      </c>
      <c r="L16" s="233">
        <v>45882</v>
      </c>
      <c r="M16" s="32"/>
      <c r="U16" s="360">
        <v>0.53333333333333333</v>
      </c>
      <c r="V16" s="360">
        <v>0.81597222222222221</v>
      </c>
    </row>
    <row r="17" spans="1:24" s="21" customFormat="1" hidden="1" x14ac:dyDescent="0.25">
      <c r="A17" s="509" t="s">
        <v>7820</v>
      </c>
      <c r="B17" s="21" t="s">
        <v>7819</v>
      </c>
      <c r="C17" s="177" t="s">
        <v>410</v>
      </c>
      <c r="D17" s="510">
        <v>46093</v>
      </c>
      <c r="E17" s="177"/>
      <c r="F17" s="177" t="s">
        <v>285</v>
      </c>
      <c r="G17" s="1175" t="s">
        <v>7848</v>
      </c>
      <c r="H17" s="21" t="s">
        <v>8006</v>
      </c>
      <c r="I17" s="911">
        <v>44000</v>
      </c>
      <c r="J17" s="3">
        <f t="shared" si="1"/>
        <v>38720</v>
      </c>
      <c r="K17" s="21" t="s">
        <v>17</v>
      </c>
      <c r="L17" s="510">
        <v>46142</v>
      </c>
      <c r="M17" s="181"/>
      <c r="T17" s="21" t="s">
        <v>5989</v>
      </c>
      <c r="U17" s="488">
        <v>0.30902777777777779</v>
      </c>
      <c r="V17" s="488"/>
    </row>
    <row r="18" spans="1:24" hidden="1" x14ac:dyDescent="0.25">
      <c r="A18" s="483" t="s">
        <v>7976</v>
      </c>
      <c r="B18" t="s">
        <v>4870</v>
      </c>
      <c r="C18" s="28" t="s">
        <v>4218</v>
      </c>
      <c r="D18" s="233">
        <v>46126</v>
      </c>
      <c r="E18" s="28"/>
      <c r="F18" s="28" t="s">
        <v>285</v>
      </c>
      <c r="G18" s="88" t="s">
        <v>8039</v>
      </c>
      <c r="H18" s="28" t="s">
        <v>8092</v>
      </c>
      <c r="I18" s="798">
        <v>41622</v>
      </c>
      <c r="J18" s="3">
        <f t="shared" si="1"/>
        <v>36627</v>
      </c>
      <c r="K18" t="s">
        <v>17</v>
      </c>
      <c r="L18" s="233">
        <v>46127</v>
      </c>
      <c r="M18" s="798"/>
      <c r="U18" t="s">
        <v>7833</v>
      </c>
      <c r="V18" s="360"/>
      <c r="W18" s="360"/>
    </row>
    <row r="19" spans="1:24" hidden="1" x14ac:dyDescent="0.25">
      <c r="A19" s="483" t="s">
        <v>7976</v>
      </c>
      <c r="B19" t="s">
        <v>4870</v>
      </c>
      <c r="C19" s="28" t="s">
        <v>4218</v>
      </c>
      <c r="D19" s="233">
        <v>46126</v>
      </c>
      <c r="E19" s="28"/>
      <c r="F19" s="28" t="s">
        <v>285</v>
      </c>
      <c r="G19" s="88" t="s">
        <v>8039</v>
      </c>
      <c r="H19" s="28" t="s">
        <v>8093</v>
      </c>
      <c r="I19" s="798">
        <v>9218</v>
      </c>
      <c r="J19" s="3">
        <f t="shared" ref="J19" si="2">+I19-ROUND(I19*0.12,0)</f>
        <v>8112</v>
      </c>
      <c r="K19" t="s">
        <v>17</v>
      </c>
      <c r="L19" s="510">
        <v>46155</v>
      </c>
      <c r="M19" s="798"/>
      <c r="U19" t="s">
        <v>7833</v>
      </c>
      <c r="V19" s="360"/>
      <c r="W19" s="360"/>
    </row>
    <row r="20" spans="1:24" hidden="1" x14ac:dyDescent="0.25">
      <c r="A20" s="483" t="s">
        <v>8005</v>
      </c>
      <c r="B20" t="s">
        <v>4870</v>
      </c>
      <c r="C20" s="28" t="s">
        <v>4218</v>
      </c>
      <c r="D20" s="233">
        <v>46133</v>
      </c>
      <c r="E20" s="28"/>
      <c r="F20" s="28" t="s">
        <v>285</v>
      </c>
      <c r="G20" s="88" t="s">
        <v>8096</v>
      </c>
      <c r="H20" t="s">
        <v>8094</v>
      </c>
      <c r="I20" s="798">
        <v>43024</v>
      </c>
      <c r="J20" s="3">
        <f>+I20-ROUND(I20*0.12,0)</f>
        <v>37861</v>
      </c>
      <c r="K20" t="s">
        <v>17</v>
      </c>
      <c r="L20" s="510">
        <v>46155</v>
      </c>
      <c r="M20" s="798"/>
      <c r="U20" t="s">
        <v>4138</v>
      </c>
      <c r="V20" s="360">
        <v>0.29166666666666669</v>
      </c>
      <c r="W20" s="360">
        <v>0.59791666666666665</v>
      </c>
    </row>
    <row r="21" spans="1:24" hidden="1" x14ac:dyDescent="0.25">
      <c r="A21" s="483" t="s">
        <v>8005</v>
      </c>
      <c r="B21" t="s">
        <v>4870</v>
      </c>
      <c r="C21" s="28" t="s">
        <v>4218</v>
      </c>
      <c r="D21" s="233">
        <v>46133</v>
      </c>
      <c r="E21" s="28"/>
      <c r="F21" s="28" t="s">
        <v>285</v>
      </c>
      <c r="G21" s="88" t="s">
        <v>8096</v>
      </c>
      <c r="H21" t="s">
        <v>8095</v>
      </c>
      <c r="I21" s="798">
        <v>9346</v>
      </c>
      <c r="J21" s="3">
        <f>+I21-ROUND(I21*0.12,0)</f>
        <v>8224</v>
      </c>
      <c r="K21" t="s">
        <v>17</v>
      </c>
      <c r="L21" s="510">
        <v>46155</v>
      </c>
      <c r="M21" s="798"/>
      <c r="U21" t="s">
        <v>4138</v>
      </c>
      <c r="V21" s="360">
        <v>0.29166666666666669</v>
      </c>
      <c r="W21" s="360">
        <v>0.59791666666666665</v>
      </c>
    </row>
    <row r="22" spans="1:24" hidden="1" x14ac:dyDescent="0.25">
      <c r="A22" s="483">
        <v>20062026</v>
      </c>
      <c r="B22" t="s">
        <v>4870</v>
      </c>
      <c r="C22" s="31" t="s">
        <v>4218</v>
      </c>
      <c r="D22" s="233">
        <v>46193</v>
      </c>
      <c r="E22" s="28"/>
      <c r="F22" s="28" t="s">
        <v>285</v>
      </c>
      <c r="G22" s="88" t="s">
        <v>8278</v>
      </c>
      <c r="I22" s="798">
        <v>41970</v>
      </c>
      <c r="J22" s="3">
        <f>+I22-ROUND(I22*0.12,0)</f>
        <v>36934</v>
      </c>
      <c r="K22" s="1345" t="s">
        <v>17</v>
      </c>
      <c r="L22" s="233">
        <v>46204</v>
      </c>
      <c r="N22" s="798"/>
      <c r="V22" s="21" t="s">
        <v>7060</v>
      </c>
      <c r="W22" s="360">
        <v>0.51736111111111105</v>
      </c>
      <c r="X22" s="360">
        <v>0.80347222222222225</v>
      </c>
    </row>
    <row r="23" spans="1:24" hidden="1" x14ac:dyDescent="0.25">
      <c r="A23" s="483">
        <v>20062026</v>
      </c>
      <c r="B23" t="s">
        <v>4870</v>
      </c>
      <c r="C23" s="31" t="s">
        <v>4218</v>
      </c>
      <c r="D23" s="233">
        <v>46193</v>
      </c>
      <c r="E23" s="28"/>
      <c r="F23" s="28" t="s">
        <v>285</v>
      </c>
      <c r="G23" s="88" t="s">
        <v>8277</v>
      </c>
      <c r="H23" t="s">
        <v>8296</v>
      </c>
      <c r="I23" s="798">
        <v>9996</v>
      </c>
      <c r="J23" s="3">
        <f>+I23-ROUND(I23*0.12,0)</f>
        <v>8796</v>
      </c>
      <c r="K23" s="1345" t="s">
        <v>17</v>
      </c>
      <c r="L23" s="233">
        <v>46205</v>
      </c>
      <c r="N23" s="798"/>
      <c r="V23" s="21" t="s">
        <v>7060</v>
      </c>
      <c r="W23" s="360">
        <v>0.51736111111111105</v>
      </c>
      <c r="X23" s="360">
        <v>0.80347222222222225</v>
      </c>
    </row>
    <row r="24" spans="1:24" hidden="1" x14ac:dyDescent="0.25">
      <c r="A24" s="483" t="s">
        <v>8313</v>
      </c>
      <c r="B24" t="s">
        <v>4870</v>
      </c>
      <c r="C24" s="31" t="s">
        <v>410</v>
      </c>
      <c r="D24" s="233">
        <v>46210</v>
      </c>
      <c r="E24" s="28"/>
      <c r="F24" s="313" t="s">
        <v>285</v>
      </c>
      <c r="G24" s="88" t="s">
        <v>8338</v>
      </c>
      <c r="H24" t="s">
        <v>8360</v>
      </c>
      <c r="I24" s="313">
        <f>41970</f>
        <v>41970</v>
      </c>
      <c r="J24" s="3">
        <f t="shared" ref="J24:J27" si="3">+I24-ROUND(I24*0.12,0)</f>
        <v>36934</v>
      </c>
      <c r="K24" t="s">
        <v>17</v>
      </c>
      <c r="L24" s="233">
        <v>46245</v>
      </c>
      <c r="N24" s="88"/>
      <c r="O24" s="88"/>
      <c r="V24" t="s">
        <v>8314</v>
      </c>
      <c r="W24" s="360"/>
      <c r="X24" s="30"/>
    </row>
    <row r="25" spans="1:24" hidden="1" x14ac:dyDescent="0.25">
      <c r="A25" s="483" t="s">
        <v>8313</v>
      </c>
      <c r="B25" t="s">
        <v>4870</v>
      </c>
      <c r="C25" s="31" t="s">
        <v>410</v>
      </c>
      <c r="D25" s="233">
        <v>46210</v>
      </c>
      <c r="E25" s="28"/>
      <c r="F25" s="313" t="s">
        <v>285</v>
      </c>
      <c r="G25" s="88" t="s">
        <v>8339</v>
      </c>
      <c r="H25" t="s">
        <v>8361</v>
      </c>
      <c r="I25" s="313">
        <v>8496</v>
      </c>
      <c r="J25" s="3">
        <f t="shared" si="3"/>
        <v>7476</v>
      </c>
      <c r="K25" t="s">
        <v>17</v>
      </c>
      <c r="L25" s="233">
        <v>46245</v>
      </c>
      <c r="N25" s="88"/>
      <c r="O25" s="88"/>
      <c r="V25" t="s">
        <v>8314</v>
      </c>
      <c r="W25" s="360"/>
      <c r="X25" s="30"/>
    </row>
    <row r="26" spans="1:24" hidden="1" x14ac:dyDescent="0.25">
      <c r="A26" s="483">
        <v>31072026</v>
      </c>
      <c r="B26" t="s">
        <v>4870</v>
      </c>
      <c r="C26" s="31" t="s">
        <v>13</v>
      </c>
      <c r="D26" s="233">
        <v>46234</v>
      </c>
      <c r="E26" s="28"/>
      <c r="F26" s="313" t="s">
        <v>285</v>
      </c>
      <c r="G26" s="88" t="s">
        <v>8463</v>
      </c>
      <c r="H26" t="s">
        <v>8465</v>
      </c>
      <c r="I26" s="313">
        <v>41970</v>
      </c>
      <c r="J26" s="3">
        <f t="shared" ref="J26" si="4">+I26-ROUND(I26*0.12,0)</f>
        <v>36934</v>
      </c>
      <c r="K26" t="s">
        <v>17</v>
      </c>
      <c r="L26" s="233">
        <v>46258</v>
      </c>
      <c r="N26" s="88"/>
      <c r="O26" s="88"/>
      <c r="V26" t="s">
        <v>8304</v>
      </c>
      <c r="W26" s="360">
        <v>0.30069444444444443</v>
      </c>
      <c r="X26" s="360">
        <v>0.65902777777777777</v>
      </c>
    </row>
    <row r="27" spans="1:24" hidden="1" x14ac:dyDescent="0.25">
      <c r="A27" s="483">
        <v>31072026</v>
      </c>
      <c r="B27" t="s">
        <v>4870</v>
      </c>
      <c r="C27" s="31" t="s">
        <v>13</v>
      </c>
      <c r="D27" s="233">
        <v>46234</v>
      </c>
      <c r="E27" s="28"/>
      <c r="F27" s="313" t="s">
        <v>285</v>
      </c>
      <c r="G27" s="88" t="s">
        <v>8464</v>
      </c>
      <c r="H27" t="s">
        <v>8466</v>
      </c>
      <c r="I27" s="313">
        <v>9996</v>
      </c>
      <c r="J27" s="3">
        <f t="shared" si="3"/>
        <v>8796</v>
      </c>
      <c r="K27" t="s">
        <v>17</v>
      </c>
      <c r="L27" s="233">
        <v>46258</v>
      </c>
      <c r="N27" s="88"/>
      <c r="O27" s="88"/>
      <c r="V27" t="s">
        <v>8304</v>
      </c>
      <c r="W27" s="360">
        <v>0.30069444444444443</v>
      </c>
      <c r="X27" s="360">
        <v>0.65902777777777777</v>
      </c>
    </row>
    <row r="28" spans="1:24" x14ac:dyDescent="0.25">
      <c r="A28" s="483"/>
      <c r="C28" s="31"/>
      <c r="D28" s="233"/>
      <c r="E28" s="28"/>
      <c r="F28" s="313"/>
      <c r="G28" s="88"/>
      <c r="I28" s="313"/>
      <c r="K28"/>
      <c r="N28" s="88"/>
      <c r="O28" s="88"/>
      <c r="W28" s="360"/>
      <c r="X28" s="30"/>
    </row>
    <row r="29" spans="1:24" x14ac:dyDescent="0.25">
      <c r="H29" s="5" t="s">
        <v>423</v>
      </c>
      <c r="I29" s="9">
        <f>SUBTOTAL(9,I3:I28)</f>
        <v>0</v>
      </c>
      <c r="L29" s="122"/>
    </row>
  </sheetData>
  <autoFilter ref="B2:X28" xr:uid="{00000000-0009-0000-0000-000041000000}">
    <filterColumn colId="9">
      <filters blank="1"/>
    </filterColumn>
    <filterColumn colId="12" showButton="0"/>
    <filterColumn colId="13" showButton="0"/>
    <filterColumn colId="14" showButton="0"/>
  </autoFilter>
  <mergeCells count="1">
    <mergeCell ref="N2:Q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7521" r:id="rId4" name="Button 1">
              <controlPr defaultSize="0" print="0" autoFill="0" autoPict="0" macro="[0]!RETORNAR">
                <anchor moveWithCells="1" sizeWithCells="1">
                  <from>
                    <xdr:col>0</xdr:col>
                    <xdr:colOff>9525</xdr:colOff>
                    <xdr:row>0</xdr:row>
                    <xdr:rowOff>38100</xdr:rowOff>
                  </from>
                  <to>
                    <xdr:col>1</xdr:col>
                    <xdr:colOff>1066800</xdr:colOff>
                    <xdr:row>0</xdr:row>
                    <xdr:rowOff>276225</xdr:rowOff>
                  </to>
                </anchor>
              </controlPr>
            </control>
          </mc:Choice>
        </mc:AlternateContent>
        <mc:AlternateContent xmlns:mc="http://schemas.openxmlformats.org/markup-compatibility/2006">
          <mc:Choice Requires="x14">
            <control shapeId="747526" r:id="rId5" name="Botón 6">
              <controlPr defaultSize="0" print="0" autoFill="0" autoPict="0" macro="[0]!IR_VENTAS_B200_2026">
                <anchor moveWithCells="1" sizeWithCells="1">
                  <from>
                    <xdr:col>1</xdr:col>
                    <xdr:colOff>161925</xdr:colOff>
                    <xdr:row>30</xdr:row>
                    <xdr:rowOff>104775</xdr:rowOff>
                  </from>
                  <to>
                    <xdr:col>1</xdr:col>
                    <xdr:colOff>1457325</xdr:colOff>
                    <xdr:row>33</xdr:row>
                    <xdr:rowOff>142875</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Hoja70" filterMode="1">
    <pageSetUpPr fitToPage="1"/>
  </sheetPr>
  <dimension ref="A1:X16"/>
  <sheetViews>
    <sheetView workbookViewId="0">
      <selection activeCell="D9" sqref="D9"/>
    </sheetView>
  </sheetViews>
  <sheetFormatPr baseColWidth="10" defaultColWidth="10.85546875" defaultRowHeight="15" x14ac:dyDescent="0.25"/>
  <cols>
    <col min="2" max="2" width="25.42578125" customWidth="1"/>
    <col min="3" max="3" width="9.42578125" customWidth="1"/>
    <col min="5" max="5" width="5.28515625" customWidth="1"/>
    <col min="7" max="7" width="59.5703125" bestFit="1" customWidth="1"/>
    <col min="9" max="10" width="12" bestFit="1" customWidth="1"/>
  </cols>
  <sheetData>
    <row r="1" spans="1:24" ht="25.5" customHeight="1" x14ac:dyDescent="0.25"/>
    <row r="2" spans="1:24" x14ac:dyDescent="0.25">
      <c r="A2" t="s">
        <v>706</v>
      </c>
      <c r="B2" s="1" t="s">
        <v>0</v>
      </c>
      <c r="C2" s="1" t="s">
        <v>1</v>
      </c>
      <c r="D2" s="1" t="s">
        <v>2</v>
      </c>
      <c r="E2" s="1"/>
      <c r="F2" s="1" t="s">
        <v>3</v>
      </c>
      <c r="G2" s="1" t="s">
        <v>4</v>
      </c>
      <c r="H2" s="1" t="s">
        <v>5</v>
      </c>
      <c r="I2" s="1" t="s">
        <v>6</v>
      </c>
      <c r="J2" s="1" t="s">
        <v>1780</v>
      </c>
      <c r="K2" s="1" t="s">
        <v>8</v>
      </c>
      <c r="L2" s="1" t="s">
        <v>3997</v>
      </c>
      <c r="M2" s="1" t="s">
        <v>10</v>
      </c>
      <c r="N2" s="1480" t="s">
        <v>11</v>
      </c>
      <c r="O2" s="1480"/>
      <c r="P2" s="1480"/>
      <c r="Q2" s="1480"/>
    </row>
    <row r="3" spans="1:24" hidden="1" x14ac:dyDescent="0.25">
      <c r="A3" s="256">
        <v>20112023</v>
      </c>
      <c r="B3" t="s">
        <v>3204</v>
      </c>
      <c r="C3" t="s">
        <v>13</v>
      </c>
      <c r="D3" s="122">
        <v>45250</v>
      </c>
      <c r="F3" s="28" t="s">
        <v>3203</v>
      </c>
      <c r="G3" s="30" t="s">
        <v>3308</v>
      </c>
      <c r="H3" t="s">
        <v>3309</v>
      </c>
      <c r="I3" s="313">
        <v>55300</v>
      </c>
      <c r="J3">
        <f t="shared" ref="J3:J9" si="0">+I3*0.88</f>
        <v>48664</v>
      </c>
      <c r="K3" s="313" t="s">
        <v>17</v>
      </c>
      <c r="L3" s="122">
        <v>45265</v>
      </c>
      <c r="T3" s="14" t="s">
        <v>2050</v>
      </c>
      <c r="U3" s="14">
        <v>0.28750000000000003</v>
      </c>
      <c r="V3" s="14">
        <v>0.59375</v>
      </c>
    </row>
    <row r="4" spans="1:24" s="21" customFormat="1" hidden="1" x14ac:dyDescent="0.25">
      <c r="A4" s="509" t="s">
        <v>7832</v>
      </c>
      <c r="B4" s="21" t="s">
        <v>3204</v>
      </c>
      <c r="C4" s="177" t="s">
        <v>13</v>
      </c>
      <c r="D4" s="510">
        <v>46095</v>
      </c>
      <c r="E4" s="177"/>
      <c r="F4" s="177" t="s">
        <v>2253</v>
      </c>
      <c r="G4" s="1175" t="s">
        <v>8008</v>
      </c>
      <c r="H4" s="21" t="s">
        <v>8010</v>
      </c>
      <c r="I4" s="911">
        <v>43500</v>
      </c>
      <c r="J4" s="32">
        <f t="shared" si="0"/>
        <v>38280</v>
      </c>
      <c r="K4" s="313" t="s">
        <v>17</v>
      </c>
      <c r="L4" s="233">
        <v>46223</v>
      </c>
      <c r="M4" s="181"/>
      <c r="T4" s="21" t="s">
        <v>7833</v>
      </c>
      <c r="U4" s="488">
        <v>0.27152777777777776</v>
      </c>
      <c r="V4" s="488">
        <v>0.62361111111111112</v>
      </c>
    </row>
    <row r="5" spans="1:24" s="21" customFormat="1" hidden="1" x14ac:dyDescent="0.25">
      <c r="A5" s="509" t="s">
        <v>7832</v>
      </c>
      <c r="B5" s="21" t="s">
        <v>3204</v>
      </c>
      <c r="C5" s="177" t="s">
        <v>13</v>
      </c>
      <c r="D5" s="510">
        <v>46095</v>
      </c>
      <c r="E5" s="177"/>
      <c r="F5" s="177" t="s">
        <v>2253</v>
      </c>
      <c r="G5" s="1175" t="s">
        <v>8009</v>
      </c>
      <c r="H5" s="21" t="s">
        <v>8113</v>
      </c>
      <c r="I5" s="911">
        <v>11800</v>
      </c>
      <c r="J5" s="32">
        <f>+I5*0.88</f>
        <v>10384</v>
      </c>
      <c r="K5" s="313" t="s">
        <v>17</v>
      </c>
      <c r="L5" s="233">
        <v>46223</v>
      </c>
      <c r="M5" s="181"/>
      <c r="N5" s="233"/>
      <c r="T5" s="21" t="s">
        <v>7833</v>
      </c>
      <c r="U5" s="488">
        <v>0.27152777777777776</v>
      </c>
      <c r="V5" s="488">
        <v>0.62361111111111112</v>
      </c>
    </row>
    <row r="6" spans="1:24" hidden="1" x14ac:dyDescent="0.25">
      <c r="A6" s="483" t="s">
        <v>7878</v>
      </c>
      <c r="B6" s="21" t="s">
        <v>3204</v>
      </c>
      <c r="C6" s="28" t="s">
        <v>410</v>
      </c>
      <c r="D6" s="233">
        <v>46106</v>
      </c>
      <c r="E6" s="28"/>
      <c r="F6" s="28" t="s">
        <v>7879</v>
      </c>
      <c r="G6" s="1175" t="s">
        <v>8030</v>
      </c>
      <c r="H6" s="28" t="s">
        <v>8153</v>
      </c>
      <c r="I6" s="915">
        <v>43990</v>
      </c>
      <c r="J6" s="32">
        <f t="shared" si="0"/>
        <v>38711.199999999997</v>
      </c>
      <c r="K6" s="233" t="s">
        <v>17</v>
      </c>
      <c r="L6" s="233">
        <v>46181</v>
      </c>
      <c r="M6" s="558"/>
      <c r="N6" s="88"/>
      <c r="U6" t="s">
        <v>5989</v>
      </c>
      <c r="V6" s="360">
        <v>0.47986111111111113</v>
      </c>
      <c r="W6" s="360"/>
    </row>
    <row r="7" spans="1:24" hidden="1" x14ac:dyDescent="0.25">
      <c r="A7" s="483" t="s">
        <v>7878</v>
      </c>
      <c r="B7" s="21" t="s">
        <v>3204</v>
      </c>
      <c r="C7" s="28" t="s">
        <v>410</v>
      </c>
      <c r="D7" s="233">
        <v>46106</v>
      </c>
      <c r="E7" s="28"/>
      <c r="F7" s="28" t="s">
        <v>7879</v>
      </c>
      <c r="G7" s="1175" t="s">
        <v>8031</v>
      </c>
      <c r="H7" s="28" t="s">
        <v>8137</v>
      </c>
      <c r="I7" s="915">
        <v>14898</v>
      </c>
      <c r="J7" s="32">
        <f>+I7*0.88</f>
        <v>13110.24</v>
      </c>
      <c r="K7" s="233" t="s">
        <v>17</v>
      </c>
      <c r="L7" s="233">
        <v>46181</v>
      </c>
      <c r="M7" s="558"/>
      <c r="N7" s="88"/>
      <c r="U7" t="s">
        <v>5989</v>
      </c>
      <c r="V7" s="360">
        <v>0.47986111111111113</v>
      </c>
      <c r="W7" s="360"/>
    </row>
    <row r="8" spans="1:24" x14ac:dyDescent="0.25">
      <c r="A8" s="483" t="s">
        <v>8117</v>
      </c>
      <c r="B8" t="s">
        <v>3204</v>
      </c>
      <c r="C8" s="28" t="s">
        <v>4218</v>
      </c>
      <c r="D8" s="233">
        <v>46158</v>
      </c>
      <c r="E8" s="28"/>
      <c r="F8" s="28" t="s">
        <v>2253</v>
      </c>
      <c r="G8" s="88" t="s">
        <v>8146</v>
      </c>
      <c r="I8" s="798">
        <f>17420+43990</f>
        <v>61410</v>
      </c>
      <c r="J8" s="32">
        <f t="shared" si="0"/>
        <v>54040.800000000003</v>
      </c>
      <c r="K8" s="1331"/>
      <c r="L8" s="1331"/>
      <c r="N8" s="798"/>
      <c r="V8" t="s">
        <v>8118</v>
      </c>
      <c r="W8" s="360">
        <v>0.28472222222222221</v>
      </c>
      <c r="X8" s="360">
        <v>0.62013888888888891</v>
      </c>
    </row>
    <row r="9" spans="1:24" x14ac:dyDescent="0.25">
      <c r="A9" s="483">
        <v>17072026</v>
      </c>
      <c r="B9" t="s">
        <v>3204</v>
      </c>
      <c r="C9" s="28" t="s">
        <v>4218</v>
      </c>
      <c r="D9" s="233">
        <v>46220</v>
      </c>
      <c r="F9" s="28" t="s">
        <v>2253</v>
      </c>
      <c r="G9" s="30" t="s">
        <v>8365</v>
      </c>
      <c r="H9" s="30"/>
      <c r="I9" s="160">
        <v>59620</v>
      </c>
      <c r="J9" s="32">
        <f t="shared" si="0"/>
        <v>52465.599999999999</v>
      </c>
      <c r="L9" s="122"/>
      <c r="U9" s="14"/>
      <c r="V9" s="14"/>
    </row>
    <row r="10" spans="1:24" x14ac:dyDescent="0.25">
      <c r="A10" s="116"/>
      <c r="B10" s="169"/>
      <c r="C10" s="21"/>
      <c r="D10" s="123"/>
      <c r="E10" s="88"/>
      <c r="F10" s="21"/>
      <c r="G10" s="21"/>
      <c r="I10" s="160"/>
      <c r="J10" s="160"/>
      <c r="K10" s="160"/>
      <c r="L10" s="122"/>
      <c r="O10" s="163"/>
      <c r="P10" s="157"/>
      <c r="Q10" s="157"/>
    </row>
    <row r="11" spans="1:24" x14ac:dyDescent="0.25">
      <c r="H11" s="5" t="s">
        <v>423</v>
      </c>
      <c r="I11" s="9">
        <f>SUBTOTAL(9,I3:I10)</f>
        <v>121030</v>
      </c>
      <c r="L11" s="122"/>
    </row>
    <row r="12" spans="1:24" x14ac:dyDescent="0.25">
      <c r="J12" s="17">
        <f>+I9-43990</f>
        <v>15630</v>
      </c>
    </row>
    <row r="15" spans="1:24" x14ac:dyDescent="0.25">
      <c r="I15" s="160"/>
    </row>
    <row r="16" spans="1:24" x14ac:dyDescent="0.25">
      <c r="I16" s="17"/>
    </row>
  </sheetData>
  <autoFilter ref="A2:Q10" xr:uid="{00000000-0009-0000-0000-000042000000}">
    <filterColumn colId="10">
      <filters blank="1"/>
    </filterColumn>
    <filterColumn colId="13" showButton="0"/>
    <filterColumn colId="14" showButton="0"/>
    <filterColumn colId="15" showButton="0"/>
  </autoFilter>
  <mergeCells count="1">
    <mergeCell ref="N2:Q2"/>
  </mergeCells>
  <pageMargins left="0.7" right="0.7" top="0.75" bottom="0.75" header="0.3" footer="0.3"/>
  <pageSetup paperSize="9" scale="4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2641" r:id="rId4" name="Button 1">
              <controlPr defaultSize="0" print="0" autoFill="0" autoPict="0" macro="[0]!RETORNAR">
                <anchor moveWithCells="1" sizeWithCells="1">
                  <from>
                    <xdr:col>0</xdr:col>
                    <xdr:colOff>9525</xdr:colOff>
                    <xdr:row>0</xdr:row>
                    <xdr:rowOff>38100</xdr:rowOff>
                  </from>
                  <to>
                    <xdr:col>1</xdr:col>
                    <xdr:colOff>1066800</xdr:colOff>
                    <xdr:row>0</xdr:row>
                    <xdr:rowOff>276225</xdr:rowOff>
                  </to>
                </anchor>
              </controlPr>
            </control>
          </mc:Choice>
        </mc:AlternateContent>
        <mc:AlternateContent xmlns:mc="http://schemas.openxmlformats.org/markup-compatibility/2006">
          <mc:Choice Requires="x14">
            <control shapeId="752646" r:id="rId5" name="Botón 6">
              <controlPr defaultSize="0" print="0" autoFill="0" autoPict="0" macro="[0]!IR_VENTAS_B200_2026">
                <anchor moveWithCells="1" sizeWithCells="1">
                  <from>
                    <xdr:col>0</xdr:col>
                    <xdr:colOff>523875</xdr:colOff>
                    <xdr:row>12</xdr:row>
                    <xdr:rowOff>142875</xdr:rowOff>
                  </from>
                  <to>
                    <xdr:col>1</xdr:col>
                    <xdr:colOff>1076325</xdr:colOff>
                    <xdr:row>15</xdr:row>
                    <xdr:rowOff>180975</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Hoja71" filterMode="1"/>
  <dimension ref="A1:W17"/>
  <sheetViews>
    <sheetView topLeftCell="B1" workbookViewId="0">
      <selection activeCell="I20" sqref="I20"/>
    </sheetView>
  </sheetViews>
  <sheetFormatPr baseColWidth="10" defaultColWidth="10.85546875" defaultRowHeight="15" x14ac:dyDescent="0.25"/>
  <cols>
    <col min="2" max="2" width="25.42578125" customWidth="1"/>
    <col min="3" max="3" width="9.42578125" customWidth="1"/>
    <col min="5" max="5" width="5.28515625" customWidth="1"/>
    <col min="7" max="7" width="46.5703125" bestFit="1" customWidth="1"/>
    <col min="9" max="9" width="11.5703125" bestFit="1" customWidth="1"/>
    <col min="10" max="10" width="12" bestFit="1" customWidth="1"/>
  </cols>
  <sheetData>
    <row r="1" spans="1:23" ht="25.5" customHeight="1" x14ac:dyDescent="0.25"/>
    <row r="2" spans="1:23" x14ac:dyDescent="0.25">
      <c r="A2" t="s">
        <v>706</v>
      </c>
      <c r="B2" s="1" t="s">
        <v>0</v>
      </c>
      <c r="C2" s="1" t="s">
        <v>1</v>
      </c>
      <c r="D2" s="1" t="s">
        <v>2</v>
      </c>
      <c r="E2" s="1"/>
      <c r="F2" s="1" t="s">
        <v>3</v>
      </c>
      <c r="G2" s="1" t="s">
        <v>4</v>
      </c>
      <c r="H2" s="1" t="s">
        <v>5</v>
      </c>
      <c r="I2" s="1" t="s">
        <v>7</v>
      </c>
      <c r="J2" s="1" t="s">
        <v>1780</v>
      </c>
      <c r="K2" s="1" t="s">
        <v>8</v>
      </c>
      <c r="L2" s="1" t="s">
        <v>3997</v>
      </c>
      <c r="M2" s="1" t="s">
        <v>10</v>
      </c>
      <c r="N2" s="1480" t="s">
        <v>11</v>
      </c>
      <c r="O2" s="1480"/>
      <c r="P2" s="1480"/>
      <c r="Q2" s="1480"/>
    </row>
    <row r="3" spans="1:23" hidden="1" x14ac:dyDescent="0.25">
      <c r="A3" s="256">
        <v>24112023</v>
      </c>
      <c r="B3" t="s">
        <v>3235</v>
      </c>
      <c r="C3" t="s">
        <v>13</v>
      </c>
      <c r="D3" s="122">
        <v>45254</v>
      </c>
      <c r="F3" s="28" t="s">
        <v>285</v>
      </c>
      <c r="G3" s="28" t="s">
        <v>3365</v>
      </c>
      <c r="H3" t="s">
        <v>3645</v>
      </c>
      <c r="I3" s="313">
        <v>45450</v>
      </c>
      <c r="J3" s="88">
        <f>+I3*0.88</f>
        <v>39996</v>
      </c>
      <c r="K3" t="s">
        <v>17</v>
      </c>
      <c r="L3" s="122">
        <v>45343</v>
      </c>
      <c r="T3" s="14" t="s">
        <v>3151</v>
      </c>
      <c r="U3" s="14">
        <v>0.68055555555555547</v>
      </c>
      <c r="V3" s="14">
        <v>0.93402777777777779</v>
      </c>
    </row>
    <row r="4" spans="1:23" hidden="1" x14ac:dyDescent="0.25">
      <c r="A4" s="483">
        <v>18072024</v>
      </c>
      <c r="B4" t="s">
        <v>3640</v>
      </c>
      <c r="C4" s="28" t="s">
        <v>13</v>
      </c>
      <c r="D4" s="233">
        <v>45491</v>
      </c>
      <c r="F4" s="28" t="s">
        <v>285</v>
      </c>
      <c r="G4" s="30" t="s">
        <v>4634</v>
      </c>
      <c r="H4" t="s">
        <v>5572</v>
      </c>
      <c r="I4" s="88">
        <f>11800</f>
        <v>11800</v>
      </c>
      <c r="J4" s="3">
        <f t="shared" ref="J4:J6" si="0">+I4-ROUND(I4*0.12,0)</f>
        <v>10384</v>
      </c>
      <c r="K4" t="s">
        <v>17</v>
      </c>
      <c r="L4" s="233">
        <v>45741</v>
      </c>
      <c r="T4" s="14" t="s">
        <v>4022</v>
      </c>
      <c r="U4" s="360">
        <v>0.31180555555555556</v>
      </c>
      <c r="V4" s="360">
        <v>0.54861111111111105</v>
      </c>
    </row>
    <row r="5" spans="1:23" hidden="1" x14ac:dyDescent="0.25">
      <c r="A5" s="483">
        <v>17012025</v>
      </c>
      <c r="B5" t="s">
        <v>3640</v>
      </c>
      <c r="C5" s="233" t="s">
        <v>410</v>
      </c>
      <c r="D5" s="233">
        <v>45674</v>
      </c>
      <c r="E5" s="28"/>
      <c r="F5" s="28" t="s">
        <v>317</v>
      </c>
      <c r="G5" t="s">
        <v>5590</v>
      </c>
      <c r="H5" t="s">
        <v>6370</v>
      </c>
      <c r="I5" s="88">
        <v>12272</v>
      </c>
      <c r="J5" s="3">
        <f t="shared" si="0"/>
        <v>10799</v>
      </c>
      <c r="K5" t="s">
        <v>17</v>
      </c>
      <c r="L5" s="233">
        <v>45791</v>
      </c>
      <c r="T5" t="s">
        <v>4853</v>
      </c>
      <c r="U5" s="360">
        <v>0.29583333333333334</v>
      </c>
      <c r="V5" s="360">
        <v>0.55138888888888882</v>
      </c>
    </row>
    <row r="6" spans="1:23" hidden="1" x14ac:dyDescent="0.25">
      <c r="A6" s="483" t="s">
        <v>5774</v>
      </c>
      <c r="B6" t="s">
        <v>3640</v>
      </c>
      <c r="C6" s="28" t="s">
        <v>4218</v>
      </c>
      <c r="D6" s="233">
        <v>45723</v>
      </c>
      <c r="E6" s="28"/>
      <c r="F6" s="28" t="s">
        <v>236</v>
      </c>
      <c r="G6" s="30" t="s">
        <v>5943</v>
      </c>
      <c r="H6" s="30" t="s">
        <v>5956</v>
      </c>
      <c r="I6" s="798">
        <v>14160</v>
      </c>
      <c r="J6" s="3">
        <f t="shared" si="0"/>
        <v>12461</v>
      </c>
      <c r="K6" s="798" t="s">
        <v>17</v>
      </c>
      <c r="L6" s="233">
        <v>45845</v>
      </c>
      <c r="T6" t="s">
        <v>4853</v>
      </c>
      <c r="U6" s="360">
        <v>0.26180555555555557</v>
      </c>
      <c r="V6" s="360">
        <v>0.54513888888888884</v>
      </c>
    </row>
    <row r="7" spans="1:23" hidden="1" x14ac:dyDescent="0.25">
      <c r="A7" s="483">
        <v>31052025</v>
      </c>
      <c r="B7" t="s">
        <v>6329</v>
      </c>
      <c r="C7" s="28" t="s">
        <v>278</v>
      </c>
      <c r="D7" s="233">
        <v>45808</v>
      </c>
      <c r="E7" s="28"/>
      <c r="F7" s="28" t="s">
        <v>143</v>
      </c>
      <c r="G7" t="s">
        <v>6330</v>
      </c>
      <c r="H7" s="28" t="s">
        <v>6655</v>
      </c>
      <c r="I7" s="88">
        <v>9912</v>
      </c>
      <c r="J7" s="3">
        <f>+I7*0.88</f>
        <v>8722.56</v>
      </c>
      <c r="K7" s="798" t="s">
        <v>17</v>
      </c>
      <c r="L7" s="233">
        <v>45981</v>
      </c>
      <c r="T7" t="s">
        <v>5026</v>
      </c>
      <c r="U7" s="360">
        <v>0.25972222222222224</v>
      </c>
      <c r="V7" s="360">
        <v>0.48402777777777778</v>
      </c>
    </row>
    <row r="8" spans="1:23" hidden="1" x14ac:dyDescent="0.25">
      <c r="A8" s="483" t="s">
        <v>6351</v>
      </c>
      <c r="B8" t="s">
        <v>3640</v>
      </c>
      <c r="C8" s="28" t="s">
        <v>278</v>
      </c>
      <c r="D8" s="233">
        <v>45815</v>
      </c>
      <c r="E8" s="28"/>
      <c r="F8" s="28" t="s">
        <v>236</v>
      </c>
      <c r="G8" t="s">
        <v>5943</v>
      </c>
      <c r="H8" s="28" t="s">
        <v>6654</v>
      </c>
      <c r="I8" s="798">
        <v>14160</v>
      </c>
      <c r="J8" s="3">
        <f>+I8*0.88</f>
        <v>12460.8</v>
      </c>
      <c r="K8" s="798" t="s">
        <v>17</v>
      </c>
      <c r="L8" s="233">
        <v>45939</v>
      </c>
      <c r="T8" t="s">
        <v>5026</v>
      </c>
      <c r="U8" s="360">
        <v>0.61527777777777781</v>
      </c>
      <c r="V8" s="360">
        <v>0.88750000000000007</v>
      </c>
    </row>
    <row r="9" spans="1:23" hidden="1" x14ac:dyDescent="0.25">
      <c r="A9" s="483">
        <v>22062025</v>
      </c>
      <c r="B9" t="s">
        <v>3640</v>
      </c>
      <c r="C9" s="28" t="s">
        <v>4437</v>
      </c>
      <c r="D9" s="233">
        <v>45830</v>
      </c>
      <c r="E9" s="28"/>
      <c r="F9" s="28" t="s">
        <v>2036</v>
      </c>
      <c r="G9" t="s">
        <v>6652</v>
      </c>
      <c r="H9" s="28" t="s">
        <v>6653</v>
      </c>
      <c r="I9" s="798">
        <v>7080</v>
      </c>
      <c r="J9" s="3">
        <f>+I9*0.88</f>
        <v>6230.4</v>
      </c>
      <c r="K9" s="798" t="s">
        <v>17</v>
      </c>
      <c r="L9" s="233">
        <v>45939</v>
      </c>
      <c r="T9" t="s">
        <v>3765</v>
      </c>
      <c r="U9" s="30">
        <v>11.16</v>
      </c>
      <c r="V9" s="360">
        <v>0.61597222222222225</v>
      </c>
    </row>
    <row r="10" spans="1:23" hidden="1" x14ac:dyDescent="0.25">
      <c r="A10" s="483" t="s">
        <v>7883</v>
      </c>
      <c r="B10" s="21" t="s">
        <v>3640</v>
      </c>
      <c r="C10" s="28" t="s">
        <v>410</v>
      </c>
      <c r="D10" s="233">
        <v>46109</v>
      </c>
      <c r="E10" s="28"/>
      <c r="F10" s="28" t="s">
        <v>68</v>
      </c>
      <c r="G10" s="1175" t="s">
        <v>7905</v>
      </c>
      <c r="I10" s="915">
        <v>12827</v>
      </c>
      <c r="J10" s="3">
        <f>+I10*0.88</f>
        <v>11287.76</v>
      </c>
      <c r="K10" s="1067" t="s">
        <v>17</v>
      </c>
      <c r="L10" t="s">
        <v>2389</v>
      </c>
      <c r="N10" s="88"/>
      <c r="U10" t="s">
        <v>7842</v>
      </c>
      <c r="V10" s="360">
        <v>0.69930555555555562</v>
      </c>
      <c r="W10" s="360">
        <v>0.95138888888888884</v>
      </c>
    </row>
    <row r="11" spans="1:23" x14ac:dyDescent="0.25">
      <c r="A11" s="256"/>
      <c r="D11" s="122"/>
      <c r="F11" s="30"/>
      <c r="G11" s="30"/>
      <c r="H11" s="30"/>
      <c r="I11" s="160"/>
      <c r="L11" s="32"/>
      <c r="U11" s="14"/>
      <c r="V11" s="14"/>
    </row>
    <row r="12" spans="1:23" x14ac:dyDescent="0.25">
      <c r="A12" s="116"/>
      <c r="B12" s="169"/>
      <c r="C12" s="21"/>
      <c r="D12" s="123"/>
      <c r="E12" s="88"/>
      <c r="F12" s="21"/>
      <c r="G12" s="21"/>
      <c r="I12" s="160"/>
      <c r="J12" s="160"/>
      <c r="K12" s="160"/>
      <c r="L12" s="122"/>
      <c r="O12" s="163"/>
      <c r="P12" s="157"/>
      <c r="Q12" s="157"/>
    </row>
    <row r="13" spans="1:23" x14ac:dyDescent="0.25">
      <c r="H13" s="5" t="s">
        <v>423</v>
      </c>
      <c r="I13" s="905">
        <f>SUBTOTAL(9,I3:I12)</f>
        <v>0</v>
      </c>
      <c r="L13" s="32"/>
    </row>
    <row r="14" spans="1:23" x14ac:dyDescent="0.25">
      <c r="L14" s="158"/>
    </row>
    <row r="15" spans="1:23" x14ac:dyDescent="0.25">
      <c r="I15" s="149"/>
    </row>
    <row r="17" spans="11:11" x14ac:dyDescent="0.25">
      <c r="K17" s="3"/>
    </row>
  </sheetData>
  <autoFilter ref="A2:Q12" xr:uid="{00000000-0009-0000-0000-000043000000}">
    <filterColumn colId="10">
      <filters blank="1"/>
    </filterColumn>
    <filterColumn colId="13" showButton="0"/>
    <filterColumn colId="14" showButton="0"/>
    <filterColumn colId="15" showButton="0"/>
  </autoFilter>
  <mergeCells count="1">
    <mergeCell ref="N2: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61" r:id="rId3" name="Button 1">
              <controlPr defaultSize="0" print="0" autoFill="0" autoPict="0" macro="[0]!RETORNAR">
                <anchor moveWithCells="1" sizeWithCells="1">
                  <from>
                    <xdr:col>0</xdr:col>
                    <xdr:colOff>9525</xdr:colOff>
                    <xdr:row>0</xdr:row>
                    <xdr:rowOff>38100</xdr:rowOff>
                  </from>
                  <to>
                    <xdr:col>1</xdr:col>
                    <xdr:colOff>1066800</xdr:colOff>
                    <xdr:row>0</xdr:row>
                    <xdr:rowOff>276225</xdr:rowOff>
                  </to>
                </anchor>
              </controlPr>
            </control>
          </mc:Choice>
        </mc:AlternateContent>
        <mc:AlternateContent xmlns:mc="http://schemas.openxmlformats.org/markup-compatibility/2006">
          <mc:Choice Requires="x14">
            <control shapeId="757769" r:id="rId4" name="Botón 9">
              <controlPr defaultSize="0" print="0" autoFill="0" autoPict="0" macro="[0]!IR_VENTAS_B200_2026">
                <anchor moveWithCells="1" sizeWithCells="1">
                  <from>
                    <xdr:col>1</xdr:col>
                    <xdr:colOff>123825</xdr:colOff>
                    <xdr:row>18</xdr:row>
                    <xdr:rowOff>180975</xdr:rowOff>
                  </from>
                  <to>
                    <xdr:col>1</xdr:col>
                    <xdr:colOff>1428750</xdr:colOff>
                    <xdr:row>22</xdr:row>
                    <xdr:rowOff>28575</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Hoja72" filterMode="1"/>
  <dimension ref="A1:X12"/>
  <sheetViews>
    <sheetView workbookViewId="0">
      <selection activeCell="L9" sqref="L9"/>
    </sheetView>
  </sheetViews>
  <sheetFormatPr baseColWidth="10" defaultColWidth="10.85546875" defaultRowHeight="15" x14ac:dyDescent="0.25"/>
  <cols>
    <col min="2" max="2" width="25.42578125" customWidth="1"/>
    <col min="3" max="3" width="9.42578125" customWidth="1"/>
    <col min="5" max="5" width="5.28515625" customWidth="1"/>
    <col min="7" max="7" width="42.5703125" customWidth="1"/>
    <col min="9" max="9" width="11.5703125" bestFit="1" customWidth="1"/>
    <col min="10" max="10" width="12" bestFit="1" customWidth="1"/>
  </cols>
  <sheetData>
    <row r="1" spans="1:24" ht="25.5" customHeight="1" x14ac:dyDescent="0.25"/>
    <row r="2" spans="1:24" x14ac:dyDescent="0.25">
      <c r="A2" t="s">
        <v>706</v>
      </c>
      <c r="B2" s="1" t="s">
        <v>0</v>
      </c>
      <c r="C2" s="1" t="s">
        <v>1</v>
      </c>
      <c r="D2" s="1" t="s">
        <v>2</v>
      </c>
      <c r="E2" s="1"/>
      <c r="F2" s="1" t="s">
        <v>3</v>
      </c>
      <c r="G2" s="1" t="s">
        <v>4</v>
      </c>
      <c r="H2" s="1" t="s">
        <v>5</v>
      </c>
      <c r="I2" s="1" t="s">
        <v>7</v>
      </c>
      <c r="J2" s="1" t="s">
        <v>1780</v>
      </c>
      <c r="K2" s="1" t="s">
        <v>8</v>
      </c>
      <c r="L2" s="1" t="s">
        <v>3997</v>
      </c>
      <c r="M2" s="1" t="s">
        <v>10</v>
      </c>
      <c r="N2" s="1480" t="s">
        <v>11</v>
      </c>
      <c r="O2" s="1480"/>
      <c r="P2" s="1480"/>
      <c r="Q2" s="1480"/>
    </row>
    <row r="3" spans="1:24" hidden="1" x14ac:dyDescent="0.25">
      <c r="A3" s="430" t="s">
        <v>3259</v>
      </c>
      <c r="B3" t="s">
        <v>3258</v>
      </c>
      <c r="C3" t="s">
        <v>410</v>
      </c>
      <c r="D3" s="122">
        <v>45261</v>
      </c>
      <c r="F3" s="28" t="s">
        <v>425</v>
      </c>
      <c r="G3" s="30" t="s">
        <v>3300</v>
      </c>
      <c r="H3" t="s">
        <v>3301</v>
      </c>
      <c r="I3" s="88">
        <v>8024</v>
      </c>
      <c r="J3" s="4">
        <f t="shared" ref="J3:J8" si="0">+I3-ROUND(I3*0.12,0)</f>
        <v>7061</v>
      </c>
      <c r="K3" t="s">
        <v>17</v>
      </c>
      <c r="L3" s="122">
        <v>45301</v>
      </c>
      <c r="T3" s="14" t="s">
        <v>922</v>
      </c>
      <c r="U3" s="14">
        <v>0.4680555555555555</v>
      </c>
      <c r="V3" s="14">
        <v>0.63402777777777775</v>
      </c>
    </row>
    <row r="4" spans="1:24" hidden="1" x14ac:dyDescent="0.25">
      <c r="A4" s="430" t="s">
        <v>3263</v>
      </c>
      <c r="B4" t="s">
        <v>3261</v>
      </c>
      <c r="C4" t="s">
        <v>13</v>
      </c>
      <c r="D4" s="122">
        <v>45262</v>
      </c>
      <c r="F4" s="28" t="s">
        <v>425</v>
      </c>
      <c r="G4" s="30" t="s">
        <v>3299</v>
      </c>
      <c r="H4" t="s">
        <v>3302</v>
      </c>
      <c r="I4" s="236">
        <v>8024</v>
      </c>
      <c r="J4" s="4">
        <f t="shared" si="0"/>
        <v>7061</v>
      </c>
      <c r="K4" t="s">
        <v>17</v>
      </c>
      <c r="L4" s="122">
        <v>45301</v>
      </c>
      <c r="T4" s="14" t="s">
        <v>3151</v>
      </c>
      <c r="U4" s="14">
        <v>0.27430555555555552</v>
      </c>
      <c r="V4" s="14">
        <v>0.49583333333333335</v>
      </c>
    </row>
    <row r="5" spans="1:24" hidden="1" x14ac:dyDescent="0.25">
      <c r="A5" s="483" t="s">
        <v>4513</v>
      </c>
      <c r="B5" t="s">
        <v>4515</v>
      </c>
      <c r="C5" s="28" t="s">
        <v>410</v>
      </c>
      <c r="D5" s="233">
        <v>45487</v>
      </c>
      <c r="F5" s="28" t="s">
        <v>68</v>
      </c>
      <c r="G5" s="30" t="s">
        <v>4664</v>
      </c>
      <c r="H5" s="30" t="s">
        <v>6292</v>
      </c>
      <c r="I5" s="236">
        <v>11800</v>
      </c>
      <c r="J5" s="4">
        <f t="shared" si="0"/>
        <v>10384</v>
      </c>
      <c r="K5" t="s">
        <v>17</v>
      </c>
      <c r="L5" s="374">
        <v>45663</v>
      </c>
      <c r="T5" s="14" t="s">
        <v>3408</v>
      </c>
      <c r="U5" s="360">
        <v>0.3034722222222222</v>
      </c>
      <c r="V5" s="360">
        <v>0.56736111111111109</v>
      </c>
    </row>
    <row r="6" spans="1:24" hidden="1" x14ac:dyDescent="0.25">
      <c r="A6" s="483">
        <v>20012025</v>
      </c>
      <c r="B6" t="s">
        <v>4515</v>
      </c>
      <c r="C6" s="233" t="s">
        <v>410</v>
      </c>
      <c r="D6" s="233">
        <v>45677</v>
      </c>
      <c r="E6" s="28"/>
      <c r="F6" s="28" t="s">
        <v>5538</v>
      </c>
      <c r="G6" t="s">
        <v>5588</v>
      </c>
      <c r="H6" s="236" t="s">
        <v>5589</v>
      </c>
      <c r="I6" s="313">
        <v>12980</v>
      </c>
      <c r="J6" s="4">
        <f t="shared" si="0"/>
        <v>11422</v>
      </c>
      <c r="K6" t="s">
        <v>17</v>
      </c>
      <c r="L6" s="233">
        <v>45873</v>
      </c>
      <c r="T6" t="s">
        <v>4853</v>
      </c>
      <c r="U6" s="360"/>
      <c r="V6" s="360"/>
    </row>
    <row r="7" spans="1:24" hidden="1" x14ac:dyDescent="0.25">
      <c r="A7" s="483" t="s">
        <v>6705</v>
      </c>
      <c r="B7" t="s">
        <v>4515</v>
      </c>
      <c r="C7" s="28" t="s">
        <v>410</v>
      </c>
      <c r="D7" s="233">
        <v>45871</v>
      </c>
      <c r="E7" s="28"/>
      <c r="F7" s="28" t="s">
        <v>113</v>
      </c>
      <c r="G7" s="1067" t="s">
        <v>7003</v>
      </c>
      <c r="H7" s="28" t="s">
        <v>7004</v>
      </c>
      <c r="I7" s="798">
        <v>10148</v>
      </c>
      <c r="J7" s="4">
        <f t="shared" si="0"/>
        <v>8930</v>
      </c>
      <c r="K7" s="798" t="s">
        <v>17</v>
      </c>
      <c r="L7" s="233">
        <v>45917</v>
      </c>
      <c r="M7" s="32"/>
      <c r="T7" t="s">
        <v>4345</v>
      </c>
      <c r="U7" s="360">
        <v>0.34722222222222227</v>
      </c>
      <c r="V7" s="360">
        <v>0.56111111111111112</v>
      </c>
    </row>
    <row r="8" spans="1:24" hidden="1" x14ac:dyDescent="0.25">
      <c r="A8" s="483">
        <v>25062026</v>
      </c>
      <c r="B8" t="s">
        <v>4515</v>
      </c>
      <c r="C8" s="31"/>
      <c r="D8" s="233">
        <v>46198</v>
      </c>
      <c r="E8" s="28"/>
      <c r="F8" s="313" t="s">
        <v>68</v>
      </c>
      <c r="G8" s="88" t="s">
        <v>8306</v>
      </c>
      <c r="H8" t="s">
        <v>8305</v>
      </c>
      <c r="I8" s="88">
        <v>13435</v>
      </c>
      <c r="J8" s="4">
        <f t="shared" si="0"/>
        <v>11823</v>
      </c>
      <c r="K8" t="s">
        <v>17</v>
      </c>
      <c r="L8" s="233">
        <v>46261</v>
      </c>
      <c r="M8" s="313"/>
      <c r="V8" t="s">
        <v>8193</v>
      </c>
      <c r="W8" s="360">
        <v>0.70694444444444438</v>
      </c>
      <c r="X8" s="30"/>
    </row>
    <row r="10" spans="1:24" x14ac:dyDescent="0.25">
      <c r="A10" s="256"/>
      <c r="D10" s="122"/>
      <c r="F10" s="30"/>
      <c r="G10" s="30"/>
      <c r="H10" s="30"/>
      <c r="I10" s="160"/>
      <c r="L10" s="122"/>
      <c r="U10" s="14"/>
      <c r="V10" s="14"/>
    </row>
    <row r="11" spans="1:24" x14ac:dyDescent="0.25">
      <c r="A11" s="116"/>
      <c r="B11" s="169"/>
      <c r="C11" s="21"/>
      <c r="D11" s="123"/>
      <c r="E11" s="88"/>
      <c r="F11" s="21"/>
      <c r="I11" s="160"/>
      <c r="J11" s="160"/>
      <c r="K11" s="160"/>
      <c r="L11" s="122"/>
      <c r="O11" s="163"/>
      <c r="P11" s="157"/>
      <c r="Q11" s="157"/>
    </row>
    <row r="12" spans="1:24" x14ac:dyDescent="0.25">
      <c r="G12" s="21"/>
      <c r="H12" s="5" t="s">
        <v>423</v>
      </c>
      <c r="I12" s="9">
        <f>SUBTOTAL(9,I3:I11)</f>
        <v>0</v>
      </c>
      <c r="L12" s="122"/>
    </row>
  </sheetData>
  <autoFilter ref="A2:Q11" xr:uid="{00000000-0009-0000-0000-000044000000}">
    <filterColumn colId="10">
      <filters blank="1"/>
    </filterColumn>
    <filterColumn colId="13" showButton="0"/>
    <filterColumn colId="14" showButton="0"/>
    <filterColumn colId="15" showButton="0"/>
  </autoFilter>
  <mergeCells count="1">
    <mergeCell ref="N2:Q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2881" r:id="rId4" name="Button 1">
              <controlPr defaultSize="0" print="0" autoFill="0" autoPict="0" macro="[0]!RETORNAR">
                <anchor moveWithCells="1" sizeWithCells="1">
                  <from>
                    <xdr:col>0</xdr:col>
                    <xdr:colOff>9525</xdr:colOff>
                    <xdr:row>0</xdr:row>
                    <xdr:rowOff>38100</xdr:rowOff>
                  </from>
                  <to>
                    <xdr:col>1</xdr:col>
                    <xdr:colOff>1066800</xdr:colOff>
                    <xdr:row>0</xdr:row>
                    <xdr:rowOff>276225</xdr:rowOff>
                  </to>
                </anchor>
              </controlPr>
            </control>
          </mc:Choice>
        </mc:AlternateContent>
        <mc:AlternateContent xmlns:mc="http://schemas.openxmlformats.org/markup-compatibility/2006">
          <mc:Choice Requires="x14">
            <control shapeId="762885" r:id="rId5" name="Botón 5">
              <controlPr defaultSize="0" print="0" autoFill="0" autoPict="0" macro="[0]!IR_VENTAS_B200_2026">
                <anchor moveWithCells="1" sizeWithCells="1">
                  <from>
                    <xdr:col>1</xdr:col>
                    <xdr:colOff>47625</xdr:colOff>
                    <xdr:row>12</xdr:row>
                    <xdr:rowOff>152400</xdr:rowOff>
                  </from>
                  <to>
                    <xdr:col>1</xdr:col>
                    <xdr:colOff>1352550</xdr:colOff>
                    <xdr:row>16</xdr:row>
                    <xdr:rowOff>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Hoja74" filterMode="1"/>
  <dimension ref="A1:X34"/>
  <sheetViews>
    <sheetView workbookViewId="0">
      <selection activeCell="L30" sqref="L30"/>
    </sheetView>
  </sheetViews>
  <sheetFormatPr baseColWidth="10" defaultColWidth="10.85546875" defaultRowHeight="15" x14ac:dyDescent="0.25"/>
  <cols>
    <col min="2" max="2" width="25.42578125" customWidth="1"/>
    <col min="3" max="3" width="9.42578125" customWidth="1"/>
    <col min="5" max="5" width="5.28515625" customWidth="1"/>
    <col min="7" max="7" width="42.5703125" customWidth="1"/>
    <col min="8" max="8" width="10.85546875" style="28"/>
    <col min="9" max="9" width="12" bestFit="1" customWidth="1"/>
    <col min="10" max="10" width="12" style="30" bestFit="1" customWidth="1"/>
  </cols>
  <sheetData>
    <row r="1" spans="1:22" ht="25.5" customHeight="1" x14ac:dyDescent="0.25"/>
    <row r="2" spans="1:22" x14ac:dyDescent="0.25">
      <c r="A2" t="s">
        <v>706</v>
      </c>
      <c r="B2" s="1" t="s">
        <v>0</v>
      </c>
      <c r="C2" s="1" t="s">
        <v>1</v>
      </c>
      <c r="D2" s="1" t="s">
        <v>2</v>
      </c>
      <c r="E2" s="1"/>
      <c r="F2" s="1" t="s">
        <v>3</v>
      </c>
      <c r="G2" s="1" t="s">
        <v>4</v>
      </c>
      <c r="H2" s="25" t="s">
        <v>5</v>
      </c>
      <c r="I2" s="1" t="s">
        <v>6</v>
      </c>
      <c r="J2" s="115" t="s">
        <v>1780</v>
      </c>
      <c r="K2" s="1" t="s">
        <v>8</v>
      </c>
      <c r="L2" s="1" t="s">
        <v>3997</v>
      </c>
      <c r="M2" s="1" t="s">
        <v>10</v>
      </c>
      <c r="N2" s="1480" t="s">
        <v>11</v>
      </c>
      <c r="O2" s="1480"/>
      <c r="P2" s="1480"/>
      <c r="Q2" s="1480"/>
    </row>
    <row r="3" spans="1:22" hidden="1" x14ac:dyDescent="0.25">
      <c r="A3" s="430" t="s">
        <v>3382</v>
      </c>
      <c r="B3" t="s">
        <v>3383</v>
      </c>
      <c r="C3" t="s">
        <v>13</v>
      </c>
      <c r="D3" s="122">
        <v>45284</v>
      </c>
      <c r="F3" s="28" t="s">
        <v>3384</v>
      </c>
      <c r="G3" s="30" t="s">
        <v>3451</v>
      </c>
      <c r="H3" t="s">
        <v>3452</v>
      </c>
      <c r="I3" s="313">
        <v>35880</v>
      </c>
      <c r="J3" s="797">
        <f t="shared" ref="J3:J27" si="0">+I3-ROUND(I3*0.12,0)</f>
        <v>31574</v>
      </c>
      <c r="K3" t="s">
        <v>17</v>
      </c>
      <c r="L3" s="122">
        <v>45309</v>
      </c>
      <c r="M3" s="88" t="s">
        <v>3380</v>
      </c>
      <c r="T3" s="14" t="s">
        <v>2050</v>
      </c>
      <c r="U3" s="14">
        <v>0.40625</v>
      </c>
      <c r="V3" s="14">
        <v>0.6166666666666667</v>
      </c>
    </row>
    <row r="4" spans="1:22" hidden="1" x14ac:dyDescent="0.25">
      <c r="A4" s="509">
        <v>16032024</v>
      </c>
      <c r="B4" s="30" t="s">
        <v>3881</v>
      </c>
      <c r="C4" s="28" t="s">
        <v>410</v>
      </c>
      <c r="D4" s="233">
        <v>45367</v>
      </c>
      <c r="F4" s="28" t="s">
        <v>861</v>
      </c>
      <c r="G4" s="30" t="s">
        <v>3929</v>
      </c>
      <c r="H4" s="30" t="s">
        <v>3930</v>
      </c>
      <c r="I4" s="426">
        <v>34200</v>
      </c>
      <c r="J4" s="797">
        <f t="shared" si="0"/>
        <v>30096</v>
      </c>
      <c r="K4" t="s">
        <v>17</v>
      </c>
      <c r="L4" s="233">
        <v>45404</v>
      </c>
      <c r="T4" s="14" t="s">
        <v>3879</v>
      </c>
      <c r="U4" s="360">
        <v>0.54791666666666672</v>
      </c>
      <c r="V4" s="360">
        <v>0.75416666666666676</v>
      </c>
    </row>
    <row r="5" spans="1:22" hidden="1" x14ac:dyDescent="0.25">
      <c r="A5" s="483">
        <v>24042024</v>
      </c>
      <c r="B5" t="s">
        <v>3383</v>
      </c>
      <c r="C5" s="28" t="s">
        <v>410</v>
      </c>
      <c r="D5" s="233">
        <v>45406</v>
      </c>
      <c r="F5" s="28" t="s">
        <v>861</v>
      </c>
      <c r="G5" s="30" t="s">
        <v>4091</v>
      </c>
      <c r="H5" t="s">
        <v>4090</v>
      </c>
      <c r="I5" s="251">
        <v>34200</v>
      </c>
      <c r="J5" s="797">
        <f t="shared" si="0"/>
        <v>30096</v>
      </c>
      <c r="K5" t="s">
        <v>17</v>
      </c>
      <c r="L5" s="233">
        <v>45425</v>
      </c>
      <c r="T5" s="14" t="s">
        <v>4022</v>
      </c>
      <c r="U5" s="360">
        <v>0.5756944444444444</v>
      </c>
      <c r="V5" s="360"/>
    </row>
    <row r="6" spans="1:22" ht="30" hidden="1" x14ac:dyDescent="0.25">
      <c r="A6" s="483">
        <v>28052024</v>
      </c>
      <c r="B6" t="s">
        <v>3383</v>
      </c>
      <c r="C6" s="28" t="s">
        <v>410</v>
      </c>
      <c r="D6" s="233">
        <v>45440</v>
      </c>
      <c r="F6" s="28" t="s">
        <v>861</v>
      </c>
      <c r="G6" s="357" t="s">
        <v>4233</v>
      </c>
      <c r="H6" s="30" t="s">
        <v>4236</v>
      </c>
      <c r="I6" s="236">
        <v>34200</v>
      </c>
      <c r="J6" s="797">
        <f t="shared" si="0"/>
        <v>30096</v>
      </c>
      <c r="K6" t="s">
        <v>17</v>
      </c>
      <c r="L6" s="233">
        <v>45471</v>
      </c>
      <c r="T6" s="14" t="s">
        <v>4232</v>
      </c>
      <c r="U6" s="360">
        <v>0.3215277777777778</v>
      </c>
      <c r="V6" s="360"/>
    </row>
    <row r="7" spans="1:22" hidden="1" x14ac:dyDescent="0.25">
      <c r="A7" s="483" t="s">
        <v>5089</v>
      </c>
      <c r="B7" t="s">
        <v>5093</v>
      </c>
      <c r="C7" s="233" t="s">
        <v>410</v>
      </c>
      <c r="D7" s="233">
        <v>45605</v>
      </c>
      <c r="E7" s="28"/>
      <c r="F7" s="28" t="s">
        <v>861</v>
      </c>
      <c r="G7" t="s">
        <v>5180</v>
      </c>
      <c r="H7" t="s">
        <v>5182</v>
      </c>
      <c r="I7" s="88">
        <v>34200</v>
      </c>
      <c r="J7" s="797">
        <f t="shared" si="0"/>
        <v>30096</v>
      </c>
      <c r="K7" t="s">
        <v>17</v>
      </c>
      <c r="L7" s="233">
        <v>45629</v>
      </c>
      <c r="T7" t="s">
        <v>2050</v>
      </c>
      <c r="U7" s="360">
        <v>0.3430555555555555</v>
      </c>
      <c r="V7" s="360">
        <v>0.56111111111111112</v>
      </c>
    </row>
    <row r="8" spans="1:22" hidden="1" x14ac:dyDescent="0.25">
      <c r="A8" s="483" t="s">
        <v>5135</v>
      </c>
      <c r="B8" t="s">
        <v>5093</v>
      </c>
      <c r="C8" s="233" t="s">
        <v>4218</v>
      </c>
      <c r="D8" s="233">
        <v>45612</v>
      </c>
      <c r="E8" s="28"/>
      <c r="F8" s="28" t="s">
        <v>861</v>
      </c>
      <c r="G8" t="s">
        <v>5181</v>
      </c>
      <c r="H8" t="s">
        <v>5240</v>
      </c>
      <c r="I8" s="88">
        <v>34500</v>
      </c>
      <c r="J8" s="797">
        <f t="shared" si="0"/>
        <v>30360</v>
      </c>
      <c r="K8" t="s">
        <v>17</v>
      </c>
      <c r="L8" s="233">
        <v>45639</v>
      </c>
      <c r="T8" t="s">
        <v>5119</v>
      </c>
      <c r="U8" s="360">
        <v>0.29444444444444445</v>
      </c>
      <c r="V8" s="360">
        <v>0.50486111111111109</v>
      </c>
    </row>
    <row r="9" spans="1:22" hidden="1" x14ac:dyDescent="0.25">
      <c r="A9" s="483">
        <v>12122024</v>
      </c>
      <c r="B9" t="s">
        <v>5093</v>
      </c>
      <c r="C9" s="233" t="s">
        <v>410</v>
      </c>
      <c r="D9" s="233">
        <v>45638</v>
      </c>
      <c r="E9" s="28"/>
      <c r="F9" s="28" t="s">
        <v>5326</v>
      </c>
      <c r="G9" t="s">
        <v>5413</v>
      </c>
      <c r="H9" t="s">
        <v>5414</v>
      </c>
      <c r="I9" s="88">
        <v>34500</v>
      </c>
      <c r="J9" s="797">
        <f t="shared" si="0"/>
        <v>30360</v>
      </c>
      <c r="K9" t="s">
        <v>17</v>
      </c>
      <c r="L9" s="233">
        <v>45659</v>
      </c>
      <c r="T9" t="s">
        <v>4140</v>
      </c>
      <c r="U9" s="360">
        <v>0.52222222222222225</v>
      </c>
      <c r="V9" s="360">
        <v>0.74583333333333324</v>
      </c>
    </row>
    <row r="10" spans="1:22" hidden="1" x14ac:dyDescent="0.25">
      <c r="A10" s="483">
        <v>27122024</v>
      </c>
      <c r="B10" t="s">
        <v>3383</v>
      </c>
      <c r="C10" s="233" t="s">
        <v>4218</v>
      </c>
      <c r="D10" s="233">
        <v>45653</v>
      </c>
      <c r="E10" s="28"/>
      <c r="F10" s="28" t="s">
        <v>5326</v>
      </c>
      <c r="G10" t="s">
        <v>5450</v>
      </c>
      <c r="H10" t="s">
        <v>5458</v>
      </c>
      <c r="I10" s="88">
        <v>34500</v>
      </c>
      <c r="J10" s="797">
        <f t="shared" si="0"/>
        <v>30360</v>
      </c>
      <c r="K10" t="s">
        <v>17</v>
      </c>
      <c r="L10" s="233">
        <v>45666</v>
      </c>
      <c r="T10" t="s">
        <v>4509</v>
      </c>
      <c r="U10" s="360">
        <v>0.44097222222222227</v>
      </c>
      <c r="V10" s="360"/>
    </row>
    <row r="11" spans="1:22" hidden="1" x14ac:dyDescent="0.25">
      <c r="A11" s="483">
        <v>23012025</v>
      </c>
      <c r="B11" t="s">
        <v>5093</v>
      </c>
      <c r="C11" s="28" t="s">
        <v>4218</v>
      </c>
      <c r="D11" s="233">
        <v>45680</v>
      </c>
      <c r="F11" s="28" t="s">
        <v>5326</v>
      </c>
      <c r="G11" t="s">
        <v>5826</v>
      </c>
      <c r="H11" t="s">
        <v>5850</v>
      </c>
      <c r="I11" s="313">
        <v>34500</v>
      </c>
      <c r="J11" s="797">
        <f t="shared" si="0"/>
        <v>30360</v>
      </c>
      <c r="K11" t="s">
        <v>17</v>
      </c>
      <c r="L11" s="233">
        <v>45733</v>
      </c>
      <c r="T11" t="s">
        <v>5004</v>
      </c>
      <c r="U11" s="360">
        <v>0.2951388888888889</v>
      </c>
      <c r="V11" s="30"/>
    </row>
    <row r="12" spans="1:22" hidden="1" x14ac:dyDescent="0.25">
      <c r="A12" s="483" t="s">
        <v>6060</v>
      </c>
      <c r="B12" t="s">
        <v>6059</v>
      </c>
      <c r="C12" s="28" t="s">
        <v>4437</v>
      </c>
      <c r="D12" s="233">
        <v>45763</v>
      </c>
      <c r="E12" s="28"/>
      <c r="F12" s="28" t="s">
        <v>5326</v>
      </c>
      <c r="G12" t="s">
        <v>6131</v>
      </c>
      <c r="H12" s="28" t="s">
        <v>6378</v>
      </c>
      <c r="I12" s="798">
        <v>34500</v>
      </c>
      <c r="J12" s="797">
        <f t="shared" si="0"/>
        <v>30360</v>
      </c>
      <c r="K12" t="s">
        <v>17</v>
      </c>
      <c r="L12" s="233">
        <v>45819</v>
      </c>
      <c r="T12" t="s">
        <v>4983</v>
      </c>
      <c r="U12" s="360">
        <v>0.29930555555555555</v>
      </c>
      <c r="V12" s="360">
        <v>0.50416666666666665</v>
      </c>
    </row>
    <row r="13" spans="1:22" hidden="1" x14ac:dyDescent="0.25">
      <c r="A13" s="483">
        <v>30042024</v>
      </c>
      <c r="B13" t="s">
        <v>3383</v>
      </c>
      <c r="C13" s="28" t="s">
        <v>13</v>
      </c>
      <c r="D13" s="233">
        <v>45777</v>
      </c>
      <c r="E13" s="28"/>
      <c r="F13" s="28" t="s">
        <v>861</v>
      </c>
      <c r="G13" t="s">
        <v>6132</v>
      </c>
      <c r="H13" s="28" t="s">
        <v>6377</v>
      </c>
      <c r="I13" s="798">
        <v>34500</v>
      </c>
      <c r="J13" s="797">
        <f t="shared" si="0"/>
        <v>30360</v>
      </c>
      <c r="K13" t="s">
        <v>17</v>
      </c>
      <c r="L13" s="233">
        <v>45826</v>
      </c>
      <c r="T13" t="s">
        <v>5020</v>
      </c>
      <c r="U13" s="14">
        <v>0.26597222222222222</v>
      </c>
      <c r="V13" s="30"/>
    </row>
    <row r="14" spans="1:22" hidden="1" x14ac:dyDescent="0.25">
      <c r="A14" s="483" t="s">
        <v>6452</v>
      </c>
      <c r="B14" t="s">
        <v>5093</v>
      </c>
      <c r="C14" s="28" t="s">
        <v>278</v>
      </c>
      <c r="D14" s="233">
        <v>45827</v>
      </c>
      <c r="E14" s="28"/>
      <c r="F14" s="28" t="s">
        <v>5326</v>
      </c>
      <c r="G14" t="s">
        <v>6502</v>
      </c>
      <c r="H14" s="28" t="s">
        <v>6540</v>
      </c>
      <c r="I14" s="798">
        <v>34500</v>
      </c>
      <c r="J14" s="797">
        <f t="shared" si="0"/>
        <v>30360</v>
      </c>
      <c r="K14" t="s">
        <v>17</v>
      </c>
      <c r="L14" s="233">
        <v>45845</v>
      </c>
      <c r="T14" t="s">
        <v>4297</v>
      </c>
      <c r="U14" s="360">
        <v>0.35555555555555557</v>
      </c>
      <c r="V14" s="360">
        <v>0.59513888888888888</v>
      </c>
    </row>
    <row r="15" spans="1:22" hidden="1" x14ac:dyDescent="0.25">
      <c r="A15" s="483">
        <v>30062025</v>
      </c>
      <c r="B15" t="s">
        <v>3383</v>
      </c>
      <c r="C15" s="28" t="s">
        <v>278</v>
      </c>
      <c r="D15" s="233">
        <v>45838</v>
      </c>
      <c r="E15" s="28"/>
      <c r="F15" s="28" t="s">
        <v>5326</v>
      </c>
      <c r="G15" t="s">
        <v>6568</v>
      </c>
      <c r="H15" s="28" t="s">
        <v>6574</v>
      </c>
      <c r="I15" s="798">
        <v>34500</v>
      </c>
      <c r="J15" s="797">
        <f t="shared" si="0"/>
        <v>30360</v>
      </c>
      <c r="K15" t="s">
        <v>17</v>
      </c>
      <c r="L15" s="233">
        <v>45881</v>
      </c>
      <c r="T15" t="s">
        <v>6503</v>
      </c>
      <c r="U15" s="360">
        <v>0.30138888888888887</v>
      </c>
      <c r="V15" s="360">
        <v>0.4993055555555555</v>
      </c>
    </row>
    <row r="16" spans="1:22" hidden="1" x14ac:dyDescent="0.25">
      <c r="A16" s="483" t="s">
        <v>6575</v>
      </c>
      <c r="B16" t="s">
        <v>6576</v>
      </c>
      <c r="C16" s="28" t="s">
        <v>4437</v>
      </c>
      <c r="D16" s="233">
        <v>45848</v>
      </c>
      <c r="E16" s="28"/>
      <c r="F16" s="28" t="s">
        <v>5326</v>
      </c>
      <c r="G16" t="s">
        <v>6649</v>
      </c>
      <c r="H16" s="28" t="s">
        <v>6712</v>
      </c>
      <c r="I16" s="798">
        <v>34500</v>
      </c>
      <c r="J16" s="797">
        <f t="shared" si="0"/>
        <v>30360</v>
      </c>
      <c r="K16" t="s">
        <v>17</v>
      </c>
      <c r="L16" s="233">
        <v>45881</v>
      </c>
      <c r="T16" t="s">
        <v>5891</v>
      </c>
      <c r="U16" s="30"/>
      <c r="V16" s="30"/>
    </row>
    <row r="17" spans="1:24" hidden="1" x14ac:dyDescent="0.25">
      <c r="A17" s="483" t="s">
        <v>6607</v>
      </c>
      <c r="B17" t="s">
        <v>3881</v>
      </c>
      <c r="C17" s="28" t="s">
        <v>660</v>
      </c>
      <c r="D17" s="233">
        <v>45855</v>
      </c>
      <c r="E17" s="28"/>
      <c r="F17" s="28" t="s">
        <v>5326</v>
      </c>
      <c r="G17" t="s">
        <v>6650</v>
      </c>
      <c r="H17" s="28" t="s">
        <v>6790</v>
      </c>
      <c r="I17" s="798">
        <v>34500</v>
      </c>
      <c r="J17" s="797">
        <f t="shared" si="0"/>
        <v>30360</v>
      </c>
      <c r="K17" t="s">
        <v>17</v>
      </c>
      <c r="L17" s="233">
        <v>45891</v>
      </c>
      <c r="T17" t="s">
        <v>6150</v>
      </c>
      <c r="U17" s="360">
        <v>0.31180555555555556</v>
      </c>
      <c r="V17" s="360"/>
    </row>
    <row r="18" spans="1:24" hidden="1" x14ac:dyDescent="0.25">
      <c r="A18" s="483" t="s">
        <v>6796</v>
      </c>
      <c r="B18" t="s">
        <v>5093</v>
      </c>
      <c r="C18" s="28" t="s">
        <v>13</v>
      </c>
      <c r="D18" s="233">
        <v>45883</v>
      </c>
      <c r="E18" s="28"/>
      <c r="F18" s="28" t="s">
        <v>5326</v>
      </c>
      <c r="G18" s="1067" t="s">
        <v>6822</v>
      </c>
      <c r="H18" s="28" t="s">
        <v>6956</v>
      </c>
      <c r="I18" s="61">
        <v>34500</v>
      </c>
      <c r="J18" s="797">
        <f t="shared" si="0"/>
        <v>30360</v>
      </c>
      <c r="K18" t="s">
        <v>17</v>
      </c>
      <c r="L18" s="233">
        <v>45925</v>
      </c>
      <c r="M18" s="32"/>
      <c r="T18" t="s">
        <v>6349</v>
      </c>
      <c r="U18" s="360"/>
      <c r="V18" s="360"/>
    </row>
    <row r="19" spans="1:24" hidden="1" x14ac:dyDescent="0.25">
      <c r="A19" s="483" t="s">
        <v>6797</v>
      </c>
      <c r="B19" t="s">
        <v>5093</v>
      </c>
      <c r="C19" s="28" t="s">
        <v>13</v>
      </c>
      <c r="D19" s="233">
        <v>45884</v>
      </c>
      <c r="E19" s="28"/>
      <c r="F19" s="28" t="s">
        <v>5326</v>
      </c>
      <c r="G19" s="1067" t="s">
        <v>6823</v>
      </c>
      <c r="H19" s="28" t="s">
        <v>6955</v>
      </c>
      <c r="I19" s="61">
        <v>34500</v>
      </c>
      <c r="J19" s="797">
        <f t="shared" si="0"/>
        <v>30360</v>
      </c>
      <c r="K19" t="s">
        <v>17</v>
      </c>
      <c r="L19" s="233">
        <v>45925</v>
      </c>
      <c r="M19" s="32"/>
      <c r="T19" t="s">
        <v>4140</v>
      </c>
      <c r="U19" s="360">
        <v>0.3125</v>
      </c>
      <c r="V19" s="360" t="s">
        <v>6798</v>
      </c>
    </row>
    <row r="20" spans="1:24" hidden="1" x14ac:dyDescent="0.25">
      <c r="A20" s="483" t="s">
        <v>7039</v>
      </c>
      <c r="B20" t="s">
        <v>5093</v>
      </c>
      <c r="C20" s="28" t="s">
        <v>13</v>
      </c>
      <c r="D20" s="233">
        <v>45932</v>
      </c>
      <c r="E20" s="28"/>
      <c r="F20" s="28" t="s">
        <v>5326</v>
      </c>
      <c r="G20" s="1067" t="s">
        <v>7131</v>
      </c>
      <c r="H20" s="28" t="s">
        <v>7132</v>
      </c>
      <c r="I20" s="313">
        <v>34500</v>
      </c>
      <c r="J20" s="797">
        <f t="shared" si="0"/>
        <v>30360</v>
      </c>
      <c r="K20" t="s">
        <v>17</v>
      </c>
      <c r="L20" s="233">
        <v>45968</v>
      </c>
      <c r="M20" s="88"/>
      <c r="T20" t="s">
        <v>4345</v>
      </c>
      <c r="U20" s="360">
        <v>0.29166666666666669</v>
      </c>
      <c r="V20" s="360"/>
    </row>
    <row r="21" spans="1:24" hidden="1" x14ac:dyDescent="0.25">
      <c r="A21" s="483">
        <v>25102025</v>
      </c>
      <c r="B21" t="s">
        <v>7139</v>
      </c>
      <c r="C21" s="28" t="s">
        <v>13</v>
      </c>
      <c r="D21" s="233">
        <v>45955</v>
      </c>
      <c r="E21" s="28"/>
      <c r="F21" s="28" t="s">
        <v>5326</v>
      </c>
      <c r="G21" s="1067" t="s">
        <v>7171</v>
      </c>
      <c r="H21" s="28" t="s">
        <v>7316</v>
      </c>
      <c r="I21" s="798">
        <v>34500</v>
      </c>
      <c r="J21" s="797">
        <f t="shared" si="0"/>
        <v>30360</v>
      </c>
      <c r="K21" t="s">
        <v>17</v>
      </c>
      <c r="L21" s="233">
        <v>46001</v>
      </c>
      <c r="M21" s="88"/>
      <c r="T21" t="s">
        <v>5131</v>
      </c>
      <c r="U21" s="360">
        <v>0.29375000000000001</v>
      </c>
      <c r="V21" s="360">
        <v>0.53333333333333333</v>
      </c>
    </row>
    <row r="22" spans="1:24" hidden="1" x14ac:dyDescent="0.25">
      <c r="A22" s="483">
        <v>16112025</v>
      </c>
      <c r="B22" t="s">
        <v>5093</v>
      </c>
      <c r="C22" s="28" t="s">
        <v>4218</v>
      </c>
      <c r="D22" s="233">
        <v>45977</v>
      </c>
      <c r="E22" s="28"/>
      <c r="F22" s="28" t="s">
        <v>5326</v>
      </c>
      <c r="G22" s="1067" t="s">
        <v>7314</v>
      </c>
      <c r="H22" s="28" t="s">
        <v>7376</v>
      </c>
      <c r="I22" s="798">
        <v>34500</v>
      </c>
      <c r="J22" s="797">
        <f t="shared" si="0"/>
        <v>30360</v>
      </c>
      <c r="K22" t="s">
        <v>17</v>
      </c>
      <c r="L22" s="233">
        <v>46006</v>
      </c>
      <c r="M22" s="88"/>
      <c r="T22" s="926" t="s">
        <v>5131</v>
      </c>
      <c r="U22" s="360">
        <v>0.47361111111111115</v>
      </c>
      <c r="V22" s="360">
        <v>0.70624999999999993</v>
      </c>
    </row>
    <row r="23" spans="1:24" hidden="1" x14ac:dyDescent="0.25">
      <c r="A23" s="483">
        <v>29112025</v>
      </c>
      <c r="B23" t="s">
        <v>5093</v>
      </c>
      <c r="C23" s="28" t="s">
        <v>4218</v>
      </c>
      <c r="D23" s="233">
        <v>45990</v>
      </c>
      <c r="E23" s="28"/>
      <c r="F23" s="28" t="s">
        <v>5326</v>
      </c>
      <c r="G23" s="1067" t="s">
        <v>7358</v>
      </c>
      <c r="H23" s="28" t="s">
        <v>7400</v>
      </c>
      <c r="I23" s="798">
        <v>34500</v>
      </c>
      <c r="J23" s="797">
        <f t="shared" si="0"/>
        <v>30360</v>
      </c>
      <c r="K23" t="s">
        <v>17</v>
      </c>
      <c r="L23" s="233">
        <v>46021</v>
      </c>
      <c r="M23" s="88"/>
      <c r="R23" t="s">
        <v>5021</v>
      </c>
      <c r="S23" s="360">
        <v>0.3215277777777778</v>
      </c>
      <c r="T23" s="360">
        <v>0.54236111111111118</v>
      </c>
    </row>
    <row r="24" spans="1:24" hidden="1" x14ac:dyDescent="0.25">
      <c r="A24" s="690" t="s">
        <v>7652</v>
      </c>
      <c r="B24" s="19" t="s">
        <v>7655</v>
      </c>
      <c r="C24" s="472" t="s">
        <v>410</v>
      </c>
      <c r="D24" s="691">
        <v>46067</v>
      </c>
      <c r="E24" s="472"/>
      <c r="F24" s="472" t="s">
        <v>5326</v>
      </c>
      <c r="G24" s="1084" t="s">
        <v>7679</v>
      </c>
      <c r="H24" s="472" t="s">
        <v>7837</v>
      </c>
      <c r="I24" s="1101">
        <v>34500</v>
      </c>
      <c r="J24" s="797">
        <f t="shared" si="0"/>
        <v>30360</v>
      </c>
      <c r="K24" t="s">
        <v>17</v>
      </c>
      <c r="L24" s="691">
        <v>46101</v>
      </c>
      <c r="M24" s="88"/>
      <c r="T24" t="s">
        <v>3765</v>
      </c>
      <c r="U24" s="693">
        <v>0.46319444444444446</v>
      </c>
      <c r="V24" s="360">
        <v>0.75763888888888886</v>
      </c>
    </row>
    <row r="25" spans="1:24" hidden="1" x14ac:dyDescent="0.25">
      <c r="A25" s="483">
        <v>21022026</v>
      </c>
      <c r="B25" t="s">
        <v>5093</v>
      </c>
      <c r="C25" s="28" t="s">
        <v>410</v>
      </c>
      <c r="D25" s="233">
        <v>46074</v>
      </c>
      <c r="E25" s="28"/>
      <c r="F25" s="28" t="s">
        <v>5326</v>
      </c>
      <c r="G25" s="1067" t="s">
        <v>7757</v>
      </c>
      <c r="H25" s="472" t="s">
        <v>7838</v>
      </c>
      <c r="I25" s="915">
        <v>34500</v>
      </c>
      <c r="J25" s="797">
        <f t="shared" si="0"/>
        <v>30360</v>
      </c>
      <c r="K25" t="s">
        <v>17</v>
      </c>
      <c r="L25" s="691">
        <v>46101</v>
      </c>
      <c r="M25" s="88"/>
      <c r="T25" t="s">
        <v>7335</v>
      </c>
      <c r="U25" s="360">
        <v>0.51041666666666663</v>
      </c>
      <c r="V25" s="360">
        <v>0.70763888888888893</v>
      </c>
    </row>
    <row r="26" spans="1:24" hidden="1" x14ac:dyDescent="0.25">
      <c r="A26" s="483" t="s">
        <v>7965</v>
      </c>
      <c r="B26" t="s">
        <v>5093</v>
      </c>
      <c r="C26" s="28" t="s">
        <v>13</v>
      </c>
      <c r="D26" s="233">
        <v>46123</v>
      </c>
      <c r="E26" s="28"/>
      <c r="F26" s="28" t="s">
        <v>5326</v>
      </c>
      <c r="G26" s="88" t="s">
        <v>8012</v>
      </c>
      <c r="H26" s="28" t="s">
        <v>8013</v>
      </c>
      <c r="I26" s="798">
        <v>38351</v>
      </c>
      <c r="J26" s="797">
        <f t="shared" si="0"/>
        <v>33749</v>
      </c>
      <c r="K26" t="s">
        <v>17</v>
      </c>
      <c r="L26" s="233">
        <v>46147</v>
      </c>
      <c r="M26" s="798"/>
      <c r="U26" t="s">
        <v>4983</v>
      </c>
      <c r="V26" s="360">
        <v>0.28819444444444448</v>
      </c>
      <c r="W26" s="360">
        <v>0.49791666666666662</v>
      </c>
    </row>
    <row r="27" spans="1:24" hidden="1" x14ac:dyDescent="0.25">
      <c r="A27" s="483">
        <v>21052026</v>
      </c>
      <c r="B27" t="s">
        <v>8124</v>
      </c>
      <c r="C27" s="28" t="s">
        <v>4218</v>
      </c>
      <c r="D27" s="233">
        <v>46163</v>
      </c>
      <c r="E27" s="28"/>
      <c r="F27" s="28" t="s">
        <v>5326</v>
      </c>
      <c r="G27" s="88" t="s">
        <v>8147</v>
      </c>
      <c r="H27" s="28" t="s">
        <v>8226</v>
      </c>
      <c r="I27" s="798">
        <v>38351</v>
      </c>
      <c r="J27" s="797">
        <f t="shared" si="0"/>
        <v>33749</v>
      </c>
      <c r="K27" s="1345" t="s">
        <v>17</v>
      </c>
      <c r="L27" s="233">
        <v>46195</v>
      </c>
      <c r="N27" s="798"/>
      <c r="V27" t="s">
        <v>4983</v>
      </c>
      <c r="W27" s="360">
        <v>0.34930555555555554</v>
      </c>
      <c r="X27" s="360">
        <v>0.56458333333333333</v>
      </c>
    </row>
    <row r="28" spans="1:24" hidden="1" x14ac:dyDescent="0.25">
      <c r="A28" s="483">
        <v>11062026</v>
      </c>
      <c r="B28" s="21" t="s">
        <v>3383</v>
      </c>
      <c r="C28" s="31" t="s">
        <v>410</v>
      </c>
      <c r="D28" s="233">
        <v>46184</v>
      </c>
      <c r="E28" s="28"/>
      <c r="F28" s="28" t="s">
        <v>5326</v>
      </c>
      <c r="G28" s="88" t="s">
        <v>8238</v>
      </c>
      <c r="H28" t="s">
        <v>8276</v>
      </c>
      <c r="I28" s="798">
        <v>38351</v>
      </c>
      <c r="J28" s="797">
        <f>+I28-ROUND(I28*0.12,0)</f>
        <v>33749</v>
      </c>
      <c r="K28" s="1345" t="s">
        <v>17</v>
      </c>
      <c r="L28" s="233">
        <v>46209</v>
      </c>
      <c r="N28" s="798"/>
      <c r="V28" s="21" t="s">
        <v>7833</v>
      </c>
      <c r="W28" s="360">
        <v>0.55347222222222225</v>
      </c>
      <c r="X28" s="360">
        <v>0.77500000000000002</v>
      </c>
    </row>
    <row r="29" spans="1:24" hidden="1" x14ac:dyDescent="0.25">
      <c r="A29" s="1448" t="s">
        <v>8518</v>
      </c>
      <c r="B29" s="21" t="s">
        <v>5093</v>
      </c>
      <c r="C29" s="31" t="s">
        <v>410</v>
      </c>
      <c r="D29" s="233">
        <v>46256</v>
      </c>
      <c r="E29" s="28"/>
      <c r="F29" s="313" t="s">
        <v>5326</v>
      </c>
      <c r="G29" s="88" t="s">
        <v>8575</v>
      </c>
      <c r="H29" t="s">
        <v>8608</v>
      </c>
      <c r="I29" s="915">
        <v>38610</v>
      </c>
      <c r="J29" s="797">
        <f>+I29-ROUND(I29*0.12,0)</f>
        <v>33977</v>
      </c>
      <c r="K29" t="s">
        <v>17</v>
      </c>
      <c r="L29" s="1479">
        <v>46286</v>
      </c>
      <c r="N29" s="558"/>
      <c r="O29" s="88"/>
      <c r="V29" t="s">
        <v>4140</v>
      </c>
      <c r="W29" s="360">
        <v>0.57847222222222217</v>
      </c>
      <c r="X29" s="360">
        <v>0.77500000000000002</v>
      </c>
    </row>
    <row r="30" spans="1:24" hidden="1" x14ac:dyDescent="0.25">
      <c r="A30" s="1448" t="s">
        <v>8551</v>
      </c>
      <c r="B30" s="21" t="s">
        <v>5093</v>
      </c>
      <c r="C30" s="31" t="s">
        <v>410</v>
      </c>
      <c r="D30" s="233">
        <v>46263</v>
      </c>
      <c r="E30" s="28"/>
      <c r="F30" s="313" t="s">
        <v>5326</v>
      </c>
      <c r="G30" s="88" t="s">
        <v>8576</v>
      </c>
      <c r="H30" t="s">
        <v>8609</v>
      </c>
      <c r="I30" s="915">
        <v>38610</v>
      </c>
      <c r="J30" s="797">
        <f>+I30-ROUND(I30*0.12,0)</f>
        <v>33977</v>
      </c>
      <c r="K30" t="s">
        <v>17</v>
      </c>
      <c r="L30" s="1479">
        <v>46286</v>
      </c>
      <c r="N30" s="558"/>
      <c r="O30" s="88"/>
      <c r="V30" t="s">
        <v>7942</v>
      </c>
      <c r="W30" s="360">
        <v>0.33055555555555555</v>
      </c>
      <c r="X30" s="360">
        <v>0.62916666666666665</v>
      </c>
    </row>
    <row r="31" spans="1:24" s="30" customFormat="1" x14ac:dyDescent="0.25">
      <c r="A31" s="256"/>
      <c r="D31" s="359"/>
      <c r="H31" s="28"/>
      <c r="I31" s="236"/>
      <c r="J31" s="236"/>
      <c r="L31" s="236"/>
      <c r="T31" s="360"/>
      <c r="U31" s="360"/>
      <c r="V31" s="360"/>
    </row>
    <row r="32" spans="1:24" x14ac:dyDescent="0.25">
      <c r="A32" s="256"/>
      <c r="D32" s="122"/>
      <c r="F32" s="30"/>
      <c r="G32" s="30"/>
      <c r="I32" s="160"/>
      <c r="L32" s="122"/>
      <c r="U32" s="14"/>
      <c r="V32" s="14"/>
    </row>
    <row r="33" spans="1:17" x14ac:dyDescent="0.25">
      <c r="A33" s="116"/>
      <c r="B33" s="169"/>
      <c r="C33" s="21"/>
      <c r="D33" s="123"/>
      <c r="E33" s="88"/>
      <c r="F33" s="21"/>
      <c r="G33" s="21"/>
      <c r="I33" s="160"/>
      <c r="J33" s="237"/>
      <c r="K33" s="160"/>
      <c r="L33" s="122"/>
      <c r="O33" s="163"/>
      <c r="P33" s="157"/>
      <c r="Q33" s="157"/>
    </row>
    <row r="34" spans="1:17" x14ac:dyDescent="0.25">
      <c r="H34" s="127" t="s">
        <v>423</v>
      </c>
      <c r="I34" s="9">
        <f>SUBTOTAL(9,I3:I33)</f>
        <v>0</v>
      </c>
      <c r="L34" s="122"/>
    </row>
  </sheetData>
  <autoFilter ref="A2:Q33" xr:uid="{00000000-0009-0000-0000-000045000000}">
    <filterColumn colId="10">
      <filters blank="1"/>
    </filterColumn>
    <filterColumn colId="13" showButton="0"/>
    <filterColumn colId="14" showButton="0"/>
    <filterColumn colId="15" showButton="0"/>
  </autoFilter>
  <mergeCells count="1">
    <mergeCell ref="N2: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73121" r:id="rId3" name="Button 1">
              <controlPr defaultSize="0" print="0" autoFill="0" autoPict="0" macro="[0]!RETORNAR">
                <anchor moveWithCells="1" sizeWithCells="1">
                  <from>
                    <xdr:col>0</xdr:col>
                    <xdr:colOff>9525</xdr:colOff>
                    <xdr:row>0</xdr:row>
                    <xdr:rowOff>38100</xdr:rowOff>
                  </from>
                  <to>
                    <xdr:col>1</xdr:col>
                    <xdr:colOff>1066800</xdr:colOff>
                    <xdr:row>0</xdr:row>
                    <xdr:rowOff>276225</xdr:rowOff>
                  </to>
                </anchor>
              </controlPr>
            </control>
          </mc:Choice>
        </mc:AlternateContent>
        <mc:AlternateContent xmlns:mc="http://schemas.openxmlformats.org/markup-compatibility/2006">
          <mc:Choice Requires="x14">
            <control shapeId="773126" r:id="rId4" name="Botón 6">
              <controlPr defaultSize="0" print="0" autoFill="0" autoPict="0" macro="[0]!IR_VENTAS_B200_2026">
                <anchor moveWithCells="1" sizeWithCells="1">
                  <from>
                    <xdr:col>1</xdr:col>
                    <xdr:colOff>123825</xdr:colOff>
                    <xdr:row>34</xdr:row>
                    <xdr:rowOff>180975</xdr:rowOff>
                  </from>
                  <to>
                    <xdr:col>1</xdr:col>
                    <xdr:colOff>1428750</xdr:colOff>
                    <xdr:row>38</xdr:row>
                    <xdr:rowOff>28575</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Hoja75" filterMode="1"/>
  <dimension ref="A1:X18"/>
  <sheetViews>
    <sheetView workbookViewId="0">
      <selection activeCell="B23" sqref="B23"/>
    </sheetView>
  </sheetViews>
  <sheetFormatPr baseColWidth="10" defaultColWidth="10.85546875" defaultRowHeight="15" x14ac:dyDescent="0.25"/>
  <cols>
    <col min="2" max="2" width="25.42578125" customWidth="1"/>
    <col min="3" max="3" width="9.42578125" customWidth="1"/>
    <col min="4" max="4" width="10.85546875" style="28"/>
    <col min="5" max="5" width="5.28515625" customWidth="1"/>
    <col min="6" max="6" width="10.85546875" style="28"/>
    <col min="7" max="7" width="42.5703125" customWidth="1"/>
    <col min="9" max="9" width="11.5703125" bestFit="1" customWidth="1"/>
    <col min="10" max="10" width="12" bestFit="1" customWidth="1"/>
    <col min="11" max="11" width="20.140625" bestFit="1" customWidth="1"/>
  </cols>
  <sheetData>
    <row r="1" spans="1:24" ht="25.5" customHeight="1" x14ac:dyDescent="0.25"/>
    <row r="2" spans="1:24" x14ac:dyDescent="0.25">
      <c r="A2" t="s">
        <v>706</v>
      </c>
      <c r="B2" s="1" t="s">
        <v>0</v>
      </c>
      <c r="C2" s="1" t="s">
        <v>1</v>
      </c>
      <c r="D2" s="25" t="s">
        <v>2</v>
      </c>
      <c r="E2" s="1"/>
      <c r="F2" s="25" t="s">
        <v>3</v>
      </c>
      <c r="G2" s="1" t="s">
        <v>4</v>
      </c>
      <c r="H2" s="1" t="s">
        <v>5</v>
      </c>
      <c r="I2" s="1" t="s">
        <v>6</v>
      </c>
      <c r="J2" s="1" t="s">
        <v>1780</v>
      </c>
      <c r="K2" s="1" t="s">
        <v>8</v>
      </c>
      <c r="L2" s="1" t="s">
        <v>3997</v>
      </c>
      <c r="M2" s="1" t="s">
        <v>10</v>
      </c>
      <c r="N2" s="1480" t="s">
        <v>11</v>
      </c>
      <c r="O2" s="1480"/>
      <c r="P2" s="1480"/>
      <c r="Q2" s="1480"/>
    </row>
    <row r="3" spans="1:24" hidden="1" x14ac:dyDescent="0.25">
      <c r="A3" s="430" t="s">
        <v>3386</v>
      </c>
      <c r="B3" t="s">
        <v>3387</v>
      </c>
      <c r="C3" t="s">
        <v>410</v>
      </c>
      <c r="D3" s="233">
        <v>45286</v>
      </c>
      <c r="F3" s="28" t="s">
        <v>425</v>
      </c>
      <c r="G3" s="30" t="s">
        <v>3556</v>
      </c>
      <c r="H3" s="30" t="s">
        <v>3557</v>
      </c>
      <c r="I3" s="368">
        <v>30895</v>
      </c>
      <c r="J3">
        <f t="shared" ref="J3:J14" si="0">+I3*0.88</f>
        <v>27187.599999999999</v>
      </c>
      <c r="K3" t="s">
        <v>17</v>
      </c>
      <c r="L3" s="122">
        <v>45308</v>
      </c>
      <c r="T3" s="14" t="s">
        <v>1656</v>
      </c>
      <c r="U3" s="14">
        <v>0.3923611111111111</v>
      </c>
      <c r="V3" s="14">
        <v>0.62152777777777779</v>
      </c>
    </row>
    <row r="4" spans="1:24" ht="30" hidden="1" x14ac:dyDescent="0.25">
      <c r="A4" s="509">
        <v>12032024</v>
      </c>
      <c r="B4" s="30" t="s">
        <v>3845</v>
      </c>
      <c r="C4" s="28" t="s">
        <v>13</v>
      </c>
      <c r="D4" s="233">
        <v>45363</v>
      </c>
      <c r="F4" s="28" t="s">
        <v>425</v>
      </c>
      <c r="G4" s="357" t="s">
        <v>3851</v>
      </c>
      <c r="H4" s="30" t="s">
        <v>3850</v>
      </c>
      <c r="I4" s="237">
        <v>30895</v>
      </c>
      <c r="J4">
        <f t="shared" si="0"/>
        <v>27187.599999999999</v>
      </c>
      <c r="K4" t="s">
        <v>17</v>
      </c>
      <c r="L4" s="233">
        <v>45378</v>
      </c>
      <c r="T4" s="14" t="s">
        <v>2380</v>
      </c>
      <c r="U4" s="360"/>
      <c r="V4" s="360"/>
    </row>
    <row r="5" spans="1:24" hidden="1" x14ac:dyDescent="0.25">
      <c r="A5" s="509">
        <v>11042024</v>
      </c>
      <c r="B5" t="s">
        <v>4021</v>
      </c>
      <c r="C5" s="28" t="s">
        <v>410</v>
      </c>
      <c r="D5" s="233">
        <v>45393</v>
      </c>
      <c r="F5" s="28" t="s">
        <v>425</v>
      </c>
      <c r="G5" s="30" t="s">
        <v>4053</v>
      </c>
      <c r="H5" s="30" t="s">
        <v>4054</v>
      </c>
      <c r="I5" s="237">
        <v>30500</v>
      </c>
      <c r="J5" s="32">
        <f t="shared" si="0"/>
        <v>26840</v>
      </c>
      <c r="K5" t="s">
        <v>17</v>
      </c>
      <c r="L5" s="233">
        <v>45429</v>
      </c>
      <c r="T5" s="14" t="s">
        <v>1506</v>
      </c>
      <c r="U5" s="360">
        <v>0.39930555555555558</v>
      </c>
      <c r="V5" s="360"/>
    </row>
    <row r="6" spans="1:24" hidden="1" x14ac:dyDescent="0.25">
      <c r="A6" s="483">
        <v>22042024</v>
      </c>
      <c r="B6" t="s">
        <v>4021</v>
      </c>
      <c r="C6" s="28" t="s">
        <v>13</v>
      </c>
      <c r="D6" s="233">
        <v>45404</v>
      </c>
      <c r="F6" s="28" t="s">
        <v>425</v>
      </c>
      <c r="G6" s="30" t="s">
        <v>4234</v>
      </c>
      <c r="H6" t="s">
        <v>4235</v>
      </c>
      <c r="I6" s="251">
        <v>29850</v>
      </c>
      <c r="J6" s="32">
        <f t="shared" si="0"/>
        <v>26268</v>
      </c>
      <c r="K6" t="s">
        <v>17</v>
      </c>
      <c r="L6" s="233">
        <v>45448</v>
      </c>
      <c r="T6" s="14" t="s">
        <v>922</v>
      </c>
      <c r="U6" s="360"/>
      <c r="V6" s="360"/>
    </row>
    <row r="7" spans="1:24" hidden="1" x14ac:dyDescent="0.25">
      <c r="A7" s="483">
        <v>19122024</v>
      </c>
      <c r="B7" t="s">
        <v>4021</v>
      </c>
      <c r="C7" s="233" t="s">
        <v>4218</v>
      </c>
      <c r="D7" s="233">
        <v>45645</v>
      </c>
      <c r="E7" s="28"/>
      <c r="F7" s="28" t="s">
        <v>425</v>
      </c>
      <c r="G7" t="s">
        <v>5390</v>
      </c>
      <c r="H7" t="s">
        <v>5391</v>
      </c>
      <c r="I7" s="88">
        <v>31390</v>
      </c>
      <c r="J7" s="32">
        <f t="shared" si="0"/>
        <v>27623.200000000001</v>
      </c>
      <c r="K7" t="s">
        <v>17</v>
      </c>
      <c r="L7" s="233">
        <v>45666</v>
      </c>
      <c r="T7" t="s">
        <v>4138</v>
      </c>
      <c r="U7" s="360"/>
      <c r="V7" s="360"/>
    </row>
    <row r="8" spans="1:24" x14ac:dyDescent="0.25">
      <c r="A8" s="483">
        <v>24122024</v>
      </c>
      <c r="B8" t="s">
        <v>4021</v>
      </c>
      <c r="C8" s="233" t="s">
        <v>4218</v>
      </c>
      <c r="D8" s="233">
        <v>45650</v>
      </c>
      <c r="E8" s="28"/>
      <c r="F8" s="28" t="s">
        <v>425</v>
      </c>
      <c r="G8" t="s">
        <v>5459</v>
      </c>
      <c r="H8" t="s">
        <v>5979</v>
      </c>
      <c r="I8" s="88">
        <v>33040</v>
      </c>
      <c r="J8" s="88">
        <f t="shared" si="0"/>
        <v>29075.200000000001</v>
      </c>
      <c r="K8" t="s">
        <v>7183</v>
      </c>
      <c r="L8" s="233">
        <v>45750</v>
      </c>
      <c r="T8" t="s">
        <v>2050</v>
      </c>
      <c r="U8" s="360">
        <v>0.53541666666666665</v>
      </c>
      <c r="V8" s="360">
        <v>0.72569444444444453</v>
      </c>
    </row>
    <row r="9" spans="1:24" hidden="1" x14ac:dyDescent="0.25">
      <c r="A9" s="483" t="s">
        <v>5896</v>
      </c>
      <c r="B9" t="s">
        <v>3387</v>
      </c>
      <c r="C9" s="28" t="s">
        <v>410</v>
      </c>
      <c r="D9" s="233">
        <v>45749</v>
      </c>
      <c r="E9" s="28"/>
      <c r="F9" s="28" t="s">
        <v>425</v>
      </c>
      <c r="G9" t="s">
        <v>5977</v>
      </c>
      <c r="H9" s="30" t="s">
        <v>5978</v>
      </c>
      <c r="I9" s="798">
        <v>33040</v>
      </c>
      <c r="J9" s="88">
        <f t="shared" si="0"/>
        <v>29075.200000000001</v>
      </c>
      <c r="K9" t="s">
        <v>17</v>
      </c>
      <c r="L9" s="233">
        <v>45769</v>
      </c>
      <c r="T9" t="s">
        <v>5891</v>
      </c>
      <c r="U9" s="360">
        <v>0.65555555555555556</v>
      </c>
      <c r="V9" s="30"/>
    </row>
    <row r="10" spans="1:24" hidden="1" x14ac:dyDescent="0.25">
      <c r="A10" s="483" t="s">
        <v>6308</v>
      </c>
      <c r="B10" t="s">
        <v>6331</v>
      </c>
      <c r="C10" s="28" t="s">
        <v>278</v>
      </c>
      <c r="D10" s="233">
        <v>45810</v>
      </c>
      <c r="E10" s="28"/>
      <c r="F10" s="28" t="s">
        <v>425</v>
      </c>
      <c r="G10" t="s">
        <v>6333</v>
      </c>
      <c r="H10" s="28" t="s">
        <v>6334</v>
      </c>
      <c r="I10" s="798">
        <v>33040</v>
      </c>
      <c r="J10" s="88">
        <f t="shared" si="0"/>
        <v>29075.200000000001</v>
      </c>
      <c r="K10" t="s">
        <v>17</v>
      </c>
      <c r="L10" s="233">
        <v>45821</v>
      </c>
      <c r="T10" t="s">
        <v>4853</v>
      </c>
      <c r="U10" s="30"/>
      <c r="V10" s="30"/>
    </row>
    <row r="11" spans="1:24" hidden="1" x14ac:dyDescent="0.25">
      <c r="A11" s="483">
        <v>28102025</v>
      </c>
      <c r="B11" t="s">
        <v>4021</v>
      </c>
      <c r="C11" s="28" t="s">
        <v>4218</v>
      </c>
      <c r="D11" s="233">
        <v>45958</v>
      </c>
      <c r="E11" s="28"/>
      <c r="F11" s="28" t="s">
        <v>425</v>
      </c>
      <c r="G11" s="1067" t="s">
        <v>7184</v>
      </c>
      <c r="H11" s="28" t="s">
        <v>7181</v>
      </c>
      <c r="I11" s="798">
        <v>16456</v>
      </c>
      <c r="J11" s="88">
        <f t="shared" ref="J11" si="1">+I11*0.88</f>
        <v>14481.28</v>
      </c>
      <c r="K11" t="s">
        <v>17</v>
      </c>
      <c r="L11" s="233">
        <v>45973</v>
      </c>
      <c r="M11" s="88"/>
      <c r="T11" t="s">
        <v>6503</v>
      </c>
      <c r="U11" s="360">
        <v>0.28194444444444444</v>
      </c>
      <c r="V11" s="360"/>
    </row>
    <row r="12" spans="1:24" hidden="1" x14ac:dyDescent="0.25">
      <c r="A12" s="483">
        <v>28102025</v>
      </c>
      <c r="B12" t="s">
        <v>4021</v>
      </c>
      <c r="C12" s="28" t="s">
        <v>4218</v>
      </c>
      <c r="D12" s="233">
        <v>45958</v>
      </c>
      <c r="E12" s="28"/>
      <c r="F12" s="28" t="s">
        <v>425</v>
      </c>
      <c r="G12" s="1067" t="s">
        <v>7184</v>
      </c>
      <c r="H12" s="28" t="s">
        <v>7182</v>
      </c>
      <c r="I12" s="798">
        <v>15640</v>
      </c>
      <c r="J12" s="88">
        <f t="shared" si="0"/>
        <v>13763.2</v>
      </c>
      <c r="K12" t="s">
        <v>17</v>
      </c>
      <c r="L12" s="233">
        <v>45973</v>
      </c>
      <c r="M12" s="88"/>
      <c r="T12" t="s">
        <v>6503</v>
      </c>
      <c r="U12" s="360">
        <v>0.28194444444444444</v>
      </c>
      <c r="V12" s="360"/>
    </row>
    <row r="13" spans="1:24" hidden="1" x14ac:dyDescent="0.25">
      <c r="A13" s="690" t="s">
        <v>7652</v>
      </c>
      <c r="B13" s="19" t="s">
        <v>4021</v>
      </c>
      <c r="C13" s="472" t="s">
        <v>410</v>
      </c>
      <c r="D13" s="691">
        <v>46067</v>
      </c>
      <c r="E13" s="472"/>
      <c r="F13" s="472" t="s">
        <v>425</v>
      </c>
      <c r="G13" s="1084" t="s">
        <v>7680</v>
      </c>
      <c r="H13" s="472" t="s">
        <v>7695</v>
      </c>
      <c r="I13" s="1101">
        <v>30975</v>
      </c>
      <c r="J13" s="88">
        <f t="shared" si="0"/>
        <v>27258</v>
      </c>
      <c r="K13" t="s">
        <v>17</v>
      </c>
      <c r="L13" s="233">
        <v>46098</v>
      </c>
      <c r="M13" s="88"/>
      <c r="T13" t="s">
        <v>3765</v>
      </c>
      <c r="U13" s="693">
        <v>0.2298611111111111</v>
      </c>
      <c r="V13" s="360">
        <v>0.43263888888888885</v>
      </c>
    </row>
    <row r="14" spans="1:24" hidden="1" x14ac:dyDescent="0.25">
      <c r="A14" s="483" t="s">
        <v>8106</v>
      </c>
      <c r="B14" t="s">
        <v>4021</v>
      </c>
      <c r="C14" s="28" t="s">
        <v>13</v>
      </c>
      <c r="D14" s="233">
        <v>46155</v>
      </c>
      <c r="E14" s="28"/>
      <c r="F14" s="28" t="s">
        <v>425</v>
      </c>
      <c r="G14" s="88" t="s">
        <v>8141</v>
      </c>
      <c r="H14" s="28" t="s">
        <v>8109</v>
      </c>
      <c r="I14" s="798">
        <v>35560</v>
      </c>
      <c r="J14" s="88">
        <f t="shared" si="0"/>
        <v>31292.799999999999</v>
      </c>
      <c r="K14" s="1388" t="s">
        <v>17</v>
      </c>
      <c r="L14" s="233"/>
      <c r="N14" s="798"/>
      <c r="V14" t="s">
        <v>4983</v>
      </c>
      <c r="W14" s="360">
        <v>0.58333333333333337</v>
      </c>
      <c r="X14" s="360">
        <v>0.77430555555555547</v>
      </c>
    </row>
    <row r="15" spans="1:24" x14ac:dyDescent="0.25">
      <c r="A15" s="1448" t="s">
        <v>8553</v>
      </c>
      <c r="B15" s="21" t="s">
        <v>8554</v>
      </c>
      <c r="C15" s="31" t="s">
        <v>410</v>
      </c>
      <c r="D15" s="233">
        <v>46265</v>
      </c>
      <c r="E15" s="28"/>
      <c r="F15" s="313" t="s">
        <v>425</v>
      </c>
      <c r="G15" s="88" t="s">
        <v>8569</v>
      </c>
      <c r="I15" s="915">
        <v>35560</v>
      </c>
      <c r="J15" s="88">
        <f>+I15*0.88</f>
        <v>31292.799999999999</v>
      </c>
      <c r="N15" s="558"/>
      <c r="O15" s="88"/>
      <c r="V15" t="s">
        <v>7335</v>
      </c>
      <c r="W15" s="360"/>
      <c r="X15" s="30"/>
    </row>
    <row r="16" spans="1:24" x14ac:dyDescent="0.25">
      <c r="A16" s="483"/>
      <c r="C16" s="28"/>
      <c r="D16" s="233"/>
      <c r="E16" s="28"/>
      <c r="H16" s="30"/>
      <c r="I16" s="798"/>
      <c r="J16" s="88"/>
      <c r="L16" s="233"/>
      <c r="U16" s="360"/>
      <c r="V16" s="30"/>
    </row>
    <row r="17" spans="1:17" x14ac:dyDescent="0.25">
      <c r="A17" s="116"/>
      <c r="B17" s="169"/>
      <c r="C17" s="21"/>
      <c r="D17" s="510"/>
      <c r="E17" s="88"/>
      <c r="F17" s="177"/>
      <c r="G17" s="21"/>
      <c r="I17" s="160"/>
      <c r="J17" s="160"/>
      <c r="K17" s="160"/>
      <c r="L17" s="122"/>
      <c r="O17" s="163"/>
      <c r="P17" s="157"/>
      <c r="Q17" s="157"/>
    </row>
    <row r="18" spans="1:17" x14ac:dyDescent="0.25">
      <c r="H18" s="5" t="s">
        <v>423</v>
      </c>
      <c r="I18" s="9">
        <f>SUBTOTAL(9,I3:I17)</f>
        <v>68600</v>
      </c>
      <c r="L18" s="122"/>
    </row>
  </sheetData>
  <autoFilter ref="A2:Q17" xr:uid="{00000000-0009-0000-0000-000046000000}">
    <filterColumn colId="10">
      <filters blank="1">
        <filter val="SOL RECONOCIMIENTO"/>
      </filters>
    </filterColumn>
    <filterColumn colId="13" showButton="0"/>
    <filterColumn colId="14" showButton="0"/>
    <filterColumn colId="15" showButton="0"/>
  </autoFilter>
  <mergeCells count="1">
    <mergeCell ref="N2: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79265" r:id="rId3" name="Button 1">
              <controlPr defaultSize="0" print="0" autoFill="0" autoPict="0" macro="[0]!RETORNAR">
                <anchor moveWithCells="1" sizeWithCells="1">
                  <from>
                    <xdr:col>0</xdr:col>
                    <xdr:colOff>9525</xdr:colOff>
                    <xdr:row>0</xdr:row>
                    <xdr:rowOff>38100</xdr:rowOff>
                  </from>
                  <to>
                    <xdr:col>1</xdr:col>
                    <xdr:colOff>1066800</xdr:colOff>
                    <xdr:row>0</xdr:row>
                    <xdr:rowOff>276225</xdr:rowOff>
                  </to>
                </anchor>
              </controlPr>
            </control>
          </mc:Choice>
        </mc:AlternateContent>
        <mc:AlternateContent xmlns:mc="http://schemas.openxmlformats.org/markup-compatibility/2006">
          <mc:Choice Requires="x14">
            <control shapeId="779269" r:id="rId4" name="Botón 5">
              <controlPr defaultSize="0" print="0" autoFill="0" autoPict="0" macro="[0]!IR_VENTAS_B200_2026">
                <anchor moveWithCells="1" sizeWithCells="1">
                  <from>
                    <xdr:col>0</xdr:col>
                    <xdr:colOff>552450</xdr:colOff>
                    <xdr:row>18</xdr:row>
                    <xdr:rowOff>171450</xdr:rowOff>
                  </from>
                  <to>
                    <xdr:col>1</xdr:col>
                    <xdr:colOff>1095375</xdr:colOff>
                    <xdr:row>22</xdr:row>
                    <xdr:rowOff>19050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Hoja76" filterMode="1"/>
  <dimension ref="A1:V9"/>
  <sheetViews>
    <sheetView workbookViewId="0">
      <selection activeCell="H8" sqref="H8"/>
    </sheetView>
  </sheetViews>
  <sheetFormatPr baseColWidth="10" defaultColWidth="10.85546875" defaultRowHeight="15" x14ac:dyDescent="0.25"/>
  <cols>
    <col min="2" max="2" width="25.42578125" customWidth="1"/>
    <col min="3" max="3" width="9.42578125" customWidth="1"/>
    <col min="5" max="5" width="5.28515625" customWidth="1"/>
    <col min="7" max="7" width="42.5703125" customWidth="1"/>
    <col min="9" max="9" width="11.5703125" bestFit="1" customWidth="1"/>
    <col min="10" max="10" width="12" bestFit="1" customWidth="1"/>
  </cols>
  <sheetData>
    <row r="1" spans="1:22" ht="25.5" customHeight="1" x14ac:dyDescent="0.25"/>
    <row r="2" spans="1:22" x14ac:dyDescent="0.25">
      <c r="A2" t="s">
        <v>706</v>
      </c>
      <c r="B2" s="1" t="s">
        <v>0</v>
      </c>
      <c r="C2" s="1" t="s">
        <v>1</v>
      </c>
      <c r="D2" s="1" t="s">
        <v>2</v>
      </c>
      <c r="E2" s="1"/>
      <c r="F2" s="1" t="s">
        <v>3</v>
      </c>
      <c r="G2" s="1" t="s">
        <v>4</v>
      </c>
      <c r="H2" s="1" t="s">
        <v>5</v>
      </c>
      <c r="I2" s="1" t="s">
        <v>6</v>
      </c>
      <c r="J2" s="1" t="s">
        <v>1780</v>
      </c>
      <c r="K2" s="1" t="s">
        <v>8</v>
      </c>
      <c r="L2" s="1" t="s">
        <v>3997</v>
      </c>
      <c r="M2" s="1" t="s">
        <v>10</v>
      </c>
      <c r="N2" s="1480" t="s">
        <v>11</v>
      </c>
      <c r="O2" s="1480"/>
      <c r="P2" s="1480"/>
      <c r="Q2" s="1480"/>
    </row>
    <row r="3" spans="1:22" hidden="1" x14ac:dyDescent="0.25">
      <c r="A3" s="509">
        <v>16022024</v>
      </c>
      <c r="B3" s="30" t="s">
        <v>3976</v>
      </c>
      <c r="C3" s="28"/>
      <c r="D3" s="233">
        <v>45338</v>
      </c>
      <c r="F3" s="28" t="s">
        <v>143</v>
      </c>
      <c r="G3" s="30" t="s">
        <v>3852</v>
      </c>
      <c r="H3" s="30" t="s">
        <v>3853</v>
      </c>
      <c r="I3" s="237">
        <v>39152</v>
      </c>
      <c r="K3" t="s">
        <v>17</v>
      </c>
      <c r="L3" s="233">
        <v>45386</v>
      </c>
      <c r="T3" s="14"/>
      <c r="U3" s="360"/>
      <c r="V3" s="360"/>
    </row>
    <row r="4" spans="1:22" hidden="1" x14ac:dyDescent="0.25">
      <c r="A4" s="483" t="s">
        <v>6447</v>
      </c>
      <c r="B4" s="30" t="s">
        <v>3976</v>
      </c>
      <c r="C4" s="28" t="s">
        <v>660</v>
      </c>
      <c r="D4" s="233">
        <v>45825</v>
      </c>
      <c r="E4" s="28"/>
      <c r="F4" s="28" t="s">
        <v>113</v>
      </c>
      <c r="G4" t="s">
        <v>6462</v>
      </c>
      <c r="H4" s="28" t="s">
        <v>6463</v>
      </c>
      <c r="I4" s="798">
        <v>39069</v>
      </c>
      <c r="K4" s="30" t="s">
        <v>17</v>
      </c>
      <c r="L4" s="233">
        <v>45834</v>
      </c>
      <c r="T4" t="s">
        <v>6349</v>
      </c>
      <c r="U4" s="360">
        <v>0.4465277777777778</v>
      </c>
      <c r="V4" s="30"/>
    </row>
    <row r="5" spans="1:22" hidden="1" x14ac:dyDescent="0.25">
      <c r="A5" s="483" t="s">
        <v>7622</v>
      </c>
      <c r="B5" s="30" t="s">
        <v>3976</v>
      </c>
      <c r="C5" s="28" t="s">
        <v>410</v>
      </c>
      <c r="D5" s="233">
        <v>46055</v>
      </c>
      <c r="E5" s="28"/>
      <c r="F5" s="28" t="s">
        <v>4200</v>
      </c>
      <c r="G5" s="1067" t="s">
        <v>7681</v>
      </c>
      <c r="H5" s="28" t="s">
        <v>7682</v>
      </c>
      <c r="I5" s="88">
        <v>38562</v>
      </c>
      <c r="J5" s="28" t="s">
        <v>17</v>
      </c>
      <c r="K5" s="233">
        <v>46072</v>
      </c>
      <c r="L5" s="447"/>
      <c r="M5" s="88"/>
      <c r="T5" t="s">
        <v>6150</v>
      </c>
      <c r="U5" s="360">
        <v>0.52708333333333335</v>
      </c>
      <c r="V5" s="360"/>
    </row>
    <row r="6" spans="1:22" s="30" customFormat="1" x14ac:dyDescent="0.25">
      <c r="A6" s="256"/>
      <c r="D6" s="359"/>
      <c r="I6" s="236"/>
      <c r="J6" s="313"/>
      <c r="L6" s="236"/>
      <c r="T6" s="360"/>
      <c r="U6" s="360"/>
      <c r="V6" s="360"/>
    </row>
    <row r="7" spans="1:22" x14ac:dyDescent="0.25">
      <c r="A7" s="256"/>
      <c r="D7" s="122"/>
      <c r="F7" s="30"/>
      <c r="G7" s="30"/>
      <c r="H7" s="30"/>
      <c r="I7" s="160"/>
      <c r="L7" s="122"/>
      <c r="U7" s="14"/>
      <c r="V7" s="14"/>
    </row>
    <row r="8" spans="1:22" x14ac:dyDescent="0.25">
      <c r="A8" s="116"/>
      <c r="B8" s="169"/>
      <c r="C8" s="21"/>
      <c r="D8" s="123"/>
      <c r="E8" s="88"/>
      <c r="F8" s="21"/>
      <c r="G8" s="21"/>
      <c r="I8" s="160"/>
      <c r="J8" s="160"/>
      <c r="K8" s="160"/>
      <c r="L8" s="122"/>
      <c r="O8" s="163"/>
      <c r="P8" s="157"/>
      <c r="Q8" s="157"/>
    </row>
    <row r="9" spans="1:22" x14ac:dyDescent="0.25">
      <c r="H9" s="5" t="s">
        <v>423</v>
      </c>
      <c r="I9" s="9">
        <f>SUBTOTAL(9,I3:I8)</f>
        <v>0</v>
      </c>
      <c r="L9" s="122"/>
    </row>
  </sheetData>
  <autoFilter ref="A2:Q8" xr:uid="{00000000-0009-0000-0000-000047000000}">
    <filterColumn colId="10">
      <filters blank="1"/>
    </filterColumn>
    <filterColumn colId="13" showButton="0"/>
    <filterColumn colId="14" showButton="0"/>
    <filterColumn colId="15" showButton="0"/>
  </autoFilter>
  <mergeCells count="1">
    <mergeCell ref="N2: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5409" r:id="rId3" name="Button 1">
              <controlPr defaultSize="0" print="0" autoFill="0" autoPict="0" macro="[0]!RETORNAR">
                <anchor moveWithCells="1" sizeWithCells="1">
                  <from>
                    <xdr:col>0</xdr:col>
                    <xdr:colOff>9525</xdr:colOff>
                    <xdr:row>0</xdr:row>
                    <xdr:rowOff>38100</xdr:rowOff>
                  </from>
                  <to>
                    <xdr:col>1</xdr:col>
                    <xdr:colOff>1066800</xdr:colOff>
                    <xdr:row>0</xdr:row>
                    <xdr:rowOff>276225</xdr:rowOff>
                  </to>
                </anchor>
              </controlPr>
            </control>
          </mc:Choice>
        </mc:AlternateContent>
        <mc:AlternateContent xmlns:mc="http://schemas.openxmlformats.org/markup-compatibility/2006">
          <mc:Choice Requires="x14">
            <control shapeId="785412" r:id="rId4" name="Botón 4">
              <controlPr defaultSize="0" print="0" autoFill="0" autoPict="0" macro="[0]!IR_VENTAS_B200_2026">
                <anchor moveWithCells="1" sizeWithCells="1">
                  <from>
                    <xdr:col>1</xdr:col>
                    <xdr:colOff>123825</xdr:colOff>
                    <xdr:row>9</xdr:row>
                    <xdr:rowOff>180975</xdr:rowOff>
                  </from>
                  <to>
                    <xdr:col>1</xdr:col>
                    <xdr:colOff>1428750</xdr:colOff>
                    <xdr:row>13</xdr:row>
                    <xdr:rowOff>28575</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Hoja77" filterMode="1"/>
  <dimension ref="A1:X19"/>
  <sheetViews>
    <sheetView workbookViewId="0">
      <selection activeCell="H14" sqref="H14"/>
    </sheetView>
  </sheetViews>
  <sheetFormatPr baseColWidth="10" defaultColWidth="10.85546875" defaultRowHeight="15" x14ac:dyDescent="0.25"/>
  <cols>
    <col min="2" max="2" width="25.42578125" customWidth="1"/>
    <col min="3" max="3" width="9.42578125" customWidth="1"/>
    <col min="5" max="5" width="5.28515625" customWidth="1"/>
    <col min="6" max="6" width="7.5703125" bestFit="1" customWidth="1"/>
    <col min="7" max="7" width="42.5703125" customWidth="1"/>
    <col min="9" max="9" width="11.5703125" bestFit="1" customWidth="1"/>
    <col min="10" max="10" width="12" bestFit="1" customWidth="1"/>
  </cols>
  <sheetData>
    <row r="1" spans="1:24" ht="25.5" customHeight="1" x14ac:dyDescent="0.25"/>
    <row r="2" spans="1:24" x14ac:dyDescent="0.25">
      <c r="A2" t="s">
        <v>706</v>
      </c>
      <c r="B2" s="1" t="s">
        <v>0</v>
      </c>
      <c r="C2" s="1" t="s">
        <v>1</v>
      </c>
      <c r="D2" s="1" t="s">
        <v>2</v>
      </c>
      <c r="E2" s="1"/>
      <c r="F2" s="1" t="s">
        <v>3</v>
      </c>
      <c r="G2" s="1" t="s">
        <v>4</v>
      </c>
      <c r="H2" s="1" t="s">
        <v>5</v>
      </c>
      <c r="I2" s="1" t="s">
        <v>6</v>
      </c>
      <c r="J2" s="1" t="s">
        <v>1780</v>
      </c>
      <c r="K2" s="1" t="s">
        <v>8</v>
      </c>
      <c r="L2" s="1" t="s">
        <v>3997</v>
      </c>
      <c r="M2" s="1" t="s">
        <v>10</v>
      </c>
      <c r="N2" s="1480" t="s">
        <v>11</v>
      </c>
      <c r="O2" s="1480"/>
      <c r="P2" s="1480"/>
      <c r="Q2" s="1480"/>
    </row>
    <row r="3" spans="1:24" hidden="1" x14ac:dyDescent="0.25">
      <c r="B3" s="1"/>
      <c r="C3" s="1"/>
      <c r="D3" s="1"/>
      <c r="E3" s="1"/>
      <c r="F3" s="28" t="s">
        <v>285</v>
      </c>
      <c r="G3" s="30" t="s">
        <v>4230</v>
      </c>
      <c r="H3" s="30" t="s">
        <v>4227</v>
      </c>
      <c r="I3" s="237">
        <f>36816</f>
        <v>36816</v>
      </c>
      <c r="J3" s="237">
        <f>+I3*0.88</f>
        <v>32398.080000000002</v>
      </c>
      <c r="K3" s="1" t="s">
        <v>17</v>
      </c>
      <c r="L3" s="233">
        <v>45436</v>
      </c>
      <c r="M3" s="1"/>
      <c r="N3" s="25"/>
      <c r="O3" s="25"/>
      <c r="P3" s="25"/>
      <c r="Q3" s="25"/>
    </row>
    <row r="4" spans="1:24" hidden="1" x14ac:dyDescent="0.25">
      <c r="A4" s="509">
        <v>28022024</v>
      </c>
      <c r="B4" s="30" t="s">
        <v>3792</v>
      </c>
      <c r="C4" s="28" t="s">
        <v>410</v>
      </c>
      <c r="D4" s="233">
        <v>45350</v>
      </c>
      <c r="F4" s="28" t="s">
        <v>285</v>
      </c>
      <c r="G4" s="30" t="s">
        <v>4229</v>
      </c>
      <c r="H4" s="30" t="s">
        <v>4228</v>
      </c>
      <c r="I4" s="237">
        <v>9284</v>
      </c>
      <c r="J4" s="237">
        <f>+I4*0.88</f>
        <v>8169.92</v>
      </c>
      <c r="K4" s="1" t="s">
        <v>17</v>
      </c>
      <c r="L4" s="233">
        <v>45436</v>
      </c>
      <c r="T4" s="14" t="s">
        <v>1644</v>
      </c>
      <c r="U4" s="360">
        <v>0.69652777777777775</v>
      </c>
      <c r="V4" s="360">
        <v>4.9999999999999996E-2</v>
      </c>
    </row>
    <row r="5" spans="1:24" hidden="1" x14ac:dyDescent="0.25">
      <c r="A5" s="483">
        <v>26062025</v>
      </c>
      <c r="B5" t="s">
        <v>6491</v>
      </c>
      <c r="C5" s="28" t="s">
        <v>4437</v>
      </c>
      <c r="D5" s="233">
        <v>45834</v>
      </c>
      <c r="E5" s="28"/>
      <c r="F5" s="28" t="s">
        <v>285</v>
      </c>
      <c r="G5" t="s">
        <v>6538</v>
      </c>
      <c r="H5" s="28" t="s">
        <v>6539</v>
      </c>
      <c r="I5" s="798">
        <v>41950</v>
      </c>
      <c r="J5" s="237">
        <f>+I5*0.88</f>
        <v>36916</v>
      </c>
      <c r="K5" t="s">
        <v>17</v>
      </c>
      <c r="L5" s="233">
        <v>45840</v>
      </c>
      <c r="T5" t="s">
        <v>4139</v>
      </c>
      <c r="U5" s="360">
        <v>0.39999999999999997</v>
      </c>
      <c r="V5" s="30"/>
    </row>
    <row r="6" spans="1:24" hidden="1" x14ac:dyDescent="0.25">
      <c r="A6" s="483">
        <v>26062025</v>
      </c>
      <c r="B6" t="s">
        <v>6491</v>
      </c>
      <c r="C6" s="28" t="s">
        <v>4437</v>
      </c>
      <c r="D6" s="233">
        <v>45834</v>
      </c>
      <c r="E6" s="28"/>
      <c r="F6" s="28" t="s">
        <v>285</v>
      </c>
      <c r="G6" t="s">
        <v>6538</v>
      </c>
      <c r="H6" s="28" t="s">
        <v>6509</v>
      </c>
      <c r="I6" s="798">
        <v>3150</v>
      </c>
      <c r="J6" s="237">
        <f>+I6*0.88</f>
        <v>2772</v>
      </c>
      <c r="K6" t="s">
        <v>17</v>
      </c>
      <c r="L6" s="233">
        <v>45840</v>
      </c>
      <c r="T6" t="s">
        <v>4139</v>
      </c>
      <c r="U6" s="360">
        <v>0.39999999999999997</v>
      </c>
      <c r="V6" s="30"/>
    </row>
    <row r="7" spans="1:24" hidden="1" x14ac:dyDescent="0.25">
      <c r="A7" s="483" t="s">
        <v>7648</v>
      </c>
      <c r="B7" t="s">
        <v>7650</v>
      </c>
      <c r="C7" s="28" t="s">
        <v>4218</v>
      </c>
      <c r="D7" s="233">
        <v>46063</v>
      </c>
      <c r="E7" s="28"/>
      <c r="F7" s="28" t="s">
        <v>285</v>
      </c>
      <c r="G7" s="1067" t="s">
        <v>7760</v>
      </c>
      <c r="H7" s="28" t="s">
        <v>7762</v>
      </c>
      <c r="I7" s="798">
        <v>40100</v>
      </c>
      <c r="J7" s="237">
        <f>+I7*0.88</f>
        <v>35288</v>
      </c>
      <c r="K7" t="s">
        <v>17</v>
      </c>
      <c r="L7" s="233">
        <v>46086</v>
      </c>
      <c r="M7" s="88"/>
      <c r="T7" t="s">
        <v>7122</v>
      </c>
      <c r="U7" s="360">
        <v>0.26805555555555555</v>
      </c>
      <c r="V7" s="360">
        <v>0.57986111111111105</v>
      </c>
    </row>
    <row r="8" spans="1:24" s="30" customFormat="1" hidden="1" x14ac:dyDescent="0.25">
      <c r="A8" s="483" t="s">
        <v>7648</v>
      </c>
      <c r="B8" t="s">
        <v>7650</v>
      </c>
      <c r="C8" s="28" t="s">
        <v>4218</v>
      </c>
      <c r="D8" s="233">
        <v>46063</v>
      </c>
      <c r="E8" s="28"/>
      <c r="F8" s="28" t="s">
        <v>285</v>
      </c>
      <c r="G8" s="1067" t="s">
        <v>7760</v>
      </c>
      <c r="H8" s="28" t="s">
        <v>7761</v>
      </c>
      <c r="I8" s="798">
        <v>5000</v>
      </c>
      <c r="J8" s="237">
        <f t="shared" ref="J8:J9" si="0">+I8*0.88</f>
        <v>4400</v>
      </c>
      <c r="K8" t="s">
        <v>17</v>
      </c>
      <c r="L8" s="233">
        <v>46086</v>
      </c>
      <c r="T8" s="360"/>
      <c r="U8" s="360"/>
      <c r="V8" s="360"/>
    </row>
    <row r="9" spans="1:24" hidden="1" x14ac:dyDescent="0.25">
      <c r="A9" s="483" t="s">
        <v>7886</v>
      </c>
      <c r="B9" s="21" t="s">
        <v>7650</v>
      </c>
      <c r="C9" s="28" t="s">
        <v>13</v>
      </c>
      <c r="D9" s="233">
        <v>46112</v>
      </c>
      <c r="E9" s="28"/>
      <c r="F9" s="28" t="s">
        <v>285</v>
      </c>
      <c r="G9" s="1067" t="s">
        <v>7908</v>
      </c>
      <c r="H9" s="28" t="s">
        <v>7906</v>
      </c>
      <c r="I9" s="915">
        <v>40788</v>
      </c>
      <c r="J9" s="237">
        <f t="shared" si="0"/>
        <v>35893.440000000002</v>
      </c>
      <c r="K9" s="359" t="s">
        <v>17</v>
      </c>
      <c r="L9" s="233">
        <v>46122</v>
      </c>
      <c r="M9" s="558"/>
      <c r="N9" s="88"/>
      <c r="U9" t="s">
        <v>7833</v>
      </c>
      <c r="V9" s="360">
        <v>0.43472222222222223</v>
      </c>
      <c r="W9" s="360">
        <v>0.61319444444444449</v>
      </c>
    </row>
    <row r="10" spans="1:24" hidden="1" x14ac:dyDescent="0.25">
      <c r="A10" s="483" t="s">
        <v>7886</v>
      </c>
      <c r="B10" s="21" t="s">
        <v>7650</v>
      </c>
      <c r="C10" s="28" t="s">
        <v>13</v>
      </c>
      <c r="D10" s="233">
        <v>46112</v>
      </c>
      <c r="E10" s="28"/>
      <c r="F10" s="28" t="s">
        <v>285</v>
      </c>
      <c r="G10" s="1067" t="s">
        <v>7908</v>
      </c>
      <c r="H10" s="28" t="s">
        <v>7907</v>
      </c>
      <c r="I10" s="915">
        <v>8732</v>
      </c>
      <c r="J10" s="237">
        <f t="shared" ref="J10:J14" si="1">+I10*0.88</f>
        <v>7684.16</v>
      </c>
      <c r="K10" s="359" t="s">
        <v>17</v>
      </c>
      <c r="L10" s="233">
        <v>46122</v>
      </c>
      <c r="M10" s="558"/>
      <c r="N10" s="88"/>
      <c r="U10" t="s">
        <v>7833</v>
      </c>
      <c r="V10" s="360">
        <v>0.43472222222222223</v>
      </c>
      <c r="W10" s="360">
        <v>0.61319444444444449</v>
      </c>
    </row>
    <row r="11" spans="1:24" hidden="1" x14ac:dyDescent="0.25">
      <c r="A11" s="483">
        <v>22062026</v>
      </c>
      <c r="B11" t="s">
        <v>7650</v>
      </c>
      <c r="C11" s="31" t="s">
        <v>13</v>
      </c>
      <c r="D11" s="233">
        <v>46195</v>
      </c>
      <c r="E11" s="28"/>
      <c r="F11" s="28" t="s">
        <v>285</v>
      </c>
      <c r="G11" s="88" t="s">
        <v>8628</v>
      </c>
      <c r="H11" s="28" t="s">
        <v>8272</v>
      </c>
      <c r="I11" s="798">
        <v>40788</v>
      </c>
      <c r="J11" s="237">
        <f t="shared" ref="J11" si="2">+I11*0.88</f>
        <v>35893.440000000002</v>
      </c>
      <c r="K11" s="1293" t="s">
        <v>17</v>
      </c>
      <c r="L11" s="233">
        <v>46197</v>
      </c>
      <c r="N11" s="798"/>
      <c r="V11" s="21" t="s">
        <v>8251</v>
      </c>
      <c r="W11" s="360">
        <v>0.2902777777777778</v>
      </c>
      <c r="X11" s="360"/>
    </row>
    <row r="12" spans="1:24" hidden="1" x14ac:dyDescent="0.25">
      <c r="A12" s="483">
        <v>22062026</v>
      </c>
      <c r="B12" t="s">
        <v>7650</v>
      </c>
      <c r="C12" s="31" t="s">
        <v>13</v>
      </c>
      <c r="D12" s="233">
        <v>46195</v>
      </c>
      <c r="E12" s="28"/>
      <c r="F12" s="28" t="s">
        <v>285</v>
      </c>
      <c r="G12" s="88" t="s">
        <v>8274</v>
      </c>
      <c r="H12" s="28" t="s">
        <v>8273</v>
      </c>
      <c r="I12" s="798">
        <v>8732</v>
      </c>
      <c r="J12" s="237">
        <f t="shared" si="1"/>
        <v>7684.16</v>
      </c>
      <c r="K12" s="1293" t="s">
        <v>17</v>
      </c>
      <c r="L12" s="233">
        <v>46197</v>
      </c>
      <c r="N12" s="798"/>
      <c r="V12" s="21" t="s">
        <v>8251</v>
      </c>
      <c r="W12" s="360">
        <v>0.2902777777777778</v>
      </c>
      <c r="X12" s="360"/>
    </row>
    <row r="13" spans="1:24" hidden="1" x14ac:dyDescent="0.25">
      <c r="A13" s="483" t="s">
        <v>8586</v>
      </c>
      <c r="B13" t="s">
        <v>7650</v>
      </c>
      <c r="C13" s="31" t="s">
        <v>410</v>
      </c>
      <c r="D13" s="233" t="s">
        <v>8593</v>
      </c>
      <c r="E13" s="28"/>
      <c r="F13" s="28" t="s">
        <v>285</v>
      </c>
      <c r="G13" s="1067" t="s">
        <v>8629</v>
      </c>
      <c r="H13" s="28" t="s">
        <v>8662</v>
      </c>
      <c r="I13" s="798">
        <v>43900</v>
      </c>
      <c r="J13" s="237">
        <f t="shared" si="1"/>
        <v>38632</v>
      </c>
      <c r="K13" t="s">
        <v>17</v>
      </c>
      <c r="L13" s="233">
        <v>46287</v>
      </c>
      <c r="N13" s="798"/>
      <c r="V13" s="21"/>
      <c r="W13" s="360"/>
      <c r="X13" s="360"/>
    </row>
    <row r="14" spans="1:24" x14ac:dyDescent="0.25">
      <c r="A14" s="483" t="s">
        <v>8586</v>
      </c>
      <c r="B14" t="s">
        <v>7650</v>
      </c>
      <c r="C14" s="31" t="s">
        <v>410</v>
      </c>
      <c r="D14" s="233" t="s">
        <v>8593</v>
      </c>
      <c r="E14" s="28"/>
      <c r="F14" s="28" t="s">
        <v>285</v>
      </c>
      <c r="G14" s="1067" t="s">
        <v>8630</v>
      </c>
      <c r="H14" s="28" t="s">
        <v>8654</v>
      </c>
      <c r="I14" s="798">
        <v>8590</v>
      </c>
      <c r="J14" s="237">
        <f t="shared" si="1"/>
        <v>7559.2</v>
      </c>
      <c r="K14" s="1293"/>
      <c r="L14" s="233"/>
      <c r="N14" s="798"/>
      <c r="V14" s="21"/>
      <c r="W14" s="360"/>
      <c r="X14" s="360"/>
    </row>
    <row r="15" spans="1:24" x14ac:dyDescent="0.25">
      <c r="A15" s="116"/>
      <c r="B15" s="169"/>
      <c r="C15" s="21"/>
      <c r="D15" s="123"/>
      <c r="E15" s="88"/>
      <c r="F15" s="21"/>
      <c r="G15" s="21"/>
      <c r="I15" s="160"/>
      <c r="J15" s="237"/>
      <c r="K15" s="160"/>
      <c r="L15" s="122"/>
      <c r="O15" s="163"/>
      <c r="P15" s="157"/>
      <c r="Q15" s="157"/>
    </row>
    <row r="16" spans="1:24" x14ac:dyDescent="0.25">
      <c r="H16" s="5" t="s">
        <v>423</v>
      </c>
      <c r="I16" s="9">
        <f>SUBTOTAL(9,I3:I15)</f>
        <v>8590</v>
      </c>
      <c r="L16" s="122"/>
    </row>
    <row r="19" spans="9:9" x14ac:dyDescent="0.25">
      <c r="I19" s="798">
        <v>52490</v>
      </c>
    </row>
  </sheetData>
  <autoFilter ref="A2:Q15" xr:uid="{00000000-0009-0000-0000-000048000000}">
    <filterColumn colId="10">
      <filters blank="1"/>
    </filterColumn>
    <filterColumn colId="13" showButton="0"/>
    <filterColumn colId="14" showButton="0"/>
    <filterColumn colId="15" showButton="0"/>
  </autoFilter>
  <mergeCells count="1">
    <mergeCell ref="N2: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91553" r:id="rId3" name="Button 1">
              <controlPr defaultSize="0" print="0" autoFill="0" autoPict="0" macro="[0]!RETORNAR">
                <anchor moveWithCells="1" sizeWithCells="1">
                  <from>
                    <xdr:col>0</xdr:col>
                    <xdr:colOff>9525</xdr:colOff>
                    <xdr:row>0</xdr:row>
                    <xdr:rowOff>38100</xdr:rowOff>
                  </from>
                  <to>
                    <xdr:col>1</xdr:col>
                    <xdr:colOff>1066800</xdr:colOff>
                    <xdr:row>0</xdr:row>
                    <xdr:rowOff>276225</xdr:rowOff>
                  </to>
                </anchor>
              </controlPr>
            </control>
          </mc:Choice>
        </mc:AlternateContent>
        <mc:AlternateContent xmlns:mc="http://schemas.openxmlformats.org/markup-compatibility/2006">
          <mc:Choice Requires="x14">
            <control shapeId="791556" r:id="rId4" name="Botón 4">
              <controlPr defaultSize="0" print="0" autoFill="0" autoPict="0" macro="[0]!IR_VENTAS_B200_2026">
                <anchor moveWithCells="1" sizeWithCells="1">
                  <from>
                    <xdr:col>1</xdr:col>
                    <xdr:colOff>123825</xdr:colOff>
                    <xdr:row>15</xdr:row>
                    <xdr:rowOff>180975</xdr:rowOff>
                  </from>
                  <to>
                    <xdr:col>1</xdr:col>
                    <xdr:colOff>1428750</xdr:colOff>
                    <xdr:row>19</xdr:row>
                    <xdr:rowOff>28575</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Hoja78" filterMode="1"/>
  <dimension ref="A1:V19"/>
  <sheetViews>
    <sheetView workbookViewId="0">
      <selection activeCell="H15" sqref="H15"/>
    </sheetView>
  </sheetViews>
  <sheetFormatPr baseColWidth="10" defaultColWidth="10.85546875" defaultRowHeight="15" x14ac:dyDescent="0.25"/>
  <cols>
    <col min="2" max="2" width="25.42578125" customWidth="1"/>
    <col min="3" max="3" width="9.42578125" customWidth="1"/>
    <col min="5" max="5" width="5.28515625" hidden="1" customWidth="1"/>
    <col min="7" max="7" width="46.5703125" customWidth="1"/>
    <col min="8" max="8" width="13.7109375" customWidth="1"/>
    <col min="9" max="9" width="13.28515625" customWidth="1"/>
    <col min="10" max="10" width="12" bestFit="1" customWidth="1"/>
  </cols>
  <sheetData>
    <row r="1" spans="1:22" ht="25.5" customHeight="1" x14ac:dyDescent="0.25"/>
    <row r="2" spans="1:22" x14ac:dyDescent="0.25">
      <c r="A2" t="s">
        <v>706</v>
      </c>
      <c r="B2" s="1" t="s">
        <v>0</v>
      </c>
      <c r="C2" s="1" t="s">
        <v>1</v>
      </c>
      <c r="D2" s="1" t="s">
        <v>2</v>
      </c>
      <c r="E2" s="1"/>
      <c r="F2" s="1" t="s">
        <v>3</v>
      </c>
      <c r="G2" s="1" t="s">
        <v>4</v>
      </c>
      <c r="H2" s="1" t="s">
        <v>5</v>
      </c>
      <c r="I2" s="1" t="s">
        <v>6</v>
      </c>
      <c r="J2" s="1" t="s">
        <v>1780</v>
      </c>
      <c r="K2" s="1" t="s">
        <v>8</v>
      </c>
      <c r="L2" s="1" t="s">
        <v>3997</v>
      </c>
      <c r="M2" s="1" t="s">
        <v>10</v>
      </c>
      <c r="N2" s="1480" t="s">
        <v>11</v>
      </c>
      <c r="O2" s="1480"/>
      <c r="P2" s="1480"/>
      <c r="Q2" s="1480"/>
    </row>
    <row r="3" spans="1:22" hidden="1" x14ac:dyDescent="0.25">
      <c r="A3" s="509">
        <v>23032024</v>
      </c>
      <c r="B3" s="30" t="s">
        <v>3917</v>
      </c>
      <c r="C3" s="28" t="s">
        <v>13</v>
      </c>
      <c r="D3" s="233">
        <v>45374</v>
      </c>
      <c r="F3" s="28" t="s">
        <v>143</v>
      </c>
      <c r="G3" s="30" t="s">
        <v>3931</v>
      </c>
      <c r="H3" t="s">
        <v>3975</v>
      </c>
      <c r="I3" s="32">
        <v>39200</v>
      </c>
      <c r="J3">
        <f>+I3*0.88</f>
        <v>34496</v>
      </c>
      <c r="K3" s="313" t="s">
        <v>17</v>
      </c>
      <c r="L3" s="233">
        <v>45398</v>
      </c>
      <c r="T3" s="14" t="s">
        <v>2380</v>
      </c>
      <c r="U3" s="360">
        <v>0.68263888888888891</v>
      </c>
      <c r="V3" s="360">
        <v>0.86041666666666661</v>
      </c>
    </row>
    <row r="4" spans="1:22" hidden="1" x14ac:dyDescent="0.25">
      <c r="A4" s="509"/>
      <c r="B4" s="30"/>
      <c r="C4" s="28" t="s">
        <v>13</v>
      </c>
      <c r="D4" s="233">
        <v>45433</v>
      </c>
      <c r="F4" s="28" t="s">
        <v>4200</v>
      </c>
      <c r="G4" s="30" t="s">
        <v>4329</v>
      </c>
      <c r="H4" t="s">
        <v>4330</v>
      </c>
      <c r="I4" s="32">
        <v>41099</v>
      </c>
      <c r="J4">
        <f>+I4*0.88</f>
        <v>36167.120000000003</v>
      </c>
      <c r="K4" s="313" t="s">
        <v>17</v>
      </c>
      <c r="L4" s="233">
        <v>45474</v>
      </c>
      <c r="T4" s="14"/>
      <c r="U4" s="360"/>
      <c r="V4" s="360"/>
    </row>
    <row r="5" spans="1:22" hidden="1" x14ac:dyDescent="0.25">
      <c r="A5" s="509"/>
      <c r="B5" s="30"/>
      <c r="C5" s="28" t="s">
        <v>13</v>
      </c>
      <c r="D5" s="233">
        <v>45433</v>
      </c>
      <c r="F5" s="28" t="s">
        <v>4200</v>
      </c>
      <c r="G5" s="30" t="s">
        <v>4329</v>
      </c>
      <c r="H5" t="s">
        <v>4331</v>
      </c>
      <c r="I5" s="32">
        <v>4490</v>
      </c>
      <c r="J5">
        <f>+I5*0.88</f>
        <v>3951.2</v>
      </c>
      <c r="K5" s="313" t="s">
        <v>17</v>
      </c>
      <c r="L5" s="233">
        <v>45474</v>
      </c>
      <c r="T5" s="14"/>
      <c r="U5" s="360"/>
      <c r="V5" s="360"/>
    </row>
    <row r="6" spans="1:22" hidden="1" x14ac:dyDescent="0.25">
      <c r="A6" s="483">
        <v>21052024</v>
      </c>
      <c r="B6" t="s">
        <v>4201</v>
      </c>
      <c r="C6" s="28" t="s">
        <v>13</v>
      </c>
      <c r="D6" s="233">
        <v>45433</v>
      </c>
      <c r="F6" s="28" t="s">
        <v>4200</v>
      </c>
      <c r="G6" s="30" t="s">
        <v>4329</v>
      </c>
      <c r="H6" t="s">
        <v>4332</v>
      </c>
      <c r="I6" s="236">
        <v>101</v>
      </c>
      <c r="J6">
        <f>+I6*0.9</f>
        <v>90.9</v>
      </c>
      <c r="K6" s="313" t="s">
        <v>17</v>
      </c>
      <c r="L6" s="233">
        <v>45474</v>
      </c>
      <c r="T6" s="14" t="s">
        <v>922</v>
      </c>
      <c r="U6" s="360">
        <v>0.38472222222222219</v>
      </c>
      <c r="V6" s="360"/>
    </row>
    <row r="7" spans="1:22" hidden="1" x14ac:dyDescent="0.25">
      <c r="A7" s="483">
        <v>31052024</v>
      </c>
      <c r="B7" t="s">
        <v>4201</v>
      </c>
      <c r="C7" s="28" t="s">
        <v>13</v>
      </c>
      <c r="D7" s="233">
        <v>45443</v>
      </c>
      <c r="F7" s="28" t="s">
        <v>4200</v>
      </c>
      <c r="G7" s="30" t="s">
        <v>4450</v>
      </c>
      <c r="H7" s="30" t="s">
        <v>4451</v>
      </c>
      <c r="I7" s="236">
        <v>41200</v>
      </c>
      <c r="J7">
        <f t="shared" ref="J7:J12" si="0">+I7*0.88</f>
        <v>36256</v>
      </c>
      <c r="K7" t="s">
        <v>17</v>
      </c>
      <c r="L7" s="233">
        <v>45478</v>
      </c>
      <c r="T7" s="14" t="s">
        <v>4139</v>
      </c>
      <c r="U7" s="360">
        <v>9.4499999999999993</v>
      </c>
      <c r="V7" s="360">
        <v>0.60902777777777783</v>
      </c>
    </row>
    <row r="8" spans="1:22" hidden="1" x14ac:dyDescent="0.25">
      <c r="A8" s="509">
        <v>10062024</v>
      </c>
      <c r="B8" t="s">
        <v>4201</v>
      </c>
      <c r="C8" s="28" t="s">
        <v>4218</v>
      </c>
      <c r="D8" s="233">
        <v>45453</v>
      </c>
      <c r="F8" s="28" t="s">
        <v>4200</v>
      </c>
      <c r="G8" s="30" t="s">
        <v>4333</v>
      </c>
      <c r="H8" s="30" t="s">
        <v>4744</v>
      </c>
      <c r="I8" s="237">
        <v>41200</v>
      </c>
      <c r="J8" s="32">
        <f t="shared" si="0"/>
        <v>36256</v>
      </c>
      <c r="K8" s="313" t="s">
        <v>17</v>
      </c>
      <c r="L8" s="233">
        <v>45567</v>
      </c>
      <c r="T8" s="14" t="s">
        <v>3151</v>
      </c>
      <c r="U8" s="360">
        <v>0.38958333333333334</v>
      </c>
      <c r="V8" s="360"/>
    </row>
    <row r="9" spans="1:22" hidden="1" x14ac:dyDescent="0.25">
      <c r="A9" s="509"/>
      <c r="C9" s="28" t="s">
        <v>410</v>
      </c>
      <c r="D9" s="233">
        <v>45458</v>
      </c>
      <c r="F9" s="28" t="s">
        <v>4200</v>
      </c>
      <c r="G9" s="30" t="s">
        <v>4435</v>
      </c>
      <c r="H9" s="30" t="s">
        <v>5381</v>
      </c>
      <c r="I9" s="237">
        <v>8392</v>
      </c>
      <c r="J9" s="32">
        <f t="shared" si="0"/>
        <v>7384.96</v>
      </c>
      <c r="K9" s="313" t="s">
        <v>17</v>
      </c>
      <c r="L9" s="233">
        <v>45645</v>
      </c>
      <c r="T9" s="14"/>
      <c r="U9" s="360"/>
      <c r="V9" s="360"/>
    </row>
    <row r="10" spans="1:22" hidden="1" x14ac:dyDescent="0.25">
      <c r="A10" s="509"/>
      <c r="C10" s="28" t="s">
        <v>410</v>
      </c>
      <c r="D10" s="233">
        <v>45458</v>
      </c>
      <c r="F10" s="28" t="s">
        <v>4200</v>
      </c>
      <c r="G10" s="30" t="s">
        <v>4435</v>
      </c>
      <c r="H10" s="30" t="s">
        <v>5382</v>
      </c>
      <c r="I10" s="237">
        <v>4190</v>
      </c>
      <c r="J10" s="32">
        <f t="shared" si="0"/>
        <v>3687.2</v>
      </c>
      <c r="K10" s="313" t="s">
        <v>17</v>
      </c>
      <c r="L10" s="233">
        <v>45645</v>
      </c>
      <c r="T10" s="14"/>
      <c r="U10" s="360"/>
      <c r="V10" s="360"/>
    </row>
    <row r="11" spans="1:22" hidden="1" x14ac:dyDescent="0.25">
      <c r="A11" s="509"/>
      <c r="C11" s="28" t="s">
        <v>410</v>
      </c>
      <c r="D11" s="233">
        <v>45458</v>
      </c>
      <c r="F11" s="28" t="s">
        <v>4200</v>
      </c>
      <c r="G11" s="30" t="s">
        <v>4435</v>
      </c>
      <c r="H11" s="30" t="s">
        <v>5383</v>
      </c>
      <c r="I11" s="237">
        <v>6900</v>
      </c>
      <c r="J11" s="32">
        <f t="shared" si="0"/>
        <v>6072</v>
      </c>
      <c r="K11" s="313" t="s">
        <v>17</v>
      </c>
      <c r="L11" s="233">
        <v>45645</v>
      </c>
      <c r="T11" s="14"/>
      <c r="U11" s="360"/>
      <c r="V11" s="360"/>
    </row>
    <row r="12" spans="1:22" hidden="1" x14ac:dyDescent="0.25">
      <c r="A12" s="509"/>
      <c r="C12" s="28" t="s">
        <v>410</v>
      </c>
      <c r="D12" s="233">
        <v>45458</v>
      </c>
      <c r="F12" s="28" t="s">
        <v>4200</v>
      </c>
      <c r="G12" s="30" t="s">
        <v>4435</v>
      </c>
      <c r="H12" s="30" t="s">
        <v>5384</v>
      </c>
      <c r="I12" s="237">
        <v>1328</v>
      </c>
      <c r="J12" s="32">
        <f t="shared" si="0"/>
        <v>1168.6400000000001</v>
      </c>
      <c r="K12" s="313" t="s">
        <v>17</v>
      </c>
      <c r="L12" s="233">
        <v>45645</v>
      </c>
      <c r="T12" s="14"/>
      <c r="U12" s="360"/>
      <c r="V12" s="360"/>
    </row>
    <row r="13" spans="1:22" hidden="1" x14ac:dyDescent="0.25">
      <c r="A13" s="509">
        <v>15062024</v>
      </c>
      <c r="B13" t="s">
        <v>4201</v>
      </c>
      <c r="C13" s="28" t="s">
        <v>410</v>
      </c>
      <c r="D13" s="233">
        <v>45458</v>
      </c>
      <c r="F13" s="28" t="s">
        <v>4200</v>
      </c>
      <c r="G13" s="30" t="s">
        <v>4435</v>
      </c>
      <c r="H13" s="30" t="s">
        <v>5385</v>
      </c>
      <c r="I13" s="237">
        <v>20390</v>
      </c>
      <c r="J13" s="3">
        <f>+I13-ROUND(I13*0.12,0)</f>
        <v>17943</v>
      </c>
      <c r="K13" s="313" t="s">
        <v>17</v>
      </c>
      <c r="L13" s="233">
        <v>45645</v>
      </c>
      <c r="T13" s="14" t="s">
        <v>3572</v>
      </c>
      <c r="U13" s="360">
        <v>0.4152777777777778</v>
      </c>
      <c r="V13" s="360">
        <v>0.59444444444444444</v>
      </c>
    </row>
    <row r="14" spans="1:22" hidden="1" x14ac:dyDescent="0.25">
      <c r="A14" s="483" t="s">
        <v>4508</v>
      </c>
      <c r="B14" t="s">
        <v>4201</v>
      </c>
      <c r="C14" s="28" t="s">
        <v>13</v>
      </c>
      <c r="D14" s="233">
        <v>45485</v>
      </c>
      <c r="F14" s="28" t="s">
        <v>4200</v>
      </c>
      <c r="G14" s="30" t="s">
        <v>4958</v>
      </c>
      <c r="H14" s="30" t="s">
        <v>5388</v>
      </c>
      <c r="I14" s="236">
        <v>41200</v>
      </c>
      <c r="J14" s="3">
        <f>+I14-ROUND(I14*0.12,0)</f>
        <v>36256</v>
      </c>
      <c r="K14" t="s">
        <v>17</v>
      </c>
      <c r="L14" s="233">
        <v>45652</v>
      </c>
      <c r="T14" s="14" t="s">
        <v>4509</v>
      </c>
      <c r="U14" s="360">
        <v>0.40277777777777773</v>
      </c>
      <c r="V14" s="30"/>
    </row>
    <row r="15" spans="1:22" x14ac:dyDescent="0.25">
      <c r="A15" s="95">
        <v>17092024</v>
      </c>
      <c r="B15" s="19" t="s">
        <v>7641</v>
      </c>
      <c r="C15" s="28" t="s">
        <v>4218</v>
      </c>
      <c r="D15" s="233">
        <v>45552</v>
      </c>
      <c r="F15" s="28" t="s">
        <v>4200</v>
      </c>
      <c r="G15" s="30" t="s">
        <v>4893</v>
      </c>
      <c r="H15" s="30"/>
      <c r="I15" s="368">
        <v>41200</v>
      </c>
      <c r="J15" s="3">
        <f>+I15-ROUND(I15*0.12,0)</f>
        <v>36256</v>
      </c>
      <c r="L15" s="61"/>
      <c r="T15" t="s">
        <v>4071</v>
      </c>
      <c r="U15" s="360">
        <v>0.35486111111111113</v>
      </c>
      <c r="V15" s="360">
        <v>0.70694444444444438</v>
      </c>
    </row>
    <row r="16" spans="1:22" hidden="1" x14ac:dyDescent="0.25">
      <c r="A16" s="483" t="s">
        <v>6105</v>
      </c>
      <c r="B16" t="s">
        <v>6111</v>
      </c>
      <c r="C16" s="28" t="s">
        <v>4437</v>
      </c>
      <c r="D16" s="233">
        <v>45779</v>
      </c>
      <c r="E16" s="28"/>
      <c r="F16" s="28" t="s">
        <v>143</v>
      </c>
      <c r="G16" t="s">
        <v>6136</v>
      </c>
      <c r="H16" s="30" t="s">
        <v>7438</v>
      </c>
      <c r="I16" s="798">
        <v>37665</v>
      </c>
      <c r="J16" s="3">
        <f>+I16-ROUND(I16*0.12,0)</f>
        <v>33145</v>
      </c>
      <c r="K16" s="798" t="s">
        <v>17</v>
      </c>
      <c r="L16" s="233">
        <v>46387</v>
      </c>
      <c r="T16" t="s">
        <v>4139</v>
      </c>
      <c r="U16" s="360">
        <v>0.3659722222222222</v>
      </c>
      <c r="V16" s="360">
        <v>2.361111111111111E-2</v>
      </c>
    </row>
    <row r="17" spans="1:22" s="19" customFormat="1" hidden="1" x14ac:dyDescent="0.25">
      <c r="A17" s="690" t="s">
        <v>7586</v>
      </c>
      <c r="B17" s="19" t="s">
        <v>7641</v>
      </c>
      <c r="C17" s="472" t="s">
        <v>410</v>
      </c>
      <c r="D17" s="691">
        <v>46044</v>
      </c>
      <c r="E17" s="472"/>
      <c r="F17" s="472" t="s">
        <v>4200</v>
      </c>
      <c r="G17" s="1084" t="s">
        <v>7683</v>
      </c>
      <c r="H17" s="19" t="s">
        <v>7727</v>
      </c>
      <c r="I17" s="1101">
        <v>41000</v>
      </c>
      <c r="J17" s="692">
        <f>+I17-ROUND(I17*0.12,0)</f>
        <v>36080</v>
      </c>
      <c r="K17" s="19" t="s">
        <v>17</v>
      </c>
      <c r="L17" s="691">
        <v>46087</v>
      </c>
      <c r="M17" s="140"/>
      <c r="T17" s="19" t="s">
        <v>7548</v>
      </c>
      <c r="U17" s="693">
        <v>0.35069444444444442</v>
      </c>
      <c r="V17" s="693"/>
    </row>
    <row r="18" spans="1:22" ht="15.75" thickBot="1" x14ac:dyDescent="0.3">
      <c r="A18" s="116"/>
      <c r="B18" s="169"/>
      <c r="C18" s="21"/>
      <c r="D18" s="123"/>
      <c r="E18" s="88"/>
      <c r="F18" s="21"/>
      <c r="G18" s="21"/>
      <c r="I18" s="160"/>
      <c r="J18" s="160"/>
      <c r="K18" s="160"/>
      <c r="L18" s="122"/>
      <c r="O18" s="163"/>
      <c r="P18" s="157"/>
      <c r="Q18" s="157"/>
    </row>
    <row r="19" spans="1:22" ht="15.75" thickBot="1" x14ac:dyDescent="0.3">
      <c r="H19" s="732" t="s">
        <v>1292</v>
      </c>
      <c r="I19" s="560">
        <f>SUBTOTAL(9,I3:I18)</f>
        <v>41200</v>
      </c>
      <c r="L19" s="122"/>
    </row>
  </sheetData>
  <autoFilter ref="A2:Q18" xr:uid="{00000000-0009-0000-0000-000049000000}">
    <filterColumn colId="10">
      <filters blank="1"/>
    </filterColumn>
    <filterColumn colId="13" showButton="0"/>
    <filterColumn colId="14" showButton="0"/>
    <filterColumn colId="15" showButton="0"/>
  </autoFilter>
  <mergeCells count="1">
    <mergeCell ref="N2: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97697" r:id="rId3" name="Button 1">
              <controlPr defaultSize="0" print="0" autoFill="0" autoPict="0" macro="[0]!RETORNAR">
                <anchor moveWithCells="1" sizeWithCells="1">
                  <from>
                    <xdr:col>0</xdr:col>
                    <xdr:colOff>9525</xdr:colOff>
                    <xdr:row>0</xdr:row>
                    <xdr:rowOff>38100</xdr:rowOff>
                  </from>
                  <to>
                    <xdr:col>1</xdr:col>
                    <xdr:colOff>1066800</xdr:colOff>
                    <xdr:row>0</xdr:row>
                    <xdr:rowOff>276225</xdr:rowOff>
                  </to>
                </anchor>
              </controlPr>
            </control>
          </mc:Choice>
        </mc:AlternateContent>
        <mc:AlternateContent xmlns:mc="http://schemas.openxmlformats.org/markup-compatibility/2006">
          <mc:Choice Requires="x14">
            <control shapeId="797708" r:id="rId4" name="Botón 12">
              <controlPr defaultSize="0" print="0" autoFill="0" autoPict="0" macro="[0]!IR_VENTAS_B200_2026">
                <anchor moveWithCells="1" sizeWithCells="1">
                  <from>
                    <xdr:col>1</xdr:col>
                    <xdr:colOff>123825</xdr:colOff>
                    <xdr:row>20</xdr:row>
                    <xdr:rowOff>161925</xdr:rowOff>
                  </from>
                  <to>
                    <xdr:col>1</xdr:col>
                    <xdr:colOff>1428750</xdr:colOff>
                    <xdr:row>24</xdr:row>
                    <xdr:rowOff>9525</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Hoja79" filterMode="1"/>
  <dimension ref="A1:X9"/>
  <sheetViews>
    <sheetView workbookViewId="0">
      <selection activeCell="B13" sqref="B13"/>
    </sheetView>
  </sheetViews>
  <sheetFormatPr baseColWidth="10" defaultColWidth="10.85546875" defaultRowHeight="15" x14ac:dyDescent="0.25"/>
  <cols>
    <col min="2" max="2" width="25.42578125" customWidth="1"/>
    <col min="3" max="3" width="9.42578125" customWidth="1"/>
    <col min="5" max="5" width="5.28515625" customWidth="1"/>
    <col min="7" max="7" width="42.5703125" customWidth="1"/>
    <col min="9" max="9" width="11.5703125" bestFit="1" customWidth="1"/>
    <col min="10" max="10" width="12" bestFit="1" customWidth="1"/>
    <col min="11" max="11" width="10.85546875" style="28"/>
  </cols>
  <sheetData>
    <row r="1" spans="1:24" ht="25.5" customHeight="1" x14ac:dyDescent="0.25"/>
    <row r="2" spans="1:24" s="28" customFormat="1" x14ac:dyDescent="0.25">
      <c r="A2" s="28" t="s">
        <v>706</v>
      </c>
      <c r="B2" s="25" t="s">
        <v>0</v>
      </c>
      <c r="C2" s="25" t="s">
        <v>1</v>
      </c>
      <c r="D2" s="25" t="s">
        <v>2</v>
      </c>
      <c r="E2" s="25"/>
      <c r="F2" s="25" t="s">
        <v>3</v>
      </c>
      <c r="G2" s="25" t="s">
        <v>4</v>
      </c>
      <c r="H2" s="25" t="s">
        <v>5</v>
      </c>
      <c r="I2" s="25" t="s">
        <v>6</v>
      </c>
      <c r="J2" s="25" t="s">
        <v>1780</v>
      </c>
      <c r="K2" s="25" t="s">
        <v>8</v>
      </c>
      <c r="L2" s="25" t="s">
        <v>3997</v>
      </c>
      <c r="M2" s="25" t="s">
        <v>10</v>
      </c>
      <c r="N2" s="1480" t="s">
        <v>11</v>
      </c>
      <c r="O2" s="1480"/>
      <c r="P2" s="1480"/>
      <c r="Q2" s="1480"/>
    </row>
    <row r="3" spans="1:24" hidden="1" x14ac:dyDescent="0.25">
      <c r="A3" s="509">
        <v>24032024</v>
      </c>
      <c r="B3" s="30" t="s">
        <v>3918</v>
      </c>
      <c r="C3" s="28" t="s">
        <v>13</v>
      </c>
      <c r="D3" s="233">
        <v>45375</v>
      </c>
      <c r="F3" s="28" t="s">
        <v>106</v>
      </c>
      <c r="G3" s="30" t="s">
        <v>4005</v>
      </c>
      <c r="H3" t="s">
        <v>5083</v>
      </c>
      <c r="I3" s="251">
        <v>29770</v>
      </c>
      <c r="J3" s="3">
        <f>+I3-ROUND(I3*0.12,0)</f>
        <v>26198</v>
      </c>
      <c r="K3" s="28" t="s">
        <v>17</v>
      </c>
      <c r="L3" s="233">
        <v>45656</v>
      </c>
      <c r="T3" s="14" t="s">
        <v>1506</v>
      </c>
      <c r="U3" s="360">
        <v>0.56944444444444442</v>
      </c>
      <c r="V3" s="360">
        <v>0.34166666666666662</v>
      </c>
    </row>
    <row r="4" spans="1:24" hidden="1" x14ac:dyDescent="0.25">
      <c r="A4" s="483" t="s">
        <v>6615</v>
      </c>
      <c r="B4" t="s">
        <v>3918</v>
      </c>
      <c r="C4" s="28" t="s">
        <v>4437</v>
      </c>
      <c r="D4" s="233">
        <v>45856</v>
      </c>
      <c r="E4" s="28"/>
      <c r="F4" s="28" t="s">
        <v>6616</v>
      </c>
      <c r="G4" s="30" t="s">
        <v>6651</v>
      </c>
      <c r="H4" s="28" t="s">
        <v>6857</v>
      </c>
      <c r="I4" s="911">
        <v>27650</v>
      </c>
      <c r="J4" s="3">
        <f>+I4-ROUND(I4*0.12,0)</f>
        <v>24332</v>
      </c>
      <c r="K4" s="28" t="s">
        <v>17</v>
      </c>
      <c r="L4" s="233">
        <v>45959</v>
      </c>
      <c r="T4" t="s">
        <v>3765</v>
      </c>
      <c r="U4" s="360">
        <v>0.62638888888888888</v>
      </c>
      <c r="V4" s="360">
        <v>0.69861111111111107</v>
      </c>
    </row>
    <row r="5" spans="1:24" x14ac:dyDescent="0.25">
      <c r="A5" s="483" t="s">
        <v>8295</v>
      </c>
      <c r="B5" t="s">
        <v>3918</v>
      </c>
      <c r="C5" s="31" t="s">
        <v>410</v>
      </c>
      <c r="D5" s="233">
        <v>46205</v>
      </c>
      <c r="E5" s="28"/>
      <c r="F5" s="313" t="s">
        <v>2437</v>
      </c>
      <c r="G5" s="88" t="s">
        <v>8312</v>
      </c>
      <c r="H5" t="s">
        <v>8449</v>
      </c>
      <c r="I5" s="313">
        <v>24250</v>
      </c>
      <c r="J5" s="3">
        <f>+I5-ROUND(I5*0.12,0)</f>
        <v>21340</v>
      </c>
      <c r="K5"/>
      <c r="N5" s="88"/>
      <c r="O5" s="88"/>
      <c r="V5" t="s">
        <v>8193</v>
      </c>
      <c r="W5" s="360">
        <v>0.58472222222222225</v>
      </c>
      <c r="X5" s="360">
        <v>0.67013888888888884</v>
      </c>
    </row>
    <row r="6" spans="1:24" s="30" customFormat="1" x14ac:dyDescent="0.25">
      <c r="A6" s="256"/>
      <c r="D6" s="359"/>
      <c r="I6" s="236"/>
      <c r="J6" s="313"/>
      <c r="K6" s="28"/>
      <c r="L6" s="236"/>
      <c r="T6" s="360"/>
      <c r="U6" s="360"/>
      <c r="V6" s="360"/>
    </row>
    <row r="7" spans="1:24" x14ac:dyDescent="0.25">
      <c r="A7" s="256"/>
      <c r="D7" s="122"/>
      <c r="F7" s="30"/>
      <c r="G7" s="30"/>
      <c r="H7" s="30"/>
      <c r="I7" s="160"/>
      <c r="L7" s="122"/>
      <c r="U7" s="14"/>
      <c r="V7" s="14"/>
    </row>
    <row r="8" spans="1:24" x14ac:dyDescent="0.25">
      <c r="A8" s="116"/>
      <c r="B8" s="169"/>
      <c r="C8" s="21"/>
      <c r="D8" s="123"/>
      <c r="E8" s="88"/>
      <c r="F8" s="21"/>
      <c r="G8" s="21"/>
      <c r="I8" s="160"/>
      <c r="J8" s="160"/>
      <c r="K8" s="251"/>
      <c r="L8" s="122"/>
      <c r="O8" s="163"/>
      <c r="P8" s="157"/>
      <c r="Q8" s="157"/>
    </row>
    <row r="9" spans="1:24" x14ac:dyDescent="0.25">
      <c r="H9" s="5" t="s">
        <v>423</v>
      </c>
      <c r="I9" s="9">
        <f>SUBTOTAL(9,I3:I8)</f>
        <v>24250</v>
      </c>
      <c r="L9" s="122"/>
    </row>
  </sheetData>
  <autoFilter ref="A2:Q8" xr:uid="{00000000-0009-0000-0000-00004A000000}">
    <filterColumn colId="10">
      <filters blank="1"/>
    </filterColumn>
    <filterColumn colId="13" showButton="0"/>
    <filterColumn colId="14" showButton="0"/>
    <filterColumn colId="15" showButton="0"/>
  </autoFilter>
  <mergeCells count="1">
    <mergeCell ref="N2: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98721" r:id="rId3" name="Button 1">
              <controlPr defaultSize="0" print="0" autoFill="0" autoPict="0" macro="[0]!RETORNAR">
                <anchor moveWithCells="1" sizeWithCells="1">
                  <from>
                    <xdr:col>0</xdr:col>
                    <xdr:colOff>9525</xdr:colOff>
                    <xdr:row>0</xdr:row>
                    <xdr:rowOff>38100</xdr:rowOff>
                  </from>
                  <to>
                    <xdr:col>1</xdr:col>
                    <xdr:colOff>1066800</xdr:colOff>
                    <xdr:row>0</xdr:row>
                    <xdr:rowOff>276225</xdr:rowOff>
                  </to>
                </anchor>
              </controlPr>
            </control>
          </mc:Choice>
        </mc:AlternateContent>
        <mc:AlternateContent xmlns:mc="http://schemas.openxmlformats.org/markup-compatibility/2006">
          <mc:Choice Requires="x14">
            <control shapeId="798725" r:id="rId4" name="Botón 5">
              <controlPr defaultSize="0" print="0" autoFill="0" autoPict="0" macro="[0]!IR_VENTAS_B200_2026">
                <anchor moveWithCells="1" sizeWithCells="1">
                  <from>
                    <xdr:col>1</xdr:col>
                    <xdr:colOff>123825</xdr:colOff>
                    <xdr:row>9</xdr:row>
                    <xdr:rowOff>180975</xdr:rowOff>
                  </from>
                  <to>
                    <xdr:col>1</xdr:col>
                    <xdr:colOff>1428750</xdr:colOff>
                    <xdr:row>13</xdr:row>
                    <xdr:rowOff>28575</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Hoja80" filterMode="1"/>
  <dimension ref="A1:W12"/>
  <sheetViews>
    <sheetView topLeftCell="B1" workbookViewId="0">
      <selection activeCell="G27" sqref="G27"/>
    </sheetView>
  </sheetViews>
  <sheetFormatPr baseColWidth="10" defaultColWidth="10.85546875" defaultRowHeight="15" x14ac:dyDescent="0.25"/>
  <cols>
    <col min="2" max="2" width="25.42578125" customWidth="1"/>
    <col min="3" max="3" width="9.42578125" customWidth="1"/>
    <col min="5" max="5" width="5.28515625" customWidth="1"/>
    <col min="7" max="7" width="42.5703125" customWidth="1"/>
    <col min="9" max="9" width="12" bestFit="1" customWidth="1"/>
    <col min="10" max="10" width="12" style="32" bestFit="1" customWidth="1"/>
  </cols>
  <sheetData>
    <row r="1" spans="1:23" ht="25.5" customHeight="1" x14ac:dyDescent="0.25"/>
    <row r="2" spans="1:23" x14ac:dyDescent="0.25">
      <c r="A2" t="s">
        <v>706</v>
      </c>
      <c r="B2" s="1" t="s">
        <v>0</v>
      </c>
      <c r="C2" s="1" t="s">
        <v>1</v>
      </c>
      <c r="D2" s="1" t="s">
        <v>2</v>
      </c>
      <c r="E2" s="1"/>
      <c r="F2" s="1" t="s">
        <v>3</v>
      </c>
      <c r="G2" s="1" t="s">
        <v>4</v>
      </c>
      <c r="H2" s="1" t="s">
        <v>5</v>
      </c>
      <c r="I2" s="1" t="s">
        <v>6</v>
      </c>
      <c r="J2" s="87" t="s">
        <v>1780</v>
      </c>
      <c r="K2" s="1" t="s">
        <v>8</v>
      </c>
      <c r="L2" s="1" t="s">
        <v>3997</v>
      </c>
      <c r="M2" s="1" t="s">
        <v>10</v>
      </c>
      <c r="N2" s="1480" t="s">
        <v>11</v>
      </c>
      <c r="O2" s="1480"/>
      <c r="P2" s="1480"/>
      <c r="Q2" s="1480"/>
    </row>
    <row r="3" spans="1:23" hidden="1" x14ac:dyDescent="0.25">
      <c r="A3" s="483">
        <v>17052024</v>
      </c>
      <c r="B3" t="s">
        <v>4187</v>
      </c>
      <c r="C3" s="28" t="s">
        <v>13</v>
      </c>
      <c r="D3" s="233">
        <v>45429</v>
      </c>
      <c r="F3" s="28" t="s">
        <v>294</v>
      </c>
      <c r="G3" s="30" t="s">
        <v>4399</v>
      </c>
      <c r="H3" s="30" t="s">
        <v>4400</v>
      </c>
      <c r="I3" s="236">
        <v>36350</v>
      </c>
      <c r="J3" s="236">
        <f t="shared" ref="J3:J8" si="0">+I3*0.88</f>
        <v>31988</v>
      </c>
      <c r="K3" t="s">
        <v>17</v>
      </c>
      <c r="L3" s="233">
        <v>45468</v>
      </c>
      <c r="T3" s="14" t="s">
        <v>4071</v>
      </c>
      <c r="U3" s="360">
        <v>0.40138888888888885</v>
      </c>
      <c r="V3" s="360"/>
    </row>
    <row r="4" spans="1:23" hidden="1" x14ac:dyDescent="0.25">
      <c r="A4" s="509">
        <v>23062024</v>
      </c>
      <c r="B4" t="s">
        <v>4187</v>
      </c>
      <c r="C4" s="28" t="s">
        <v>410</v>
      </c>
      <c r="D4" s="233">
        <v>45466</v>
      </c>
      <c r="F4" s="28" t="s">
        <v>294</v>
      </c>
      <c r="G4" s="30" t="s">
        <v>4407</v>
      </c>
      <c r="H4" s="30" t="s">
        <v>4408</v>
      </c>
      <c r="I4" s="237">
        <v>36350</v>
      </c>
      <c r="J4" s="32">
        <f t="shared" si="0"/>
        <v>31988</v>
      </c>
      <c r="K4" t="s">
        <v>17</v>
      </c>
      <c r="L4" s="233">
        <v>45498</v>
      </c>
      <c r="T4" s="14" t="s">
        <v>4397</v>
      </c>
      <c r="U4" s="360">
        <v>0.29375000000000001</v>
      </c>
      <c r="V4" s="360">
        <v>0.49583333333333335</v>
      </c>
    </row>
    <row r="5" spans="1:23" hidden="1" x14ac:dyDescent="0.25">
      <c r="A5" s="483">
        <v>10012025</v>
      </c>
      <c r="B5" t="s">
        <v>5591</v>
      </c>
      <c r="C5" s="233" t="s">
        <v>410</v>
      </c>
      <c r="D5" s="233">
        <v>45667</v>
      </c>
      <c r="E5" s="28"/>
      <c r="F5" s="28" t="s">
        <v>4476</v>
      </c>
      <c r="G5" t="s">
        <v>5501</v>
      </c>
      <c r="H5" t="s">
        <v>5931</v>
      </c>
      <c r="I5" s="88">
        <v>27612</v>
      </c>
      <c r="J5" s="88">
        <f t="shared" si="0"/>
        <v>24298.560000000001</v>
      </c>
      <c r="K5" t="s">
        <v>17</v>
      </c>
      <c r="L5" s="233">
        <v>45749</v>
      </c>
      <c r="T5" t="s">
        <v>1506</v>
      </c>
      <c r="U5" s="360">
        <v>0.38819444444444445</v>
      </c>
      <c r="V5" s="360"/>
    </row>
    <row r="6" spans="1:23" hidden="1" x14ac:dyDescent="0.25">
      <c r="A6" s="483">
        <v>10012025</v>
      </c>
      <c r="B6" t="s">
        <v>5591</v>
      </c>
      <c r="C6" s="233" t="s">
        <v>410</v>
      </c>
      <c r="D6" s="233">
        <v>45667</v>
      </c>
      <c r="E6" s="28"/>
      <c r="F6" s="28" t="s">
        <v>4476</v>
      </c>
      <c r="G6" t="s">
        <v>5501</v>
      </c>
      <c r="H6" t="s">
        <v>5932</v>
      </c>
      <c r="I6" s="88">
        <v>27612</v>
      </c>
      <c r="J6" s="88">
        <f t="shared" si="0"/>
        <v>24298.560000000001</v>
      </c>
      <c r="K6" t="s">
        <v>17</v>
      </c>
      <c r="L6" s="233">
        <v>45749</v>
      </c>
      <c r="T6" t="s">
        <v>1506</v>
      </c>
      <c r="U6" s="360">
        <v>0.38819444444444445</v>
      </c>
      <c r="V6" s="360"/>
    </row>
    <row r="7" spans="1:23" hidden="1" x14ac:dyDescent="0.25">
      <c r="A7" s="483" t="s">
        <v>7648</v>
      </c>
      <c r="B7" t="s">
        <v>7649</v>
      </c>
      <c r="C7" s="28" t="s">
        <v>4218</v>
      </c>
      <c r="D7" s="233">
        <v>46063</v>
      </c>
      <c r="E7" s="28"/>
      <c r="F7" s="28" t="s">
        <v>294</v>
      </c>
      <c r="G7" s="1067" t="s">
        <v>7684</v>
      </c>
      <c r="H7" s="28" t="s">
        <v>7730</v>
      </c>
      <c r="I7" s="313">
        <v>36350</v>
      </c>
      <c r="J7" s="88">
        <f t="shared" si="0"/>
        <v>31988</v>
      </c>
      <c r="K7" t="s">
        <v>17</v>
      </c>
      <c r="L7" s="233">
        <v>46080</v>
      </c>
      <c r="M7" s="88"/>
      <c r="T7" t="s">
        <v>7335</v>
      </c>
      <c r="U7" s="360">
        <v>0.77916666666666667</v>
      </c>
      <c r="V7" s="360">
        <v>0.93680555555555556</v>
      </c>
    </row>
    <row r="8" spans="1:23" hidden="1" x14ac:dyDescent="0.25">
      <c r="A8" s="483" t="s">
        <v>7998</v>
      </c>
      <c r="B8" t="s">
        <v>7649</v>
      </c>
      <c r="C8" s="28" t="s">
        <v>13</v>
      </c>
      <c r="D8" s="233">
        <v>46131</v>
      </c>
      <c r="E8" s="28"/>
      <c r="F8" s="28" t="s">
        <v>294</v>
      </c>
      <c r="G8" s="88" t="s">
        <v>8038</v>
      </c>
      <c r="H8" s="28" t="s">
        <v>8099</v>
      </c>
      <c r="I8" s="798">
        <v>41600</v>
      </c>
      <c r="J8" s="88">
        <f t="shared" si="0"/>
        <v>36608</v>
      </c>
      <c r="K8" s="28" t="s">
        <v>17</v>
      </c>
      <c r="L8" s="2">
        <v>46157</v>
      </c>
      <c r="M8" s="798"/>
      <c r="U8" t="s">
        <v>4983</v>
      </c>
      <c r="V8" s="360">
        <v>0.40416666666666662</v>
      </c>
      <c r="W8" s="360">
        <v>0.61249999999999993</v>
      </c>
    </row>
    <row r="9" spans="1:23" s="30" customFormat="1" x14ac:dyDescent="0.25">
      <c r="A9" s="256"/>
      <c r="D9" s="359"/>
      <c r="I9" s="236"/>
      <c r="J9" s="313"/>
      <c r="L9" s="236"/>
      <c r="T9" s="360"/>
      <c r="U9" s="360"/>
      <c r="V9" s="360"/>
    </row>
    <row r="10" spans="1:23" x14ac:dyDescent="0.25">
      <c r="A10" s="256"/>
      <c r="D10" s="122"/>
      <c r="F10" s="30"/>
      <c r="G10" s="30"/>
      <c r="H10" s="30"/>
      <c r="I10" s="160"/>
      <c r="L10" s="122"/>
      <c r="U10" s="14"/>
      <c r="V10" s="14"/>
    </row>
    <row r="11" spans="1:23" x14ac:dyDescent="0.25">
      <c r="A11" s="116"/>
      <c r="B11" s="169"/>
      <c r="C11" s="21"/>
      <c r="D11" s="123"/>
      <c r="E11" s="88"/>
      <c r="F11" s="21"/>
      <c r="G11" s="21"/>
      <c r="I11" s="160"/>
      <c r="J11" s="160"/>
      <c r="K11" s="160"/>
      <c r="L11" s="122"/>
      <c r="O11" s="163"/>
      <c r="P11" s="157"/>
      <c r="Q11" s="157"/>
    </row>
    <row r="12" spans="1:23" x14ac:dyDescent="0.25">
      <c r="H12" s="5" t="s">
        <v>423</v>
      </c>
      <c r="I12" s="9">
        <f>SUBTOTAL(9,I3:I11)</f>
        <v>0</v>
      </c>
      <c r="L12" s="122"/>
    </row>
  </sheetData>
  <autoFilter ref="A2:Q11" xr:uid="{00000000-0009-0000-0000-00004B000000}">
    <filterColumn colId="10">
      <filters blank="1"/>
    </filterColumn>
    <filterColumn colId="13" showButton="0"/>
    <filterColumn colId="14" showButton="0"/>
    <filterColumn colId="15" showButton="0"/>
  </autoFilter>
  <mergeCells count="1">
    <mergeCell ref="N2: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01793" r:id="rId3" name="Button 1">
              <controlPr defaultSize="0" print="0" autoFill="0" autoPict="0" macro="[0]!RETORNAR">
                <anchor moveWithCells="1" sizeWithCells="1">
                  <from>
                    <xdr:col>0</xdr:col>
                    <xdr:colOff>9525</xdr:colOff>
                    <xdr:row>0</xdr:row>
                    <xdr:rowOff>38100</xdr:rowOff>
                  </from>
                  <to>
                    <xdr:col>1</xdr:col>
                    <xdr:colOff>1066800</xdr:colOff>
                    <xdr:row>0</xdr:row>
                    <xdr:rowOff>276225</xdr:rowOff>
                  </to>
                </anchor>
              </controlPr>
            </control>
          </mc:Choice>
        </mc:AlternateContent>
        <mc:AlternateContent xmlns:mc="http://schemas.openxmlformats.org/markup-compatibility/2006">
          <mc:Choice Requires="x14">
            <control shapeId="801798" r:id="rId4" name="Botón 6">
              <controlPr defaultSize="0" print="0" autoFill="0" autoPict="0" macro="[0]!IR_VENTAS_B200_2026">
                <anchor moveWithCells="1" sizeWithCells="1">
                  <from>
                    <xdr:col>0</xdr:col>
                    <xdr:colOff>123825</xdr:colOff>
                    <xdr:row>12</xdr:row>
                    <xdr:rowOff>180975</xdr:rowOff>
                  </from>
                  <to>
                    <xdr:col>1</xdr:col>
                    <xdr:colOff>676275</xdr:colOff>
                    <xdr:row>16</xdr:row>
                    <xdr:rowOff>28575</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Hoja81" filterMode="1"/>
  <dimension ref="A1:X35"/>
  <sheetViews>
    <sheetView topLeftCell="B1" workbookViewId="0">
      <selection activeCell="H17" sqref="H17"/>
    </sheetView>
  </sheetViews>
  <sheetFormatPr baseColWidth="10" defaultColWidth="10.85546875" defaultRowHeight="15" x14ac:dyDescent="0.25"/>
  <cols>
    <col min="2" max="2" width="25.42578125" customWidth="1"/>
    <col min="3" max="3" width="9.42578125" customWidth="1"/>
    <col min="5" max="5" width="5.28515625" hidden="1" customWidth="1"/>
    <col min="7" max="7" width="42.5703125" customWidth="1"/>
    <col min="8" max="8" width="13.85546875" style="28" customWidth="1"/>
    <col min="9" max="9" width="11.5703125" bestFit="1" customWidth="1"/>
    <col min="10" max="10" width="12" bestFit="1" customWidth="1"/>
    <col min="11" max="11" width="10.85546875" style="30"/>
  </cols>
  <sheetData>
    <row r="1" spans="1:24" ht="25.5" customHeight="1" x14ac:dyDescent="0.25"/>
    <row r="2" spans="1:24" x14ac:dyDescent="0.25">
      <c r="A2" t="s">
        <v>706</v>
      </c>
      <c r="B2" s="1" t="s">
        <v>0</v>
      </c>
      <c r="C2" s="1" t="s">
        <v>1</v>
      </c>
      <c r="D2" s="1" t="s">
        <v>2</v>
      </c>
      <c r="E2" s="1"/>
      <c r="F2" s="1" t="s">
        <v>3</v>
      </c>
      <c r="G2" s="1" t="s">
        <v>4</v>
      </c>
      <c r="H2" s="25" t="s">
        <v>5</v>
      </c>
      <c r="I2" s="1" t="s">
        <v>6</v>
      </c>
      <c r="J2" s="1" t="s">
        <v>1780</v>
      </c>
      <c r="K2" s="115" t="s">
        <v>8</v>
      </c>
      <c r="L2" s="1" t="s">
        <v>3997</v>
      </c>
      <c r="M2" s="1" t="s">
        <v>10</v>
      </c>
      <c r="N2" s="1480" t="s">
        <v>11</v>
      </c>
      <c r="O2" s="1480"/>
      <c r="P2" s="1480"/>
      <c r="Q2" s="1480"/>
    </row>
    <row r="3" spans="1:24" hidden="1" x14ac:dyDescent="0.25">
      <c r="A3" s="483">
        <v>16052024</v>
      </c>
      <c r="B3" t="s">
        <v>4193</v>
      </c>
      <c r="C3" s="28" t="s">
        <v>410</v>
      </c>
      <c r="D3" s="233">
        <v>45428</v>
      </c>
      <c r="F3" s="28" t="s">
        <v>236</v>
      </c>
      <c r="G3" s="30" t="s">
        <v>4195</v>
      </c>
      <c r="H3" s="28" t="s">
        <v>4366</v>
      </c>
      <c r="I3" s="236">
        <v>53241.599999999999</v>
      </c>
      <c r="J3" s="3">
        <f>+I3*0.88</f>
        <v>46852.608</v>
      </c>
      <c r="K3" s="359" t="s">
        <v>17</v>
      </c>
      <c r="L3" s="233">
        <v>45471</v>
      </c>
      <c r="T3" s="14" t="s">
        <v>4139</v>
      </c>
      <c r="U3" s="360">
        <v>0.27361111111111114</v>
      </c>
      <c r="V3" s="360">
        <v>0.54583333333333328</v>
      </c>
    </row>
    <row r="4" spans="1:24" hidden="1" x14ac:dyDescent="0.25">
      <c r="A4" s="95">
        <v>16092024</v>
      </c>
      <c r="B4" t="s">
        <v>4193</v>
      </c>
      <c r="C4" s="28" t="s">
        <v>410</v>
      </c>
      <c r="D4" s="233">
        <v>45551</v>
      </c>
      <c r="F4" s="28" t="s">
        <v>236</v>
      </c>
      <c r="G4" s="30" t="s">
        <v>4830</v>
      </c>
      <c r="H4" s="28" t="s">
        <v>4832</v>
      </c>
      <c r="I4" s="61">
        <v>53800</v>
      </c>
      <c r="J4" s="3">
        <f t="shared" ref="J4:J17" si="0">+I4-ROUND(I4*0.12,0)</f>
        <v>47344</v>
      </c>
      <c r="K4" s="368" t="s">
        <v>17</v>
      </c>
      <c r="L4" s="233">
        <v>45705</v>
      </c>
      <c r="T4" t="s">
        <v>4509</v>
      </c>
      <c r="U4" s="360">
        <v>0.25486111111111109</v>
      </c>
      <c r="V4" s="360">
        <v>0.53055555555555556</v>
      </c>
    </row>
    <row r="5" spans="1:24" hidden="1" x14ac:dyDescent="0.25">
      <c r="A5" s="483" t="s">
        <v>4978</v>
      </c>
      <c r="B5" t="s">
        <v>4193</v>
      </c>
      <c r="C5" s="28" t="s">
        <v>13</v>
      </c>
      <c r="D5" s="233">
        <v>45582</v>
      </c>
      <c r="F5" s="28" t="s">
        <v>285</v>
      </c>
      <c r="G5" t="s">
        <v>5157</v>
      </c>
      <c r="H5" s="28" t="s">
        <v>5158</v>
      </c>
      <c r="I5" s="313">
        <v>44840</v>
      </c>
      <c r="J5" s="3">
        <f t="shared" si="0"/>
        <v>39459</v>
      </c>
      <c r="K5" s="368" t="s">
        <v>17</v>
      </c>
      <c r="L5" s="233">
        <v>45638</v>
      </c>
      <c r="T5" s="5" t="s">
        <v>4617</v>
      </c>
      <c r="U5" s="360">
        <v>0.42083333333333334</v>
      </c>
      <c r="V5" s="360">
        <v>0.65555555555555556</v>
      </c>
    </row>
    <row r="6" spans="1:24" hidden="1" x14ac:dyDescent="0.25">
      <c r="A6" s="483">
        <v>26122024</v>
      </c>
      <c r="B6" t="s">
        <v>4193</v>
      </c>
      <c r="C6" s="233" t="s">
        <v>410</v>
      </c>
      <c r="D6" s="233">
        <v>45652</v>
      </c>
      <c r="E6" s="28"/>
      <c r="F6" s="28" t="s">
        <v>236</v>
      </c>
      <c r="G6" t="s">
        <v>5460</v>
      </c>
      <c r="H6" s="28" t="s">
        <v>5479</v>
      </c>
      <c r="I6" s="88">
        <v>53800</v>
      </c>
      <c r="J6" s="3">
        <f t="shared" si="0"/>
        <v>47344</v>
      </c>
      <c r="K6" s="368" t="s">
        <v>17</v>
      </c>
      <c r="L6" s="233">
        <v>45720</v>
      </c>
      <c r="T6" t="s">
        <v>4983</v>
      </c>
      <c r="U6" s="360">
        <v>0.93958333333333333</v>
      </c>
      <c r="V6" s="360">
        <v>0.20625000000000002</v>
      </c>
    </row>
    <row r="7" spans="1:24" hidden="1" x14ac:dyDescent="0.25">
      <c r="A7" s="483">
        <v>26042025</v>
      </c>
      <c r="B7" t="s">
        <v>4193</v>
      </c>
      <c r="C7" s="28" t="s">
        <v>4437</v>
      </c>
      <c r="D7" s="233">
        <v>45773</v>
      </c>
      <c r="E7" s="28"/>
      <c r="F7" s="28" t="s">
        <v>113</v>
      </c>
      <c r="G7" t="s">
        <v>6201</v>
      </c>
      <c r="H7" s="28" t="s">
        <v>6309</v>
      </c>
      <c r="I7" s="160">
        <v>39069.800000000003</v>
      </c>
      <c r="J7" s="3">
        <f t="shared" si="0"/>
        <v>34381.800000000003</v>
      </c>
      <c r="K7" s="30" t="s">
        <v>17</v>
      </c>
      <c r="L7" s="233">
        <v>45810</v>
      </c>
      <c r="T7" t="s">
        <v>5891</v>
      </c>
      <c r="U7" s="360">
        <v>0.58888888888888891</v>
      </c>
      <c r="V7" s="360">
        <v>0.78472222222222221</v>
      </c>
    </row>
    <row r="8" spans="1:24" hidden="1" x14ac:dyDescent="0.25">
      <c r="A8" s="483">
        <v>31052025</v>
      </c>
      <c r="B8" t="s">
        <v>4193</v>
      </c>
      <c r="C8" s="28" t="s">
        <v>660</v>
      </c>
      <c r="D8" s="233">
        <v>45808</v>
      </c>
      <c r="E8" s="28"/>
      <c r="F8" s="28" t="s">
        <v>236</v>
      </c>
      <c r="G8" t="s">
        <v>6337</v>
      </c>
      <c r="H8" s="28" t="s">
        <v>6470</v>
      </c>
      <c r="I8" s="88">
        <f>53800-2271.76</f>
        <v>51528.24</v>
      </c>
      <c r="J8" s="3">
        <f t="shared" si="0"/>
        <v>45345.24</v>
      </c>
      <c r="K8" s="368" t="s">
        <v>17</v>
      </c>
      <c r="L8" s="233">
        <v>45833</v>
      </c>
      <c r="T8" t="s">
        <v>4911</v>
      </c>
      <c r="U8" s="360">
        <v>6.33</v>
      </c>
      <c r="V8" s="360">
        <v>0.87777777777777777</v>
      </c>
    </row>
    <row r="9" spans="1:24" hidden="1" x14ac:dyDescent="0.25">
      <c r="A9" s="483">
        <v>24062025</v>
      </c>
      <c r="B9" t="s">
        <v>4193</v>
      </c>
      <c r="C9" s="28" t="s">
        <v>4437</v>
      </c>
      <c r="D9" s="233">
        <v>45832</v>
      </c>
      <c r="E9" s="28"/>
      <c r="F9" s="28" t="s">
        <v>236</v>
      </c>
      <c r="G9" t="s">
        <v>6337</v>
      </c>
      <c r="H9" s="28" t="s">
        <v>6477</v>
      </c>
      <c r="I9" s="798">
        <v>51060.959999999999</v>
      </c>
      <c r="J9" s="3">
        <f t="shared" si="0"/>
        <v>44933.96</v>
      </c>
      <c r="K9" s="30" t="s">
        <v>17</v>
      </c>
      <c r="L9" s="233">
        <v>45876</v>
      </c>
      <c r="T9" t="s">
        <v>4867</v>
      </c>
      <c r="U9" s="360">
        <v>0.76458333333333339</v>
      </c>
      <c r="V9" s="360">
        <v>4.3055555555555562E-2</v>
      </c>
    </row>
    <row r="10" spans="1:24" hidden="1" x14ac:dyDescent="0.25">
      <c r="A10" s="483" t="s">
        <v>6706</v>
      </c>
      <c r="B10" t="s">
        <v>4193</v>
      </c>
      <c r="C10" s="28" t="s">
        <v>4218</v>
      </c>
      <c r="D10" s="233">
        <v>45872</v>
      </c>
      <c r="E10" s="28"/>
      <c r="F10" s="28" t="s">
        <v>285</v>
      </c>
      <c r="G10" s="1067" t="s">
        <v>6821</v>
      </c>
      <c r="H10" s="28" t="s">
        <v>6820</v>
      </c>
      <c r="I10" s="798">
        <v>42338.400000000001</v>
      </c>
      <c r="J10" s="3">
        <f t="shared" si="0"/>
        <v>37257.4</v>
      </c>
      <c r="K10" s="971" t="s">
        <v>17</v>
      </c>
      <c r="L10" s="233">
        <v>45905</v>
      </c>
      <c r="M10" s="32"/>
      <c r="T10" t="s">
        <v>5131</v>
      </c>
      <c r="U10" s="360">
        <v>0.31041666666666667</v>
      </c>
      <c r="V10" s="360">
        <v>0.54861111111111105</v>
      </c>
    </row>
    <row r="11" spans="1:24" hidden="1" x14ac:dyDescent="0.25">
      <c r="A11" s="483" t="s">
        <v>6911</v>
      </c>
      <c r="B11" t="s">
        <v>4193</v>
      </c>
      <c r="C11" s="28" t="s">
        <v>410</v>
      </c>
      <c r="D11" s="233">
        <v>45913</v>
      </c>
      <c r="E11" s="28"/>
      <c r="F11" s="28" t="s">
        <v>294</v>
      </c>
      <c r="G11" s="1067" t="s">
        <v>7129</v>
      </c>
      <c r="H11" s="28" t="s">
        <v>7130</v>
      </c>
      <c r="I11" s="313">
        <v>49418.400000000001</v>
      </c>
      <c r="J11" s="3">
        <f t="shared" si="0"/>
        <v>43488.4</v>
      </c>
      <c r="K11" s="30" t="s">
        <v>17</v>
      </c>
      <c r="L11" s="233">
        <v>45953</v>
      </c>
      <c r="M11" s="32"/>
      <c r="T11" t="s">
        <v>6349</v>
      </c>
      <c r="U11" s="360">
        <v>0.30624999999999997</v>
      </c>
      <c r="V11" s="360">
        <v>0.71180555555555547</v>
      </c>
    </row>
    <row r="12" spans="1:24" hidden="1" x14ac:dyDescent="0.25">
      <c r="A12" s="483" t="s">
        <v>7227</v>
      </c>
      <c r="B12" t="s">
        <v>4193</v>
      </c>
      <c r="C12" s="28" t="s">
        <v>4218</v>
      </c>
      <c r="D12" s="233">
        <v>45966</v>
      </c>
      <c r="E12" s="28"/>
      <c r="F12" s="28" t="s">
        <v>236</v>
      </c>
      <c r="G12" s="1067" t="s">
        <v>7241</v>
      </c>
      <c r="H12" s="28" t="s">
        <v>7243</v>
      </c>
      <c r="I12" s="798">
        <v>47874.96</v>
      </c>
      <c r="J12" s="3">
        <f t="shared" si="0"/>
        <v>42129.96</v>
      </c>
      <c r="K12" s="30" t="s">
        <v>17</v>
      </c>
      <c r="L12" s="233">
        <v>46010</v>
      </c>
      <c r="M12" s="88"/>
      <c r="T12" t="s">
        <v>6356</v>
      </c>
      <c r="U12" s="360">
        <v>0.93333333333333324</v>
      </c>
      <c r="V12" s="360">
        <v>0.21875</v>
      </c>
    </row>
    <row r="13" spans="1:24" hidden="1" x14ac:dyDescent="0.25">
      <c r="A13" s="483" t="s">
        <v>7228</v>
      </c>
      <c r="B13" t="s">
        <v>4193</v>
      </c>
      <c r="C13" s="28" t="s">
        <v>4218</v>
      </c>
      <c r="D13" s="233">
        <v>45967</v>
      </c>
      <c r="E13" s="28"/>
      <c r="F13" s="28" t="s">
        <v>236</v>
      </c>
      <c r="G13" s="1067" t="s">
        <v>7242</v>
      </c>
      <c r="H13" s="28" t="s">
        <v>7244</v>
      </c>
      <c r="I13" s="798">
        <v>47874.96</v>
      </c>
      <c r="J13" s="3">
        <f t="shared" si="0"/>
        <v>42129.96</v>
      </c>
      <c r="K13" s="30" t="s">
        <v>17</v>
      </c>
      <c r="L13" s="233">
        <v>46010</v>
      </c>
      <c r="M13" s="88"/>
      <c r="U13" s="360"/>
      <c r="V13" s="360"/>
    </row>
    <row r="14" spans="1:24" ht="13.5" hidden="1" customHeight="1" x14ac:dyDescent="0.25">
      <c r="A14" s="483">
        <v>30052026</v>
      </c>
      <c r="B14" t="s">
        <v>4193</v>
      </c>
      <c r="C14" s="28" t="s">
        <v>410</v>
      </c>
      <c r="D14" s="233">
        <v>46172</v>
      </c>
      <c r="E14" s="28"/>
      <c r="F14" s="28" t="s">
        <v>545</v>
      </c>
      <c r="G14" s="88" t="s">
        <v>8239</v>
      </c>
      <c r="H14" s="28" t="s">
        <v>8240</v>
      </c>
      <c r="I14" s="798">
        <v>32500.01</v>
      </c>
      <c r="J14" s="3">
        <f t="shared" si="0"/>
        <v>28600.01</v>
      </c>
      <c r="K14" s="1345" t="s">
        <v>17</v>
      </c>
      <c r="L14" s="233">
        <v>46237</v>
      </c>
      <c r="M14" s="798"/>
      <c r="V14" t="s">
        <v>8125</v>
      </c>
      <c r="W14" s="360">
        <v>0.38541666666666669</v>
      </c>
      <c r="X14" s="360">
        <v>0.55555555555555558</v>
      </c>
    </row>
    <row r="15" spans="1:24" ht="13.5" hidden="1" customHeight="1" x14ac:dyDescent="0.25">
      <c r="A15" s="483" t="s">
        <v>8416</v>
      </c>
      <c r="B15" t="s">
        <v>4193</v>
      </c>
      <c r="C15" s="28" t="s">
        <v>4218</v>
      </c>
      <c r="D15" s="233">
        <v>46237</v>
      </c>
      <c r="E15" s="28"/>
      <c r="F15" s="28" t="s">
        <v>1931</v>
      </c>
      <c r="G15" s="88" t="s">
        <v>8430</v>
      </c>
      <c r="H15" s="28" t="s">
        <v>8429</v>
      </c>
      <c r="I15" s="798">
        <v>60250</v>
      </c>
      <c r="J15" s="3">
        <f t="shared" si="0"/>
        <v>53020</v>
      </c>
      <c r="K15" s="1345" t="s">
        <v>17</v>
      </c>
      <c r="L15" s="233">
        <v>46266</v>
      </c>
      <c r="M15" s="798"/>
      <c r="V15" t="s">
        <v>4983</v>
      </c>
      <c r="W15" s="360"/>
      <c r="X15" s="360"/>
    </row>
    <row r="16" spans="1:24" hidden="1" x14ac:dyDescent="0.25">
      <c r="A16" s="1448" t="s">
        <v>8426</v>
      </c>
      <c r="B16" t="s">
        <v>4193</v>
      </c>
      <c r="C16" s="31" t="s">
        <v>13</v>
      </c>
      <c r="D16" s="233">
        <v>46238</v>
      </c>
      <c r="E16" s="28"/>
      <c r="F16" s="313" t="s">
        <v>236</v>
      </c>
      <c r="G16" s="88" t="s">
        <v>8570</v>
      </c>
      <c r="H16" s="28" t="s">
        <v>8535</v>
      </c>
      <c r="I16" s="798">
        <v>61805.45</v>
      </c>
      <c r="J16" s="3">
        <f t="shared" si="0"/>
        <v>54388.45</v>
      </c>
      <c r="K16" s="1345" t="s">
        <v>17</v>
      </c>
      <c r="L16" s="233">
        <v>46266</v>
      </c>
      <c r="M16" s="558"/>
      <c r="N16" s="558"/>
      <c r="O16" s="88"/>
      <c r="V16" t="s">
        <v>8289</v>
      </c>
      <c r="W16" s="360"/>
      <c r="X16" s="30"/>
    </row>
    <row r="17" spans="1:24" x14ac:dyDescent="0.25">
      <c r="A17" s="1447" t="s">
        <v>8545</v>
      </c>
      <c r="B17" s="21" t="s">
        <v>4193</v>
      </c>
      <c r="C17" s="31"/>
      <c r="D17" s="233">
        <v>46262</v>
      </c>
      <c r="E17" s="28"/>
      <c r="F17" s="313" t="s">
        <v>236</v>
      </c>
      <c r="G17" s="88" t="s">
        <v>8574</v>
      </c>
      <c r="H17" t="s">
        <v>8602</v>
      </c>
      <c r="I17" s="915">
        <v>61810</v>
      </c>
      <c r="J17" s="3">
        <f t="shared" si="0"/>
        <v>54393</v>
      </c>
      <c r="K17"/>
      <c r="L17" s="233"/>
      <c r="N17" s="558"/>
      <c r="O17" s="88"/>
      <c r="W17" s="360"/>
      <c r="X17" s="30"/>
    </row>
    <row r="18" spans="1:24" ht="13.5" customHeight="1" x14ac:dyDescent="0.25">
      <c r="A18" s="483"/>
      <c r="C18" s="28"/>
      <c r="D18" s="233"/>
      <c r="E18" s="28"/>
      <c r="F18" s="28"/>
      <c r="G18" s="88"/>
      <c r="I18" s="798"/>
      <c r="J18" s="3"/>
      <c r="K18" s="1331"/>
      <c r="L18" s="233"/>
      <c r="M18" s="798"/>
      <c r="W18" s="360"/>
      <c r="X18" s="360"/>
    </row>
    <row r="19" spans="1:24" x14ac:dyDescent="0.25">
      <c r="A19" s="116"/>
      <c r="B19" s="169"/>
      <c r="C19" s="21"/>
      <c r="D19" s="123"/>
      <c r="E19" s="88"/>
      <c r="F19" s="21"/>
      <c r="G19" s="21"/>
      <c r="J19" s="160"/>
      <c r="K19" s="237"/>
      <c r="L19" s="233"/>
      <c r="O19" s="163"/>
      <c r="P19" s="157"/>
      <c r="Q19" s="157"/>
    </row>
    <row r="20" spans="1:24" x14ac:dyDescent="0.25">
      <c r="H20" s="127" t="s">
        <v>3218</v>
      </c>
      <c r="I20" s="27">
        <f>SUBTOTAL(9,I3:I19)</f>
        <v>61810</v>
      </c>
      <c r="L20" s="233"/>
    </row>
    <row r="23" spans="1:24" x14ac:dyDescent="0.25">
      <c r="J23" s="32"/>
    </row>
    <row r="35" spans="8:8" x14ac:dyDescent="0.25">
      <c r="H35" s="61"/>
    </row>
  </sheetData>
  <autoFilter ref="A2:Q19" xr:uid="{00000000-0009-0000-0000-00004C000000}">
    <filterColumn colId="10">
      <filters blank="1"/>
    </filterColumn>
    <filterColumn colId="13" showButton="0"/>
    <filterColumn colId="14" showButton="0"/>
    <filterColumn colId="15" showButton="0"/>
  </autoFilter>
  <mergeCells count="1">
    <mergeCell ref="N2:Q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4865" r:id="rId4" name="Button 1">
              <controlPr defaultSize="0" print="0" autoFill="0" autoPict="0" macro="[0]!RETORNAR">
                <anchor moveWithCells="1" sizeWithCells="1">
                  <from>
                    <xdr:col>0</xdr:col>
                    <xdr:colOff>9525</xdr:colOff>
                    <xdr:row>0</xdr:row>
                    <xdr:rowOff>38100</xdr:rowOff>
                  </from>
                  <to>
                    <xdr:col>1</xdr:col>
                    <xdr:colOff>1066800</xdr:colOff>
                    <xdr:row>0</xdr:row>
                    <xdr:rowOff>276225</xdr:rowOff>
                  </to>
                </anchor>
              </controlPr>
            </control>
          </mc:Choice>
        </mc:AlternateContent>
        <mc:AlternateContent xmlns:mc="http://schemas.openxmlformats.org/markup-compatibility/2006">
          <mc:Choice Requires="x14">
            <control shapeId="804875" r:id="rId5" name="Botón 11">
              <controlPr defaultSize="0" print="0" autoFill="0" autoPict="0" macro="[0]!IR_VENTAS_B200_2026">
                <anchor moveWithCells="1" sizeWithCells="1">
                  <from>
                    <xdr:col>1</xdr:col>
                    <xdr:colOff>123825</xdr:colOff>
                    <xdr:row>21</xdr:row>
                    <xdr:rowOff>180975</xdr:rowOff>
                  </from>
                  <to>
                    <xdr:col>1</xdr:col>
                    <xdr:colOff>1428750</xdr:colOff>
                    <xdr:row>25</xdr:row>
                    <xdr:rowOff>28575</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Hoja82" filterMode="1"/>
  <dimension ref="A1:X55"/>
  <sheetViews>
    <sheetView workbookViewId="0">
      <selection activeCell="K27" sqref="K27"/>
    </sheetView>
  </sheetViews>
  <sheetFormatPr baseColWidth="10" defaultColWidth="10.85546875" defaultRowHeight="15" x14ac:dyDescent="0.25"/>
  <cols>
    <col min="2" max="2" width="25.42578125" customWidth="1"/>
    <col min="3" max="3" width="9.42578125" customWidth="1"/>
    <col min="5" max="5" width="5.28515625" customWidth="1"/>
    <col min="7" max="7" width="45.5703125" customWidth="1"/>
    <col min="9" max="9" width="13.7109375" customWidth="1"/>
    <col min="10" max="10" width="12" style="32" bestFit="1" customWidth="1"/>
  </cols>
  <sheetData>
    <row r="1" spans="1:22" ht="25.5" customHeight="1" x14ac:dyDescent="0.25"/>
    <row r="2" spans="1:22" x14ac:dyDescent="0.25">
      <c r="A2" t="s">
        <v>706</v>
      </c>
      <c r="B2" s="1" t="s">
        <v>0</v>
      </c>
      <c r="C2" s="1" t="s">
        <v>1</v>
      </c>
      <c r="D2" s="1" t="s">
        <v>2</v>
      </c>
      <c r="E2" s="1"/>
      <c r="F2" s="1" t="s">
        <v>3</v>
      </c>
      <c r="G2" s="1" t="s">
        <v>4</v>
      </c>
      <c r="H2" s="1" t="s">
        <v>5</v>
      </c>
      <c r="I2" s="1" t="s">
        <v>6</v>
      </c>
      <c r="J2" s="87" t="s">
        <v>1780</v>
      </c>
      <c r="K2" s="1" t="s">
        <v>8</v>
      </c>
      <c r="L2" s="1" t="s">
        <v>3997</v>
      </c>
      <c r="M2" s="1" t="s">
        <v>10</v>
      </c>
      <c r="N2" s="1480" t="s">
        <v>11</v>
      </c>
      <c r="O2" s="1480"/>
      <c r="P2" s="1480"/>
      <c r="Q2" s="1480"/>
    </row>
    <row r="3" spans="1:22" hidden="1" x14ac:dyDescent="0.25">
      <c r="A3" s="483">
        <v>23052024</v>
      </c>
      <c r="B3" t="s">
        <v>4217</v>
      </c>
      <c r="C3" s="28" t="s">
        <v>4218</v>
      </c>
      <c r="D3" s="233">
        <v>45435</v>
      </c>
      <c r="F3" s="28" t="s">
        <v>798</v>
      </c>
      <c r="G3" s="30" t="s">
        <v>4255</v>
      </c>
      <c r="H3" t="s">
        <v>4254</v>
      </c>
      <c r="I3" s="88">
        <v>27260</v>
      </c>
      <c r="J3" s="32">
        <f t="shared" ref="J3:J27" si="0">+I3*0.88</f>
        <v>23988.799999999999</v>
      </c>
      <c r="K3" s="236" t="s">
        <v>17</v>
      </c>
      <c r="L3" s="233">
        <v>45447</v>
      </c>
      <c r="T3" s="14" t="s">
        <v>4095</v>
      </c>
      <c r="U3" s="360">
        <v>0.55763888888888891</v>
      </c>
      <c r="V3" s="360">
        <v>0.72291666666666676</v>
      </c>
    </row>
    <row r="4" spans="1:22" hidden="1" x14ac:dyDescent="0.25">
      <c r="A4" s="95">
        <v>6092024</v>
      </c>
      <c r="B4" t="s">
        <v>4736</v>
      </c>
      <c r="C4" s="28" t="s">
        <v>410</v>
      </c>
      <c r="D4" s="233">
        <v>45541</v>
      </c>
      <c r="F4" s="28" t="s">
        <v>4562</v>
      </c>
      <c r="G4" s="30" t="s">
        <v>4813</v>
      </c>
      <c r="H4" s="30" t="s">
        <v>4812</v>
      </c>
      <c r="I4" s="236">
        <v>27612</v>
      </c>
      <c r="J4" s="32">
        <f t="shared" si="0"/>
        <v>24298.560000000001</v>
      </c>
      <c r="K4" t="s">
        <v>17</v>
      </c>
      <c r="L4" s="233">
        <v>45569</v>
      </c>
      <c r="T4" t="s">
        <v>2050</v>
      </c>
      <c r="U4" s="360">
        <v>0.41319444444444442</v>
      </c>
      <c r="V4" s="360">
        <v>0.56527777777777777</v>
      </c>
    </row>
    <row r="5" spans="1:22" hidden="1" x14ac:dyDescent="0.25">
      <c r="A5" s="483">
        <v>22022024</v>
      </c>
      <c r="B5" t="s">
        <v>5708</v>
      </c>
      <c r="C5" s="28" t="s">
        <v>4218</v>
      </c>
      <c r="D5" s="233">
        <v>45710</v>
      </c>
      <c r="E5" s="28"/>
      <c r="F5" s="28" t="s">
        <v>4562</v>
      </c>
      <c r="G5" s="30" t="s">
        <v>5803</v>
      </c>
      <c r="H5" s="28" t="s">
        <v>5864</v>
      </c>
      <c r="I5" s="313">
        <v>27258</v>
      </c>
      <c r="J5" s="88">
        <f t="shared" si="0"/>
        <v>23987.040000000001</v>
      </c>
      <c r="K5" t="s">
        <v>17</v>
      </c>
      <c r="L5" s="233">
        <v>45744</v>
      </c>
      <c r="T5" t="s">
        <v>4365</v>
      </c>
      <c r="U5" s="360">
        <v>0.4597222222222222</v>
      </c>
      <c r="V5" s="360">
        <v>0.59583333333333333</v>
      </c>
    </row>
    <row r="6" spans="1:22" hidden="1" x14ac:dyDescent="0.25">
      <c r="A6" s="483">
        <v>28022025</v>
      </c>
      <c r="B6" t="s">
        <v>5725</v>
      </c>
      <c r="C6" s="28" t="s">
        <v>410</v>
      </c>
      <c r="D6" s="233">
        <v>45716</v>
      </c>
      <c r="E6" s="28"/>
      <c r="F6" s="28" t="s">
        <v>4562</v>
      </c>
      <c r="G6" s="30" t="s">
        <v>5804</v>
      </c>
      <c r="H6" s="28" t="s">
        <v>5805</v>
      </c>
      <c r="I6" s="798">
        <v>25074</v>
      </c>
      <c r="J6" s="88">
        <f t="shared" si="0"/>
        <v>22065.119999999999</v>
      </c>
      <c r="K6" t="s">
        <v>17</v>
      </c>
      <c r="L6" s="233">
        <v>45744</v>
      </c>
      <c r="T6" t="s">
        <v>4983</v>
      </c>
      <c r="U6" s="360">
        <v>0.36249999999999999</v>
      </c>
      <c r="V6" s="360">
        <v>0.58124999999999993</v>
      </c>
    </row>
    <row r="7" spans="1:22" hidden="1" x14ac:dyDescent="0.25">
      <c r="A7" s="483">
        <v>28022025</v>
      </c>
      <c r="B7" t="s">
        <v>5725</v>
      </c>
      <c r="C7" s="28" t="s">
        <v>410</v>
      </c>
      <c r="D7" s="233">
        <v>45716</v>
      </c>
      <c r="E7" s="28"/>
      <c r="F7" s="28" t="s">
        <v>4562</v>
      </c>
      <c r="G7" s="30" t="s">
        <v>5804</v>
      </c>
      <c r="H7" s="28" t="s">
        <v>5806</v>
      </c>
      <c r="I7" s="798">
        <v>2184</v>
      </c>
      <c r="J7" s="88">
        <f t="shared" si="0"/>
        <v>1921.92</v>
      </c>
      <c r="K7" t="s">
        <v>17</v>
      </c>
      <c r="L7" s="233">
        <v>45744</v>
      </c>
      <c r="T7" t="s">
        <v>4983</v>
      </c>
      <c r="U7" s="360">
        <v>0.36249999999999999</v>
      </c>
      <c r="V7" s="360">
        <v>0.58124999999999993</v>
      </c>
    </row>
    <row r="8" spans="1:22" hidden="1" x14ac:dyDescent="0.25">
      <c r="A8" s="483">
        <v>11032025</v>
      </c>
      <c r="B8" t="s">
        <v>5796</v>
      </c>
      <c r="C8" s="28" t="s">
        <v>13</v>
      </c>
      <c r="D8" s="233">
        <v>45727</v>
      </c>
      <c r="E8" s="28"/>
      <c r="F8" s="28" t="s">
        <v>4562</v>
      </c>
      <c r="G8" s="30" t="s">
        <v>5813</v>
      </c>
      <c r="H8" s="28" t="s">
        <v>5954</v>
      </c>
      <c r="I8" s="798">
        <v>27258</v>
      </c>
      <c r="J8" s="88">
        <f t="shared" si="0"/>
        <v>23987.040000000001</v>
      </c>
      <c r="K8" t="s">
        <v>17</v>
      </c>
      <c r="L8" s="233">
        <v>45755</v>
      </c>
      <c r="T8" t="s">
        <v>5797</v>
      </c>
      <c r="U8" s="360">
        <v>0.52222222222222225</v>
      </c>
      <c r="V8" s="360">
        <v>0.69027777777777777</v>
      </c>
    </row>
    <row r="9" spans="1:22" hidden="1" x14ac:dyDescent="0.25">
      <c r="A9" s="483" t="s">
        <v>5971</v>
      </c>
      <c r="B9" t="s">
        <v>4736</v>
      </c>
      <c r="C9" s="28" t="s">
        <v>410</v>
      </c>
      <c r="D9" s="233">
        <v>45757</v>
      </c>
      <c r="E9" s="28"/>
      <c r="F9" s="28" t="s">
        <v>798</v>
      </c>
      <c r="G9" t="s">
        <v>6173</v>
      </c>
      <c r="H9" s="28" t="s">
        <v>6267</v>
      </c>
      <c r="I9" s="798">
        <v>26950</v>
      </c>
      <c r="J9" s="88">
        <f t="shared" si="0"/>
        <v>23716</v>
      </c>
      <c r="K9" t="s">
        <v>17</v>
      </c>
      <c r="L9" s="233">
        <v>45798</v>
      </c>
      <c r="M9" s="233"/>
      <c r="T9" t="s">
        <v>4983</v>
      </c>
      <c r="U9" s="360">
        <v>0.5444444444444444</v>
      </c>
      <c r="V9" s="360">
        <v>0.68541666666666667</v>
      </c>
    </row>
    <row r="10" spans="1:22" hidden="1" x14ac:dyDescent="0.25">
      <c r="A10" s="483">
        <v>21042025</v>
      </c>
      <c r="B10" t="s">
        <v>6070</v>
      </c>
      <c r="C10" s="28" t="s">
        <v>660</v>
      </c>
      <c r="D10" s="233">
        <v>45768</v>
      </c>
      <c r="E10" s="28"/>
      <c r="F10" s="28" t="s">
        <v>798</v>
      </c>
      <c r="G10" t="s">
        <v>6172</v>
      </c>
      <c r="H10" s="28" t="s">
        <v>6268</v>
      </c>
      <c r="I10" s="798">
        <v>26950</v>
      </c>
      <c r="J10" s="88">
        <f t="shared" si="0"/>
        <v>23716</v>
      </c>
      <c r="K10" t="s">
        <v>17</v>
      </c>
      <c r="L10" s="233">
        <v>45798</v>
      </c>
      <c r="M10" s="233"/>
      <c r="T10" t="s">
        <v>5026</v>
      </c>
      <c r="U10" s="360">
        <v>0.56527777777777777</v>
      </c>
      <c r="V10" s="360">
        <v>0.71111111111111114</v>
      </c>
    </row>
    <row r="11" spans="1:22" hidden="1" x14ac:dyDescent="0.25">
      <c r="A11" s="961" t="s">
        <v>6236</v>
      </c>
      <c r="B11" t="s">
        <v>6240</v>
      </c>
      <c r="C11" s="28" t="s">
        <v>4437</v>
      </c>
      <c r="D11" s="233">
        <v>45794</v>
      </c>
      <c r="E11" s="28"/>
      <c r="F11" s="28" t="s">
        <v>798</v>
      </c>
      <c r="G11" s="30" t="s">
        <v>6455</v>
      </c>
      <c r="H11" s="28" t="s">
        <v>6457</v>
      </c>
      <c r="I11" s="798">
        <v>26950</v>
      </c>
      <c r="J11" s="88">
        <f t="shared" si="0"/>
        <v>23716</v>
      </c>
      <c r="K11" t="s">
        <v>17</v>
      </c>
      <c r="L11" s="233">
        <v>45838</v>
      </c>
      <c r="M11" s="233"/>
      <c r="T11" t="s">
        <v>5131</v>
      </c>
      <c r="U11" s="360">
        <v>0.3666666666666667</v>
      </c>
      <c r="V11" s="360">
        <v>0.50486111111111109</v>
      </c>
    </row>
    <row r="12" spans="1:22" hidden="1" x14ac:dyDescent="0.25">
      <c r="A12" s="483" t="s">
        <v>6308</v>
      </c>
      <c r="B12" t="s">
        <v>4736</v>
      </c>
      <c r="C12" s="28" t="s">
        <v>278</v>
      </c>
      <c r="D12" s="233">
        <v>45810</v>
      </c>
      <c r="E12" s="28"/>
      <c r="F12" s="28" t="s">
        <v>798</v>
      </c>
      <c r="G12" t="s">
        <v>6454</v>
      </c>
      <c r="H12" s="28" t="s">
        <v>6456</v>
      </c>
      <c r="I12" s="798">
        <v>26950</v>
      </c>
      <c r="J12" s="88">
        <f t="shared" si="0"/>
        <v>23716</v>
      </c>
      <c r="K12" t="s">
        <v>17</v>
      </c>
      <c r="L12" s="233">
        <v>45838</v>
      </c>
      <c r="T12" t="s">
        <v>5891</v>
      </c>
      <c r="U12" s="360">
        <v>0.41180555555555554</v>
      </c>
      <c r="V12" s="30"/>
    </row>
    <row r="13" spans="1:22" hidden="1" x14ac:dyDescent="0.25">
      <c r="A13" s="483" t="s">
        <v>6450</v>
      </c>
      <c r="B13" t="s">
        <v>4736</v>
      </c>
      <c r="C13" s="28" t="s">
        <v>4437</v>
      </c>
      <c r="D13" s="233">
        <v>45826</v>
      </c>
      <c r="E13" s="28"/>
      <c r="F13" s="28" t="s">
        <v>798</v>
      </c>
      <c r="G13" t="s">
        <v>6569</v>
      </c>
      <c r="H13" s="28" t="s">
        <v>6658</v>
      </c>
      <c r="I13" s="798">
        <v>26950</v>
      </c>
      <c r="J13" s="88">
        <f t="shared" si="0"/>
        <v>23716</v>
      </c>
      <c r="K13" t="s">
        <v>17</v>
      </c>
      <c r="L13" s="233">
        <v>45860</v>
      </c>
      <c r="T13" t="s">
        <v>5891</v>
      </c>
      <c r="U13" s="360">
        <v>0.41666666666666669</v>
      </c>
      <c r="V13" s="30"/>
    </row>
    <row r="14" spans="1:22" hidden="1" x14ac:dyDescent="0.25">
      <c r="A14" s="483" t="s">
        <v>6584</v>
      </c>
      <c r="B14" t="s">
        <v>4736</v>
      </c>
      <c r="C14" s="28" t="s">
        <v>4437</v>
      </c>
      <c r="D14" s="233">
        <v>45851</v>
      </c>
      <c r="E14" s="28"/>
      <c r="F14" s="28" t="s">
        <v>798</v>
      </c>
      <c r="G14" t="s">
        <v>6659</v>
      </c>
      <c r="H14" s="28" t="s">
        <v>7196</v>
      </c>
      <c r="I14" s="798">
        <v>3998</v>
      </c>
      <c r="J14" s="88">
        <f t="shared" si="0"/>
        <v>3518.2400000000002</v>
      </c>
      <c r="K14" t="s">
        <v>17</v>
      </c>
      <c r="L14" s="233">
        <v>45960</v>
      </c>
      <c r="T14" t="s">
        <v>5004</v>
      </c>
      <c r="U14" s="360">
        <v>0.51111111111111118</v>
      </c>
      <c r="V14" s="360">
        <v>0.65416666666666667</v>
      </c>
    </row>
    <row r="15" spans="1:22" hidden="1" x14ac:dyDescent="0.25">
      <c r="A15" s="483" t="s">
        <v>6584</v>
      </c>
      <c r="B15" t="s">
        <v>4736</v>
      </c>
      <c r="C15" s="28" t="s">
        <v>4437</v>
      </c>
      <c r="D15" s="233">
        <v>45851</v>
      </c>
      <c r="E15" s="28"/>
      <c r="F15" s="28" t="s">
        <v>798</v>
      </c>
      <c r="G15" t="s">
        <v>6659</v>
      </c>
      <c r="H15" s="28" t="s">
        <v>7197</v>
      </c>
      <c r="I15" s="798">
        <v>14473</v>
      </c>
      <c r="J15" s="88">
        <f t="shared" si="0"/>
        <v>12736.24</v>
      </c>
      <c r="K15" t="s">
        <v>17</v>
      </c>
      <c r="L15" s="233">
        <v>45966</v>
      </c>
      <c r="T15" t="s">
        <v>5004</v>
      </c>
      <c r="U15" s="360">
        <v>0.51111111111111118</v>
      </c>
      <c r="V15" s="360">
        <v>0.65416666666666667</v>
      </c>
    </row>
    <row r="16" spans="1:22" hidden="1" x14ac:dyDescent="0.25">
      <c r="A16" s="483" t="s">
        <v>6584</v>
      </c>
      <c r="B16" t="s">
        <v>4736</v>
      </c>
      <c r="C16" s="28" t="s">
        <v>4437</v>
      </c>
      <c r="D16" s="233">
        <v>45851</v>
      </c>
      <c r="E16" s="28"/>
      <c r="F16" s="28" t="s">
        <v>798</v>
      </c>
      <c r="G16" t="s">
        <v>6659</v>
      </c>
      <c r="H16" s="28" t="s">
        <v>7198</v>
      </c>
      <c r="I16" s="798">
        <v>9379</v>
      </c>
      <c r="J16" s="88">
        <f t="shared" si="0"/>
        <v>8253.52</v>
      </c>
      <c r="K16" t="s">
        <v>17</v>
      </c>
      <c r="L16" s="233">
        <v>45960</v>
      </c>
      <c r="T16" t="s">
        <v>5004</v>
      </c>
      <c r="U16" s="360">
        <v>0.51111111111111118</v>
      </c>
      <c r="V16" s="360">
        <v>0.65416666666666667</v>
      </c>
    </row>
    <row r="17" spans="1:24" hidden="1" x14ac:dyDescent="0.25">
      <c r="A17" s="483">
        <v>29072025</v>
      </c>
      <c r="B17" t="s">
        <v>4736</v>
      </c>
      <c r="C17" s="28" t="s">
        <v>13</v>
      </c>
      <c r="D17" s="1068">
        <v>45867</v>
      </c>
      <c r="E17" s="28"/>
      <c r="F17" s="28" t="s">
        <v>798</v>
      </c>
      <c r="G17" s="1067" t="s">
        <v>6801</v>
      </c>
      <c r="H17" s="28" t="s">
        <v>6802</v>
      </c>
      <c r="I17" s="798">
        <v>26950</v>
      </c>
      <c r="J17" s="88">
        <f t="shared" si="0"/>
        <v>23716</v>
      </c>
      <c r="K17" t="s">
        <v>17</v>
      </c>
      <c r="L17" s="1068">
        <v>45889</v>
      </c>
      <c r="M17" s="32"/>
      <c r="T17" t="s">
        <v>4867</v>
      </c>
      <c r="U17" s="360">
        <v>0.52916666666666667</v>
      </c>
      <c r="V17" s="360">
        <v>0.67222222222222228</v>
      </c>
    </row>
    <row r="18" spans="1:24" hidden="1" x14ac:dyDescent="0.25">
      <c r="A18" s="483" t="s">
        <v>6877</v>
      </c>
      <c r="B18" t="s">
        <v>5708</v>
      </c>
      <c r="C18" s="28" t="s">
        <v>4218</v>
      </c>
      <c r="D18" s="233">
        <v>45904</v>
      </c>
      <c r="E18" s="28"/>
      <c r="F18" s="28" t="s">
        <v>4562</v>
      </c>
      <c r="G18" s="1067" t="s">
        <v>6944</v>
      </c>
      <c r="H18" s="28" t="s">
        <v>7172</v>
      </c>
      <c r="I18" s="313">
        <v>26950</v>
      </c>
      <c r="J18" s="88">
        <f t="shared" si="0"/>
        <v>23716</v>
      </c>
      <c r="K18" t="s">
        <v>17</v>
      </c>
      <c r="L18" s="233">
        <v>45966</v>
      </c>
      <c r="M18" s="32"/>
      <c r="T18" t="s">
        <v>6151</v>
      </c>
      <c r="V18" s="360"/>
    </row>
    <row r="19" spans="1:24" hidden="1" x14ac:dyDescent="0.25">
      <c r="A19" s="483" t="s">
        <v>6887</v>
      </c>
      <c r="B19" t="s">
        <v>5708</v>
      </c>
      <c r="C19" s="28" t="s">
        <v>410</v>
      </c>
      <c r="D19" s="233">
        <v>45907</v>
      </c>
      <c r="E19" s="28"/>
      <c r="F19" s="28" t="s">
        <v>6888</v>
      </c>
      <c r="G19" s="1067" t="s">
        <v>6945</v>
      </c>
      <c r="H19" s="28" t="s">
        <v>7159</v>
      </c>
      <c r="I19" s="313">
        <v>28232.28</v>
      </c>
      <c r="J19" s="88">
        <f t="shared" si="0"/>
        <v>24844.4064</v>
      </c>
      <c r="K19" t="s">
        <v>17</v>
      </c>
      <c r="L19" s="233">
        <v>45966</v>
      </c>
      <c r="M19" s="32"/>
      <c r="T19" t="s">
        <v>4297</v>
      </c>
      <c r="U19" s="360">
        <v>0.42291666666666666</v>
      </c>
      <c r="V19" s="360">
        <v>0.57222222222222219</v>
      </c>
    </row>
    <row r="20" spans="1:24" hidden="1" x14ac:dyDescent="0.25">
      <c r="A20" s="483">
        <v>10112025</v>
      </c>
      <c r="B20" t="s">
        <v>7248</v>
      </c>
      <c r="C20" s="28" t="s">
        <v>4218</v>
      </c>
      <c r="D20" s="233">
        <v>45971</v>
      </c>
      <c r="E20" s="28"/>
      <c r="F20" s="28" t="s">
        <v>2036</v>
      </c>
      <c r="G20" s="1067" t="s">
        <v>7315</v>
      </c>
      <c r="H20" s="28" t="s">
        <v>7317</v>
      </c>
      <c r="I20" s="798">
        <v>1133</v>
      </c>
      <c r="J20" s="88">
        <f t="shared" si="0"/>
        <v>997.04</v>
      </c>
      <c r="K20" t="s">
        <v>17</v>
      </c>
      <c r="L20" s="233">
        <v>45988</v>
      </c>
      <c r="M20" s="88"/>
      <c r="T20" t="s">
        <v>5989</v>
      </c>
      <c r="U20" s="360"/>
      <c r="V20" s="360"/>
    </row>
    <row r="21" spans="1:24" hidden="1" x14ac:dyDescent="0.25">
      <c r="A21" s="483">
        <v>10112025</v>
      </c>
      <c r="B21" t="s">
        <v>7248</v>
      </c>
      <c r="C21" s="28" t="s">
        <v>4218</v>
      </c>
      <c r="D21" s="233">
        <v>45971</v>
      </c>
      <c r="E21" s="28"/>
      <c r="F21" s="28" t="s">
        <v>2036</v>
      </c>
      <c r="G21" s="1067" t="s">
        <v>7315</v>
      </c>
      <c r="H21" s="28" t="s">
        <v>7318</v>
      </c>
      <c r="I21" s="798">
        <v>150</v>
      </c>
      <c r="J21" s="88">
        <f t="shared" si="0"/>
        <v>132</v>
      </c>
      <c r="K21" t="s">
        <v>17</v>
      </c>
      <c r="L21" s="233">
        <v>45988</v>
      </c>
      <c r="M21" s="88"/>
      <c r="T21" t="s">
        <v>5989</v>
      </c>
      <c r="U21" s="360"/>
      <c r="V21" s="360"/>
    </row>
    <row r="22" spans="1:24" hidden="1" x14ac:dyDescent="0.25">
      <c r="A22" s="483">
        <v>10112025</v>
      </c>
      <c r="B22" t="s">
        <v>7248</v>
      </c>
      <c r="C22" s="28" t="s">
        <v>4218</v>
      </c>
      <c r="D22" s="233">
        <v>45971</v>
      </c>
      <c r="E22" s="28"/>
      <c r="F22" s="28" t="s">
        <v>2036</v>
      </c>
      <c r="G22" s="1067" t="s">
        <v>7315</v>
      </c>
      <c r="H22" s="28" t="s">
        <v>7319</v>
      </c>
      <c r="I22" s="798">
        <v>25667</v>
      </c>
      <c r="J22" s="88">
        <f t="shared" si="0"/>
        <v>22586.959999999999</v>
      </c>
      <c r="K22" t="s">
        <v>17</v>
      </c>
      <c r="L22" s="233">
        <v>45988</v>
      </c>
      <c r="M22" s="88"/>
      <c r="T22" t="s">
        <v>5989</v>
      </c>
      <c r="U22" s="360"/>
      <c r="V22" s="360"/>
    </row>
    <row r="23" spans="1:24" hidden="1" x14ac:dyDescent="0.25">
      <c r="A23" s="483">
        <v>21122025</v>
      </c>
      <c r="B23" t="s">
        <v>5708</v>
      </c>
      <c r="C23" s="28" t="s">
        <v>410</v>
      </c>
      <c r="D23" s="233">
        <v>46012</v>
      </c>
      <c r="E23" s="28"/>
      <c r="F23" s="28" t="s">
        <v>2036</v>
      </c>
      <c r="G23" s="1067" t="s">
        <v>7463</v>
      </c>
      <c r="H23" s="28" t="s">
        <v>7464</v>
      </c>
      <c r="I23" s="240">
        <v>26950</v>
      </c>
      <c r="J23" s="88">
        <f t="shared" si="0"/>
        <v>23716</v>
      </c>
      <c r="K23" t="s">
        <v>17</v>
      </c>
      <c r="L23" s="233">
        <v>46028</v>
      </c>
      <c r="M23" s="88"/>
      <c r="T23" t="s">
        <v>7078</v>
      </c>
      <c r="U23" s="360">
        <v>0.46388888888888885</v>
      </c>
      <c r="V23" s="360">
        <v>0.62569444444444444</v>
      </c>
    </row>
    <row r="24" spans="1:24" hidden="1" x14ac:dyDescent="0.25">
      <c r="A24" s="483" t="s">
        <v>8119</v>
      </c>
      <c r="B24" t="s">
        <v>5708</v>
      </c>
      <c r="C24" s="28" t="s">
        <v>13</v>
      </c>
      <c r="D24" s="233">
        <v>46159</v>
      </c>
      <c r="E24" s="28"/>
      <c r="F24" s="28" t="s">
        <v>2036</v>
      </c>
      <c r="G24" s="88" t="s">
        <v>8148</v>
      </c>
      <c r="H24" s="28" t="s">
        <v>8280</v>
      </c>
      <c r="I24" s="798">
        <v>30100</v>
      </c>
      <c r="J24" s="88">
        <f t="shared" si="0"/>
        <v>26488</v>
      </c>
      <c r="K24" s="1345" t="s">
        <v>17</v>
      </c>
      <c r="L24" s="233">
        <v>46210</v>
      </c>
      <c r="N24" s="798"/>
      <c r="V24" t="s">
        <v>4983</v>
      </c>
      <c r="W24" s="360">
        <v>0.54791666666666672</v>
      </c>
      <c r="X24" s="360">
        <v>0.6875</v>
      </c>
    </row>
    <row r="25" spans="1:24" hidden="1" x14ac:dyDescent="0.25">
      <c r="A25" s="483">
        <v>20052026</v>
      </c>
      <c r="B25" t="s">
        <v>5708</v>
      </c>
      <c r="C25" s="28" t="s">
        <v>410</v>
      </c>
      <c r="D25" s="233">
        <v>46162</v>
      </c>
      <c r="E25" s="28"/>
      <c r="F25" s="28" t="s">
        <v>2036</v>
      </c>
      <c r="G25" s="88" t="s">
        <v>8149</v>
      </c>
      <c r="H25" s="28" t="s">
        <v>8279</v>
      </c>
      <c r="I25" s="798">
        <v>30100</v>
      </c>
      <c r="J25" s="88">
        <f t="shared" si="0"/>
        <v>26488</v>
      </c>
      <c r="K25" s="1345" t="s">
        <v>17</v>
      </c>
      <c r="L25" s="233">
        <v>46210</v>
      </c>
      <c r="M25" s="798"/>
      <c r="N25" s="798"/>
      <c r="V25" t="s">
        <v>6898</v>
      </c>
      <c r="W25" s="360">
        <v>0.39166666666666666</v>
      </c>
      <c r="X25" s="360"/>
    </row>
    <row r="26" spans="1:24" x14ac:dyDescent="0.25">
      <c r="A26" s="1448" t="s">
        <v>8482</v>
      </c>
      <c r="B26" t="s">
        <v>4736</v>
      </c>
      <c r="C26" s="31" t="s">
        <v>13</v>
      </c>
      <c r="D26" s="233">
        <v>46252</v>
      </c>
      <c r="E26" s="28"/>
      <c r="F26" s="313" t="s">
        <v>2036</v>
      </c>
      <c r="G26" s="88" t="s">
        <v>8572</v>
      </c>
      <c r="H26" t="s">
        <v>8670</v>
      </c>
      <c r="I26" s="915">
        <v>30175</v>
      </c>
      <c r="J26" s="88">
        <f t="shared" si="0"/>
        <v>26554</v>
      </c>
      <c r="K26" t="s">
        <v>8672</v>
      </c>
      <c r="N26" s="915"/>
      <c r="O26" s="88"/>
      <c r="V26" t="s">
        <v>8478</v>
      </c>
      <c r="W26" s="360"/>
      <c r="X26" s="30"/>
    </row>
    <row r="27" spans="1:24" x14ac:dyDescent="0.25">
      <c r="A27" s="1448" t="s">
        <v>8552</v>
      </c>
      <c r="B27" s="21" t="s">
        <v>4736</v>
      </c>
      <c r="C27" s="31" t="s">
        <v>13</v>
      </c>
      <c r="D27" s="233">
        <v>46264</v>
      </c>
      <c r="E27" s="28"/>
      <c r="F27" s="313" t="s">
        <v>2036</v>
      </c>
      <c r="G27" s="88" t="s">
        <v>8573</v>
      </c>
      <c r="H27" t="s">
        <v>8671</v>
      </c>
      <c r="I27" s="915">
        <v>30175</v>
      </c>
      <c r="J27" s="88">
        <f t="shared" si="0"/>
        <v>26554</v>
      </c>
      <c r="K27" t="s">
        <v>8672</v>
      </c>
      <c r="N27" s="558"/>
      <c r="O27" s="88"/>
      <c r="V27" t="s">
        <v>5021</v>
      </c>
      <c r="W27" s="360">
        <v>0.36388888888888887</v>
      </c>
      <c r="X27" s="360">
        <v>0.50138888888888888</v>
      </c>
    </row>
    <row r="29" spans="1:24" x14ac:dyDescent="0.25">
      <c r="A29" s="483"/>
      <c r="C29" s="28"/>
      <c r="D29" s="233"/>
      <c r="E29" s="28"/>
      <c r="F29" s="28"/>
      <c r="G29" s="88"/>
      <c r="I29" s="798"/>
      <c r="J29" s="88"/>
      <c r="K29" s="1331"/>
      <c r="L29" s="1331"/>
      <c r="N29" s="798"/>
      <c r="W29" s="360"/>
      <c r="X29" s="360"/>
    </row>
    <row r="30" spans="1:24" ht="15.75" thickBot="1" x14ac:dyDescent="0.3">
      <c r="A30" s="116"/>
      <c r="B30" s="169"/>
      <c r="C30" s="21"/>
      <c r="D30" s="123"/>
      <c r="E30" s="88"/>
      <c r="F30" s="21"/>
      <c r="G30" s="21"/>
      <c r="I30" s="160"/>
      <c r="J30" s="160"/>
      <c r="K30" s="160"/>
      <c r="L30" s="233"/>
      <c r="M30" s="233"/>
      <c r="O30" s="163"/>
      <c r="P30" s="157"/>
      <c r="Q30" s="157"/>
    </row>
    <row r="31" spans="1:24" ht="15.75" thickBot="1" x14ac:dyDescent="0.3">
      <c r="H31" s="5" t="s">
        <v>423</v>
      </c>
      <c r="I31" s="560">
        <f>SUBTOTAL(9,I3:I30)</f>
        <v>60350</v>
      </c>
      <c r="L31" s="233"/>
      <c r="M31" s="233"/>
    </row>
    <row r="32" spans="1:24" x14ac:dyDescent="0.25">
      <c r="L32" s="233"/>
      <c r="M32" s="233"/>
    </row>
    <row r="33" spans="10:13" x14ac:dyDescent="0.25">
      <c r="L33" s="233"/>
      <c r="M33" s="233"/>
    </row>
    <row r="34" spans="10:13" x14ac:dyDescent="0.25">
      <c r="L34" s="233"/>
      <c r="M34" s="233"/>
    </row>
    <row r="35" spans="10:13" x14ac:dyDescent="0.25">
      <c r="L35" s="233"/>
      <c r="M35" s="233"/>
    </row>
    <row r="36" spans="10:13" x14ac:dyDescent="0.25">
      <c r="L36" s="233"/>
      <c r="M36" s="233"/>
    </row>
    <row r="37" spans="10:13" x14ac:dyDescent="0.25">
      <c r="L37" s="233"/>
      <c r="M37" s="233"/>
    </row>
    <row r="38" spans="10:13" x14ac:dyDescent="0.25">
      <c r="L38" s="233"/>
      <c r="M38" s="233"/>
    </row>
    <row r="39" spans="10:13" x14ac:dyDescent="0.25">
      <c r="J39"/>
      <c r="L39" s="233"/>
      <c r="M39" s="233"/>
    </row>
    <row r="40" spans="10:13" x14ac:dyDescent="0.25">
      <c r="J40"/>
      <c r="L40" s="233"/>
      <c r="M40" s="233"/>
    </row>
    <row r="41" spans="10:13" x14ac:dyDescent="0.25">
      <c r="J41"/>
      <c r="L41" s="233"/>
      <c r="M41" s="233"/>
    </row>
    <row r="42" spans="10:13" x14ac:dyDescent="0.25">
      <c r="J42"/>
      <c r="L42" s="233"/>
      <c r="M42" s="233"/>
    </row>
    <row r="43" spans="10:13" x14ac:dyDescent="0.25">
      <c r="J43"/>
      <c r="L43" s="233"/>
      <c r="M43" s="233"/>
    </row>
    <row r="44" spans="10:13" x14ac:dyDescent="0.25">
      <c r="J44"/>
      <c r="L44" s="233"/>
      <c r="M44" s="233"/>
    </row>
    <row r="45" spans="10:13" x14ac:dyDescent="0.25">
      <c r="J45"/>
      <c r="L45" s="233"/>
      <c r="M45" s="233"/>
    </row>
    <row r="46" spans="10:13" x14ac:dyDescent="0.25">
      <c r="J46"/>
      <c r="L46" s="233"/>
      <c r="M46" s="233"/>
    </row>
    <row r="47" spans="10:13" x14ac:dyDescent="0.25">
      <c r="J47"/>
      <c r="L47" s="233"/>
      <c r="M47" s="233"/>
    </row>
    <row r="48" spans="10:13" x14ac:dyDescent="0.25">
      <c r="J48"/>
      <c r="L48" s="233"/>
      <c r="M48" s="233"/>
    </row>
    <row r="49" spans="10:13" x14ac:dyDescent="0.25">
      <c r="J49"/>
      <c r="L49" s="233"/>
      <c r="M49" s="233"/>
    </row>
    <row r="50" spans="10:13" x14ac:dyDescent="0.25">
      <c r="J50"/>
      <c r="L50" s="233"/>
      <c r="M50" s="233"/>
    </row>
    <row r="51" spans="10:13" x14ac:dyDescent="0.25">
      <c r="J51"/>
      <c r="L51" s="233"/>
      <c r="M51" s="233"/>
    </row>
    <row r="52" spans="10:13" x14ac:dyDescent="0.25">
      <c r="J52"/>
      <c r="L52" s="233"/>
      <c r="M52" s="233"/>
    </row>
    <row r="53" spans="10:13" x14ac:dyDescent="0.25">
      <c r="J53"/>
      <c r="L53" s="233"/>
      <c r="M53" s="233"/>
    </row>
    <row r="54" spans="10:13" x14ac:dyDescent="0.25">
      <c r="J54"/>
      <c r="L54" s="233"/>
      <c r="M54" s="233"/>
    </row>
    <row r="55" spans="10:13" x14ac:dyDescent="0.25">
      <c r="J55"/>
      <c r="L55" s="233"/>
      <c r="M55" s="233"/>
    </row>
  </sheetData>
  <autoFilter ref="A2:Q30" xr:uid="{00000000-0009-0000-0000-00004D000000}">
    <filterColumn colId="10">
      <filters blank="1"/>
    </filterColumn>
    <filterColumn colId="13" showButton="0"/>
    <filterColumn colId="14" showButton="0"/>
    <filterColumn colId="15" showButton="0"/>
  </autoFilter>
  <mergeCells count="1">
    <mergeCell ref="N2:Q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7937" r:id="rId4" name="Button 1">
              <controlPr defaultSize="0" print="0" autoFill="0" autoPict="0" macro="[0]!RETORNAR">
                <anchor moveWithCells="1" sizeWithCells="1">
                  <from>
                    <xdr:col>0</xdr:col>
                    <xdr:colOff>9525</xdr:colOff>
                    <xdr:row>0</xdr:row>
                    <xdr:rowOff>38100</xdr:rowOff>
                  </from>
                  <to>
                    <xdr:col>1</xdr:col>
                    <xdr:colOff>1066800</xdr:colOff>
                    <xdr:row>0</xdr:row>
                    <xdr:rowOff>276225</xdr:rowOff>
                  </to>
                </anchor>
              </controlPr>
            </control>
          </mc:Choice>
        </mc:AlternateContent>
        <mc:AlternateContent xmlns:mc="http://schemas.openxmlformats.org/markup-compatibility/2006">
          <mc:Choice Requires="x14">
            <control shapeId="807947" r:id="rId5" name="Botón 11">
              <controlPr defaultSize="0" print="0" autoFill="0" autoPict="0" macro="[0]!IR_VENTAS_B200_2026">
                <anchor moveWithCells="1" sizeWithCells="1">
                  <from>
                    <xdr:col>1</xdr:col>
                    <xdr:colOff>123825</xdr:colOff>
                    <xdr:row>31</xdr:row>
                    <xdr:rowOff>180975</xdr:rowOff>
                  </from>
                  <to>
                    <xdr:col>1</xdr:col>
                    <xdr:colOff>1428750</xdr:colOff>
                    <xdr:row>35</xdr:row>
                    <xdr:rowOff>28575</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Hoja83" filterMode="1"/>
  <dimension ref="A1:V18"/>
  <sheetViews>
    <sheetView workbookViewId="0">
      <selection activeCell="G25" sqref="G25"/>
    </sheetView>
  </sheetViews>
  <sheetFormatPr baseColWidth="10" defaultColWidth="10.85546875" defaultRowHeight="15" x14ac:dyDescent="0.25"/>
  <cols>
    <col min="2" max="2" width="25.42578125" customWidth="1"/>
    <col min="3" max="3" width="9.42578125" customWidth="1"/>
    <col min="5" max="5" width="5.28515625" customWidth="1"/>
    <col min="7" max="7" width="46.85546875" customWidth="1"/>
    <col min="9" max="10" width="12" bestFit="1" customWidth="1"/>
  </cols>
  <sheetData>
    <row r="1" spans="1:22" ht="25.5" customHeight="1" x14ac:dyDescent="0.25"/>
    <row r="2" spans="1:22" x14ac:dyDescent="0.25">
      <c r="A2" t="s">
        <v>706</v>
      </c>
      <c r="B2" s="1" t="s">
        <v>0</v>
      </c>
      <c r="C2" s="1" t="s">
        <v>1</v>
      </c>
      <c r="D2" s="1" t="s">
        <v>2</v>
      </c>
      <c r="E2" s="1"/>
      <c r="F2" s="1" t="s">
        <v>3</v>
      </c>
      <c r="G2" s="1" t="s">
        <v>4</v>
      </c>
      <c r="H2" s="1" t="s">
        <v>5</v>
      </c>
      <c r="I2" s="1" t="s">
        <v>6</v>
      </c>
      <c r="J2" s="1" t="s">
        <v>1780</v>
      </c>
      <c r="K2" s="1" t="s">
        <v>8</v>
      </c>
      <c r="L2" s="1" t="s">
        <v>3997</v>
      </c>
      <c r="M2" s="1" t="s">
        <v>10</v>
      </c>
      <c r="N2" s="1480" t="s">
        <v>11</v>
      </c>
      <c r="O2" s="1480"/>
      <c r="P2" s="1480"/>
      <c r="Q2" s="1480"/>
    </row>
    <row r="3" spans="1:22" hidden="1" x14ac:dyDescent="0.25">
      <c r="B3" s="1"/>
      <c r="C3" s="1"/>
      <c r="D3" s="1"/>
      <c r="E3" s="1"/>
      <c r="F3" s="1"/>
      <c r="G3" s="30" t="s">
        <v>4558</v>
      </c>
      <c r="H3" t="s">
        <v>4560</v>
      </c>
      <c r="I3" s="32">
        <v>41100</v>
      </c>
      <c r="J3" s="32">
        <f>+I3*0.88</f>
        <v>36168</v>
      </c>
      <c r="K3" t="s">
        <v>17</v>
      </c>
      <c r="L3" s="233">
        <v>45512</v>
      </c>
      <c r="M3" s="1"/>
      <c r="N3" s="25"/>
      <c r="O3" s="25"/>
      <c r="P3" s="25"/>
      <c r="Q3" s="25"/>
    </row>
    <row r="4" spans="1:22" hidden="1" x14ac:dyDescent="0.25">
      <c r="A4" s="509" t="s">
        <v>4262</v>
      </c>
      <c r="B4" t="s">
        <v>4264</v>
      </c>
      <c r="C4" s="28" t="s">
        <v>4218</v>
      </c>
      <c r="D4" s="233">
        <v>45452</v>
      </c>
      <c r="F4" s="28" t="s">
        <v>1985</v>
      </c>
      <c r="G4" s="30" t="s">
        <v>4559</v>
      </c>
      <c r="H4" t="s">
        <v>4561</v>
      </c>
      <c r="I4" s="237">
        <v>15068</v>
      </c>
      <c r="J4" s="32">
        <f>+I4*0.88</f>
        <v>13259.84</v>
      </c>
      <c r="K4" t="s">
        <v>17</v>
      </c>
      <c r="L4" s="233">
        <v>45512</v>
      </c>
      <c r="T4" s="14" t="s">
        <v>3151</v>
      </c>
      <c r="U4" s="360">
        <v>0.43124999999999997</v>
      </c>
      <c r="V4" s="360">
        <v>0.70486111111111116</v>
      </c>
    </row>
    <row r="5" spans="1:22" hidden="1" x14ac:dyDescent="0.25">
      <c r="A5" s="509"/>
      <c r="C5" s="28"/>
      <c r="D5" s="233"/>
      <c r="F5" s="28"/>
      <c r="G5" s="30" t="s">
        <v>4879</v>
      </c>
      <c r="H5" t="s">
        <v>4880</v>
      </c>
      <c r="I5" s="237">
        <v>41100</v>
      </c>
      <c r="J5" s="3">
        <f t="shared" ref="J5:J10" si="0">+I5-ROUND(I5*0.12,0)</f>
        <v>36168</v>
      </c>
      <c r="K5" t="s">
        <v>17</v>
      </c>
      <c r="L5" s="233">
        <v>45596</v>
      </c>
      <c r="T5" s="14"/>
      <c r="U5" s="360"/>
      <c r="V5" s="360"/>
    </row>
    <row r="6" spans="1:22" hidden="1" x14ac:dyDescent="0.25">
      <c r="A6" s="483">
        <v>21072024</v>
      </c>
      <c r="B6" t="s">
        <v>4264</v>
      </c>
      <c r="C6" s="28" t="s">
        <v>410</v>
      </c>
      <c r="D6" s="233">
        <v>45494</v>
      </c>
      <c r="F6" s="28" t="s">
        <v>4225</v>
      </c>
      <c r="G6" s="30" t="s">
        <v>4878</v>
      </c>
      <c r="H6" t="s">
        <v>4881</v>
      </c>
      <c r="I6" s="313">
        <v>12000</v>
      </c>
      <c r="J6" s="3">
        <f t="shared" si="0"/>
        <v>10560</v>
      </c>
      <c r="K6" t="s">
        <v>17</v>
      </c>
      <c r="L6" s="233">
        <v>45596</v>
      </c>
      <c r="T6" s="14" t="s">
        <v>4365</v>
      </c>
      <c r="U6" s="360">
        <v>0.5541666666666667</v>
      </c>
      <c r="V6" s="360">
        <v>0.72499999999999998</v>
      </c>
    </row>
    <row r="7" spans="1:22" hidden="1" x14ac:dyDescent="0.25">
      <c r="A7" s="483"/>
      <c r="C7" s="28"/>
      <c r="D7" s="233"/>
      <c r="F7" s="28"/>
      <c r="G7" s="30" t="s">
        <v>5965</v>
      </c>
      <c r="H7" t="s">
        <v>5967</v>
      </c>
      <c r="I7" s="313">
        <v>41975</v>
      </c>
      <c r="J7" s="3">
        <f t="shared" si="0"/>
        <v>36938</v>
      </c>
      <c r="K7" t="s">
        <v>17</v>
      </c>
      <c r="L7" s="233">
        <v>45799</v>
      </c>
      <c r="T7" s="14"/>
      <c r="U7" s="360"/>
      <c r="V7" s="360"/>
    </row>
    <row r="8" spans="1:22" hidden="1" x14ac:dyDescent="0.25">
      <c r="A8" s="483">
        <v>29032025</v>
      </c>
      <c r="B8" t="s">
        <v>4264</v>
      </c>
      <c r="C8" s="28" t="s">
        <v>4218</v>
      </c>
      <c r="D8" s="233">
        <v>45745</v>
      </c>
      <c r="E8" s="28"/>
      <c r="F8" s="28" t="s">
        <v>1931</v>
      </c>
      <c r="G8" t="s">
        <v>5966</v>
      </c>
      <c r="H8" t="s">
        <v>5968</v>
      </c>
      <c r="I8" s="798">
        <v>15525</v>
      </c>
      <c r="J8" s="3">
        <f t="shared" si="0"/>
        <v>13662</v>
      </c>
      <c r="K8" t="s">
        <v>17</v>
      </c>
      <c r="L8" s="233">
        <v>45799</v>
      </c>
      <c r="T8" t="s">
        <v>4297</v>
      </c>
      <c r="U8" s="360">
        <v>0.56527777777777777</v>
      </c>
      <c r="V8" s="360">
        <v>0.88750000000000007</v>
      </c>
    </row>
    <row r="9" spans="1:22" hidden="1" x14ac:dyDescent="0.25">
      <c r="A9" s="483"/>
      <c r="C9" s="28"/>
      <c r="D9" s="233"/>
      <c r="E9" s="28"/>
      <c r="F9" s="28"/>
      <c r="G9" s="30" t="s">
        <v>5963</v>
      </c>
      <c r="H9" t="s">
        <v>5969</v>
      </c>
      <c r="I9" s="313">
        <v>41975</v>
      </c>
      <c r="J9" s="3">
        <f t="shared" si="0"/>
        <v>36938</v>
      </c>
      <c r="K9" t="s">
        <v>17</v>
      </c>
      <c r="L9" s="233">
        <v>45799</v>
      </c>
      <c r="U9" s="360"/>
      <c r="V9" s="360"/>
    </row>
    <row r="10" spans="1:22" hidden="1" x14ac:dyDescent="0.25">
      <c r="A10" s="483" t="s">
        <v>5892</v>
      </c>
      <c r="B10" t="s">
        <v>4264</v>
      </c>
      <c r="C10" s="28" t="s">
        <v>4218</v>
      </c>
      <c r="D10" s="233">
        <v>45748</v>
      </c>
      <c r="E10" s="28"/>
      <c r="F10" s="28" t="s">
        <v>1931</v>
      </c>
      <c r="G10" t="s">
        <v>5964</v>
      </c>
      <c r="H10" t="s">
        <v>5970</v>
      </c>
      <c r="I10" s="798">
        <v>15525</v>
      </c>
      <c r="J10" s="3">
        <f t="shared" si="0"/>
        <v>13662</v>
      </c>
      <c r="K10" t="s">
        <v>17</v>
      </c>
      <c r="L10" s="233">
        <v>45799</v>
      </c>
      <c r="T10" t="s">
        <v>4983</v>
      </c>
      <c r="U10" s="360">
        <v>0.32291666666666669</v>
      </c>
      <c r="V10" s="360">
        <v>0.6333333333333333</v>
      </c>
    </row>
    <row r="11" spans="1:22" x14ac:dyDescent="0.25">
      <c r="A11" s="483"/>
      <c r="C11" s="28"/>
      <c r="D11" s="233"/>
      <c r="E11" s="28"/>
      <c r="F11" s="28"/>
      <c r="K11" s="798"/>
      <c r="L11" s="798"/>
      <c r="U11" s="360"/>
      <c r="V11" s="360"/>
    </row>
    <row r="12" spans="1:22" x14ac:dyDescent="0.25">
      <c r="H12" s="5" t="s">
        <v>423</v>
      </c>
      <c r="I12" s="27">
        <f>SUBTOTAL(9,I3:I10)</f>
        <v>0</v>
      </c>
      <c r="L12" s="122"/>
    </row>
    <row r="15" spans="1:22" x14ac:dyDescent="0.25">
      <c r="G15" s="19"/>
      <c r="H15" s="19"/>
    </row>
    <row r="17" spans="7:9" x14ac:dyDescent="0.25">
      <c r="G17" s="30"/>
    </row>
    <row r="18" spans="7:9" x14ac:dyDescent="0.25">
      <c r="I18" s="149"/>
    </row>
  </sheetData>
  <autoFilter ref="A2:Q18" xr:uid="{00000000-0009-0000-0000-00004E000000}">
    <filterColumn colId="10">
      <filters blank="1"/>
    </filterColumn>
    <filterColumn colId="13" showButton="0"/>
    <filterColumn colId="14" showButton="0"/>
    <filterColumn colId="15" showButton="0"/>
  </autoFilter>
  <mergeCells count="1">
    <mergeCell ref="N2:Q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1009" r:id="rId4" name="Button 1">
              <controlPr defaultSize="0" print="0" autoFill="0" autoPict="0" macro="[0]!RETORNAR">
                <anchor moveWithCells="1" sizeWithCells="1">
                  <from>
                    <xdr:col>0</xdr:col>
                    <xdr:colOff>9525</xdr:colOff>
                    <xdr:row>0</xdr:row>
                    <xdr:rowOff>38100</xdr:rowOff>
                  </from>
                  <to>
                    <xdr:col>1</xdr:col>
                    <xdr:colOff>1066800</xdr:colOff>
                    <xdr:row>0</xdr:row>
                    <xdr:rowOff>276225</xdr:rowOff>
                  </to>
                </anchor>
              </controlPr>
            </control>
          </mc:Choice>
        </mc:AlternateContent>
        <mc:AlternateContent xmlns:mc="http://schemas.openxmlformats.org/markup-compatibility/2006">
          <mc:Choice Requires="x14">
            <control shapeId="811012" r:id="rId5" name="Botón 4">
              <controlPr defaultSize="0" print="0" autoFill="0" autoPict="0" macro="[0]!IR_VENTAS_B200_2026">
                <anchor moveWithCells="1" sizeWithCells="1">
                  <from>
                    <xdr:col>1</xdr:col>
                    <xdr:colOff>123825</xdr:colOff>
                    <xdr:row>12</xdr:row>
                    <xdr:rowOff>180975</xdr:rowOff>
                  </from>
                  <to>
                    <xdr:col>1</xdr:col>
                    <xdr:colOff>1428750</xdr:colOff>
                    <xdr:row>16</xdr:row>
                    <xdr:rowOff>28575</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Hoja84" filterMode="1"/>
  <dimension ref="A1:V6"/>
  <sheetViews>
    <sheetView workbookViewId="0">
      <selection activeCell="A7" sqref="A7"/>
    </sheetView>
  </sheetViews>
  <sheetFormatPr baseColWidth="10" defaultColWidth="10.85546875" defaultRowHeight="15" x14ac:dyDescent="0.25"/>
  <cols>
    <col min="2" max="2" width="25.42578125" customWidth="1"/>
    <col min="3" max="3" width="9.42578125" customWidth="1"/>
    <col min="5" max="5" width="5.28515625" customWidth="1"/>
    <col min="7" max="7" width="45.5703125" customWidth="1"/>
    <col min="9" max="9" width="11.5703125" bestFit="1" customWidth="1"/>
    <col min="10" max="10" width="12" bestFit="1" customWidth="1"/>
  </cols>
  <sheetData>
    <row r="1" spans="1:22" ht="25.5" customHeight="1" x14ac:dyDescent="0.25"/>
    <row r="2" spans="1:22" x14ac:dyDescent="0.25">
      <c r="A2" t="s">
        <v>706</v>
      </c>
      <c r="B2" s="1" t="s">
        <v>0</v>
      </c>
      <c r="C2" s="1" t="s">
        <v>1</v>
      </c>
      <c r="D2" s="1" t="s">
        <v>2</v>
      </c>
      <c r="E2" s="1"/>
      <c r="F2" s="1" t="s">
        <v>3</v>
      </c>
      <c r="G2" s="1" t="s">
        <v>4</v>
      </c>
      <c r="H2" s="1" t="s">
        <v>5</v>
      </c>
      <c r="I2" s="1" t="s">
        <v>6</v>
      </c>
      <c r="J2" s="1" t="s">
        <v>1780</v>
      </c>
      <c r="K2" s="1" t="s">
        <v>8</v>
      </c>
      <c r="L2" s="1" t="s">
        <v>3997</v>
      </c>
      <c r="M2" s="1" t="s">
        <v>10</v>
      </c>
      <c r="N2" s="1480" t="s">
        <v>11</v>
      </c>
      <c r="O2" s="1480"/>
      <c r="P2" s="1480"/>
      <c r="Q2" s="1480"/>
    </row>
    <row r="3" spans="1:22" hidden="1" x14ac:dyDescent="0.25">
      <c r="A3" s="483" t="s">
        <v>4489</v>
      </c>
      <c r="B3" t="s">
        <v>4488</v>
      </c>
      <c r="C3" s="28" t="s">
        <v>4218</v>
      </c>
      <c r="D3" s="233">
        <v>45483</v>
      </c>
      <c r="F3" s="28" t="s">
        <v>2437</v>
      </c>
      <c r="G3" s="30" t="s">
        <v>4490</v>
      </c>
      <c r="H3" s="30" t="s">
        <v>4501</v>
      </c>
      <c r="I3" s="236">
        <v>25450</v>
      </c>
      <c r="J3">
        <f>+I3*0.88</f>
        <v>22396</v>
      </c>
      <c r="K3" t="s">
        <v>17</v>
      </c>
      <c r="L3" s="233">
        <v>45586</v>
      </c>
      <c r="T3" s="14" t="s">
        <v>4097</v>
      </c>
      <c r="U3" s="360">
        <v>0.32569444444444445</v>
      </c>
      <c r="V3" s="360">
        <v>0.43958333333333338</v>
      </c>
    </row>
    <row r="4" spans="1:22" s="30" customFormat="1" x14ac:dyDescent="0.25">
      <c r="A4" s="256"/>
      <c r="D4" s="359"/>
      <c r="I4" s="236"/>
      <c r="J4" s="313"/>
      <c r="L4" s="236"/>
      <c r="T4" s="360"/>
      <c r="U4" s="360"/>
      <c r="V4" s="360"/>
    </row>
    <row r="5" spans="1:22" x14ac:dyDescent="0.25">
      <c r="A5" s="116"/>
      <c r="B5" s="169"/>
      <c r="C5" s="21"/>
      <c r="D5" s="123"/>
      <c r="E5" s="88"/>
      <c r="F5" s="21"/>
      <c r="G5" s="21"/>
      <c r="I5" s="160"/>
      <c r="J5" s="160"/>
      <c r="K5" s="160"/>
      <c r="L5" s="122"/>
      <c r="O5" s="163"/>
      <c r="P5" s="157"/>
      <c r="Q5" s="157"/>
    </row>
    <row r="6" spans="1:22" x14ac:dyDescent="0.25">
      <c r="H6" s="5" t="s">
        <v>423</v>
      </c>
      <c r="I6" s="9">
        <f>SUBTOTAL(9,I3:I5)</f>
        <v>0</v>
      </c>
      <c r="L6" s="122"/>
    </row>
  </sheetData>
  <autoFilter ref="A2:Q5" xr:uid="{00000000-0009-0000-0000-00004F000000}">
    <filterColumn colId="10">
      <filters blank="1"/>
    </filterColumn>
    <filterColumn colId="13" showButton="0"/>
    <filterColumn colId="14" showButton="0"/>
    <filterColumn colId="15" showButton="0"/>
  </autoFilter>
  <mergeCells count="1">
    <mergeCell ref="N2: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4081" r:id="rId3" name="Button 1">
              <controlPr defaultSize="0" print="0" autoFill="0" autoPict="0" macro="[0]!RETORNAR">
                <anchor moveWithCells="1" sizeWithCells="1">
                  <from>
                    <xdr:col>0</xdr:col>
                    <xdr:colOff>9525</xdr:colOff>
                    <xdr:row>0</xdr:row>
                    <xdr:rowOff>38100</xdr:rowOff>
                  </from>
                  <to>
                    <xdr:col>1</xdr:col>
                    <xdr:colOff>1066800</xdr:colOff>
                    <xdr:row>0</xdr:row>
                    <xdr:rowOff>276225</xdr:rowOff>
                  </to>
                </anchor>
              </controlPr>
            </control>
          </mc:Choice>
        </mc:AlternateContent>
        <mc:AlternateContent xmlns:mc="http://schemas.openxmlformats.org/markup-compatibility/2006">
          <mc:Choice Requires="x14">
            <control shapeId="814084" r:id="rId4" name="Botón 4">
              <controlPr defaultSize="0" print="0" autoFill="0" autoPict="0" macro="[0]!IR_VENTAS_B200_2026">
                <anchor moveWithCells="1" sizeWithCells="1">
                  <from>
                    <xdr:col>0</xdr:col>
                    <xdr:colOff>123825</xdr:colOff>
                    <xdr:row>6</xdr:row>
                    <xdr:rowOff>180975</xdr:rowOff>
                  </from>
                  <to>
                    <xdr:col>1</xdr:col>
                    <xdr:colOff>676275</xdr:colOff>
                    <xdr:row>10</xdr:row>
                    <xdr:rowOff>28575</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Hoja85" filterMode="1"/>
  <dimension ref="A1:V12"/>
  <sheetViews>
    <sheetView workbookViewId="0">
      <selection activeCell="B7" sqref="B7"/>
    </sheetView>
  </sheetViews>
  <sheetFormatPr baseColWidth="10" defaultColWidth="10.85546875" defaultRowHeight="15" x14ac:dyDescent="0.25"/>
  <cols>
    <col min="2" max="2" width="25.42578125" customWidth="1"/>
    <col min="3" max="3" width="9.42578125" customWidth="1"/>
    <col min="5" max="5" width="5.28515625" customWidth="1"/>
    <col min="7" max="7" width="45.5703125" customWidth="1"/>
    <col min="9" max="9" width="11.5703125" bestFit="1" customWidth="1"/>
    <col min="10" max="10" width="12" bestFit="1" customWidth="1"/>
  </cols>
  <sheetData>
    <row r="1" spans="1:22" ht="25.5" customHeight="1" x14ac:dyDescent="0.25"/>
    <row r="2" spans="1:22" x14ac:dyDescent="0.25">
      <c r="A2" t="s">
        <v>706</v>
      </c>
      <c r="B2" s="1" t="s">
        <v>0</v>
      </c>
      <c r="C2" s="1" t="s">
        <v>1</v>
      </c>
      <c r="D2" s="1" t="s">
        <v>2</v>
      </c>
      <c r="E2" s="1"/>
      <c r="F2" s="1" t="s">
        <v>3</v>
      </c>
      <c r="G2" s="1" t="s">
        <v>4</v>
      </c>
      <c r="H2" s="1" t="s">
        <v>5</v>
      </c>
      <c r="I2" s="1" t="s">
        <v>6</v>
      </c>
      <c r="J2" s="1" t="s">
        <v>1780</v>
      </c>
      <c r="K2" s="1" t="s">
        <v>8</v>
      </c>
      <c r="L2" s="1" t="s">
        <v>3997</v>
      </c>
      <c r="M2" s="1" t="s">
        <v>10</v>
      </c>
      <c r="N2" s="1480" t="s">
        <v>11</v>
      </c>
      <c r="O2" s="1480"/>
      <c r="P2" s="1480"/>
      <c r="Q2" s="1480"/>
    </row>
    <row r="3" spans="1:22" hidden="1" x14ac:dyDescent="0.25">
      <c r="A3" s="95">
        <v>11082024</v>
      </c>
      <c r="B3" t="s">
        <v>4623</v>
      </c>
      <c r="C3" s="28" t="s">
        <v>410</v>
      </c>
      <c r="D3" s="233">
        <v>45515</v>
      </c>
      <c r="F3" s="28" t="s">
        <v>3413</v>
      </c>
      <c r="G3" s="30" t="s">
        <v>4652</v>
      </c>
      <c r="H3" t="s">
        <v>5895</v>
      </c>
      <c r="I3" s="32">
        <v>25950</v>
      </c>
      <c r="J3" s="3">
        <f>+I3-ROUND(I3*0.12,0)</f>
        <v>22836</v>
      </c>
      <c r="K3" s="61" t="s">
        <v>17</v>
      </c>
      <c r="L3" s="233">
        <v>45792</v>
      </c>
      <c r="T3" t="s">
        <v>4617</v>
      </c>
      <c r="U3" s="360">
        <v>0.62083333333333335</v>
      </c>
      <c r="V3" s="360">
        <v>0.78125</v>
      </c>
    </row>
    <row r="4" spans="1:22" s="30" customFormat="1" x14ac:dyDescent="0.25">
      <c r="A4" s="256"/>
      <c r="D4" s="359"/>
      <c r="I4" s="236"/>
      <c r="J4" s="313"/>
      <c r="L4" s="236"/>
      <c r="T4" s="360"/>
      <c r="U4" s="360"/>
      <c r="V4" s="360"/>
    </row>
    <row r="5" spans="1:22" x14ac:dyDescent="0.25">
      <c r="A5" s="116"/>
      <c r="B5" s="169"/>
      <c r="C5" s="21"/>
      <c r="D5" s="123"/>
      <c r="E5" s="88"/>
      <c r="F5" s="21"/>
      <c r="G5" s="21"/>
      <c r="I5" s="160"/>
      <c r="J5" s="160"/>
      <c r="K5" s="160"/>
      <c r="L5" s="122"/>
      <c r="O5" s="163"/>
      <c r="P5" s="157"/>
      <c r="Q5" s="157"/>
    </row>
    <row r="6" spans="1:22" x14ac:dyDescent="0.25">
      <c r="H6" s="5" t="s">
        <v>423</v>
      </c>
      <c r="I6" s="9">
        <f>SUBTOTAL(9,I3:I5)</f>
        <v>0</v>
      </c>
      <c r="L6" s="122"/>
    </row>
    <row r="10" spans="1:22" x14ac:dyDescent="0.25">
      <c r="J10" s="32"/>
    </row>
    <row r="11" spans="1:22" x14ac:dyDescent="0.25">
      <c r="J11" s="32"/>
    </row>
    <row r="12" spans="1:22" x14ac:dyDescent="0.25">
      <c r="J12" s="32"/>
    </row>
  </sheetData>
  <autoFilter ref="A2:Q5" xr:uid="{00000000-0009-0000-0000-000050000000}">
    <filterColumn colId="10">
      <filters blank="1"/>
    </filterColumn>
    <filterColumn colId="13" showButton="0"/>
    <filterColumn colId="14" showButton="0"/>
    <filterColumn colId="15" showButton="0"/>
  </autoFilter>
  <mergeCells count="1">
    <mergeCell ref="N2: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7153" r:id="rId3" name="Button 1">
              <controlPr defaultSize="0" print="0" autoFill="0" autoPict="0" macro="[0]!RETORNAR">
                <anchor moveWithCells="1" sizeWithCells="1">
                  <from>
                    <xdr:col>0</xdr:col>
                    <xdr:colOff>9525</xdr:colOff>
                    <xdr:row>0</xdr:row>
                    <xdr:rowOff>38100</xdr:rowOff>
                  </from>
                  <to>
                    <xdr:col>1</xdr:col>
                    <xdr:colOff>1066800</xdr:colOff>
                    <xdr:row>0</xdr:row>
                    <xdr:rowOff>276225</xdr:rowOff>
                  </to>
                </anchor>
              </controlPr>
            </control>
          </mc:Choice>
        </mc:AlternateContent>
        <mc:AlternateContent xmlns:mc="http://schemas.openxmlformats.org/markup-compatibility/2006">
          <mc:Choice Requires="x14">
            <control shapeId="817157" r:id="rId4" name="Botón 5">
              <controlPr defaultSize="0" print="0" autoFill="0" autoPict="0" macro="[0]!IR_VENTAS_B200_2026">
                <anchor moveWithCells="1" sizeWithCells="1">
                  <from>
                    <xdr:col>1</xdr:col>
                    <xdr:colOff>123825</xdr:colOff>
                    <xdr:row>6</xdr:row>
                    <xdr:rowOff>180975</xdr:rowOff>
                  </from>
                  <to>
                    <xdr:col>1</xdr:col>
                    <xdr:colOff>1428750</xdr:colOff>
                    <xdr:row>10</xdr:row>
                    <xdr:rowOff>28575</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Hoja86" filterMode="1"/>
  <dimension ref="A1:X36"/>
  <sheetViews>
    <sheetView topLeftCell="A2" workbookViewId="0">
      <selection activeCell="I31" sqref="I31"/>
    </sheetView>
  </sheetViews>
  <sheetFormatPr baseColWidth="10" defaultColWidth="10.85546875" defaultRowHeight="15" x14ac:dyDescent="0.25"/>
  <cols>
    <col min="2" max="2" width="25.42578125" customWidth="1"/>
    <col min="3" max="3" width="9.42578125" customWidth="1"/>
    <col min="5" max="5" width="5.28515625" customWidth="1"/>
    <col min="7" max="7" width="45.5703125" customWidth="1"/>
    <col min="9" max="10" width="12" bestFit="1" customWidth="1"/>
  </cols>
  <sheetData>
    <row r="1" spans="1:22" ht="25.5" customHeight="1" x14ac:dyDescent="0.25"/>
    <row r="2" spans="1:22" x14ac:dyDescent="0.25">
      <c r="A2" t="s">
        <v>706</v>
      </c>
      <c r="B2" s="1" t="s">
        <v>0</v>
      </c>
      <c r="C2" s="1" t="s">
        <v>1</v>
      </c>
      <c r="D2" s="1" t="s">
        <v>2</v>
      </c>
      <c r="E2" s="1"/>
      <c r="F2" s="1" t="s">
        <v>3</v>
      </c>
      <c r="G2" s="1" t="s">
        <v>4</v>
      </c>
      <c r="H2" s="1" t="s">
        <v>5</v>
      </c>
      <c r="I2" s="1" t="s">
        <v>6</v>
      </c>
      <c r="J2" s="1" t="s">
        <v>1780</v>
      </c>
      <c r="K2" s="1" t="s">
        <v>8</v>
      </c>
      <c r="L2" s="1" t="s">
        <v>3997</v>
      </c>
      <c r="M2" s="1" t="s">
        <v>10</v>
      </c>
      <c r="N2" s="1480" t="s">
        <v>11</v>
      </c>
      <c r="O2" s="1480"/>
      <c r="P2" s="1480"/>
      <c r="Q2" s="1480"/>
    </row>
    <row r="3" spans="1:22" hidden="1" x14ac:dyDescent="0.25">
      <c r="A3" s="483">
        <v>29102024</v>
      </c>
      <c r="B3" t="s">
        <v>5015</v>
      </c>
      <c r="C3" s="28" t="s">
        <v>4218</v>
      </c>
      <c r="D3" s="233">
        <v>45594</v>
      </c>
      <c r="F3" s="30" t="s">
        <v>207</v>
      </c>
      <c r="G3" s="30" t="s">
        <v>5018</v>
      </c>
      <c r="H3" t="s">
        <v>5019</v>
      </c>
      <c r="I3" s="313">
        <v>35872</v>
      </c>
      <c r="J3" s="149">
        <f t="shared" ref="J3:J16" si="0">I3-ROUND(I3*0.12,0)</f>
        <v>31567</v>
      </c>
      <c r="K3" t="s">
        <v>17</v>
      </c>
      <c r="L3" s="233">
        <v>45611</v>
      </c>
      <c r="T3" t="s">
        <v>4550</v>
      </c>
      <c r="U3" s="360">
        <v>0.33263888888888887</v>
      </c>
      <c r="V3" s="360"/>
    </row>
    <row r="4" spans="1:22" hidden="1" x14ac:dyDescent="0.25">
      <c r="A4" s="483">
        <v>1122024</v>
      </c>
      <c r="B4" t="s">
        <v>5239</v>
      </c>
      <c r="C4" s="233" t="s">
        <v>410</v>
      </c>
      <c r="D4" s="233">
        <v>45627</v>
      </c>
      <c r="E4" s="28"/>
      <c r="F4" s="30" t="s">
        <v>207</v>
      </c>
      <c r="G4" t="s">
        <v>5375</v>
      </c>
      <c r="H4" t="s">
        <v>5377</v>
      </c>
      <c r="I4" s="88">
        <v>35872</v>
      </c>
      <c r="J4" s="149">
        <f t="shared" si="0"/>
        <v>31567</v>
      </c>
      <c r="K4" t="s">
        <v>17</v>
      </c>
      <c r="L4" s="233">
        <v>45665</v>
      </c>
      <c r="T4" t="s">
        <v>2050</v>
      </c>
      <c r="U4" s="360">
        <v>0.39097222222222222</v>
      </c>
      <c r="V4" s="360">
        <v>0.60347222222222219</v>
      </c>
    </row>
    <row r="5" spans="1:22" hidden="1" x14ac:dyDescent="0.25">
      <c r="A5" s="483">
        <v>18122024</v>
      </c>
      <c r="B5" t="s">
        <v>5239</v>
      </c>
      <c r="C5" s="233" t="s">
        <v>4218</v>
      </c>
      <c r="D5" s="233">
        <v>45644</v>
      </c>
      <c r="E5" s="28"/>
      <c r="F5" s="30" t="s">
        <v>207</v>
      </c>
      <c r="G5" t="s">
        <v>5376</v>
      </c>
      <c r="H5" t="s">
        <v>5378</v>
      </c>
      <c r="I5" s="88">
        <v>35872</v>
      </c>
      <c r="J5" s="149">
        <f t="shared" si="0"/>
        <v>31567</v>
      </c>
      <c r="K5" t="s">
        <v>17</v>
      </c>
      <c r="L5" s="233">
        <v>45674</v>
      </c>
      <c r="T5" t="s">
        <v>4983</v>
      </c>
      <c r="U5" s="360">
        <v>0.29236111111111113</v>
      </c>
      <c r="V5" s="360"/>
    </row>
    <row r="6" spans="1:22" hidden="1" x14ac:dyDescent="0.25">
      <c r="A6" s="483">
        <v>29122024</v>
      </c>
      <c r="B6" t="s">
        <v>5239</v>
      </c>
      <c r="C6" s="233" t="s">
        <v>13</v>
      </c>
      <c r="D6" s="233">
        <v>45655</v>
      </c>
      <c r="E6" s="28"/>
      <c r="F6" s="30" t="s">
        <v>207</v>
      </c>
      <c r="G6" t="s">
        <v>5464</v>
      </c>
      <c r="H6" t="s">
        <v>5469</v>
      </c>
      <c r="I6" s="88">
        <v>35872</v>
      </c>
      <c r="J6" s="149">
        <f t="shared" si="0"/>
        <v>31567</v>
      </c>
      <c r="K6" t="s">
        <v>17</v>
      </c>
      <c r="L6" s="233">
        <v>45678</v>
      </c>
      <c r="T6" t="s">
        <v>4139</v>
      </c>
      <c r="U6" s="360">
        <v>0.55347222222222225</v>
      </c>
      <c r="V6" s="360">
        <v>0.77083333333333337</v>
      </c>
    </row>
    <row r="7" spans="1:22" hidden="1" x14ac:dyDescent="0.25">
      <c r="A7" s="483">
        <v>22012025</v>
      </c>
      <c r="B7" t="s">
        <v>5239</v>
      </c>
      <c r="C7" s="28" t="s">
        <v>410</v>
      </c>
      <c r="D7" s="233">
        <v>45679</v>
      </c>
      <c r="F7" s="28" t="s">
        <v>207</v>
      </c>
      <c r="G7" t="s">
        <v>5681</v>
      </c>
      <c r="H7" t="s">
        <v>5959</v>
      </c>
      <c r="I7" s="313">
        <v>35872</v>
      </c>
      <c r="J7" s="149">
        <f t="shared" si="0"/>
        <v>31567</v>
      </c>
      <c r="K7" t="s">
        <v>17</v>
      </c>
      <c r="L7" s="233">
        <v>45775</v>
      </c>
      <c r="T7" t="s">
        <v>4365</v>
      </c>
      <c r="U7" s="360">
        <v>0.26319444444444445</v>
      </c>
      <c r="V7" s="360">
        <v>0.51250000000000007</v>
      </c>
    </row>
    <row r="8" spans="1:22" hidden="1" x14ac:dyDescent="0.25">
      <c r="A8" s="483" t="s">
        <v>5930</v>
      </c>
      <c r="B8" t="s">
        <v>5239</v>
      </c>
      <c r="C8" s="28" t="s">
        <v>4218</v>
      </c>
      <c r="D8" s="233">
        <v>45753</v>
      </c>
      <c r="E8" s="28"/>
      <c r="F8" s="28" t="s">
        <v>207</v>
      </c>
      <c r="G8" t="s">
        <v>5960</v>
      </c>
      <c r="H8" s="28" t="s">
        <v>5961</v>
      </c>
      <c r="I8" s="798">
        <v>35872</v>
      </c>
      <c r="J8" s="149">
        <f t="shared" si="0"/>
        <v>31567</v>
      </c>
      <c r="K8" t="s">
        <v>17</v>
      </c>
      <c r="L8" s="233">
        <v>45775</v>
      </c>
      <c r="T8" t="s">
        <v>4297</v>
      </c>
      <c r="U8" s="360">
        <v>0.30694444444444441</v>
      </c>
      <c r="V8" s="360">
        <v>0.5541666666666667</v>
      </c>
    </row>
    <row r="9" spans="1:22" hidden="1" x14ac:dyDescent="0.25">
      <c r="A9" s="483">
        <v>24082025</v>
      </c>
      <c r="B9" t="s">
        <v>6842</v>
      </c>
      <c r="C9" s="28" t="s">
        <v>13</v>
      </c>
      <c r="D9" s="233">
        <v>45893</v>
      </c>
      <c r="E9" s="28"/>
      <c r="F9" s="28" t="s">
        <v>207</v>
      </c>
      <c r="G9" s="1067" t="s">
        <v>6848</v>
      </c>
      <c r="H9" s="28" t="s">
        <v>6882</v>
      </c>
      <c r="I9" s="798">
        <v>35872</v>
      </c>
      <c r="J9" s="149">
        <f t="shared" si="0"/>
        <v>31567</v>
      </c>
      <c r="K9" t="s">
        <v>17</v>
      </c>
      <c r="L9" s="233">
        <v>45937</v>
      </c>
      <c r="M9" s="32"/>
      <c r="T9" t="s">
        <v>4983</v>
      </c>
      <c r="U9" s="360">
        <v>0.32222222222222224</v>
      </c>
      <c r="V9" s="360">
        <v>0.58819444444444446</v>
      </c>
    </row>
    <row r="10" spans="1:22" hidden="1" x14ac:dyDescent="0.25">
      <c r="A10" s="483">
        <v>31082025</v>
      </c>
      <c r="B10" t="s">
        <v>6871</v>
      </c>
      <c r="C10" s="28" t="s">
        <v>13</v>
      </c>
      <c r="D10" s="233">
        <v>45900</v>
      </c>
      <c r="E10" s="28"/>
      <c r="F10" s="28" t="s">
        <v>207</v>
      </c>
      <c r="G10" s="1067" t="s">
        <v>6946</v>
      </c>
      <c r="H10" s="28" t="s">
        <v>7270</v>
      </c>
      <c r="I10" s="313">
        <v>35872</v>
      </c>
      <c r="J10" s="149">
        <f t="shared" si="0"/>
        <v>31567</v>
      </c>
      <c r="K10" t="s">
        <v>17</v>
      </c>
      <c r="L10" s="233">
        <v>45975</v>
      </c>
      <c r="M10" s="32"/>
      <c r="T10" t="s">
        <v>6678</v>
      </c>
      <c r="U10" s="360">
        <v>0.30069444444444443</v>
      </c>
      <c r="V10" s="360">
        <v>0.50416666666666665</v>
      </c>
    </row>
    <row r="11" spans="1:22" hidden="1" x14ac:dyDescent="0.25">
      <c r="A11" s="483" t="s">
        <v>6907</v>
      </c>
      <c r="B11" t="s">
        <v>5239</v>
      </c>
      <c r="C11" s="28" t="s">
        <v>13</v>
      </c>
      <c r="D11" s="233">
        <v>45912</v>
      </c>
      <c r="E11" s="28"/>
      <c r="F11" s="28" t="s">
        <v>207</v>
      </c>
      <c r="G11" s="1067" t="s">
        <v>6947</v>
      </c>
      <c r="H11" s="28" t="s">
        <v>7271</v>
      </c>
      <c r="I11" s="313">
        <v>35872</v>
      </c>
      <c r="J11" s="149">
        <f t="shared" si="0"/>
        <v>31567</v>
      </c>
      <c r="K11" t="s">
        <v>17</v>
      </c>
      <c r="L11" s="233">
        <v>45978</v>
      </c>
      <c r="M11" s="32"/>
      <c r="T11" t="s">
        <v>6214</v>
      </c>
      <c r="U11" s="360">
        <v>0.42152777777777778</v>
      </c>
      <c r="V11" s="360"/>
    </row>
    <row r="12" spans="1:22" hidden="1" x14ac:dyDescent="0.25">
      <c r="A12" s="483">
        <v>28102025</v>
      </c>
      <c r="B12" t="s">
        <v>5239</v>
      </c>
      <c r="C12" s="28" t="s">
        <v>13</v>
      </c>
      <c r="D12" s="233">
        <v>45958</v>
      </c>
      <c r="E12" s="28"/>
      <c r="F12" s="28" t="s">
        <v>207</v>
      </c>
      <c r="G12" s="1067" t="s">
        <v>7222</v>
      </c>
      <c r="H12" s="28" t="s">
        <v>7349</v>
      </c>
      <c r="I12" s="798">
        <v>35872</v>
      </c>
      <c r="J12" s="149">
        <f t="shared" si="0"/>
        <v>31567</v>
      </c>
      <c r="K12" t="s">
        <v>17</v>
      </c>
      <c r="L12" s="233">
        <v>46003</v>
      </c>
      <c r="M12" s="88"/>
      <c r="T12" t="s">
        <v>7138</v>
      </c>
      <c r="U12" s="360">
        <v>0.44305555555555554</v>
      </c>
      <c r="V12" s="360"/>
    </row>
    <row r="13" spans="1:22" hidden="1" x14ac:dyDescent="0.25">
      <c r="A13" s="483" t="s">
        <v>7337</v>
      </c>
      <c r="B13" t="s">
        <v>5239</v>
      </c>
      <c r="C13" s="28" t="s">
        <v>410</v>
      </c>
      <c r="D13" s="233">
        <v>45993</v>
      </c>
      <c r="E13" s="28"/>
      <c r="F13" s="233" t="s">
        <v>207</v>
      </c>
      <c r="G13" s="1067" t="s">
        <v>7359</v>
      </c>
      <c r="H13" t="s">
        <v>7440</v>
      </c>
      <c r="I13" s="240">
        <v>35872</v>
      </c>
      <c r="J13" s="149">
        <f t="shared" si="0"/>
        <v>31567</v>
      </c>
      <c r="K13" t="s">
        <v>17</v>
      </c>
      <c r="L13" s="233">
        <v>46021</v>
      </c>
      <c r="M13" s="88"/>
      <c r="R13" t="s">
        <v>4297</v>
      </c>
      <c r="S13" s="360">
        <v>0.3979166666666667</v>
      </c>
      <c r="T13" s="360"/>
    </row>
    <row r="14" spans="1:22" hidden="1" x14ac:dyDescent="0.25">
      <c r="A14" s="483" t="s">
        <v>7598</v>
      </c>
      <c r="B14" t="s">
        <v>5239</v>
      </c>
      <c r="C14" s="28" t="s">
        <v>4218</v>
      </c>
      <c r="D14" s="233">
        <v>46049</v>
      </c>
      <c r="E14" s="28"/>
      <c r="F14" s="28" t="s">
        <v>207</v>
      </c>
      <c r="G14" s="1067" t="s">
        <v>7685</v>
      </c>
      <c r="H14" s="28" t="s">
        <v>8224</v>
      </c>
      <c r="I14" s="313">
        <v>35872</v>
      </c>
      <c r="J14" s="149">
        <f t="shared" si="0"/>
        <v>31567</v>
      </c>
      <c r="K14" t="s">
        <v>17</v>
      </c>
      <c r="L14" s="233">
        <v>46209</v>
      </c>
      <c r="M14" s="88"/>
      <c r="T14" s="33" t="s">
        <v>5393</v>
      </c>
      <c r="U14" s="360">
        <v>0.25833333333333336</v>
      </c>
      <c r="V14" s="360">
        <v>0.46388888888888885</v>
      </c>
    </row>
    <row r="15" spans="1:22" s="19" customFormat="1" hidden="1" x14ac:dyDescent="0.25">
      <c r="A15" s="690" t="s">
        <v>7651</v>
      </c>
      <c r="B15" s="19" t="s">
        <v>5239</v>
      </c>
      <c r="C15" s="472" t="s">
        <v>410</v>
      </c>
      <c r="D15" s="691">
        <v>46066</v>
      </c>
      <c r="E15" s="472"/>
      <c r="F15" s="472" t="s">
        <v>207</v>
      </c>
      <c r="G15" s="1084" t="s">
        <v>7686</v>
      </c>
      <c r="H15" s="19" t="s">
        <v>7846</v>
      </c>
      <c r="I15" s="140">
        <v>36350</v>
      </c>
      <c r="J15" s="149">
        <f t="shared" si="0"/>
        <v>31988</v>
      </c>
      <c r="K15" s="366" t="s">
        <v>17</v>
      </c>
      <c r="L15" s="691">
        <v>46107</v>
      </c>
      <c r="M15" s="140"/>
      <c r="T15" s="19" t="s">
        <v>7335</v>
      </c>
      <c r="U15" s="365">
        <v>6.59</v>
      </c>
      <c r="V15" s="693"/>
    </row>
    <row r="16" spans="1:22" hidden="1" x14ac:dyDescent="0.25">
      <c r="A16" s="690" t="s">
        <v>7654</v>
      </c>
      <c r="B16" s="19" t="s">
        <v>6871</v>
      </c>
      <c r="C16" s="472" t="s">
        <v>4218</v>
      </c>
      <c r="D16" s="691">
        <v>46069</v>
      </c>
      <c r="E16" s="472"/>
      <c r="F16" s="472" t="s">
        <v>207</v>
      </c>
      <c r="G16" s="1084" t="s">
        <v>7687</v>
      </c>
      <c r="H16" s="19" t="s">
        <v>7847</v>
      </c>
      <c r="I16" s="1101">
        <v>36350</v>
      </c>
      <c r="J16" s="149">
        <f t="shared" si="0"/>
        <v>31988</v>
      </c>
      <c r="K16" s="366" t="s">
        <v>17</v>
      </c>
      <c r="L16" s="691">
        <v>46107</v>
      </c>
      <c r="M16" s="88"/>
      <c r="T16" t="s">
        <v>6067</v>
      </c>
      <c r="U16" s="693"/>
      <c r="V16" s="360"/>
    </row>
    <row r="18" spans="1:24" x14ac:dyDescent="0.25">
      <c r="A18" s="483"/>
      <c r="C18" s="28"/>
      <c r="D18" s="233"/>
      <c r="E18" s="28"/>
      <c r="F18" s="28"/>
      <c r="G18" s="1067"/>
      <c r="I18" s="240"/>
      <c r="J18" s="149"/>
      <c r="L18" s="447"/>
      <c r="M18" s="88"/>
      <c r="U18" s="360"/>
      <c r="V18" s="360"/>
    </row>
    <row r="19" spans="1:24" x14ac:dyDescent="0.25">
      <c r="A19" s="116"/>
      <c r="B19" s="169"/>
      <c r="C19" s="21"/>
      <c r="D19" s="123"/>
      <c r="E19" s="88"/>
      <c r="F19" s="21"/>
      <c r="G19" s="21"/>
      <c r="I19" s="160"/>
      <c r="J19" s="160"/>
      <c r="K19" s="160"/>
      <c r="L19" s="122"/>
      <c r="O19" s="163"/>
      <c r="P19" s="157"/>
      <c r="Q19" s="157"/>
    </row>
    <row r="20" spans="1:24" x14ac:dyDescent="0.25">
      <c r="H20" s="5" t="s">
        <v>423</v>
      </c>
      <c r="I20" s="9">
        <f>SUBTOTAL(9,I3:I19)</f>
        <v>0</v>
      </c>
      <c r="L20" s="122"/>
    </row>
    <row r="21" spans="1:24" ht="15.75" thickBot="1" x14ac:dyDescent="0.3"/>
    <row r="22" spans="1:24" ht="15.75" thickBot="1" x14ac:dyDescent="0.3">
      <c r="C22" s="1487" t="s">
        <v>8352</v>
      </c>
      <c r="D22" s="1488"/>
      <c r="E22" s="1488"/>
      <c r="F22" s="1488"/>
      <c r="G22" s="1488"/>
      <c r="H22" s="1488"/>
      <c r="I22" s="1489"/>
    </row>
    <row r="23" spans="1:24" hidden="1" x14ac:dyDescent="0.25">
      <c r="A23" s="483" t="s">
        <v>7887</v>
      </c>
      <c r="B23" t="s">
        <v>5239</v>
      </c>
      <c r="C23" s="28" t="s">
        <v>410</v>
      </c>
      <c r="D23" s="233">
        <v>46113</v>
      </c>
      <c r="E23" s="28"/>
      <c r="F23" s="28" t="s">
        <v>207</v>
      </c>
      <c r="G23" s="1175" t="s">
        <v>7909</v>
      </c>
      <c r="H23" s="28" t="s">
        <v>8011</v>
      </c>
      <c r="I23" s="1293">
        <v>36350</v>
      </c>
      <c r="J23" s="149">
        <f t="shared" ref="J23:J25" si="1">I23-ROUND(I23*0.12,0)</f>
        <v>31988</v>
      </c>
      <c r="K23" s="233" t="s">
        <v>17</v>
      </c>
      <c r="L23" s="233">
        <v>46149</v>
      </c>
      <c r="M23" s="558"/>
      <c r="N23" s="88"/>
      <c r="U23" t="s">
        <v>7888</v>
      </c>
      <c r="V23" s="360">
        <v>0.27361111111111108</v>
      </c>
      <c r="W23" s="360"/>
    </row>
    <row r="24" spans="1:24" hidden="1" x14ac:dyDescent="0.25">
      <c r="A24" s="483" t="s">
        <v>8027</v>
      </c>
      <c r="B24" t="s">
        <v>5239</v>
      </c>
      <c r="C24" s="28" t="s">
        <v>13</v>
      </c>
      <c r="D24" s="233">
        <v>46140</v>
      </c>
      <c r="E24" s="28"/>
      <c r="F24" s="28" t="s">
        <v>207</v>
      </c>
      <c r="G24" s="88" t="s">
        <v>8037</v>
      </c>
      <c r="H24" s="28" t="s">
        <v>8152</v>
      </c>
      <c r="I24" s="798">
        <v>36350</v>
      </c>
      <c r="J24" s="149">
        <f t="shared" si="1"/>
        <v>31988</v>
      </c>
      <c r="K24" s="233" t="s">
        <v>17</v>
      </c>
      <c r="L24" s="233">
        <v>46181</v>
      </c>
      <c r="M24" s="798"/>
      <c r="U24" t="s">
        <v>4867</v>
      </c>
      <c r="V24" s="360">
        <v>0.28472222222222221</v>
      </c>
      <c r="W24" s="360"/>
    </row>
    <row r="25" spans="1:24" hidden="1" x14ac:dyDescent="0.25">
      <c r="A25" s="483">
        <v>20052026</v>
      </c>
      <c r="B25" t="s">
        <v>5239</v>
      </c>
      <c r="C25" s="28" t="s">
        <v>13</v>
      </c>
      <c r="D25" s="233">
        <v>46162</v>
      </c>
      <c r="E25" s="28"/>
      <c r="F25" s="28" t="s">
        <v>207</v>
      </c>
      <c r="G25" s="88" t="s">
        <v>8227</v>
      </c>
      <c r="H25" s="30" t="s">
        <v>8271</v>
      </c>
      <c r="I25" s="798">
        <v>36350</v>
      </c>
      <c r="J25" s="149">
        <f t="shared" si="1"/>
        <v>31988</v>
      </c>
      <c r="K25" t="s">
        <v>17</v>
      </c>
      <c r="L25" s="233">
        <v>46219</v>
      </c>
      <c r="N25" s="798"/>
      <c r="V25" t="s">
        <v>7858</v>
      </c>
      <c r="W25" s="360">
        <v>0.27430555555555552</v>
      </c>
      <c r="X25" s="360"/>
    </row>
    <row r="26" spans="1:24" s="21" customFormat="1" hidden="1" x14ac:dyDescent="0.25">
      <c r="A26" s="483" t="s">
        <v>8189</v>
      </c>
      <c r="B26" s="21" t="s">
        <v>6871</v>
      </c>
      <c r="C26" s="177" t="s">
        <v>410</v>
      </c>
      <c r="D26" s="510">
        <v>46181</v>
      </c>
      <c r="E26" s="177"/>
      <c r="F26" s="177" t="s">
        <v>207</v>
      </c>
      <c r="G26" s="181" t="s">
        <v>8228</v>
      </c>
      <c r="H26" s="169" t="s">
        <v>8225</v>
      </c>
      <c r="I26" s="911">
        <v>36350</v>
      </c>
      <c r="J26" s="149">
        <f>I26-ROUND(I26*0.12,0)</f>
        <v>31988</v>
      </c>
      <c r="K26" s="233" t="s">
        <v>17</v>
      </c>
      <c r="L26" s="233">
        <v>46212</v>
      </c>
      <c r="M26" s="911"/>
      <c r="V26" s="21" t="s">
        <v>8125</v>
      </c>
      <c r="W26" s="488">
        <v>0.25486111111111109</v>
      </c>
      <c r="X26" s="488">
        <v>0.47430555555555554</v>
      </c>
    </row>
    <row r="27" spans="1:24" x14ac:dyDescent="0.25">
      <c r="A27" s="1448" t="s">
        <v>8507</v>
      </c>
      <c r="B27" s="21" t="s">
        <v>5239</v>
      </c>
      <c r="C27" s="31"/>
      <c r="D27" s="233">
        <v>46254</v>
      </c>
      <c r="E27" s="28"/>
      <c r="F27" s="313" t="s">
        <v>207</v>
      </c>
      <c r="G27" s="88" t="s">
        <v>8571</v>
      </c>
      <c r="I27" s="915">
        <v>36350</v>
      </c>
      <c r="J27" s="149">
        <f t="shared" ref="J27:J28" si="2">I27-ROUND(I27*0.12,0)</f>
        <v>31988</v>
      </c>
      <c r="N27" s="558"/>
      <c r="O27" s="88"/>
      <c r="W27" s="360"/>
      <c r="X27" s="30"/>
    </row>
    <row r="28" spans="1:24" x14ac:dyDescent="0.25">
      <c r="A28" s="483" t="s">
        <v>8674</v>
      </c>
      <c r="B28" s="21" t="s">
        <v>5371</v>
      </c>
      <c r="C28" s="31"/>
      <c r="D28" s="233">
        <v>46290</v>
      </c>
      <c r="E28" s="28"/>
      <c r="F28" s="313" t="s">
        <v>207</v>
      </c>
      <c r="G28" t="s">
        <v>8675</v>
      </c>
      <c r="H28" s="88"/>
      <c r="I28" s="915">
        <v>36350</v>
      </c>
      <c r="J28" s="149">
        <f t="shared" si="2"/>
        <v>31988</v>
      </c>
      <c r="N28" s="798"/>
      <c r="W28" s="360"/>
      <c r="X28" s="360"/>
    </row>
    <row r="29" spans="1:24" x14ac:dyDescent="0.25">
      <c r="A29" s="483"/>
      <c r="B29" s="21"/>
      <c r="C29" s="31"/>
      <c r="E29" s="28"/>
      <c r="F29" s="313"/>
      <c r="H29" s="88"/>
      <c r="I29" s="915"/>
      <c r="J29" s="149"/>
      <c r="N29" s="798"/>
      <c r="W29" s="360"/>
      <c r="X29" s="360"/>
    </row>
    <row r="30" spans="1:24" x14ac:dyDescent="0.25">
      <c r="I30" s="1065">
        <f>SUBTOTAL(9,I23:I28)</f>
        <v>72700</v>
      </c>
    </row>
    <row r="31" spans="1:24" ht="15.75" thickBot="1" x14ac:dyDescent="0.3">
      <c r="I31" s="17"/>
    </row>
    <row r="32" spans="1:24" ht="15.75" thickBot="1" x14ac:dyDescent="0.3">
      <c r="I32" s="415">
        <f>+I20+I30</f>
        <v>72700</v>
      </c>
    </row>
    <row r="33" spans="9:13" x14ac:dyDescent="0.25">
      <c r="J33" s="102"/>
      <c r="K33" s="1219" t="s">
        <v>7759</v>
      </c>
      <c r="L33" s="724"/>
      <c r="M33" s="28" t="s">
        <v>2468</v>
      </c>
    </row>
    <row r="34" spans="9:13" x14ac:dyDescent="0.25">
      <c r="I34" s="149"/>
      <c r="J34" s="102" t="s">
        <v>219</v>
      </c>
      <c r="K34" s="793">
        <v>363500</v>
      </c>
      <c r="L34" s="1216">
        <v>10</v>
      </c>
      <c r="M34" s="122">
        <v>46254</v>
      </c>
    </row>
    <row r="35" spans="9:13" x14ac:dyDescent="0.25">
      <c r="I35" s="149"/>
      <c r="J35" s="102" t="s">
        <v>2048</v>
      </c>
      <c r="K35" s="793">
        <v>181750</v>
      </c>
      <c r="L35" s="1217">
        <f>+K35/36350</f>
        <v>5</v>
      </c>
      <c r="M35" s="122">
        <f>+M34</f>
        <v>46254</v>
      </c>
    </row>
    <row r="36" spans="9:13" x14ac:dyDescent="0.25">
      <c r="J36" s="728" t="s">
        <v>2128</v>
      </c>
      <c r="K36" s="1218">
        <f>+K34-K35</f>
        <v>181750</v>
      </c>
      <c r="L36" s="1220">
        <f>+L34-L35</f>
        <v>5</v>
      </c>
    </row>
  </sheetData>
  <autoFilter ref="A2:W36" xr:uid="{00000000-0009-0000-0000-000051000000}">
    <filterColumn colId="10">
      <filters blank="1">
        <filter val="181,750.00"/>
        <filter val="363,500.00"/>
        <filter val="CONTRATO N° 005-2026-HRC-CUSCO"/>
      </filters>
    </filterColumn>
    <filterColumn colId="13" showButton="0"/>
    <filterColumn colId="14" showButton="0"/>
    <filterColumn colId="15" showButton="0"/>
  </autoFilter>
  <mergeCells count="2">
    <mergeCell ref="N2:Q2"/>
    <mergeCell ref="C22:I2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0225" r:id="rId3" name="Button 1">
              <controlPr defaultSize="0" print="0" autoFill="0" autoPict="0" macro="[0]!RETORNAR">
                <anchor moveWithCells="1" sizeWithCells="1">
                  <from>
                    <xdr:col>0</xdr:col>
                    <xdr:colOff>9525</xdr:colOff>
                    <xdr:row>0</xdr:row>
                    <xdr:rowOff>38100</xdr:rowOff>
                  </from>
                  <to>
                    <xdr:col>1</xdr:col>
                    <xdr:colOff>1066800</xdr:colOff>
                    <xdr:row>0</xdr:row>
                    <xdr:rowOff>276225</xdr:rowOff>
                  </to>
                </anchor>
              </controlPr>
            </control>
          </mc:Choice>
        </mc:AlternateContent>
        <mc:AlternateContent xmlns:mc="http://schemas.openxmlformats.org/markup-compatibility/2006">
          <mc:Choice Requires="x14">
            <control shapeId="820228" r:id="rId4" name="Botón 4">
              <controlPr defaultSize="0" print="0" autoFill="0" autoPict="0" macro="[0]!IR_VENTAS_B200_2026">
                <anchor moveWithCells="1" sizeWithCells="1">
                  <from>
                    <xdr:col>0</xdr:col>
                    <xdr:colOff>447675</xdr:colOff>
                    <xdr:row>35</xdr:row>
                    <xdr:rowOff>152400</xdr:rowOff>
                  </from>
                  <to>
                    <xdr:col>1</xdr:col>
                    <xdr:colOff>923925</xdr:colOff>
                    <xdr:row>39</xdr:row>
                    <xdr:rowOff>28575</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Hoja87" filterMode="1"/>
  <dimension ref="A1:V8"/>
  <sheetViews>
    <sheetView workbookViewId="0">
      <selection activeCell="A8" sqref="A8"/>
    </sheetView>
  </sheetViews>
  <sheetFormatPr baseColWidth="10" defaultColWidth="10.85546875" defaultRowHeight="15" x14ac:dyDescent="0.25"/>
  <cols>
    <col min="2" max="2" width="25.42578125" customWidth="1"/>
    <col min="3" max="3" width="9.42578125" customWidth="1"/>
    <col min="5" max="5" width="5.28515625" customWidth="1"/>
    <col min="7" max="7" width="47.85546875" customWidth="1"/>
    <col min="9" max="9" width="11.5703125" bestFit="1" customWidth="1"/>
    <col min="10" max="10" width="12" bestFit="1" customWidth="1"/>
  </cols>
  <sheetData>
    <row r="1" spans="1:22" ht="25.5" customHeight="1" x14ac:dyDescent="0.25"/>
    <row r="2" spans="1:22" x14ac:dyDescent="0.25">
      <c r="A2" t="s">
        <v>706</v>
      </c>
      <c r="B2" s="1" t="s">
        <v>0</v>
      </c>
      <c r="C2" s="1" t="s">
        <v>1</v>
      </c>
      <c r="D2" s="1" t="s">
        <v>2</v>
      </c>
      <c r="E2" s="1"/>
      <c r="F2" s="1" t="s">
        <v>3</v>
      </c>
      <c r="G2" s="1" t="s">
        <v>4</v>
      </c>
      <c r="H2" s="1" t="s">
        <v>5</v>
      </c>
      <c r="I2" s="1" t="s">
        <v>6</v>
      </c>
      <c r="J2" s="1" t="s">
        <v>1780</v>
      </c>
      <c r="K2" s="1" t="s">
        <v>8</v>
      </c>
      <c r="L2" s="1" t="s">
        <v>3997</v>
      </c>
      <c r="M2" s="1" t="s">
        <v>10</v>
      </c>
      <c r="N2" s="1480" t="s">
        <v>11</v>
      </c>
      <c r="O2" s="1480"/>
      <c r="P2" s="1480"/>
      <c r="Q2" s="1480"/>
    </row>
    <row r="3" spans="1:22" hidden="1" x14ac:dyDescent="0.25">
      <c r="B3" s="1"/>
      <c r="C3" s="1"/>
      <c r="D3" s="1"/>
      <c r="E3" s="1"/>
      <c r="F3" s="1"/>
      <c r="G3" t="s">
        <v>5159</v>
      </c>
      <c r="H3" t="s">
        <v>5225</v>
      </c>
      <c r="I3" s="313">
        <v>39069.800000000003</v>
      </c>
      <c r="J3" s="3">
        <f>+I3-ROUND(I3*0.12,0)</f>
        <v>34381.800000000003</v>
      </c>
      <c r="K3" t="s">
        <v>17</v>
      </c>
      <c r="L3" s="233">
        <v>45638</v>
      </c>
      <c r="M3" s="1"/>
      <c r="N3" s="25"/>
      <c r="O3" s="25"/>
      <c r="P3" s="25"/>
      <c r="Q3" s="25"/>
    </row>
    <row r="4" spans="1:22" hidden="1" x14ac:dyDescent="0.25">
      <c r="A4" s="483" t="s">
        <v>5066</v>
      </c>
      <c r="B4" t="s">
        <v>5074</v>
      </c>
      <c r="C4" s="233" t="s">
        <v>13</v>
      </c>
      <c r="D4" s="233">
        <v>45602</v>
      </c>
      <c r="E4" s="28"/>
      <c r="F4" s="30" t="s">
        <v>2008</v>
      </c>
      <c r="G4" t="s">
        <v>5159</v>
      </c>
      <c r="H4" t="s">
        <v>5226</v>
      </c>
      <c r="I4" s="313">
        <v>9832.2000000000007</v>
      </c>
      <c r="J4" s="3">
        <f>+I4-ROUND(I4*0.12,0)</f>
        <v>8652.2000000000007</v>
      </c>
      <c r="K4" t="s">
        <v>17</v>
      </c>
      <c r="L4" s="233">
        <v>45638</v>
      </c>
      <c r="T4" t="s">
        <v>4983</v>
      </c>
      <c r="U4" s="360">
        <v>0.65763888888888888</v>
      </c>
      <c r="V4" s="360"/>
    </row>
    <row r="5" spans="1:22" hidden="1" x14ac:dyDescent="0.25">
      <c r="A5" s="483">
        <v>23092025</v>
      </c>
      <c r="B5" t="s">
        <v>6996</v>
      </c>
      <c r="C5" s="28" t="s">
        <v>4218</v>
      </c>
      <c r="D5" s="233">
        <v>45923</v>
      </c>
      <c r="E5" s="28"/>
      <c r="F5" s="28" t="s">
        <v>2008</v>
      </c>
      <c r="G5" s="1067" t="s">
        <v>7017</v>
      </c>
      <c r="H5" s="28" t="s">
        <v>7015</v>
      </c>
      <c r="I5" s="313">
        <f>39624</f>
        <v>39624</v>
      </c>
      <c r="J5" s="3">
        <f t="shared" ref="J5:J6" si="0">+I5-ROUND(I5*0.12,0)</f>
        <v>34869</v>
      </c>
      <c r="K5" t="s">
        <v>17</v>
      </c>
      <c r="L5" s="233">
        <v>45959</v>
      </c>
      <c r="M5" s="88"/>
      <c r="T5" t="s">
        <v>6678</v>
      </c>
      <c r="U5" s="360">
        <v>0.30694444444444441</v>
      </c>
      <c r="V5" s="360"/>
    </row>
    <row r="6" spans="1:22" hidden="1" x14ac:dyDescent="0.25">
      <c r="A6" s="483">
        <v>23092025</v>
      </c>
      <c r="B6" t="s">
        <v>6996</v>
      </c>
      <c r="C6" s="28" t="s">
        <v>4218</v>
      </c>
      <c r="D6" s="233">
        <v>45923</v>
      </c>
      <c r="E6" s="28"/>
      <c r="F6" s="28" t="s">
        <v>2008</v>
      </c>
      <c r="G6" s="1067" t="s">
        <v>7018</v>
      </c>
      <c r="H6" s="28" t="s">
        <v>7016</v>
      </c>
      <c r="I6" s="313">
        <v>8020</v>
      </c>
      <c r="J6" s="3">
        <f t="shared" si="0"/>
        <v>7058</v>
      </c>
      <c r="K6" t="s">
        <v>17</v>
      </c>
      <c r="L6" s="233">
        <v>45959</v>
      </c>
      <c r="U6" s="360"/>
      <c r="V6" s="360"/>
    </row>
    <row r="7" spans="1:22" x14ac:dyDescent="0.25">
      <c r="A7" s="116"/>
      <c r="B7" s="169"/>
      <c r="C7" s="21"/>
      <c r="D7" s="123"/>
      <c r="E7" s="88"/>
      <c r="F7" s="21"/>
      <c r="G7" s="21"/>
      <c r="I7" s="160"/>
      <c r="J7" s="160"/>
      <c r="K7" s="160"/>
      <c r="L7" s="122"/>
      <c r="O7" s="163"/>
      <c r="P7" s="157"/>
      <c r="Q7" s="157"/>
    </row>
    <row r="8" spans="1:22" x14ac:dyDescent="0.25">
      <c r="H8" s="5" t="s">
        <v>423</v>
      </c>
      <c r="I8" s="9">
        <f>SUBTOTAL(9,I3:I7)</f>
        <v>0</v>
      </c>
      <c r="L8" s="122"/>
    </row>
  </sheetData>
  <autoFilter ref="A2:Q7" xr:uid="{00000000-0009-0000-0000-000052000000}">
    <filterColumn colId="10">
      <filters blank="1"/>
    </filterColumn>
    <filterColumn colId="13" showButton="0"/>
    <filterColumn colId="14" showButton="0"/>
    <filterColumn colId="15" showButton="0"/>
  </autoFilter>
  <mergeCells count="1">
    <mergeCell ref="N2: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3297" r:id="rId3" name="Button 1">
              <controlPr defaultSize="0" print="0" autoFill="0" autoPict="0" macro="[0]!RETORNAR">
                <anchor moveWithCells="1" sizeWithCells="1">
                  <from>
                    <xdr:col>0</xdr:col>
                    <xdr:colOff>9525</xdr:colOff>
                    <xdr:row>0</xdr:row>
                    <xdr:rowOff>38100</xdr:rowOff>
                  </from>
                  <to>
                    <xdr:col>1</xdr:col>
                    <xdr:colOff>1066800</xdr:colOff>
                    <xdr:row>0</xdr:row>
                    <xdr:rowOff>276225</xdr:rowOff>
                  </to>
                </anchor>
              </controlPr>
            </control>
          </mc:Choice>
        </mc:AlternateContent>
        <mc:AlternateContent xmlns:mc="http://schemas.openxmlformats.org/markup-compatibility/2006">
          <mc:Choice Requires="x14">
            <control shapeId="823300" r:id="rId4" name="Botón 4">
              <controlPr defaultSize="0" print="0" autoFill="0" autoPict="0" macro="[0]!IR_VENTAS_B200_2026">
                <anchor moveWithCells="1" sizeWithCells="1">
                  <from>
                    <xdr:col>0</xdr:col>
                    <xdr:colOff>123825</xdr:colOff>
                    <xdr:row>7</xdr:row>
                    <xdr:rowOff>180975</xdr:rowOff>
                  </from>
                  <to>
                    <xdr:col>1</xdr:col>
                    <xdr:colOff>676275</xdr:colOff>
                    <xdr:row>11</xdr:row>
                    <xdr:rowOff>28575</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Hoja88" filterMode="1"/>
  <dimension ref="A1:V6"/>
  <sheetViews>
    <sheetView workbookViewId="0">
      <selection activeCell="G3" sqref="G3"/>
    </sheetView>
  </sheetViews>
  <sheetFormatPr baseColWidth="10" defaultColWidth="10.85546875" defaultRowHeight="15" x14ac:dyDescent="0.25"/>
  <cols>
    <col min="2" max="2" width="25.42578125" customWidth="1"/>
    <col min="3" max="3" width="9.42578125" customWidth="1"/>
    <col min="5" max="5" width="5.28515625" customWidth="1"/>
    <col min="7" max="7" width="47.85546875" customWidth="1"/>
    <col min="9" max="9" width="11.5703125" bestFit="1" customWidth="1"/>
    <col min="10" max="10" width="12" bestFit="1" customWidth="1"/>
  </cols>
  <sheetData>
    <row r="1" spans="1:22" ht="25.5" customHeight="1" x14ac:dyDescent="0.25"/>
    <row r="2" spans="1:22" x14ac:dyDescent="0.25">
      <c r="A2" t="s">
        <v>706</v>
      </c>
      <c r="B2" s="1" t="s">
        <v>0</v>
      </c>
      <c r="C2" s="1" t="s">
        <v>1</v>
      </c>
      <c r="D2" s="1" t="s">
        <v>2</v>
      </c>
      <c r="E2" s="1"/>
      <c r="F2" s="1" t="s">
        <v>3</v>
      </c>
      <c r="G2" s="1" t="s">
        <v>4</v>
      </c>
      <c r="H2" s="1" t="s">
        <v>5</v>
      </c>
      <c r="I2" s="1" t="s">
        <v>6</v>
      </c>
      <c r="J2" s="1" t="s">
        <v>1780</v>
      </c>
      <c r="K2" s="1" t="s">
        <v>8</v>
      </c>
      <c r="L2" s="1" t="s">
        <v>3997</v>
      </c>
      <c r="M2" s="1" t="s">
        <v>10</v>
      </c>
      <c r="N2" s="1480" t="s">
        <v>11</v>
      </c>
      <c r="O2" s="1480"/>
      <c r="P2" s="1480"/>
      <c r="Q2" s="1480"/>
    </row>
    <row r="3" spans="1:22" x14ac:dyDescent="0.25">
      <c r="B3" s="1"/>
      <c r="C3" s="1"/>
      <c r="D3" s="233">
        <v>45629</v>
      </c>
      <c r="E3" s="28"/>
      <c r="F3" s="30" t="s">
        <v>5256</v>
      </c>
      <c r="G3" t="s">
        <v>5462</v>
      </c>
      <c r="I3" s="32">
        <v>6145</v>
      </c>
      <c r="J3" s="3">
        <f>+I3-ROUND(I3*0.12,0)</f>
        <v>5408</v>
      </c>
      <c r="K3" s="1"/>
      <c r="L3" s="1"/>
      <c r="M3" s="1"/>
      <c r="N3" s="25"/>
      <c r="O3" s="25"/>
      <c r="P3" s="25"/>
      <c r="Q3" s="25"/>
    </row>
    <row r="4" spans="1:22" hidden="1" x14ac:dyDescent="0.25">
      <c r="A4" s="483">
        <v>3122024</v>
      </c>
      <c r="B4" t="s">
        <v>5257</v>
      </c>
      <c r="C4" s="233" t="s">
        <v>4218</v>
      </c>
      <c r="D4" s="233">
        <v>45629</v>
      </c>
      <c r="E4" s="28"/>
      <c r="F4" s="30" t="s">
        <v>5256</v>
      </c>
      <c r="G4" t="s">
        <v>5462</v>
      </c>
      <c r="H4" t="s">
        <v>5463</v>
      </c>
      <c r="I4" s="88">
        <v>75000</v>
      </c>
      <c r="J4" s="3">
        <f>+I4-ROUND(I4*0.12,0)</f>
        <v>66000</v>
      </c>
      <c r="K4" s="88" t="s">
        <v>17</v>
      </c>
      <c r="L4" s="233">
        <v>45831</v>
      </c>
      <c r="T4" t="s">
        <v>2050</v>
      </c>
      <c r="U4" s="360">
        <v>0.36736111111111108</v>
      </c>
      <c r="V4" s="360"/>
    </row>
    <row r="5" spans="1:22" x14ac:dyDescent="0.25">
      <c r="A5" s="116"/>
      <c r="B5" s="169"/>
      <c r="C5" s="21"/>
      <c r="D5" s="123"/>
      <c r="E5" s="88"/>
      <c r="F5" s="21"/>
      <c r="G5" s="21"/>
      <c r="I5" s="160"/>
      <c r="J5" s="160"/>
      <c r="K5" s="160"/>
      <c r="L5" s="122"/>
      <c r="O5" s="163"/>
      <c r="P5" s="157"/>
      <c r="Q5" s="157"/>
    </row>
    <row r="6" spans="1:22" x14ac:dyDescent="0.25">
      <c r="H6" s="5" t="s">
        <v>423</v>
      </c>
      <c r="I6" s="9">
        <f>SUBTOTAL(9,I3:I5)</f>
        <v>6145</v>
      </c>
      <c r="L6" s="122"/>
    </row>
  </sheetData>
  <autoFilter ref="A2:Q5" xr:uid="{00000000-0009-0000-0000-000053000000}">
    <filterColumn colId="10">
      <filters blank="1"/>
    </filterColumn>
    <filterColumn colId="13" showButton="0"/>
    <filterColumn colId="14" showButton="0"/>
    <filterColumn colId="15" showButton="0"/>
  </autoFilter>
  <mergeCells count="1">
    <mergeCell ref="N2:Q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8417" r:id="rId4" name="Button 1">
              <controlPr defaultSize="0" print="0" autoFill="0" autoPict="0" macro="[0]!RETORNAR">
                <anchor moveWithCells="1" sizeWithCells="1">
                  <from>
                    <xdr:col>0</xdr:col>
                    <xdr:colOff>9525</xdr:colOff>
                    <xdr:row>0</xdr:row>
                    <xdr:rowOff>38100</xdr:rowOff>
                  </from>
                  <to>
                    <xdr:col>1</xdr:col>
                    <xdr:colOff>1066800</xdr:colOff>
                    <xdr:row>0</xdr:row>
                    <xdr:rowOff>276225</xdr:rowOff>
                  </to>
                </anchor>
              </controlPr>
            </control>
          </mc:Choice>
        </mc:AlternateContent>
        <mc:AlternateContent xmlns:mc="http://schemas.openxmlformats.org/markup-compatibility/2006">
          <mc:Choice Requires="x14">
            <control shapeId="828420" r:id="rId5" name="Botón 4">
              <controlPr defaultSize="0" print="0" autoFill="0" autoPict="0" macro="[0]!IR_VENTAS_B200_2026">
                <anchor moveWithCells="1" sizeWithCells="1">
                  <from>
                    <xdr:col>1</xdr:col>
                    <xdr:colOff>123825</xdr:colOff>
                    <xdr:row>6</xdr:row>
                    <xdr:rowOff>180975</xdr:rowOff>
                  </from>
                  <to>
                    <xdr:col>1</xdr:col>
                    <xdr:colOff>1428750</xdr:colOff>
                    <xdr:row>10</xdr:row>
                    <xdr:rowOff>28575</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Hoja89" filterMode="1"/>
  <dimension ref="A1:V6"/>
  <sheetViews>
    <sheetView topLeftCell="B1" workbookViewId="0">
      <selection activeCell="K2" sqref="K2"/>
    </sheetView>
  </sheetViews>
  <sheetFormatPr baseColWidth="10" defaultColWidth="10.85546875" defaultRowHeight="15" x14ac:dyDescent="0.25"/>
  <cols>
    <col min="2" max="2" width="25.42578125" customWidth="1"/>
    <col min="3" max="3" width="9.42578125" customWidth="1"/>
    <col min="5" max="5" width="5.28515625" customWidth="1"/>
    <col min="7" max="7" width="47.85546875" customWidth="1"/>
    <col min="9" max="9" width="11.5703125" bestFit="1" customWidth="1"/>
    <col min="10" max="10" width="12" bestFit="1" customWidth="1"/>
  </cols>
  <sheetData>
    <row r="1" spans="1:22" ht="25.5" customHeight="1" x14ac:dyDescent="0.25"/>
    <row r="2" spans="1:22" x14ac:dyDescent="0.25">
      <c r="A2" t="s">
        <v>706</v>
      </c>
      <c r="B2" s="1" t="s">
        <v>0</v>
      </c>
      <c r="C2" s="1" t="s">
        <v>1</v>
      </c>
      <c r="D2" s="1" t="s">
        <v>2</v>
      </c>
      <c r="E2" s="1"/>
      <c r="F2" s="1" t="s">
        <v>3</v>
      </c>
      <c r="G2" s="1" t="s">
        <v>4</v>
      </c>
      <c r="H2" s="1" t="s">
        <v>5</v>
      </c>
      <c r="I2" s="1" t="s">
        <v>6</v>
      </c>
      <c r="J2" s="1" t="s">
        <v>1780</v>
      </c>
      <c r="K2" s="1" t="s">
        <v>8</v>
      </c>
      <c r="L2" s="1" t="s">
        <v>3997</v>
      </c>
      <c r="M2" s="1" t="s">
        <v>10</v>
      </c>
      <c r="N2" s="1480" t="s">
        <v>11</v>
      </c>
      <c r="O2" s="1480"/>
      <c r="P2" s="1480"/>
      <c r="Q2" s="1480"/>
    </row>
    <row r="3" spans="1:22" hidden="1" x14ac:dyDescent="0.25">
      <c r="A3" s="483" t="s">
        <v>7542</v>
      </c>
      <c r="B3" t="s">
        <v>7541</v>
      </c>
      <c r="C3" s="233" t="s">
        <v>4218</v>
      </c>
      <c r="D3" s="233">
        <v>46037</v>
      </c>
      <c r="E3" s="28"/>
      <c r="F3" s="28" t="s">
        <v>1744</v>
      </c>
      <c r="G3" s="1067" t="s">
        <v>8340</v>
      </c>
      <c r="H3" t="s">
        <v>7928</v>
      </c>
      <c r="I3" s="240">
        <v>38940</v>
      </c>
      <c r="J3" s="240">
        <f>+I3-ROUND(I3*0.12,0)</f>
        <v>34267</v>
      </c>
      <c r="K3" t="s">
        <v>17</v>
      </c>
      <c r="L3" s="233">
        <v>46280</v>
      </c>
      <c r="M3" s="88"/>
      <c r="T3" t="s">
        <v>6898</v>
      </c>
      <c r="U3" s="360">
        <v>0.32569444444444445</v>
      </c>
      <c r="V3" s="360"/>
    </row>
    <row r="4" spans="1:22" hidden="1" x14ac:dyDescent="0.25">
      <c r="A4" s="483" t="s">
        <v>7542</v>
      </c>
      <c r="B4" t="s">
        <v>7541</v>
      </c>
      <c r="C4" s="233" t="s">
        <v>4218</v>
      </c>
      <c r="D4" s="233">
        <v>46037</v>
      </c>
      <c r="E4" s="28"/>
      <c r="F4" s="28" t="s">
        <v>1744</v>
      </c>
      <c r="G4" s="1067" t="s">
        <v>8341</v>
      </c>
      <c r="H4" t="s">
        <v>7929</v>
      </c>
      <c r="I4" s="240">
        <v>8850</v>
      </c>
      <c r="J4" s="240">
        <f>+I4-ROUND(I4*0.12,0)</f>
        <v>7788</v>
      </c>
      <c r="K4" t="s">
        <v>17</v>
      </c>
      <c r="L4" s="233">
        <v>46287</v>
      </c>
      <c r="M4" s="88"/>
      <c r="T4" t="s">
        <v>6898</v>
      </c>
      <c r="U4" s="360">
        <v>0.32569444444444445</v>
      </c>
      <c r="V4" s="360"/>
    </row>
    <row r="5" spans="1:22" x14ac:dyDescent="0.25">
      <c r="A5" s="116"/>
      <c r="B5" s="169"/>
      <c r="C5" s="21"/>
      <c r="D5" s="123"/>
      <c r="E5" s="88"/>
      <c r="F5" s="21"/>
      <c r="G5" s="21"/>
      <c r="I5" s="160"/>
      <c r="J5" s="160"/>
      <c r="K5" s="160"/>
      <c r="L5" s="122"/>
      <c r="O5" s="163"/>
      <c r="P5" s="157"/>
      <c r="Q5" s="157"/>
    </row>
    <row r="6" spans="1:22" x14ac:dyDescent="0.25">
      <c r="H6" s="5" t="s">
        <v>4480</v>
      </c>
      <c r="I6" s="9">
        <f>SUM(I3:I5)</f>
        <v>47790</v>
      </c>
      <c r="L6" s="122"/>
    </row>
  </sheetData>
  <autoFilter ref="A2:Q5" xr:uid="{00000000-0009-0000-0000-000054000000}">
    <filterColumn colId="10">
      <filters blank="1"/>
    </filterColumn>
    <filterColumn colId="13" showButton="0"/>
    <filterColumn colId="14" showButton="0"/>
    <filterColumn colId="15" showButton="0"/>
  </autoFilter>
  <mergeCells count="1">
    <mergeCell ref="N2:Q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0577" r:id="rId4" name="Button 1">
              <controlPr defaultSize="0" print="0" autoFill="0" autoPict="0" macro="[0]!RETORNAR">
                <anchor moveWithCells="1" sizeWithCells="1">
                  <from>
                    <xdr:col>0</xdr:col>
                    <xdr:colOff>9525</xdr:colOff>
                    <xdr:row>0</xdr:row>
                    <xdr:rowOff>38100</xdr:rowOff>
                  </from>
                  <to>
                    <xdr:col>1</xdr:col>
                    <xdr:colOff>1066800</xdr:colOff>
                    <xdr:row>0</xdr:row>
                    <xdr:rowOff>276225</xdr:rowOff>
                  </to>
                </anchor>
              </controlPr>
            </control>
          </mc:Choice>
        </mc:AlternateContent>
        <mc:AlternateContent xmlns:mc="http://schemas.openxmlformats.org/markup-compatibility/2006">
          <mc:Choice Requires="x14">
            <control shapeId="920578" r:id="rId5" name="Botón 4">
              <controlPr defaultSize="0" print="0" autoFill="0" autoPict="0" macro="[0]!IR_VENTAS_B200_2026">
                <anchor moveWithCells="1" sizeWithCells="1">
                  <from>
                    <xdr:col>1</xdr:col>
                    <xdr:colOff>123825</xdr:colOff>
                    <xdr:row>6</xdr:row>
                    <xdr:rowOff>180975</xdr:rowOff>
                  </from>
                  <to>
                    <xdr:col>1</xdr:col>
                    <xdr:colOff>1428750</xdr:colOff>
                    <xdr:row>10</xdr:row>
                    <xdr:rowOff>28575</xdr:rowOff>
                  </to>
                </anchor>
              </controlPr>
            </control>
          </mc:Choice>
        </mc:AlternateContent>
      </controls>
    </mc:Choice>
  </mc:AlternateConten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Hoja92" filterMode="1"/>
  <dimension ref="A1:W7"/>
  <sheetViews>
    <sheetView workbookViewId="0">
      <selection activeCell="I7" sqref="I7"/>
    </sheetView>
  </sheetViews>
  <sheetFormatPr baseColWidth="10" defaultColWidth="10.85546875" defaultRowHeight="15" x14ac:dyDescent="0.25"/>
  <cols>
    <col min="2" max="2" width="25.42578125" customWidth="1"/>
    <col min="3" max="3" width="9.42578125" customWidth="1"/>
    <col min="5" max="5" width="5.28515625" customWidth="1"/>
    <col min="7" max="7" width="47.85546875" customWidth="1"/>
    <col min="9" max="9" width="11.5703125" bestFit="1" customWidth="1"/>
    <col min="10" max="10" width="12" bestFit="1" customWidth="1"/>
  </cols>
  <sheetData>
    <row r="1" spans="1:23" ht="25.5" customHeight="1" x14ac:dyDescent="0.25"/>
    <row r="2" spans="1:23" x14ac:dyDescent="0.25">
      <c r="A2" t="s">
        <v>706</v>
      </c>
      <c r="B2" s="1" t="s">
        <v>0</v>
      </c>
      <c r="C2" s="1" t="s">
        <v>1</v>
      </c>
      <c r="D2" s="1" t="s">
        <v>2</v>
      </c>
      <c r="E2" s="1"/>
      <c r="F2" s="1" t="s">
        <v>3</v>
      </c>
      <c r="G2" s="1" t="s">
        <v>4</v>
      </c>
      <c r="H2" s="1" t="s">
        <v>5</v>
      </c>
      <c r="I2" s="1" t="s">
        <v>6</v>
      </c>
      <c r="J2" s="1" t="s">
        <v>1780</v>
      </c>
      <c r="K2" s="1" t="s">
        <v>8</v>
      </c>
      <c r="L2" s="1" t="s">
        <v>3997</v>
      </c>
      <c r="M2" s="1" t="s">
        <v>10</v>
      </c>
      <c r="N2" s="1480" t="s">
        <v>11</v>
      </c>
      <c r="O2" s="1480"/>
      <c r="P2" s="1480"/>
      <c r="Q2" s="1480"/>
    </row>
    <row r="3" spans="1:23" hidden="1" x14ac:dyDescent="0.25">
      <c r="A3" s="483" t="s">
        <v>7977</v>
      </c>
      <c r="B3" t="s">
        <v>7980</v>
      </c>
      <c r="C3" s="28" t="s">
        <v>410</v>
      </c>
      <c r="D3" s="233">
        <v>46127</v>
      </c>
      <c r="E3" s="28" t="s">
        <v>7982</v>
      </c>
      <c r="F3" s="28" t="s">
        <v>236</v>
      </c>
      <c r="G3" s="88" t="s">
        <v>7988</v>
      </c>
      <c r="H3" t="s">
        <v>7983</v>
      </c>
      <c r="I3" s="798">
        <v>33150</v>
      </c>
      <c r="J3" s="240">
        <f>+I3-ROUND(I3*0.12,0)</f>
        <v>29172</v>
      </c>
      <c r="K3" s="1345" t="s">
        <v>17</v>
      </c>
      <c r="L3" s="233">
        <v>46135</v>
      </c>
      <c r="M3" s="798"/>
      <c r="U3" t="s">
        <v>7092</v>
      </c>
      <c r="V3" s="360">
        <v>0.26527777777777778</v>
      </c>
      <c r="W3" s="360">
        <v>0.55694444444444446</v>
      </c>
    </row>
    <row r="4" spans="1:23" hidden="1" x14ac:dyDescent="0.25">
      <c r="A4" s="483" t="s">
        <v>7977</v>
      </c>
      <c r="B4" t="s">
        <v>7980</v>
      </c>
      <c r="C4" s="28" t="s">
        <v>410</v>
      </c>
      <c r="D4" s="233">
        <v>46127</v>
      </c>
      <c r="E4" s="28" t="s">
        <v>7982</v>
      </c>
      <c r="F4" s="28" t="s">
        <v>236</v>
      </c>
      <c r="G4" s="88" t="s">
        <v>7988</v>
      </c>
      <c r="H4" t="s">
        <v>7984</v>
      </c>
      <c r="I4" s="798">
        <v>33150</v>
      </c>
      <c r="J4" s="240">
        <f>+I4-ROUND(I4*0.12,0)</f>
        <v>29172</v>
      </c>
      <c r="K4" s="1345" t="s">
        <v>17</v>
      </c>
      <c r="L4" s="233">
        <v>46135</v>
      </c>
      <c r="M4" s="798"/>
      <c r="U4" t="s">
        <v>7092</v>
      </c>
      <c r="V4" s="360">
        <v>0.26527777777777778</v>
      </c>
      <c r="W4" s="360">
        <v>0.55694444444444446</v>
      </c>
    </row>
    <row r="5" spans="1:23" x14ac:dyDescent="0.25">
      <c r="A5" s="483"/>
      <c r="C5" s="233"/>
      <c r="D5" s="233"/>
      <c r="E5" s="28"/>
      <c r="F5" s="28"/>
      <c r="G5" s="1067"/>
      <c r="I5" s="240"/>
      <c r="J5" s="240"/>
      <c r="K5" s="1346"/>
      <c r="L5" s="233"/>
      <c r="M5" s="88"/>
      <c r="U5" s="360"/>
      <c r="V5" s="360"/>
    </row>
    <row r="6" spans="1:23" x14ac:dyDescent="0.25">
      <c r="A6" s="116"/>
      <c r="B6" s="169"/>
      <c r="C6" s="21"/>
      <c r="D6" s="123"/>
      <c r="E6" s="88"/>
      <c r="F6" s="21"/>
      <c r="G6" s="21"/>
      <c r="I6" s="160"/>
      <c r="J6" s="160"/>
      <c r="K6" s="160"/>
      <c r="L6" s="122"/>
      <c r="O6" s="21"/>
      <c r="P6" s="157"/>
      <c r="Q6" s="157"/>
    </row>
    <row r="7" spans="1:23" x14ac:dyDescent="0.25">
      <c r="H7" s="5" t="s">
        <v>4480</v>
      </c>
      <c r="I7" s="27">
        <f>SUBTOTAL(9,I3:I6)</f>
        <v>0</v>
      </c>
      <c r="L7" s="122"/>
    </row>
  </sheetData>
  <autoFilter ref="A2:Q6" xr:uid="{00000000-0009-0000-0000-000055000000}">
    <filterColumn colId="10">
      <filters blank="1"/>
    </filterColumn>
    <filterColumn colId="13" showButton="0"/>
    <filterColumn colId="14" showButton="0"/>
    <filterColumn colId="15" showButton="0"/>
  </autoFilter>
  <mergeCells count="1">
    <mergeCell ref="N2:Q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6721" r:id="rId4" name="Button 1">
              <controlPr defaultSize="0" print="0" autoFill="0" autoPict="0" macro="[0]!RETORNAR">
                <anchor moveWithCells="1" sizeWithCells="1">
                  <from>
                    <xdr:col>0</xdr:col>
                    <xdr:colOff>9525</xdr:colOff>
                    <xdr:row>0</xdr:row>
                    <xdr:rowOff>38100</xdr:rowOff>
                  </from>
                  <to>
                    <xdr:col>1</xdr:col>
                    <xdr:colOff>1066800</xdr:colOff>
                    <xdr:row>0</xdr:row>
                    <xdr:rowOff>276225</xdr:rowOff>
                  </to>
                </anchor>
              </controlPr>
            </control>
          </mc:Choice>
        </mc:AlternateContent>
        <mc:AlternateContent xmlns:mc="http://schemas.openxmlformats.org/markup-compatibility/2006">
          <mc:Choice Requires="x14">
            <control shapeId="926722" r:id="rId5" name="Botón 4">
              <controlPr defaultSize="0" print="0" autoFill="0" autoPict="0" macro="[0]!IR_VENTAS_B200_2026">
                <anchor moveWithCells="1" sizeWithCells="1">
                  <from>
                    <xdr:col>1</xdr:col>
                    <xdr:colOff>123825</xdr:colOff>
                    <xdr:row>7</xdr:row>
                    <xdr:rowOff>180975</xdr:rowOff>
                  </from>
                  <to>
                    <xdr:col>1</xdr:col>
                    <xdr:colOff>1428750</xdr:colOff>
                    <xdr:row>11</xdr:row>
                    <xdr:rowOff>28575</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Hoja93" filterMode="1"/>
  <dimension ref="A1:X7"/>
  <sheetViews>
    <sheetView workbookViewId="0">
      <selection activeCell="L4" sqref="L4"/>
    </sheetView>
  </sheetViews>
  <sheetFormatPr baseColWidth="10" defaultColWidth="10.85546875" defaultRowHeight="15" x14ac:dyDescent="0.25"/>
  <cols>
    <col min="2" max="2" width="25.42578125" customWidth="1"/>
    <col min="3" max="3" width="9.42578125" customWidth="1"/>
    <col min="5" max="5" width="5.28515625" customWidth="1"/>
    <col min="7" max="7" width="47.85546875" customWidth="1"/>
    <col min="9" max="9" width="11.5703125" bestFit="1" customWidth="1"/>
    <col min="10" max="10" width="12" bestFit="1" customWidth="1"/>
  </cols>
  <sheetData>
    <row r="1" spans="1:24" ht="25.5" customHeight="1" x14ac:dyDescent="0.25"/>
    <row r="2" spans="1:24" x14ac:dyDescent="0.25">
      <c r="A2" t="s">
        <v>706</v>
      </c>
      <c r="B2" s="1" t="s">
        <v>0</v>
      </c>
      <c r="C2" s="1" t="s">
        <v>1</v>
      </c>
      <c r="D2" s="1" t="s">
        <v>2</v>
      </c>
      <c r="E2" s="1"/>
      <c r="F2" s="1" t="s">
        <v>3</v>
      </c>
      <c r="G2" s="1" t="s">
        <v>4</v>
      </c>
      <c r="H2" s="1" t="s">
        <v>5</v>
      </c>
      <c r="I2" s="1" t="s">
        <v>6</v>
      </c>
      <c r="J2" s="1" t="s">
        <v>1780</v>
      </c>
      <c r="K2" s="1" t="s">
        <v>8</v>
      </c>
      <c r="L2" s="1" t="s">
        <v>3997</v>
      </c>
      <c r="M2" s="1" t="s">
        <v>10</v>
      </c>
      <c r="N2" s="1480" t="s">
        <v>11</v>
      </c>
      <c r="O2" s="1480"/>
      <c r="P2" s="1480"/>
      <c r="Q2" s="1480"/>
    </row>
    <row r="3" spans="1:24" hidden="1" x14ac:dyDescent="0.25">
      <c r="A3" s="1448" t="s">
        <v>8484</v>
      </c>
      <c r="B3" s="21" t="s">
        <v>8486</v>
      </c>
      <c r="C3" s="31" t="s">
        <v>410</v>
      </c>
      <c r="D3" s="233">
        <v>46252</v>
      </c>
      <c r="E3" s="28"/>
      <c r="F3" s="313" t="s">
        <v>3924</v>
      </c>
      <c r="G3" s="88" t="s">
        <v>8522</v>
      </c>
      <c r="H3" t="s">
        <v>8523</v>
      </c>
      <c r="I3" s="915">
        <v>30200</v>
      </c>
      <c r="J3" s="240">
        <f>+I3-ROUND(I3*0.12,0)</f>
        <v>26576</v>
      </c>
      <c r="K3" t="s">
        <v>17</v>
      </c>
      <c r="L3" s="1479">
        <v>46268</v>
      </c>
      <c r="N3" s="558"/>
      <c r="O3" s="88"/>
      <c r="V3" t="s">
        <v>4140</v>
      </c>
      <c r="W3" s="360"/>
      <c r="X3" s="30"/>
    </row>
    <row r="4" spans="1:24" x14ac:dyDescent="0.25">
      <c r="A4" s="483"/>
      <c r="C4" s="28"/>
      <c r="D4" s="233"/>
      <c r="E4" s="28"/>
      <c r="F4" s="28"/>
      <c r="G4" s="88"/>
      <c r="I4" s="798"/>
      <c r="J4" s="240"/>
      <c r="K4" s="1345"/>
      <c r="L4" s="233"/>
      <c r="M4" s="798"/>
      <c r="V4" s="360"/>
      <c r="W4" s="360"/>
    </row>
    <row r="5" spans="1:24" x14ac:dyDescent="0.25">
      <c r="A5" s="483"/>
      <c r="C5" s="233"/>
      <c r="D5" s="233"/>
      <c r="E5" s="28"/>
      <c r="F5" s="28"/>
      <c r="G5" s="1067"/>
      <c r="I5" s="240"/>
      <c r="J5" s="240"/>
      <c r="K5" s="1346"/>
      <c r="L5" s="233"/>
      <c r="M5" s="88"/>
      <c r="U5" s="360"/>
      <c r="V5" s="360"/>
    </row>
    <row r="6" spans="1:24" x14ac:dyDescent="0.25">
      <c r="A6" s="116"/>
      <c r="B6" s="169"/>
      <c r="C6" s="21"/>
      <c r="D6" s="123"/>
      <c r="E6" s="88"/>
      <c r="F6" s="21"/>
      <c r="G6" s="21"/>
      <c r="I6" s="160"/>
      <c r="J6" s="160"/>
      <c r="K6" s="160"/>
      <c r="L6" s="122"/>
      <c r="O6" s="21"/>
      <c r="P6" s="157"/>
      <c r="Q6" s="157"/>
    </row>
    <row r="7" spans="1:24" x14ac:dyDescent="0.25">
      <c r="H7" s="5" t="s">
        <v>4480</v>
      </c>
      <c r="I7" s="27">
        <f>SUBTOTAL(9,I3:I6)</f>
        <v>0</v>
      </c>
      <c r="L7" s="122"/>
    </row>
  </sheetData>
  <autoFilter ref="A2:Q6" xr:uid="{00000000-0009-0000-0000-000056000000}">
    <filterColumn colId="10">
      <filters blank="1"/>
    </filterColumn>
    <filterColumn colId="13" showButton="0"/>
    <filterColumn colId="14" showButton="0"/>
    <filterColumn colId="15" showButton="0"/>
  </autoFilter>
  <mergeCells count="1">
    <mergeCell ref="N2:Q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32865" r:id="rId4" name="Button 1">
              <controlPr defaultSize="0" print="0" autoFill="0" autoPict="0" macro="[0]!RETORNAR">
                <anchor moveWithCells="1" sizeWithCells="1">
                  <from>
                    <xdr:col>0</xdr:col>
                    <xdr:colOff>9525</xdr:colOff>
                    <xdr:row>0</xdr:row>
                    <xdr:rowOff>38100</xdr:rowOff>
                  </from>
                  <to>
                    <xdr:col>1</xdr:col>
                    <xdr:colOff>1066800</xdr:colOff>
                    <xdr:row>0</xdr:row>
                    <xdr:rowOff>276225</xdr:rowOff>
                  </to>
                </anchor>
              </controlPr>
            </control>
          </mc:Choice>
        </mc:AlternateContent>
        <mc:AlternateContent xmlns:mc="http://schemas.openxmlformats.org/markup-compatibility/2006">
          <mc:Choice Requires="x14">
            <control shapeId="932866" r:id="rId5" name="Botón 4">
              <controlPr defaultSize="0" print="0" autoFill="0" autoPict="0" macro="[0]!IR_VENTAS_B200_2026">
                <anchor moveWithCells="1" sizeWithCells="1">
                  <from>
                    <xdr:col>1</xdr:col>
                    <xdr:colOff>123825</xdr:colOff>
                    <xdr:row>7</xdr:row>
                    <xdr:rowOff>180975</xdr:rowOff>
                  </from>
                  <to>
                    <xdr:col>1</xdr:col>
                    <xdr:colOff>1428750</xdr:colOff>
                    <xdr:row>11</xdr:row>
                    <xdr:rowOff>28575</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Hoja91"/>
  <dimension ref="A1:XFC624"/>
  <sheetViews>
    <sheetView tabSelected="1" topLeftCell="A532" zoomScale="85" zoomScaleNormal="85" workbookViewId="0">
      <selection activeCell="A543" sqref="A543:XFD543"/>
    </sheetView>
  </sheetViews>
  <sheetFormatPr baseColWidth="10" defaultColWidth="10.85546875" defaultRowHeight="15" x14ac:dyDescent="0.25"/>
  <cols>
    <col min="1" max="1" width="14.7109375" customWidth="1"/>
    <col min="2" max="2" width="35.5703125" customWidth="1"/>
    <col min="3" max="3" width="22.5703125" style="31" customWidth="1"/>
    <col min="4" max="4" width="14.5703125" style="247" customWidth="1"/>
    <col min="5" max="5" width="11.5703125" style="28" customWidth="1"/>
    <col min="6" max="6" width="17.85546875" style="28" customWidth="1"/>
    <col min="7" max="7" width="17.85546875" customWidth="1"/>
    <col min="8" max="8" width="15.85546875" customWidth="1"/>
    <col min="9" max="9" width="12.85546875" hidden="1" customWidth="1"/>
    <col min="10" max="10" width="10.85546875" hidden="1" customWidth="1"/>
    <col min="11" max="12" width="14.5703125" hidden="1" customWidth="1"/>
    <col min="13" max="13" width="20.85546875" style="61" customWidth="1"/>
    <col min="14" max="14" width="15.85546875" style="32" bestFit="1" customWidth="1"/>
    <col min="15" max="15" width="11.140625" style="32" bestFit="1" customWidth="1"/>
    <col min="16" max="16" width="13.140625" hidden="1" customWidth="1"/>
    <col min="17" max="17" width="8" hidden="1" customWidth="1"/>
    <col min="18" max="18" width="2" customWidth="1"/>
    <col min="19" max="19" width="1.85546875" customWidth="1"/>
    <col min="20" max="20" width="2" customWidth="1"/>
    <col min="21" max="21" width="1.7109375" customWidth="1"/>
    <col min="22" max="22" width="21.85546875" customWidth="1"/>
    <col min="23" max="23" width="11.42578125" style="30" customWidth="1"/>
    <col min="24" max="24" width="15.42578125" style="30" bestFit="1" customWidth="1"/>
  </cols>
  <sheetData>
    <row r="1" spans="1:28" s="484" customFormat="1" ht="15.75" x14ac:dyDescent="0.25">
      <c r="A1" s="484" t="s">
        <v>706</v>
      </c>
      <c r="B1" s="564" t="s">
        <v>0</v>
      </c>
      <c r="C1" s="1395" t="s">
        <v>1</v>
      </c>
      <c r="D1" s="485" t="s">
        <v>2</v>
      </c>
      <c r="E1" s="486" t="s">
        <v>2044</v>
      </c>
      <c r="F1" s="484" t="s">
        <v>3</v>
      </c>
      <c r="H1" s="1" t="s">
        <v>3516</v>
      </c>
      <c r="J1" s="484" t="s">
        <v>5</v>
      </c>
      <c r="M1" s="486" t="s">
        <v>6</v>
      </c>
      <c r="N1" s="486" t="s">
        <v>7</v>
      </c>
      <c r="O1" s="1442" t="s">
        <v>8</v>
      </c>
      <c r="P1" s="484" t="s">
        <v>9</v>
      </c>
      <c r="Q1" s="484" t="s">
        <v>10</v>
      </c>
      <c r="V1" s="484" t="s">
        <v>649</v>
      </c>
      <c r="W1" s="487" t="s">
        <v>1728</v>
      </c>
      <c r="X1" s="487" t="s">
        <v>650</v>
      </c>
      <c r="Y1" s="1613" t="s">
        <v>11</v>
      </c>
      <c r="Z1" s="1614"/>
      <c r="AA1" s="1614"/>
      <c r="AB1" s="1614"/>
    </row>
    <row r="2" spans="1:28" s="33" customFormat="1" x14ac:dyDescent="0.25">
      <c r="A2" s="547" t="s">
        <v>7441</v>
      </c>
      <c r="B2" s="33" t="s">
        <v>614</v>
      </c>
      <c r="C2" s="1396" t="s">
        <v>4218</v>
      </c>
      <c r="D2" s="548">
        <v>46023</v>
      </c>
      <c r="E2" s="306" t="s">
        <v>7640</v>
      </c>
      <c r="F2" s="306" t="s">
        <v>2029</v>
      </c>
      <c r="H2" s="33" t="s">
        <v>279</v>
      </c>
      <c r="I2" s="312"/>
      <c r="J2" s="279"/>
      <c r="K2" s="279"/>
      <c r="L2" s="279"/>
      <c r="M2" s="279">
        <v>26632.6</v>
      </c>
      <c r="N2" s="312"/>
      <c r="O2" s="279"/>
      <c r="V2" s="33" t="s">
        <v>4867</v>
      </c>
      <c r="W2" s="550">
        <v>0.34583333333333338</v>
      </c>
      <c r="X2" s="550">
        <v>0.55625000000000002</v>
      </c>
    </row>
    <row r="3" spans="1:28" s="926" customFormat="1" x14ac:dyDescent="0.25">
      <c r="A3" s="925" t="s">
        <v>7441</v>
      </c>
      <c r="B3" s="926" t="s">
        <v>610</v>
      </c>
      <c r="C3" s="1397" t="s">
        <v>809</v>
      </c>
      <c r="D3" s="927">
        <v>46023</v>
      </c>
      <c r="E3" s="928" t="s">
        <v>7490</v>
      </c>
      <c r="F3" s="928" t="s">
        <v>106</v>
      </c>
      <c r="H3" s="926" t="s">
        <v>279</v>
      </c>
      <c r="I3" s="929"/>
      <c r="J3" s="930"/>
      <c r="K3" s="930"/>
      <c r="L3" s="930"/>
      <c r="M3" s="930">
        <v>29770</v>
      </c>
      <c r="N3" s="929"/>
      <c r="O3" s="930"/>
      <c r="V3" s="926" t="s">
        <v>6155</v>
      </c>
      <c r="W3" s="931">
        <v>0.57430555555555551</v>
      </c>
      <c r="X3" s="931">
        <v>0.75277777777777777</v>
      </c>
    </row>
    <row r="4" spans="1:28" s="33" customFormat="1" x14ac:dyDescent="0.25">
      <c r="A4" s="547" t="s">
        <v>7441</v>
      </c>
      <c r="B4" s="33" t="s">
        <v>614</v>
      </c>
      <c r="C4" s="1396" t="s">
        <v>4218</v>
      </c>
      <c r="D4" s="548">
        <v>46023</v>
      </c>
      <c r="E4" s="306" t="s">
        <v>7640</v>
      </c>
      <c r="F4" s="306" t="s">
        <v>285</v>
      </c>
      <c r="H4" s="33" t="s">
        <v>279</v>
      </c>
      <c r="I4" s="312"/>
      <c r="J4" s="279"/>
      <c r="K4" s="279"/>
      <c r="L4" s="279"/>
      <c r="M4" s="279">
        <v>44096.6</v>
      </c>
      <c r="N4" s="312"/>
      <c r="O4" s="279"/>
      <c r="V4" s="33" t="s">
        <v>3765</v>
      </c>
      <c r="W4" s="550">
        <v>0.6020833333333333</v>
      </c>
      <c r="X4" s="550">
        <v>0.84722222222222221</v>
      </c>
    </row>
    <row r="5" spans="1:28" s="33" customFormat="1" x14ac:dyDescent="0.25">
      <c r="A5" s="547" t="s">
        <v>7444</v>
      </c>
      <c r="B5" s="33" t="s">
        <v>614</v>
      </c>
      <c r="C5" s="1396" t="s">
        <v>4218</v>
      </c>
      <c r="D5" s="548">
        <v>46024</v>
      </c>
      <c r="E5" s="306" t="s">
        <v>7640</v>
      </c>
      <c r="F5" s="306" t="s">
        <v>207</v>
      </c>
      <c r="H5" s="33" t="s">
        <v>279</v>
      </c>
      <c r="I5" s="312"/>
      <c r="J5" s="279"/>
      <c r="K5" s="279"/>
      <c r="L5" s="279"/>
      <c r="M5" s="279">
        <v>35364.6</v>
      </c>
      <c r="N5" s="312"/>
      <c r="O5" s="279"/>
      <c r="V5" s="33" t="s">
        <v>5989</v>
      </c>
      <c r="W5" s="550">
        <v>0.28958333333333336</v>
      </c>
      <c r="X5" s="550">
        <v>0.50347222222222221</v>
      </c>
    </row>
    <row r="6" spans="1:28" s="33" customFormat="1" x14ac:dyDescent="0.25">
      <c r="A6" s="547" t="s">
        <v>7444</v>
      </c>
      <c r="B6" s="33" t="s">
        <v>614</v>
      </c>
      <c r="C6" s="1396" t="s">
        <v>4218</v>
      </c>
      <c r="D6" s="548">
        <v>46024</v>
      </c>
      <c r="E6" s="306" t="s">
        <v>7640</v>
      </c>
      <c r="F6" s="306" t="s">
        <v>1931</v>
      </c>
      <c r="H6" s="33" t="s">
        <v>279</v>
      </c>
      <c r="I6" s="312"/>
      <c r="J6" s="279"/>
      <c r="K6" s="279"/>
      <c r="L6" s="279"/>
      <c r="M6" s="279">
        <v>52828.6</v>
      </c>
      <c r="N6" s="312"/>
      <c r="O6" s="279"/>
      <c r="V6" s="33" t="s">
        <v>7078</v>
      </c>
      <c r="W6" s="550">
        <v>0.54861111111111105</v>
      </c>
      <c r="X6" s="550">
        <v>0.8534722222222223</v>
      </c>
    </row>
    <row r="7" spans="1:28" s="926" customFormat="1" x14ac:dyDescent="0.25">
      <c r="A7" s="925" t="s">
        <v>7444</v>
      </c>
      <c r="B7" s="926" t="s">
        <v>7447</v>
      </c>
      <c r="C7" s="1397" t="s">
        <v>809</v>
      </c>
      <c r="D7" s="927">
        <v>46024</v>
      </c>
      <c r="E7" s="928" t="s">
        <v>7513</v>
      </c>
      <c r="F7" s="928" t="s">
        <v>68</v>
      </c>
      <c r="H7" s="926" t="s">
        <v>279</v>
      </c>
      <c r="I7" s="929"/>
      <c r="J7" s="930"/>
      <c r="K7" s="930"/>
      <c r="L7" s="930"/>
      <c r="M7" s="930">
        <v>44000</v>
      </c>
      <c r="N7" s="929"/>
      <c r="O7" s="930"/>
      <c r="V7" s="926" t="s">
        <v>6155</v>
      </c>
      <c r="W7" s="931">
        <v>0.67152777777777783</v>
      </c>
      <c r="X7" s="931">
        <v>0.96597222222222223</v>
      </c>
    </row>
    <row r="8" spans="1:28" s="926" customFormat="1" x14ac:dyDescent="0.25">
      <c r="A8" s="925" t="s">
        <v>7445</v>
      </c>
      <c r="B8" s="926" t="s">
        <v>608</v>
      </c>
      <c r="C8" s="1397" t="s">
        <v>4218</v>
      </c>
      <c r="D8" s="927">
        <v>46025</v>
      </c>
      <c r="E8" s="928" t="s">
        <v>7489</v>
      </c>
      <c r="F8" s="928" t="s">
        <v>236</v>
      </c>
      <c r="H8" s="926" t="s">
        <v>5224</v>
      </c>
      <c r="I8" s="929"/>
      <c r="J8" s="930"/>
      <c r="K8" s="930"/>
      <c r="L8" s="930"/>
      <c r="M8" s="930">
        <v>49173</v>
      </c>
      <c r="N8" s="929"/>
      <c r="O8" s="930"/>
      <c r="V8" s="926" t="s">
        <v>6503</v>
      </c>
      <c r="W8" s="931">
        <v>0.28402777777777777</v>
      </c>
      <c r="X8" s="931" t="s">
        <v>7443</v>
      </c>
    </row>
    <row r="9" spans="1:28" s="926" customFormat="1" x14ac:dyDescent="0.25">
      <c r="A9" s="925" t="s">
        <v>7445</v>
      </c>
      <c r="B9" s="926" t="s">
        <v>1720</v>
      </c>
      <c r="C9" s="1397" t="s">
        <v>809</v>
      </c>
      <c r="D9" s="927">
        <v>46025</v>
      </c>
      <c r="E9" s="928" t="s">
        <v>7496</v>
      </c>
      <c r="F9" s="928" t="s">
        <v>545</v>
      </c>
      <c r="H9" s="926" t="s">
        <v>277</v>
      </c>
      <c r="I9" s="929"/>
      <c r="J9" s="930"/>
      <c r="K9" s="930"/>
      <c r="L9" s="930"/>
      <c r="M9" s="930">
        <v>24320</v>
      </c>
      <c r="N9" s="929"/>
      <c r="O9" s="930"/>
      <c r="V9" s="926" t="s">
        <v>6155</v>
      </c>
      <c r="W9" s="931">
        <v>0.61944444444444446</v>
      </c>
      <c r="X9" s="931">
        <v>0.75347222222222221</v>
      </c>
    </row>
    <row r="10" spans="1:28" s="33" customFormat="1" x14ac:dyDescent="0.25">
      <c r="A10" s="547" t="s">
        <v>7445</v>
      </c>
      <c r="B10" s="33" t="s">
        <v>3276</v>
      </c>
      <c r="C10" s="1396" t="s">
        <v>4218</v>
      </c>
      <c r="D10" s="548">
        <v>46025</v>
      </c>
      <c r="E10" s="306" t="s">
        <v>7727</v>
      </c>
      <c r="F10" s="306" t="s">
        <v>872</v>
      </c>
      <c r="H10" s="33" t="s">
        <v>279</v>
      </c>
      <c r="I10" s="312"/>
      <c r="J10" s="279"/>
      <c r="K10" s="279"/>
      <c r="L10" s="279"/>
      <c r="M10" s="279">
        <v>39800</v>
      </c>
      <c r="N10" s="312"/>
      <c r="O10" s="279"/>
      <c r="V10" s="33" t="s">
        <v>7078</v>
      </c>
      <c r="W10" s="550">
        <v>0.62152777777777779</v>
      </c>
      <c r="X10" s="550">
        <v>0.80138888888888893</v>
      </c>
    </row>
    <row r="11" spans="1:28" s="926" customFormat="1" x14ac:dyDescent="0.25">
      <c r="A11" s="925" t="s">
        <v>7442</v>
      </c>
      <c r="B11" s="926" t="s">
        <v>1720</v>
      </c>
      <c r="C11" s="1397" t="s">
        <v>410</v>
      </c>
      <c r="D11" s="927">
        <v>46026</v>
      </c>
      <c r="E11" s="928" t="s">
        <v>7497</v>
      </c>
      <c r="F11" s="928" t="s">
        <v>545</v>
      </c>
      <c r="H11" s="926" t="s">
        <v>279</v>
      </c>
      <c r="I11" s="929"/>
      <c r="J11" s="930"/>
      <c r="K11" s="930"/>
      <c r="L11" s="930"/>
      <c r="M11" s="930">
        <v>31500</v>
      </c>
      <c r="N11" s="929"/>
      <c r="O11" s="930"/>
      <c r="V11" s="926" t="s">
        <v>5393</v>
      </c>
      <c r="W11" s="931">
        <v>0.27152777777777776</v>
      </c>
      <c r="X11" s="931">
        <v>0.46666666666666662</v>
      </c>
    </row>
    <row r="12" spans="1:28" s="33" customFormat="1" x14ac:dyDescent="0.25">
      <c r="A12" s="547" t="s">
        <v>7442</v>
      </c>
      <c r="B12" s="33" t="s">
        <v>614</v>
      </c>
      <c r="C12" s="1396" t="s">
        <v>4218</v>
      </c>
      <c r="D12" s="548">
        <v>46026</v>
      </c>
      <c r="E12" s="306" t="s">
        <v>7640</v>
      </c>
      <c r="F12" s="306" t="s">
        <v>236</v>
      </c>
      <c r="H12" s="33" t="s">
        <v>279</v>
      </c>
      <c r="I12" s="312"/>
      <c r="J12" s="279"/>
      <c r="K12" s="279"/>
      <c r="L12" s="279"/>
      <c r="M12" s="279">
        <v>52828.6</v>
      </c>
      <c r="N12" s="312"/>
      <c r="O12" s="279"/>
      <c r="V12" s="33" t="s">
        <v>5989</v>
      </c>
      <c r="W12" s="550">
        <v>0.28055555555555556</v>
      </c>
      <c r="X12" s="550">
        <v>0.55833333333333335</v>
      </c>
    </row>
    <row r="13" spans="1:28" s="926" customFormat="1" x14ac:dyDescent="0.25">
      <c r="A13" s="925" t="s">
        <v>7446</v>
      </c>
      <c r="B13" s="926" t="s">
        <v>565</v>
      </c>
      <c r="C13" s="1397" t="s">
        <v>4218</v>
      </c>
      <c r="D13" s="927">
        <v>46027</v>
      </c>
      <c r="E13" s="928" t="s">
        <v>7480</v>
      </c>
      <c r="F13" s="928" t="s">
        <v>545</v>
      </c>
      <c r="H13" s="926" t="s">
        <v>279</v>
      </c>
      <c r="M13" s="929">
        <v>31500</v>
      </c>
      <c r="N13" s="930"/>
      <c r="O13" s="930"/>
      <c r="V13" s="926" t="s">
        <v>6349</v>
      </c>
      <c r="W13" s="931">
        <v>0.55694444444444446</v>
      </c>
      <c r="X13" s="931">
        <v>0.73333333333333339</v>
      </c>
    </row>
    <row r="14" spans="1:28" s="926" customFormat="1" x14ac:dyDescent="0.25">
      <c r="A14" s="925" t="s">
        <v>7460</v>
      </c>
      <c r="B14" s="926" t="s">
        <v>6109</v>
      </c>
      <c r="C14" s="1397" t="s">
        <v>4218</v>
      </c>
      <c r="D14" s="927">
        <v>46028</v>
      </c>
      <c r="E14" s="928" t="s">
        <v>7774</v>
      </c>
      <c r="F14" s="928" t="s">
        <v>207</v>
      </c>
      <c r="H14" s="926" t="s">
        <v>279</v>
      </c>
      <c r="M14" s="929"/>
      <c r="N14" s="930">
        <v>9500</v>
      </c>
      <c r="O14" s="930"/>
      <c r="V14" s="926" t="s">
        <v>6150</v>
      </c>
      <c r="W14" s="931">
        <v>0.27013888888888887</v>
      </c>
      <c r="X14" s="931">
        <v>0.46666666666666662</v>
      </c>
    </row>
    <row r="15" spans="1:28" s="33" customFormat="1" ht="14.1" customHeight="1" x14ac:dyDescent="0.25">
      <c r="A15" s="547" t="s">
        <v>7460</v>
      </c>
      <c r="B15" s="33" t="s">
        <v>875</v>
      </c>
      <c r="C15" s="1396" t="s">
        <v>809</v>
      </c>
      <c r="D15" s="548">
        <v>46028</v>
      </c>
      <c r="E15" s="306" t="s">
        <v>7665</v>
      </c>
      <c r="F15" s="306" t="s">
        <v>2036</v>
      </c>
      <c r="H15" s="33" t="s">
        <v>279</v>
      </c>
      <c r="M15" s="1230">
        <v>26904</v>
      </c>
      <c r="N15" s="279"/>
      <c r="O15" s="279"/>
      <c r="V15" s="33" t="s">
        <v>7461</v>
      </c>
      <c r="W15" s="550">
        <v>0.50069444444444444</v>
      </c>
      <c r="X15" s="550">
        <v>0.67569444444444438</v>
      </c>
    </row>
    <row r="16" spans="1:28" s="33" customFormat="1" x14ac:dyDescent="0.25">
      <c r="A16" s="547" t="s">
        <v>7460</v>
      </c>
      <c r="B16" s="33" t="s">
        <v>2911</v>
      </c>
      <c r="C16" s="1396" t="s">
        <v>4218</v>
      </c>
      <c r="D16" s="548">
        <v>46028</v>
      </c>
      <c r="E16" s="306" t="s">
        <v>7728</v>
      </c>
      <c r="F16" s="306" t="s">
        <v>317</v>
      </c>
      <c r="H16" s="33" t="s">
        <v>279</v>
      </c>
      <c r="M16" s="312">
        <v>46634</v>
      </c>
      <c r="N16" s="279"/>
      <c r="O16" s="279"/>
      <c r="V16" s="33" t="s">
        <v>4140</v>
      </c>
      <c r="W16" s="550">
        <v>0.54583333333333328</v>
      </c>
      <c r="X16" s="550">
        <v>0.93333333333333324</v>
      </c>
    </row>
    <row r="17" spans="1:24" s="33" customFormat="1" x14ac:dyDescent="0.25">
      <c r="A17" s="547" t="s">
        <v>7505</v>
      </c>
      <c r="B17" s="33" t="s">
        <v>2769</v>
      </c>
      <c r="C17" s="1396" t="s">
        <v>4218</v>
      </c>
      <c r="D17" s="548">
        <v>46029</v>
      </c>
      <c r="E17" s="306" t="s">
        <v>7736</v>
      </c>
      <c r="F17" s="306" t="s">
        <v>236</v>
      </c>
      <c r="H17" s="33" t="s">
        <v>279</v>
      </c>
      <c r="M17" s="312">
        <v>62540</v>
      </c>
      <c r="N17" s="279"/>
      <c r="O17" s="279"/>
      <c r="V17" s="33" t="s">
        <v>6952</v>
      </c>
      <c r="W17" s="550">
        <v>0.26874999999999999</v>
      </c>
      <c r="X17" s="550">
        <v>0.53263888888888888</v>
      </c>
    </row>
    <row r="18" spans="1:24" s="926" customFormat="1" x14ac:dyDescent="0.25">
      <c r="A18" s="925" t="s">
        <v>7505</v>
      </c>
      <c r="B18" s="926" t="s">
        <v>2497</v>
      </c>
      <c r="C18" s="1397" t="s">
        <v>410</v>
      </c>
      <c r="D18" s="927">
        <v>46029</v>
      </c>
      <c r="E18" s="928" t="s">
        <v>7606</v>
      </c>
      <c r="F18" s="928" t="s">
        <v>143</v>
      </c>
      <c r="H18" s="926" t="s">
        <v>279</v>
      </c>
      <c r="I18" s="929"/>
      <c r="J18" s="930"/>
      <c r="K18" s="930"/>
      <c r="L18" s="930"/>
      <c r="M18" s="930">
        <v>37252</v>
      </c>
      <c r="N18" s="929"/>
      <c r="O18" s="930"/>
      <c r="V18" s="926" t="s">
        <v>7506</v>
      </c>
      <c r="W18" s="931">
        <v>0.34583333333333338</v>
      </c>
      <c r="X18" s="931">
        <v>0.56180555555555556</v>
      </c>
    </row>
    <row r="19" spans="1:24" s="926" customFormat="1" x14ac:dyDescent="0.25">
      <c r="A19" s="925" t="s">
        <v>7505</v>
      </c>
      <c r="B19" s="926" t="s">
        <v>3880</v>
      </c>
      <c r="C19" s="1397" t="s">
        <v>809</v>
      </c>
      <c r="D19" s="927">
        <v>46029</v>
      </c>
      <c r="E19" s="928" t="s">
        <v>7600</v>
      </c>
      <c r="F19" s="928" t="s">
        <v>545</v>
      </c>
      <c r="H19" s="926" t="s">
        <v>279</v>
      </c>
      <c r="I19" s="929"/>
      <c r="J19" s="930"/>
      <c r="K19" s="930"/>
      <c r="L19" s="930"/>
      <c r="M19" s="930">
        <v>32284.400000000001</v>
      </c>
      <c r="N19" s="1235"/>
      <c r="O19" s="930"/>
      <c r="V19" s="1236" t="s">
        <v>7461</v>
      </c>
      <c r="W19" s="360">
        <v>0.54375000000000007</v>
      </c>
      <c r="X19" s="360">
        <v>0.73888888888888893</v>
      </c>
    </row>
    <row r="20" spans="1:24" s="926" customFormat="1" x14ac:dyDescent="0.25">
      <c r="A20" s="925" t="s">
        <v>7505</v>
      </c>
      <c r="B20" s="926" t="s">
        <v>1720</v>
      </c>
      <c r="C20" s="1397" t="s">
        <v>4218</v>
      </c>
      <c r="D20" s="927">
        <v>46029</v>
      </c>
      <c r="E20" s="928" t="s">
        <v>7530</v>
      </c>
      <c r="F20" s="928" t="s">
        <v>545</v>
      </c>
      <c r="H20" s="926" t="s">
        <v>277</v>
      </c>
      <c r="I20" s="929"/>
      <c r="J20" s="930"/>
      <c r="K20" s="930"/>
      <c r="L20" s="930"/>
      <c r="M20" s="930">
        <v>24320</v>
      </c>
      <c r="N20" s="930"/>
      <c r="O20" s="929"/>
      <c r="V20" s="926" t="s">
        <v>4140</v>
      </c>
      <c r="W20" s="931">
        <v>0.71597222222222223</v>
      </c>
      <c r="X20" s="931">
        <v>0.86111111111111116</v>
      </c>
    </row>
    <row r="21" spans="1:24" s="120" customFormat="1" x14ac:dyDescent="0.25">
      <c r="A21" s="595" t="s">
        <v>7507</v>
      </c>
      <c r="B21" s="120" t="s">
        <v>7508</v>
      </c>
      <c r="C21" s="1398" t="s">
        <v>4218</v>
      </c>
      <c r="D21" s="427">
        <v>46030</v>
      </c>
      <c r="E21" s="334" t="s">
        <v>7851</v>
      </c>
      <c r="F21" s="334" t="s">
        <v>563</v>
      </c>
      <c r="H21" s="1211" t="s">
        <v>279</v>
      </c>
      <c r="I21" s="1304"/>
      <c r="J21" s="1305"/>
      <c r="K21" s="1305"/>
      <c r="L21" s="1305"/>
      <c r="M21" s="1306">
        <v>27700</v>
      </c>
      <c r="N21" s="1307"/>
      <c r="O21" s="150"/>
      <c r="V21" s="120" t="s">
        <v>7122</v>
      </c>
      <c r="W21" s="597">
        <v>0.29166666666666669</v>
      </c>
      <c r="X21" s="597">
        <v>0.47500000000000003</v>
      </c>
    </row>
    <row r="22" spans="1:24" s="33" customFormat="1" x14ac:dyDescent="0.25">
      <c r="A22" s="547" t="s">
        <v>7511</v>
      </c>
      <c r="B22" s="33" t="s">
        <v>2911</v>
      </c>
      <c r="C22" s="1396" t="s">
        <v>4218</v>
      </c>
      <c r="D22" s="548">
        <v>46031</v>
      </c>
      <c r="E22" s="306" t="s">
        <v>7729</v>
      </c>
      <c r="F22" s="306" t="s">
        <v>317</v>
      </c>
      <c r="H22" s="1109" t="s">
        <v>279</v>
      </c>
      <c r="I22" s="1229"/>
      <c r="J22" s="285"/>
      <c r="K22" s="285"/>
      <c r="L22" s="285"/>
      <c r="M22" s="1230">
        <v>46634</v>
      </c>
      <c r="N22" s="1231"/>
      <c r="O22" s="279"/>
      <c r="V22" s="33" t="s">
        <v>5393</v>
      </c>
      <c r="W22" s="550">
        <v>0.28333333333333333</v>
      </c>
      <c r="X22" s="550">
        <v>0.63124999999999998</v>
      </c>
    </row>
    <row r="23" spans="1:24" s="926" customFormat="1" x14ac:dyDescent="0.25">
      <c r="A23" s="925" t="s">
        <v>7511</v>
      </c>
      <c r="B23" s="926" t="s">
        <v>3880</v>
      </c>
      <c r="C23" s="1397" t="s">
        <v>410</v>
      </c>
      <c r="D23" s="927">
        <v>46031</v>
      </c>
      <c r="E23" s="928" t="s">
        <v>7601</v>
      </c>
      <c r="F23" s="928" t="s">
        <v>545</v>
      </c>
      <c r="H23" s="1075" t="s">
        <v>279</v>
      </c>
      <c r="I23" s="1140"/>
      <c r="J23" s="1111"/>
      <c r="K23" s="1111"/>
      <c r="L23" s="1111"/>
      <c r="M23" s="1213">
        <v>32284.400000000001</v>
      </c>
      <c r="N23" s="1214"/>
      <c r="O23" s="930"/>
      <c r="V23" s="926" t="s">
        <v>7078</v>
      </c>
      <c r="W23" s="931">
        <v>0.6958333333333333</v>
      </c>
      <c r="X23" s="931">
        <v>0.8833333333333333</v>
      </c>
    </row>
    <row r="24" spans="1:24" s="926" customFormat="1" x14ac:dyDescent="0.25">
      <c r="A24" s="925" t="s">
        <v>7516</v>
      </c>
      <c r="B24" s="926" t="s">
        <v>3880</v>
      </c>
      <c r="C24" s="1397" t="s">
        <v>4218</v>
      </c>
      <c r="D24" s="927">
        <v>46032</v>
      </c>
      <c r="E24" s="928" t="s">
        <v>7602</v>
      </c>
      <c r="F24" s="928" t="s">
        <v>545</v>
      </c>
      <c r="H24" s="1075" t="s">
        <v>279</v>
      </c>
      <c r="I24" s="1140"/>
      <c r="J24" s="1111"/>
      <c r="K24" s="1111"/>
      <c r="L24" s="1111"/>
      <c r="M24" s="930">
        <v>32284.400000000001</v>
      </c>
      <c r="N24" s="1214"/>
      <c r="O24" s="930"/>
      <c r="V24" s="926" t="s">
        <v>7515</v>
      </c>
      <c r="W24" s="931">
        <v>0.42430555555555555</v>
      </c>
      <c r="X24" s="931">
        <v>0.59583333333333333</v>
      </c>
    </row>
    <row r="25" spans="1:24" s="33" customFormat="1" x14ac:dyDescent="0.25">
      <c r="A25" s="547" t="s">
        <v>7516</v>
      </c>
      <c r="B25" s="33" t="s">
        <v>614</v>
      </c>
      <c r="C25" s="1396" t="s">
        <v>410</v>
      </c>
      <c r="D25" s="548">
        <v>46032</v>
      </c>
      <c r="E25" s="306" t="s">
        <v>7640</v>
      </c>
      <c r="F25" s="306" t="s">
        <v>3676</v>
      </c>
      <c r="H25" s="1109" t="s">
        <v>279</v>
      </c>
      <c r="I25" s="1229"/>
      <c r="J25" s="285"/>
      <c r="K25" s="285"/>
      <c r="L25" s="285"/>
      <c r="M25" s="1230">
        <v>24886.2</v>
      </c>
      <c r="N25" s="1231"/>
      <c r="O25" s="279"/>
      <c r="V25" s="33" t="s">
        <v>7092</v>
      </c>
      <c r="W25" s="550">
        <v>0.56944444444444442</v>
      </c>
      <c r="X25" s="550">
        <v>0.70416666666666661</v>
      </c>
    </row>
    <row r="26" spans="1:24" s="926" customFormat="1" x14ac:dyDescent="0.25">
      <c r="A26" s="925" t="s">
        <v>7517</v>
      </c>
      <c r="B26" s="926" t="s">
        <v>608</v>
      </c>
      <c r="C26" s="1397" t="s">
        <v>4218</v>
      </c>
      <c r="D26" s="927">
        <v>46033</v>
      </c>
      <c r="E26" s="928" t="s">
        <v>7519</v>
      </c>
      <c r="F26" s="928" t="s">
        <v>236</v>
      </c>
      <c r="H26" s="1075" t="s">
        <v>279</v>
      </c>
      <c r="I26" s="1140"/>
      <c r="J26" s="1111"/>
      <c r="K26" s="1111"/>
      <c r="L26" s="1111"/>
      <c r="M26" s="1213">
        <v>58231</v>
      </c>
      <c r="N26" s="1214"/>
      <c r="O26" s="930"/>
      <c r="V26" s="926" t="s">
        <v>7078</v>
      </c>
      <c r="W26" s="931">
        <v>0.28680555555555554</v>
      </c>
      <c r="X26" s="931">
        <v>0.56736111111111109</v>
      </c>
    </row>
    <row r="27" spans="1:24" s="926" customFormat="1" x14ac:dyDescent="0.25">
      <c r="A27" s="925" t="s">
        <v>7538</v>
      </c>
      <c r="B27" s="926" t="s">
        <v>3880</v>
      </c>
      <c r="C27" s="1397" t="s">
        <v>4218</v>
      </c>
      <c r="D27" s="927">
        <v>46035</v>
      </c>
      <c r="E27" s="928" t="s">
        <v>7599</v>
      </c>
      <c r="F27" s="928" t="s">
        <v>545</v>
      </c>
      <c r="H27" s="1075" t="s">
        <v>279</v>
      </c>
      <c r="I27" s="1140"/>
      <c r="J27" s="1111"/>
      <c r="K27" s="1111"/>
      <c r="L27" s="1111"/>
      <c r="M27" s="1213">
        <v>32284.400000000001</v>
      </c>
      <c r="N27" s="1214"/>
      <c r="O27" s="930"/>
      <c r="V27" s="926" t="s">
        <v>4983</v>
      </c>
      <c r="W27" s="931">
        <v>0.48125000000000001</v>
      </c>
      <c r="X27" s="931">
        <v>0.67361111111111116</v>
      </c>
    </row>
    <row r="28" spans="1:24" s="926" customFormat="1" x14ac:dyDescent="0.25">
      <c r="A28" s="925" t="s">
        <v>7538</v>
      </c>
      <c r="B28" s="926" t="s">
        <v>565</v>
      </c>
      <c r="C28" s="1397" t="s">
        <v>4218</v>
      </c>
      <c r="D28" s="927">
        <v>46035</v>
      </c>
      <c r="E28" s="928" t="s">
        <v>7603</v>
      </c>
      <c r="F28" s="928" t="s">
        <v>545</v>
      </c>
      <c r="H28" s="1075" t="s">
        <v>279</v>
      </c>
      <c r="I28" s="1140"/>
      <c r="J28" s="1111"/>
      <c r="K28" s="1111"/>
      <c r="L28" s="1111"/>
      <c r="M28" s="1213">
        <v>31500</v>
      </c>
      <c r="N28" s="1214"/>
      <c r="O28" s="930"/>
      <c r="V28" s="926" t="s">
        <v>4983</v>
      </c>
      <c r="W28" s="931">
        <v>0.70000000000000007</v>
      </c>
      <c r="X28" s="931">
        <v>0.87916666666666665</v>
      </c>
    </row>
    <row r="29" spans="1:24" s="926" customFormat="1" x14ac:dyDescent="0.25">
      <c r="A29" s="925" t="s">
        <v>7539</v>
      </c>
      <c r="B29" s="926" t="s">
        <v>614</v>
      </c>
      <c r="C29" s="1397" t="s">
        <v>4218</v>
      </c>
      <c r="D29" s="927">
        <v>46036</v>
      </c>
      <c r="E29" s="928" t="s">
        <v>7623</v>
      </c>
      <c r="F29" s="928" t="s">
        <v>1744</v>
      </c>
      <c r="H29" s="1075" t="s">
        <v>279</v>
      </c>
      <c r="I29" s="1140"/>
      <c r="J29" s="1111"/>
      <c r="K29" s="1111"/>
      <c r="L29" s="1111"/>
      <c r="M29" s="1213">
        <v>47790</v>
      </c>
      <c r="N29" s="1214"/>
      <c r="O29" s="930"/>
      <c r="V29" s="926" t="s">
        <v>5989</v>
      </c>
      <c r="W29" s="931">
        <v>0.34375</v>
      </c>
      <c r="X29" s="931">
        <v>0.62916666666666665</v>
      </c>
    </row>
    <row r="30" spans="1:24" s="1321" customFormat="1" x14ac:dyDescent="0.25">
      <c r="A30" s="1320" t="s">
        <v>7542</v>
      </c>
      <c r="B30" s="1321" t="s">
        <v>7541</v>
      </c>
      <c r="C30" s="1399" t="s">
        <v>4218</v>
      </c>
      <c r="D30" s="1322">
        <v>46037</v>
      </c>
      <c r="E30" s="1323" t="s">
        <v>7937</v>
      </c>
      <c r="F30" s="1323" t="s">
        <v>1744</v>
      </c>
      <c r="H30" s="1324" t="s">
        <v>279</v>
      </c>
      <c r="I30" s="1325"/>
      <c r="J30" s="1326"/>
      <c r="K30" s="1326"/>
      <c r="L30" s="1326"/>
      <c r="M30" s="1327">
        <v>47790</v>
      </c>
      <c r="N30" s="1328"/>
      <c r="O30" s="1329"/>
      <c r="V30" s="1321" t="s">
        <v>6898</v>
      </c>
      <c r="W30" s="1330">
        <v>0.32569444444444445</v>
      </c>
      <c r="X30" s="1330">
        <v>0.60763888888888895</v>
      </c>
    </row>
    <row r="31" spans="1:24" s="926" customFormat="1" x14ac:dyDescent="0.25">
      <c r="A31" s="925" t="s">
        <v>7542</v>
      </c>
      <c r="B31" s="926" t="s">
        <v>1720</v>
      </c>
      <c r="C31" s="1400" t="s">
        <v>4218</v>
      </c>
      <c r="D31" s="927">
        <v>46037</v>
      </c>
      <c r="E31" s="928" t="s">
        <v>7576</v>
      </c>
      <c r="F31" s="928" t="s">
        <v>545</v>
      </c>
      <c r="H31" s="1075" t="s">
        <v>279</v>
      </c>
      <c r="I31" s="1140"/>
      <c r="J31" s="1111"/>
      <c r="K31" s="1111"/>
      <c r="L31" s="1111"/>
      <c r="M31" s="1213">
        <v>31500</v>
      </c>
      <c r="N31" s="1214"/>
      <c r="O31" s="930"/>
      <c r="V31" s="926" t="s">
        <v>7092</v>
      </c>
      <c r="W31" s="931">
        <v>0.74861111111111101</v>
      </c>
      <c r="X31" s="931">
        <v>0.92499999999999993</v>
      </c>
    </row>
    <row r="32" spans="1:24" s="926" customFormat="1" ht="14.1" customHeight="1" x14ac:dyDescent="0.25">
      <c r="A32" s="925" t="s">
        <v>7545</v>
      </c>
      <c r="B32" s="926" t="s">
        <v>4249</v>
      </c>
      <c r="C32" s="1400" t="s">
        <v>4218</v>
      </c>
      <c r="D32" s="927">
        <v>46038</v>
      </c>
      <c r="E32" s="928" t="s">
        <v>7605</v>
      </c>
      <c r="F32" s="928" t="s">
        <v>207</v>
      </c>
      <c r="H32" s="1075" t="s">
        <v>279</v>
      </c>
      <c r="M32" s="929"/>
      <c r="N32" s="1213">
        <v>9440</v>
      </c>
      <c r="O32" s="930"/>
      <c r="V32" s="926" t="s">
        <v>7060</v>
      </c>
      <c r="W32" s="931">
        <v>0.44513888888888892</v>
      </c>
      <c r="X32" s="931">
        <v>0.66111111111111109</v>
      </c>
    </row>
    <row r="33" spans="1:24" s="1003" customFormat="1" x14ac:dyDescent="0.25">
      <c r="A33" s="1002" t="s">
        <v>7545</v>
      </c>
      <c r="B33" s="1003" t="s">
        <v>582</v>
      </c>
      <c r="C33" s="1401" t="s">
        <v>809</v>
      </c>
      <c r="D33" s="1005">
        <v>46038</v>
      </c>
      <c r="E33" s="1004"/>
      <c r="F33" s="1004" t="s">
        <v>545</v>
      </c>
      <c r="H33" s="1138" t="s">
        <v>277</v>
      </c>
      <c r="M33" s="1143"/>
      <c r="N33" s="1238">
        <v>5600</v>
      </c>
      <c r="O33" s="1189"/>
      <c r="V33" s="1003" t="s">
        <v>7546</v>
      </c>
      <c r="W33" s="1009">
        <v>0.65208333333333335</v>
      </c>
      <c r="X33" s="1009" t="s">
        <v>7550</v>
      </c>
    </row>
    <row r="34" spans="1:24" s="33" customFormat="1" x14ac:dyDescent="0.25">
      <c r="A34" s="547" t="s">
        <v>7547</v>
      </c>
      <c r="B34" s="33" t="s">
        <v>614</v>
      </c>
      <c r="C34" s="1402" t="s">
        <v>4218</v>
      </c>
      <c r="D34" s="548">
        <v>46039</v>
      </c>
      <c r="E34" s="306" t="s">
        <v>7640</v>
      </c>
      <c r="F34" s="306" t="s">
        <v>1931</v>
      </c>
      <c r="H34" s="1109" t="s">
        <v>279</v>
      </c>
      <c r="M34" s="549">
        <v>52828.6</v>
      </c>
      <c r="N34" s="1230"/>
      <c r="O34" s="279"/>
      <c r="V34" s="33" t="s">
        <v>7548</v>
      </c>
      <c r="W34" s="550">
        <v>0.33402777777777781</v>
      </c>
      <c r="X34" s="550">
        <v>0.6972222222222223</v>
      </c>
    </row>
    <row r="35" spans="1:24" s="33" customFormat="1" x14ac:dyDescent="0.25">
      <c r="A35" s="547" t="s">
        <v>7549</v>
      </c>
      <c r="B35" s="33" t="s">
        <v>614</v>
      </c>
      <c r="C35" s="1402" t="s">
        <v>410</v>
      </c>
      <c r="D35" s="548">
        <v>46040</v>
      </c>
      <c r="E35" s="306" t="s">
        <v>7640</v>
      </c>
      <c r="F35" s="306" t="s">
        <v>425</v>
      </c>
      <c r="H35" s="1109" t="s">
        <v>279</v>
      </c>
      <c r="M35" s="312">
        <v>33618.199999999997</v>
      </c>
      <c r="N35" s="1230"/>
      <c r="O35" s="279"/>
      <c r="V35" s="33" t="s">
        <v>7078</v>
      </c>
      <c r="W35" s="550">
        <v>0.39583333333333331</v>
      </c>
      <c r="X35" s="550">
        <v>0.58333333333333337</v>
      </c>
    </row>
    <row r="36" spans="1:24" s="926" customFormat="1" x14ac:dyDescent="0.25">
      <c r="A36" s="925" t="s">
        <v>7549</v>
      </c>
      <c r="B36" s="926" t="s">
        <v>2407</v>
      </c>
      <c r="C36" s="1400" t="s">
        <v>4218</v>
      </c>
      <c r="D36" s="927">
        <v>46040</v>
      </c>
      <c r="E36" s="928" t="s">
        <v>7604</v>
      </c>
      <c r="F36" s="928" t="s">
        <v>2253</v>
      </c>
      <c r="H36" s="1075" t="s">
        <v>279</v>
      </c>
      <c r="M36" s="929"/>
      <c r="N36" s="1213">
        <f>12000*1.18</f>
        <v>14160</v>
      </c>
      <c r="O36" s="930"/>
      <c r="V36" s="926" t="s">
        <v>6150</v>
      </c>
      <c r="W36" s="931">
        <v>0.64097222222222217</v>
      </c>
      <c r="X36" s="931">
        <v>0.94861111111111107</v>
      </c>
    </row>
    <row r="37" spans="1:24" s="33" customFormat="1" x14ac:dyDescent="0.25">
      <c r="A37" s="547" t="s">
        <v>7551</v>
      </c>
      <c r="B37" s="33" t="s">
        <v>614</v>
      </c>
      <c r="C37" s="1402" t="s">
        <v>410</v>
      </c>
      <c r="D37" s="548">
        <v>46041</v>
      </c>
      <c r="E37" s="306" t="s">
        <v>7640</v>
      </c>
      <c r="F37" s="306" t="s">
        <v>4622</v>
      </c>
      <c r="H37" s="1109" t="s">
        <v>279</v>
      </c>
      <c r="M37" s="312">
        <v>26632.6</v>
      </c>
      <c r="N37" s="1231"/>
      <c r="O37" s="279"/>
      <c r="V37" s="33" t="s">
        <v>7552</v>
      </c>
      <c r="W37" s="550">
        <v>0.37638888888888888</v>
      </c>
      <c r="X37" s="550">
        <v>0.56388888888888888</v>
      </c>
    </row>
    <row r="38" spans="1:24" s="926" customFormat="1" ht="14.1" customHeight="1" x14ac:dyDescent="0.25">
      <c r="A38" s="925" t="s">
        <v>7578</v>
      </c>
      <c r="B38" s="926" t="s">
        <v>1720</v>
      </c>
      <c r="C38" s="1400" t="s">
        <v>410</v>
      </c>
      <c r="D38" s="927">
        <v>46042</v>
      </c>
      <c r="E38" s="928" t="s">
        <v>7585</v>
      </c>
      <c r="F38" s="928" t="s">
        <v>545</v>
      </c>
      <c r="H38" s="1075" t="s">
        <v>279</v>
      </c>
      <c r="M38" s="929">
        <v>31500</v>
      </c>
      <c r="N38" s="1214"/>
      <c r="O38" s="930"/>
      <c r="V38" s="926" t="s">
        <v>7078</v>
      </c>
      <c r="W38" s="931">
        <v>0.68819444444444444</v>
      </c>
      <c r="X38" s="931">
        <v>0.87430555555555556</v>
      </c>
    </row>
    <row r="39" spans="1:24" s="33" customFormat="1" x14ac:dyDescent="0.25">
      <c r="A39" s="547" t="s">
        <v>7582</v>
      </c>
      <c r="B39" s="33" t="s">
        <v>614</v>
      </c>
      <c r="C39" s="1402" t="s">
        <v>4218</v>
      </c>
      <c r="D39" s="548">
        <v>46043</v>
      </c>
      <c r="E39" s="306" t="s">
        <v>7640</v>
      </c>
      <c r="F39" s="306" t="s">
        <v>285</v>
      </c>
      <c r="H39" s="1109" t="s">
        <v>279</v>
      </c>
      <c r="M39" s="312">
        <v>44096.6</v>
      </c>
      <c r="N39" s="1231"/>
      <c r="O39" s="279"/>
      <c r="V39" s="33" t="s">
        <v>5393</v>
      </c>
      <c r="W39" s="550">
        <v>0.44375000000000003</v>
      </c>
      <c r="X39" s="550">
        <v>0.66736111111111107</v>
      </c>
    </row>
    <row r="40" spans="1:24" s="33" customFormat="1" x14ac:dyDescent="0.25">
      <c r="A40" s="547" t="s">
        <v>7582</v>
      </c>
      <c r="B40" s="33" t="s">
        <v>614</v>
      </c>
      <c r="C40" s="1402" t="s">
        <v>410</v>
      </c>
      <c r="D40" s="548">
        <v>46043</v>
      </c>
      <c r="E40" s="306" t="s">
        <v>7640</v>
      </c>
      <c r="F40" s="306" t="s">
        <v>5326</v>
      </c>
      <c r="H40" s="1109" t="s">
        <v>279</v>
      </c>
      <c r="M40" s="312">
        <v>35364.6</v>
      </c>
      <c r="N40" s="1231"/>
      <c r="O40" s="279"/>
      <c r="V40" s="33" t="s">
        <v>4140</v>
      </c>
      <c r="W40" s="550">
        <v>0.53888888888888886</v>
      </c>
      <c r="X40" s="550">
        <v>0.74305555555555547</v>
      </c>
    </row>
    <row r="41" spans="1:24" s="926" customFormat="1" x14ac:dyDescent="0.25">
      <c r="A41" s="925" t="s">
        <v>7582</v>
      </c>
      <c r="B41" s="926" t="s">
        <v>1720</v>
      </c>
      <c r="C41" s="1400" t="s">
        <v>410</v>
      </c>
      <c r="D41" s="927">
        <v>46043</v>
      </c>
      <c r="E41" s="928" t="s">
        <v>7596</v>
      </c>
      <c r="F41" s="928" t="s">
        <v>545</v>
      </c>
      <c r="H41" s="1075" t="s">
        <v>279</v>
      </c>
      <c r="M41" s="929">
        <v>31500</v>
      </c>
      <c r="N41" s="1214"/>
      <c r="O41" s="930"/>
      <c r="V41" s="926" t="s">
        <v>4140</v>
      </c>
      <c r="W41" s="931">
        <v>0.77083333333333337</v>
      </c>
      <c r="X41" s="931">
        <v>0.95763888888888893</v>
      </c>
    </row>
    <row r="42" spans="1:24" s="33" customFormat="1" x14ac:dyDescent="0.25">
      <c r="A42" s="547" t="s">
        <v>7582</v>
      </c>
      <c r="B42" s="33" t="s">
        <v>4253</v>
      </c>
      <c r="C42" s="1402" t="s">
        <v>4218</v>
      </c>
      <c r="D42" s="548">
        <v>46043</v>
      </c>
      <c r="E42" s="306" t="s">
        <v>7723</v>
      </c>
      <c r="F42" s="306" t="s">
        <v>143</v>
      </c>
      <c r="H42" s="1109" t="s">
        <v>279</v>
      </c>
      <c r="M42" s="312">
        <v>37252</v>
      </c>
      <c r="N42" s="1231"/>
      <c r="O42" s="279"/>
      <c r="V42" s="33" t="s">
        <v>7060</v>
      </c>
      <c r="W42" s="550">
        <v>0.85</v>
      </c>
      <c r="X42" s="550">
        <v>5.2777777777777778E-2</v>
      </c>
    </row>
    <row r="43" spans="1:24" s="33" customFormat="1" x14ac:dyDescent="0.25">
      <c r="A43" s="547" t="s">
        <v>7586</v>
      </c>
      <c r="B43" s="33" t="s">
        <v>7641</v>
      </c>
      <c r="C43" s="1402" t="s">
        <v>410</v>
      </c>
      <c r="D43" s="548">
        <v>46044</v>
      </c>
      <c r="E43" s="306" t="s">
        <v>7727</v>
      </c>
      <c r="F43" s="306" t="s">
        <v>4200</v>
      </c>
      <c r="H43" s="1109" t="s">
        <v>279</v>
      </c>
      <c r="M43" s="312">
        <v>41200</v>
      </c>
      <c r="N43" s="1231"/>
      <c r="O43" s="279"/>
      <c r="V43" s="33" t="s">
        <v>7548</v>
      </c>
      <c r="W43" s="550">
        <v>0.35069444444444442</v>
      </c>
      <c r="X43" s="550">
        <v>0.72291666666666676</v>
      </c>
    </row>
    <row r="44" spans="1:24" s="926" customFormat="1" x14ac:dyDescent="0.25">
      <c r="A44" s="925" t="s">
        <v>7592</v>
      </c>
      <c r="B44" s="926" t="s">
        <v>608</v>
      </c>
      <c r="C44" s="1400" t="s">
        <v>410</v>
      </c>
      <c r="D44" s="927">
        <v>46045</v>
      </c>
      <c r="E44" s="928" t="s">
        <v>7615</v>
      </c>
      <c r="F44" s="928" t="s">
        <v>236</v>
      </c>
      <c r="H44" s="1075" t="s">
        <v>279</v>
      </c>
      <c r="M44" s="929">
        <v>58231</v>
      </c>
      <c r="N44" s="1214"/>
      <c r="O44" s="930"/>
      <c r="V44" s="926" t="s">
        <v>5989</v>
      </c>
      <c r="W44" s="931">
        <v>0.21458333333333335</v>
      </c>
      <c r="X44" s="931">
        <v>0.5</v>
      </c>
    </row>
    <row r="45" spans="1:24" s="33" customFormat="1" x14ac:dyDescent="0.25">
      <c r="A45" s="547" t="s">
        <v>7592</v>
      </c>
      <c r="B45" s="33" t="s">
        <v>614</v>
      </c>
      <c r="C45" s="1402" t="s">
        <v>410</v>
      </c>
      <c r="D45" s="548">
        <v>46045</v>
      </c>
      <c r="E45" s="306" t="s">
        <v>7640</v>
      </c>
      <c r="F45" s="306" t="s">
        <v>5326</v>
      </c>
      <c r="H45" s="1109" t="s">
        <v>279</v>
      </c>
      <c r="M45" s="312">
        <v>35364.6</v>
      </c>
      <c r="N45" s="1231"/>
      <c r="O45" s="279"/>
      <c r="V45" s="33" t="s">
        <v>7548</v>
      </c>
      <c r="W45" s="550">
        <v>0.53541666666666665</v>
      </c>
      <c r="X45" s="550">
        <v>0.74375000000000002</v>
      </c>
    </row>
    <row r="46" spans="1:24" s="33" customFormat="1" x14ac:dyDescent="0.25">
      <c r="A46" s="547" t="s">
        <v>7593</v>
      </c>
      <c r="B46" s="33" t="s">
        <v>614</v>
      </c>
      <c r="C46" s="1402" t="s">
        <v>410</v>
      </c>
      <c r="D46" s="548">
        <v>46046</v>
      </c>
      <c r="E46" s="306" t="s">
        <v>7640</v>
      </c>
      <c r="F46" s="306" t="s">
        <v>294</v>
      </c>
      <c r="H46" s="1109" t="s">
        <v>279</v>
      </c>
      <c r="M46" s="312">
        <v>37984.199999999997</v>
      </c>
      <c r="N46" s="1231"/>
      <c r="O46" s="279"/>
      <c r="V46" s="33" t="s">
        <v>6898</v>
      </c>
      <c r="W46" s="550">
        <v>0.36736111111111108</v>
      </c>
      <c r="X46" s="550">
        <v>0.57708333333333328</v>
      </c>
    </row>
    <row r="47" spans="1:24" s="926" customFormat="1" x14ac:dyDescent="0.25">
      <c r="A47" s="925" t="s">
        <v>7597</v>
      </c>
      <c r="B47" s="926" t="s">
        <v>608</v>
      </c>
      <c r="C47" s="1400" t="s">
        <v>4218</v>
      </c>
      <c r="D47" s="927">
        <v>46048</v>
      </c>
      <c r="E47" s="928" t="s">
        <v>7616</v>
      </c>
      <c r="F47" s="928" t="s">
        <v>236</v>
      </c>
      <c r="H47" s="1075" t="s">
        <v>279</v>
      </c>
      <c r="M47" s="929">
        <v>58231</v>
      </c>
      <c r="N47" s="1214"/>
      <c r="O47" s="930"/>
      <c r="V47" s="926" t="s">
        <v>6349</v>
      </c>
      <c r="W47" s="931">
        <v>0.76111111111111107</v>
      </c>
      <c r="X47" s="931">
        <v>3.0555555555555555E-2</v>
      </c>
    </row>
    <row r="48" spans="1:24" s="1321" customFormat="1" x14ac:dyDescent="0.25">
      <c r="A48" s="1320" t="s">
        <v>7598</v>
      </c>
      <c r="B48" s="1321" t="s">
        <v>5239</v>
      </c>
      <c r="C48" s="1403" t="s">
        <v>4218</v>
      </c>
      <c r="D48" s="1322">
        <v>46049</v>
      </c>
      <c r="E48" s="1323" t="s">
        <v>8224</v>
      </c>
      <c r="F48" s="1323" t="s">
        <v>207</v>
      </c>
      <c r="H48" s="1324" t="s">
        <v>279</v>
      </c>
      <c r="M48" s="1348">
        <v>35872</v>
      </c>
      <c r="N48" s="1328"/>
      <c r="O48" s="1329"/>
      <c r="V48" s="1321" t="s">
        <v>5393</v>
      </c>
      <c r="W48" s="1330">
        <v>0.25833333333333336</v>
      </c>
      <c r="X48" s="1330">
        <v>0.46458333333333335</v>
      </c>
    </row>
    <row r="49" spans="1:24" s="926" customFormat="1" x14ac:dyDescent="0.25">
      <c r="A49" s="925" t="s">
        <v>7607</v>
      </c>
      <c r="B49" s="926" t="s">
        <v>3880</v>
      </c>
      <c r="C49" s="1400" t="s">
        <v>4218</v>
      </c>
      <c r="D49" s="927">
        <v>46050</v>
      </c>
      <c r="E49" s="928" t="s">
        <v>7610</v>
      </c>
      <c r="F49" s="928" t="s">
        <v>545</v>
      </c>
      <c r="H49" s="1075" t="s">
        <v>279</v>
      </c>
      <c r="M49" s="929">
        <v>32284.400000000001</v>
      </c>
      <c r="N49" s="1214"/>
      <c r="O49" s="930"/>
      <c r="V49" s="926" t="s">
        <v>7060</v>
      </c>
      <c r="W49" s="931">
        <v>0.74652777777777779</v>
      </c>
      <c r="X49" s="931">
        <v>0.90486111111111101</v>
      </c>
    </row>
    <row r="50" spans="1:24" s="926" customFormat="1" x14ac:dyDescent="0.25">
      <c r="A50" s="925" t="s">
        <v>7608</v>
      </c>
      <c r="B50" s="926" t="s">
        <v>7137</v>
      </c>
      <c r="C50" s="1400" t="s">
        <v>4218</v>
      </c>
      <c r="D50" s="927">
        <v>46051</v>
      </c>
      <c r="E50" s="928" t="s">
        <v>7611</v>
      </c>
      <c r="F50" s="928" t="s">
        <v>317</v>
      </c>
      <c r="H50" s="1075" t="s">
        <v>279</v>
      </c>
      <c r="M50" s="929"/>
      <c r="N50" s="1213">
        <v>12744</v>
      </c>
      <c r="O50" s="930"/>
      <c r="V50" s="926" t="s">
        <v>4867</v>
      </c>
      <c r="W50" s="931">
        <v>0.39652777777777781</v>
      </c>
      <c r="X50" s="931">
        <v>0.63472222222222219</v>
      </c>
    </row>
    <row r="51" spans="1:24" s="33" customFormat="1" x14ac:dyDescent="0.25">
      <c r="A51" s="547" t="s">
        <v>7608</v>
      </c>
      <c r="B51" s="33" t="s">
        <v>3276</v>
      </c>
      <c r="C51" s="1402" t="s">
        <v>410</v>
      </c>
      <c r="D51" s="548">
        <v>46051</v>
      </c>
      <c r="E51" s="306"/>
      <c r="F51" s="306" t="s">
        <v>872</v>
      </c>
      <c r="H51" s="1109" t="s">
        <v>279</v>
      </c>
      <c r="M51" s="312">
        <v>39800</v>
      </c>
      <c r="N51" s="1231"/>
      <c r="O51" s="279"/>
      <c r="V51" s="33" t="s">
        <v>894</v>
      </c>
      <c r="W51" s="550">
        <v>0.50138888888888888</v>
      </c>
      <c r="X51" s="550">
        <v>0.71527777777777779</v>
      </c>
    </row>
    <row r="52" spans="1:24" s="926" customFormat="1" x14ac:dyDescent="0.25">
      <c r="A52" s="925" t="s">
        <v>7608</v>
      </c>
      <c r="B52" s="926" t="s">
        <v>7609</v>
      </c>
      <c r="C52" s="1400" t="s">
        <v>4218</v>
      </c>
      <c r="D52" s="927">
        <v>46051</v>
      </c>
      <c r="E52" s="928" t="s">
        <v>7612</v>
      </c>
      <c r="F52" s="928" t="s">
        <v>236</v>
      </c>
      <c r="H52" s="1075" t="s">
        <v>279</v>
      </c>
      <c r="M52" s="929">
        <v>53850</v>
      </c>
      <c r="N52" s="1214"/>
      <c r="O52" s="930"/>
      <c r="V52" s="926" t="s">
        <v>6503</v>
      </c>
      <c r="W52" s="931">
        <v>0.71388888888888891</v>
      </c>
      <c r="X52" s="931">
        <v>0.99375000000000002</v>
      </c>
    </row>
    <row r="53" spans="1:24" s="33" customFormat="1" x14ac:dyDescent="0.25">
      <c r="A53" s="547" t="s">
        <v>7618</v>
      </c>
      <c r="B53" s="33" t="s">
        <v>614</v>
      </c>
      <c r="C53" s="1402" t="s">
        <v>4218</v>
      </c>
      <c r="D53" s="548">
        <v>46052</v>
      </c>
      <c r="E53" s="306" t="s">
        <v>7640</v>
      </c>
      <c r="F53" s="306" t="s">
        <v>425</v>
      </c>
      <c r="H53" s="1109" t="s">
        <v>279</v>
      </c>
      <c r="M53" s="312">
        <v>33618.199999999997</v>
      </c>
      <c r="N53" s="1231"/>
      <c r="O53" s="279"/>
      <c r="V53" s="33" t="s">
        <v>4140</v>
      </c>
      <c r="W53" s="550">
        <v>0.57847222222222217</v>
      </c>
      <c r="X53" s="550">
        <v>0.76666666666666661</v>
      </c>
    </row>
    <row r="54" spans="1:24" s="33" customFormat="1" x14ac:dyDescent="0.25">
      <c r="A54" s="547" t="s">
        <v>7618</v>
      </c>
      <c r="B54" s="33" t="s">
        <v>7609</v>
      </c>
      <c r="C54" s="1402" t="s">
        <v>410</v>
      </c>
      <c r="D54" s="548">
        <v>46052</v>
      </c>
      <c r="E54" s="306" t="s">
        <v>7639</v>
      </c>
      <c r="F54" s="306" t="s">
        <v>236</v>
      </c>
      <c r="H54" s="1109" t="s">
        <v>279</v>
      </c>
      <c r="M54" s="312">
        <v>53850</v>
      </c>
      <c r="N54" s="1231"/>
      <c r="O54" s="279"/>
      <c r="V54" s="33" t="s">
        <v>5393</v>
      </c>
      <c r="W54" s="550">
        <v>0.625</v>
      </c>
      <c r="X54" s="550">
        <v>0.88750000000000007</v>
      </c>
    </row>
    <row r="55" spans="1:24" s="33" customFormat="1" x14ac:dyDescent="0.25">
      <c r="A55" s="547" t="s">
        <v>7620</v>
      </c>
      <c r="B55" s="33" t="s">
        <v>3880</v>
      </c>
      <c r="C55" s="1402" t="s">
        <v>4218</v>
      </c>
      <c r="D55" s="548">
        <v>46053</v>
      </c>
      <c r="E55" s="306" t="s">
        <v>7638</v>
      </c>
      <c r="F55" s="306" t="s">
        <v>545</v>
      </c>
      <c r="H55" s="1109" t="s">
        <v>279</v>
      </c>
      <c r="M55" s="312">
        <v>32284.400000000001</v>
      </c>
      <c r="N55" s="1231"/>
      <c r="O55" s="279"/>
      <c r="V55" s="33" t="s">
        <v>7548</v>
      </c>
      <c r="W55" s="550">
        <v>0.63611111111111118</v>
      </c>
      <c r="X55" s="550">
        <v>0.81180555555555556</v>
      </c>
    </row>
    <row r="56" spans="1:24" x14ac:dyDescent="0.25">
      <c r="A56" s="483"/>
      <c r="D56" s="233"/>
      <c r="H56" s="1067"/>
      <c r="M56" s="313"/>
      <c r="N56" s="447"/>
      <c r="O56" s="88"/>
      <c r="W56" s="360"/>
      <c r="X56" s="360"/>
    </row>
    <row r="57" spans="1:24" x14ac:dyDescent="0.25">
      <c r="A57" s="483"/>
      <c r="D57" s="233"/>
      <c r="H57" s="1145"/>
      <c r="I57" s="13"/>
      <c r="J57" s="1145"/>
      <c r="K57" s="1145"/>
      <c r="L57" s="1145"/>
      <c r="M57" s="798"/>
      <c r="N57" s="88"/>
      <c r="O57" s="88"/>
      <c r="W57" s="360"/>
      <c r="X57" s="360"/>
    </row>
    <row r="58" spans="1:24" ht="15.75" thickBot="1" x14ac:dyDescent="0.3">
      <c r="A58" s="483"/>
      <c r="D58" s="233"/>
      <c r="H58" s="1145"/>
      <c r="I58" s="13"/>
      <c r="J58" s="1145"/>
      <c r="K58" s="1145"/>
      <c r="L58" s="1145"/>
      <c r="M58" s="960">
        <f>SUBTOTAL(9,M2:M57)</f>
        <v>1909995.2000000002</v>
      </c>
      <c r="N58" s="960">
        <f>SUBTOTAL(9,N2:N57)</f>
        <v>51444</v>
      </c>
      <c r="O58" s="88"/>
      <c r="W58" s="360"/>
      <c r="X58" s="360"/>
    </row>
    <row r="59" spans="1:24" x14ac:dyDescent="0.25">
      <c r="A59" s="483"/>
      <c r="D59" s="233"/>
      <c r="H59" s="1145"/>
      <c r="I59" s="13"/>
      <c r="J59" s="1145"/>
      <c r="K59" s="1145"/>
      <c r="L59" s="1145"/>
      <c r="M59" s="558"/>
      <c r="N59" s="558"/>
      <c r="O59" s="88"/>
      <c r="W59" s="360"/>
      <c r="X59" s="360"/>
    </row>
    <row r="60" spans="1:24" x14ac:dyDescent="0.25">
      <c r="A60" s="483"/>
      <c r="D60" s="233"/>
      <c r="H60" s="1145"/>
      <c r="I60" s="13"/>
      <c r="J60" s="1145"/>
      <c r="K60" s="1145"/>
      <c r="L60" s="1145"/>
      <c r="M60" s="558"/>
      <c r="N60" s="558"/>
      <c r="O60" s="88"/>
      <c r="W60" s="360"/>
      <c r="X60" s="360"/>
    </row>
    <row r="61" spans="1:24" x14ac:dyDescent="0.25">
      <c r="A61" s="483"/>
      <c r="D61" s="233"/>
      <c r="H61" s="1145"/>
      <c r="I61" s="13"/>
      <c r="J61" s="1145"/>
      <c r="K61" s="1145"/>
      <c r="L61" s="1145"/>
      <c r="M61" s="558"/>
      <c r="N61" s="558"/>
      <c r="O61" s="88"/>
      <c r="W61" s="360"/>
      <c r="X61" s="360"/>
    </row>
    <row r="62" spans="1:24" x14ac:dyDescent="0.25">
      <c r="A62" s="483"/>
      <c r="D62" s="233"/>
      <c r="H62" s="1145"/>
      <c r="I62" s="13"/>
      <c r="J62" s="1145"/>
      <c r="K62" s="1145"/>
      <c r="L62" s="1145"/>
      <c r="M62" s="558"/>
      <c r="N62" s="558"/>
      <c r="O62" s="88"/>
      <c r="W62" s="360"/>
      <c r="X62" s="360"/>
    </row>
    <row r="63" spans="1:24" s="926" customFormat="1" x14ac:dyDescent="0.25">
      <c r="A63" s="925" t="s">
        <v>7621</v>
      </c>
      <c r="B63" s="926" t="s">
        <v>7609</v>
      </c>
      <c r="C63" s="1400" t="s">
        <v>410</v>
      </c>
      <c r="D63" s="927">
        <v>46054</v>
      </c>
      <c r="E63" s="928" t="s">
        <v>7636</v>
      </c>
      <c r="F63" s="928" t="s">
        <v>236</v>
      </c>
      <c r="H63" s="1075" t="s">
        <v>279</v>
      </c>
      <c r="M63" s="929">
        <v>53850</v>
      </c>
      <c r="N63" s="1214"/>
      <c r="O63" s="930"/>
      <c r="V63" s="926" t="s">
        <v>4140</v>
      </c>
      <c r="W63" s="931">
        <v>0.28611111111111115</v>
      </c>
      <c r="X63" s="931">
        <v>0.59652777777777777</v>
      </c>
    </row>
    <row r="64" spans="1:24" s="926" customFormat="1" x14ac:dyDescent="0.25">
      <c r="A64" s="925" t="s">
        <v>7622</v>
      </c>
      <c r="B64" s="926" t="s">
        <v>3976</v>
      </c>
      <c r="C64" s="1400" t="s">
        <v>410</v>
      </c>
      <c r="D64" s="927">
        <v>46055</v>
      </c>
      <c r="E64" s="928" t="s">
        <v>7631</v>
      </c>
      <c r="F64" s="928" t="s">
        <v>113</v>
      </c>
      <c r="H64" s="1075" t="s">
        <v>279</v>
      </c>
      <c r="M64" s="930">
        <v>38562</v>
      </c>
      <c r="N64" s="1214"/>
      <c r="O64" s="930"/>
      <c r="V64" s="926" t="s">
        <v>6150</v>
      </c>
      <c r="W64" s="931">
        <v>0.52708333333333335</v>
      </c>
      <c r="X64" s="931">
        <v>0.76597222222222217</v>
      </c>
    </row>
    <row r="65" spans="1:24" s="926" customFormat="1" ht="15" customHeight="1" x14ac:dyDescent="0.25">
      <c r="A65" s="925" t="s">
        <v>7624</v>
      </c>
      <c r="B65" s="926" t="s">
        <v>7063</v>
      </c>
      <c r="C65" s="1400" t="s">
        <v>4218</v>
      </c>
      <c r="D65" s="927">
        <v>46056</v>
      </c>
      <c r="E65" s="928" t="s">
        <v>7660</v>
      </c>
      <c r="F65" s="928" t="s">
        <v>4200</v>
      </c>
      <c r="H65" s="1075" t="s">
        <v>279</v>
      </c>
      <c r="M65" s="929">
        <v>40170</v>
      </c>
      <c r="N65" s="1214"/>
      <c r="O65" s="930"/>
      <c r="V65" s="926" t="s">
        <v>4140</v>
      </c>
      <c r="W65" s="931">
        <v>0.38472222222222219</v>
      </c>
      <c r="X65" s="931">
        <v>0.66805555555555562</v>
      </c>
    </row>
    <row r="66" spans="1:24" s="926" customFormat="1" x14ac:dyDescent="0.25">
      <c r="A66" s="925" t="s">
        <v>7624</v>
      </c>
      <c r="B66" s="926" t="s">
        <v>7626</v>
      </c>
      <c r="C66" s="1400" t="s">
        <v>410</v>
      </c>
      <c r="D66" s="927">
        <v>46056</v>
      </c>
      <c r="E66" s="928" t="s">
        <v>7628</v>
      </c>
      <c r="F66" s="928" t="s">
        <v>2437</v>
      </c>
      <c r="H66" s="1075" t="s">
        <v>279</v>
      </c>
      <c r="M66" s="929">
        <v>24000</v>
      </c>
      <c r="N66" s="1214"/>
      <c r="O66" s="930"/>
      <c r="V66" s="926" t="s">
        <v>7060</v>
      </c>
      <c r="W66" s="931">
        <v>0.48958333333333331</v>
      </c>
      <c r="X66" s="931">
        <v>0.71736111111111101</v>
      </c>
    </row>
    <row r="67" spans="1:24" s="926" customFormat="1" x14ac:dyDescent="0.25">
      <c r="A67" s="925" t="s">
        <v>7625</v>
      </c>
      <c r="B67" s="926" t="s">
        <v>7629</v>
      </c>
      <c r="C67" s="1400" t="s">
        <v>4218</v>
      </c>
      <c r="D67" s="927">
        <v>46057</v>
      </c>
      <c r="E67" s="928" t="s">
        <v>7633</v>
      </c>
      <c r="F67" s="928" t="s">
        <v>236</v>
      </c>
      <c r="H67" s="1075" t="s">
        <v>279</v>
      </c>
      <c r="M67" s="929">
        <v>53850</v>
      </c>
      <c r="N67" s="1214"/>
      <c r="O67" s="930"/>
      <c r="V67" s="926" t="s">
        <v>5989</v>
      </c>
      <c r="W67" s="931">
        <v>0.32222222222222224</v>
      </c>
      <c r="X67" s="931">
        <v>0.6694444444444444</v>
      </c>
    </row>
    <row r="68" spans="1:24" s="926" customFormat="1" x14ac:dyDescent="0.25">
      <c r="A68" s="925" t="s">
        <v>7625</v>
      </c>
      <c r="B68" s="926" t="s">
        <v>614</v>
      </c>
      <c r="C68" s="1400" t="s">
        <v>410</v>
      </c>
      <c r="D68" s="927">
        <v>46057</v>
      </c>
      <c r="E68" s="928" t="s">
        <v>7659</v>
      </c>
      <c r="F68" s="928" t="s">
        <v>675</v>
      </c>
      <c r="H68" s="1075" t="s">
        <v>279</v>
      </c>
      <c r="M68" s="929">
        <v>44096.6</v>
      </c>
      <c r="N68" s="1214"/>
      <c r="O68" s="930"/>
      <c r="V68" s="926" t="s">
        <v>5393</v>
      </c>
      <c r="W68" s="931">
        <v>0.41736111111111113</v>
      </c>
      <c r="X68" s="931">
        <v>0.49861111111111112</v>
      </c>
    </row>
    <row r="69" spans="1:24" s="926" customFormat="1" x14ac:dyDescent="0.25">
      <c r="A69" s="925" t="s">
        <v>7625</v>
      </c>
      <c r="B69" s="926" t="s">
        <v>7634</v>
      </c>
      <c r="C69" s="1400" t="s">
        <v>410</v>
      </c>
      <c r="D69" s="927">
        <v>46057</v>
      </c>
      <c r="E69" s="928" t="s">
        <v>7635</v>
      </c>
      <c r="F69" s="928" t="s">
        <v>563</v>
      </c>
      <c r="H69" s="1075" t="s">
        <v>279</v>
      </c>
      <c r="M69" s="929">
        <v>26450</v>
      </c>
      <c r="N69" s="1214"/>
      <c r="O69" s="930"/>
      <c r="V69" s="926" t="s">
        <v>5393</v>
      </c>
      <c r="W69" s="931">
        <v>0.57777777777777783</v>
      </c>
      <c r="X69" s="931">
        <v>0.7583333333333333</v>
      </c>
    </row>
    <row r="70" spans="1:24" s="926" customFormat="1" x14ac:dyDescent="0.25">
      <c r="A70" s="925" t="s">
        <v>7625</v>
      </c>
      <c r="B70" s="926" t="s">
        <v>1720</v>
      </c>
      <c r="C70" s="1400" t="s">
        <v>4218</v>
      </c>
      <c r="D70" s="927">
        <v>46057</v>
      </c>
      <c r="E70" s="928" t="s">
        <v>7630</v>
      </c>
      <c r="F70" s="928" t="s">
        <v>545</v>
      </c>
      <c r="H70" s="1075" t="s">
        <v>277</v>
      </c>
      <c r="M70" s="929">
        <v>24320</v>
      </c>
      <c r="N70" s="1214"/>
      <c r="O70" s="930"/>
      <c r="V70" s="926" t="s">
        <v>7335</v>
      </c>
      <c r="W70" s="931">
        <v>0.79652777777777783</v>
      </c>
      <c r="X70" s="931">
        <v>7.5694444444444439E-2</v>
      </c>
    </row>
    <row r="71" spans="1:24" s="33" customFormat="1" x14ac:dyDescent="0.25">
      <c r="A71" s="547" t="s">
        <v>7627</v>
      </c>
      <c r="B71" s="33" t="s">
        <v>614</v>
      </c>
      <c r="C71" s="1402" t="s">
        <v>410</v>
      </c>
      <c r="D71" s="548">
        <v>46058</v>
      </c>
      <c r="E71" s="306" t="s">
        <v>7781</v>
      </c>
      <c r="F71" s="306" t="s">
        <v>207</v>
      </c>
      <c r="H71" s="1109" t="s">
        <v>279</v>
      </c>
      <c r="M71" s="312">
        <v>35364.6</v>
      </c>
      <c r="N71" s="1231"/>
      <c r="O71" s="279"/>
      <c r="V71" s="33" t="s">
        <v>5989</v>
      </c>
      <c r="W71" s="550">
        <v>0.27013888888888887</v>
      </c>
      <c r="X71" s="550">
        <v>0.49236111111111108</v>
      </c>
    </row>
    <row r="72" spans="1:24" s="926" customFormat="1" x14ac:dyDescent="0.25">
      <c r="A72" s="925" t="s">
        <v>7627</v>
      </c>
      <c r="B72" s="926" t="s">
        <v>7629</v>
      </c>
      <c r="C72" s="1400" t="s">
        <v>4218</v>
      </c>
      <c r="D72" s="927">
        <v>46058</v>
      </c>
      <c r="E72" s="928" t="s">
        <v>7632</v>
      </c>
      <c r="F72" s="928" t="s">
        <v>236</v>
      </c>
      <c r="H72" s="1075" t="s">
        <v>279</v>
      </c>
      <c r="M72" s="929">
        <v>53850</v>
      </c>
      <c r="N72" s="1214"/>
      <c r="O72" s="930"/>
      <c r="V72" s="926" t="s">
        <v>5393</v>
      </c>
      <c r="W72" s="931">
        <v>0.44930555555555557</v>
      </c>
      <c r="X72" s="931">
        <v>0.72083333333333333</v>
      </c>
    </row>
    <row r="73" spans="1:24" s="926" customFormat="1" x14ac:dyDescent="0.25">
      <c r="A73" s="925" t="s">
        <v>7627</v>
      </c>
      <c r="B73" s="926" t="s">
        <v>3880</v>
      </c>
      <c r="C73" s="1400" t="s">
        <v>410</v>
      </c>
      <c r="D73" s="927">
        <v>46058</v>
      </c>
      <c r="E73" s="928" t="s">
        <v>7637</v>
      </c>
      <c r="F73" s="928" t="s">
        <v>545</v>
      </c>
      <c r="H73" s="1075" t="s">
        <v>279</v>
      </c>
      <c r="M73" s="929">
        <v>32284.400000000001</v>
      </c>
      <c r="N73" s="1214"/>
      <c r="O73" s="930"/>
      <c r="V73" s="926" t="s">
        <v>5393</v>
      </c>
      <c r="W73" s="931">
        <v>0.51527777777777783</v>
      </c>
      <c r="X73" s="931">
        <v>0.67152777777777783</v>
      </c>
    </row>
    <row r="74" spans="1:24" s="926" customFormat="1" x14ac:dyDescent="0.25">
      <c r="A74" s="925" t="s">
        <v>7627</v>
      </c>
      <c r="B74" s="926" t="s">
        <v>2129</v>
      </c>
      <c r="C74" s="1400" t="s">
        <v>410</v>
      </c>
      <c r="D74" s="927">
        <v>46058</v>
      </c>
      <c r="E74" s="928" t="s">
        <v>7735</v>
      </c>
      <c r="F74" s="928" t="s">
        <v>236</v>
      </c>
      <c r="H74" s="1075" t="s">
        <v>279</v>
      </c>
      <c r="M74" s="929">
        <v>62540</v>
      </c>
      <c r="N74" s="1214"/>
      <c r="O74" s="930"/>
      <c r="V74" s="926" t="s">
        <v>7335</v>
      </c>
      <c r="W74" s="931">
        <v>0.82152777777777775</v>
      </c>
      <c r="X74" s="931">
        <v>0.12152777777777778</v>
      </c>
    </row>
    <row r="75" spans="1:24" s="926" customFormat="1" x14ac:dyDescent="0.25">
      <c r="A75" s="925" t="s">
        <v>7643</v>
      </c>
      <c r="B75" s="926" t="s">
        <v>7642</v>
      </c>
      <c r="C75" s="1400" t="s">
        <v>410</v>
      </c>
      <c r="D75" s="927">
        <v>46059</v>
      </c>
      <c r="E75" s="928" t="s">
        <v>7661</v>
      </c>
      <c r="F75" s="928" t="s">
        <v>143</v>
      </c>
      <c r="H75" s="1075" t="s">
        <v>279</v>
      </c>
      <c r="M75" s="929">
        <v>35685</v>
      </c>
      <c r="N75" s="1214"/>
      <c r="O75" s="930"/>
      <c r="V75" s="926" t="s">
        <v>5393</v>
      </c>
      <c r="W75" s="931">
        <v>0.66527777777777775</v>
      </c>
      <c r="X75" s="931">
        <v>0.91041666666666665</v>
      </c>
    </row>
    <row r="76" spans="1:24" s="33" customFormat="1" x14ac:dyDescent="0.25">
      <c r="A76" s="547" t="s">
        <v>7643</v>
      </c>
      <c r="B76" s="33" t="s">
        <v>614</v>
      </c>
      <c r="C76" s="1402" t="s">
        <v>4218</v>
      </c>
      <c r="D76" s="548">
        <v>46059</v>
      </c>
      <c r="E76" s="306" t="s">
        <v>7781</v>
      </c>
      <c r="F76" s="306" t="s">
        <v>2253</v>
      </c>
      <c r="H76" s="1109" t="s">
        <v>279</v>
      </c>
      <c r="M76" s="312">
        <v>52828.6</v>
      </c>
      <c r="N76" s="1231"/>
      <c r="O76" s="279"/>
      <c r="V76" s="33" t="s">
        <v>4983</v>
      </c>
      <c r="W76" s="550">
        <v>0.65972222222222221</v>
      </c>
      <c r="X76" s="550">
        <v>0.99930555555555556</v>
      </c>
    </row>
    <row r="77" spans="1:24" s="926" customFormat="1" x14ac:dyDescent="0.25">
      <c r="A77" s="925" t="s">
        <v>7644</v>
      </c>
      <c r="B77" s="926" t="s">
        <v>3880</v>
      </c>
      <c r="C77" s="1400" t="s">
        <v>410</v>
      </c>
      <c r="D77" s="927">
        <v>46060</v>
      </c>
      <c r="E77" s="928" t="s">
        <v>7663</v>
      </c>
      <c r="F77" s="928" t="s">
        <v>545</v>
      </c>
      <c r="H77" s="1075" t="s">
        <v>279</v>
      </c>
      <c r="M77" s="929">
        <v>32284.400000000001</v>
      </c>
      <c r="N77" s="1214"/>
      <c r="O77" s="930"/>
      <c r="V77" s="926" t="s">
        <v>4297</v>
      </c>
      <c r="W77" s="931">
        <v>0.30694444444444441</v>
      </c>
      <c r="X77" s="931">
        <v>0.47916666666666669</v>
      </c>
    </row>
    <row r="78" spans="1:24" s="926" customFormat="1" x14ac:dyDescent="0.25">
      <c r="A78" s="925" t="s">
        <v>7644</v>
      </c>
      <c r="B78" s="926" t="s">
        <v>3880</v>
      </c>
      <c r="C78" s="1400" t="s">
        <v>410</v>
      </c>
      <c r="D78" s="927">
        <v>46060</v>
      </c>
      <c r="E78" s="928" t="s">
        <v>7664</v>
      </c>
      <c r="F78" s="928" t="s">
        <v>545</v>
      </c>
      <c r="H78" s="1075" t="s">
        <v>279</v>
      </c>
      <c r="M78" s="929">
        <v>32284.400000000001</v>
      </c>
      <c r="N78" s="1214"/>
      <c r="O78" s="930"/>
      <c r="V78" s="926" t="s">
        <v>4297</v>
      </c>
      <c r="W78" s="931">
        <v>0.58194444444444449</v>
      </c>
      <c r="X78" s="931">
        <v>0.7597222222222223</v>
      </c>
    </row>
    <row r="79" spans="1:24" s="33" customFormat="1" x14ac:dyDescent="0.25">
      <c r="A79" s="547" t="s">
        <v>7645</v>
      </c>
      <c r="B79" s="33" t="s">
        <v>614</v>
      </c>
      <c r="C79" s="1402" t="s">
        <v>4218</v>
      </c>
      <c r="D79" s="548">
        <v>46061</v>
      </c>
      <c r="E79" s="306" t="s">
        <v>7781</v>
      </c>
      <c r="F79" s="306" t="s">
        <v>285</v>
      </c>
      <c r="H79" s="1109" t="s">
        <v>279</v>
      </c>
      <c r="M79" s="312">
        <v>44096.6</v>
      </c>
      <c r="N79" s="1231"/>
      <c r="O79" s="279"/>
      <c r="V79" s="33" t="s">
        <v>4983</v>
      </c>
      <c r="W79" s="550">
        <v>0.68194444444444446</v>
      </c>
      <c r="X79" s="550">
        <v>0.92013888888888884</v>
      </c>
    </row>
    <row r="80" spans="1:24" s="926" customFormat="1" x14ac:dyDescent="0.25">
      <c r="A80" s="925" t="s">
        <v>7646</v>
      </c>
      <c r="B80" s="926" t="s">
        <v>1800</v>
      </c>
      <c r="C80" s="1400" t="s">
        <v>410</v>
      </c>
      <c r="D80" s="927">
        <v>46062</v>
      </c>
      <c r="E80" s="928" t="s">
        <v>7662</v>
      </c>
      <c r="F80" s="928" t="s">
        <v>1931</v>
      </c>
      <c r="H80" s="1075" t="s">
        <v>279</v>
      </c>
      <c r="M80" s="930"/>
      <c r="N80" s="929">
        <f>12000*1.18</f>
        <v>14160</v>
      </c>
      <c r="O80" s="930"/>
      <c r="V80" s="926" t="s">
        <v>4983</v>
      </c>
      <c r="W80" s="931">
        <v>0.59652777777777777</v>
      </c>
      <c r="X80" s="931">
        <v>0.9</v>
      </c>
    </row>
    <row r="81" spans="1:24" s="926" customFormat="1" x14ac:dyDescent="0.25">
      <c r="A81" s="925" t="s">
        <v>7648</v>
      </c>
      <c r="B81" s="926" t="s">
        <v>7650</v>
      </c>
      <c r="C81" s="1400" t="s">
        <v>4218</v>
      </c>
      <c r="D81" s="927">
        <v>46063</v>
      </c>
      <c r="E81" s="928" t="s">
        <v>7777</v>
      </c>
      <c r="F81" s="928" t="s">
        <v>285</v>
      </c>
      <c r="H81" s="1075" t="s">
        <v>279</v>
      </c>
      <c r="M81" s="929">
        <v>45100</v>
      </c>
      <c r="N81" s="1214"/>
      <c r="O81" s="930"/>
      <c r="V81" s="926" t="s">
        <v>7122</v>
      </c>
      <c r="W81" s="931">
        <v>0.26805555555555555</v>
      </c>
      <c r="X81" s="931">
        <v>0.57986111111111105</v>
      </c>
    </row>
    <row r="82" spans="1:24" s="33" customFormat="1" x14ac:dyDescent="0.25">
      <c r="A82" s="547" t="s">
        <v>7648</v>
      </c>
      <c r="B82" s="33" t="s">
        <v>614</v>
      </c>
      <c r="C82" s="1402" t="s">
        <v>410</v>
      </c>
      <c r="D82" s="548">
        <v>46063</v>
      </c>
      <c r="E82" s="306" t="s">
        <v>7781</v>
      </c>
      <c r="F82" s="306" t="s">
        <v>2036</v>
      </c>
      <c r="H82" s="1109" t="s">
        <v>279</v>
      </c>
      <c r="M82" s="312">
        <v>26632.6</v>
      </c>
      <c r="N82" s="1231"/>
      <c r="O82" s="279"/>
      <c r="V82" s="33" t="s">
        <v>4983</v>
      </c>
      <c r="W82" s="550">
        <v>0.59375</v>
      </c>
      <c r="X82" s="550">
        <v>0.61527777777777781</v>
      </c>
    </row>
    <row r="83" spans="1:24" s="926" customFormat="1" ht="15" customHeight="1" x14ac:dyDescent="0.25">
      <c r="A83" s="925" t="s">
        <v>7648</v>
      </c>
      <c r="B83" s="926" t="s">
        <v>7649</v>
      </c>
      <c r="C83" s="1400" t="s">
        <v>4218</v>
      </c>
      <c r="D83" s="927">
        <v>46063</v>
      </c>
      <c r="E83" s="928" t="s">
        <v>7730</v>
      </c>
      <c r="F83" s="928" t="s">
        <v>294</v>
      </c>
      <c r="H83" s="1075" t="s">
        <v>279</v>
      </c>
      <c r="M83" s="929">
        <v>36350</v>
      </c>
      <c r="N83" s="1214"/>
      <c r="O83" s="930"/>
      <c r="V83" s="926" t="s">
        <v>7335</v>
      </c>
      <c r="W83" s="931">
        <v>0.77916666666666667</v>
      </c>
      <c r="X83" s="931">
        <v>0.93680555555555556</v>
      </c>
    </row>
    <row r="84" spans="1:24" s="926" customFormat="1" x14ac:dyDescent="0.25">
      <c r="A84" s="925" t="s">
        <v>7647</v>
      </c>
      <c r="B84" s="926" t="s">
        <v>7063</v>
      </c>
      <c r="C84" s="1400" t="s">
        <v>410</v>
      </c>
      <c r="D84" s="927">
        <v>46065</v>
      </c>
      <c r="E84" s="928" t="s">
        <v>7731</v>
      </c>
      <c r="F84" s="928" t="s">
        <v>4200</v>
      </c>
      <c r="H84" s="1075" t="s">
        <v>279</v>
      </c>
      <c r="M84" s="929">
        <v>40170</v>
      </c>
      <c r="N84" s="1214"/>
      <c r="O84" s="930"/>
      <c r="V84" s="926" t="s">
        <v>4297</v>
      </c>
      <c r="W84" s="931">
        <v>0.41875000000000001</v>
      </c>
      <c r="X84" s="931">
        <v>0.66597222222222219</v>
      </c>
    </row>
    <row r="85" spans="1:24" s="33" customFormat="1" ht="14.1" customHeight="1" x14ac:dyDescent="0.25">
      <c r="A85" s="547" t="s">
        <v>7647</v>
      </c>
      <c r="B85" s="33" t="s">
        <v>614</v>
      </c>
      <c r="C85" s="1402" t="s">
        <v>4218</v>
      </c>
      <c r="D85" s="548">
        <v>46065</v>
      </c>
      <c r="E85" s="306" t="s">
        <v>7781</v>
      </c>
      <c r="F85" s="306" t="s">
        <v>2036</v>
      </c>
      <c r="H85" s="1109" t="s">
        <v>279</v>
      </c>
      <c r="M85" s="312">
        <v>26632.6</v>
      </c>
      <c r="N85" s="1231"/>
      <c r="O85" s="279"/>
      <c r="V85" s="33" t="s">
        <v>5393</v>
      </c>
      <c r="W85" s="550">
        <v>0.26805555555555555</v>
      </c>
      <c r="X85" s="550">
        <v>0.62777777777777777</v>
      </c>
    </row>
    <row r="86" spans="1:24" s="1254" customFormat="1" x14ac:dyDescent="0.25">
      <c r="A86" s="1253" t="s">
        <v>7647</v>
      </c>
      <c r="B86" s="1254" t="s">
        <v>614</v>
      </c>
      <c r="C86" s="1404" t="s">
        <v>4218</v>
      </c>
      <c r="D86" s="1085">
        <v>46065</v>
      </c>
      <c r="E86" s="1255"/>
      <c r="F86" s="1255" t="s">
        <v>68</v>
      </c>
      <c r="H86" s="1256"/>
      <c r="M86" s="1257"/>
      <c r="N86" s="1258"/>
      <c r="O86" s="1259"/>
      <c r="V86" s="1254" t="s">
        <v>5393</v>
      </c>
      <c r="W86" s="1260">
        <v>0.6777777777777777</v>
      </c>
      <c r="X86" s="1260"/>
    </row>
    <row r="87" spans="1:24" s="33" customFormat="1" x14ac:dyDescent="0.25">
      <c r="A87" s="547" t="s">
        <v>7651</v>
      </c>
      <c r="B87" s="33" t="s">
        <v>5239</v>
      </c>
      <c r="C87" s="1402" t="s">
        <v>410</v>
      </c>
      <c r="D87" s="548">
        <v>46066</v>
      </c>
      <c r="E87" s="306" t="s">
        <v>7846</v>
      </c>
      <c r="F87" s="306" t="s">
        <v>207</v>
      </c>
      <c r="H87" s="1109" t="s">
        <v>279</v>
      </c>
      <c r="M87" s="312">
        <v>36350</v>
      </c>
      <c r="N87" s="1231"/>
      <c r="O87" s="279"/>
      <c r="V87" s="33" t="s">
        <v>7335</v>
      </c>
      <c r="W87" s="432">
        <v>6.59</v>
      </c>
      <c r="X87" s="550">
        <v>0.4993055555555555</v>
      </c>
    </row>
    <row r="88" spans="1:24" s="926" customFormat="1" x14ac:dyDescent="0.25">
      <c r="A88" s="925" t="s">
        <v>7651</v>
      </c>
      <c r="B88" s="926" t="s">
        <v>572</v>
      </c>
      <c r="C88" s="1400" t="s">
        <v>4218</v>
      </c>
      <c r="D88" s="927">
        <v>46066</v>
      </c>
      <c r="E88" s="928" t="s">
        <v>7689</v>
      </c>
      <c r="F88" s="928" t="s">
        <v>294</v>
      </c>
      <c r="H88" s="1075" t="s">
        <v>279</v>
      </c>
      <c r="M88" s="929"/>
      <c r="N88" s="1213">
        <v>9440</v>
      </c>
      <c r="O88" s="930"/>
      <c r="V88" s="926" t="s">
        <v>5989</v>
      </c>
      <c r="W88" s="931">
        <v>0.4381944444444445</v>
      </c>
      <c r="X88" s="931">
        <v>0.65069444444444446</v>
      </c>
    </row>
    <row r="89" spans="1:24" s="33" customFormat="1" x14ac:dyDescent="0.25">
      <c r="A89" s="547" t="s">
        <v>7651</v>
      </c>
      <c r="B89" s="33" t="s">
        <v>614</v>
      </c>
      <c r="C89" s="1402" t="s">
        <v>410</v>
      </c>
      <c r="D89" s="548">
        <v>46066</v>
      </c>
      <c r="E89" s="306" t="s">
        <v>7781</v>
      </c>
      <c r="F89" s="306" t="s">
        <v>68</v>
      </c>
      <c r="H89" s="1109" t="s">
        <v>279</v>
      </c>
      <c r="M89" s="312">
        <v>44096.6</v>
      </c>
      <c r="N89" s="1262"/>
      <c r="O89" s="279"/>
      <c r="V89" s="33" t="s">
        <v>6952</v>
      </c>
      <c r="W89" s="550">
        <v>0.54027777777777775</v>
      </c>
      <c r="X89" s="550">
        <v>0.79861111111111116</v>
      </c>
    </row>
    <row r="90" spans="1:24" s="926" customFormat="1" x14ac:dyDescent="0.25">
      <c r="A90" s="925" t="s">
        <v>7652</v>
      </c>
      <c r="B90" s="926" t="s">
        <v>4021</v>
      </c>
      <c r="C90" s="1400" t="s">
        <v>410</v>
      </c>
      <c r="D90" s="927">
        <v>46067</v>
      </c>
      <c r="E90" s="928" t="s">
        <v>7695</v>
      </c>
      <c r="F90" s="928" t="s">
        <v>425</v>
      </c>
      <c r="H90" s="1075" t="s">
        <v>279</v>
      </c>
      <c r="M90" s="929">
        <v>30975</v>
      </c>
      <c r="N90" s="1263"/>
      <c r="O90" s="930"/>
      <c r="V90" s="926" t="s">
        <v>3765</v>
      </c>
      <c r="W90" s="931">
        <v>0.2298611111111111</v>
      </c>
      <c r="X90" s="931">
        <v>0.43263888888888885</v>
      </c>
    </row>
    <row r="91" spans="1:24" s="33" customFormat="1" x14ac:dyDescent="0.25">
      <c r="A91" s="547" t="s">
        <v>7652</v>
      </c>
      <c r="B91" s="33" t="s">
        <v>7656</v>
      </c>
      <c r="C91" s="1402" t="s">
        <v>4218</v>
      </c>
      <c r="D91" s="548">
        <v>46067</v>
      </c>
      <c r="E91" s="306" t="s">
        <v>7852</v>
      </c>
      <c r="F91" s="306" t="s">
        <v>563</v>
      </c>
      <c r="H91" s="1109" t="s">
        <v>279</v>
      </c>
      <c r="M91" s="312">
        <v>27700</v>
      </c>
      <c r="N91" s="1262"/>
      <c r="O91" s="279"/>
      <c r="V91" s="33" t="s">
        <v>4867</v>
      </c>
      <c r="W91" s="550">
        <v>0.39583333333333331</v>
      </c>
      <c r="X91" s="550">
        <v>0.58402777777777781</v>
      </c>
    </row>
    <row r="92" spans="1:24" s="33" customFormat="1" x14ac:dyDescent="0.25">
      <c r="A92" s="547" t="s">
        <v>7652</v>
      </c>
      <c r="B92" s="33" t="s">
        <v>7655</v>
      </c>
      <c r="C92" s="1402" t="s">
        <v>410</v>
      </c>
      <c r="D92" s="548">
        <v>46067</v>
      </c>
      <c r="E92" s="306" t="s">
        <v>7837</v>
      </c>
      <c r="F92" s="306" t="s">
        <v>5326</v>
      </c>
      <c r="H92" s="1109" t="s">
        <v>279</v>
      </c>
      <c r="M92" s="312">
        <v>34500</v>
      </c>
      <c r="N92" s="1262"/>
      <c r="O92" s="279"/>
      <c r="V92" s="33" t="s">
        <v>3765</v>
      </c>
      <c r="W92" s="550">
        <v>0.46319444444444446</v>
      </c>
      <c r="X92" s="550">
        <v>0.75763888888888886</v>
      </c>
    </row>
    <row r="93" spans="1:24" s="926" customFormat="1" x14ac:dyDescent="0.25">
      <c r="A93" s="925" t="s">
        <v>7653</v>
      </c>
      <c r="B93" s="926" t="s">
        <v>565</v>
      </c>
      <c r="C93" s="1400" t="s">
        <v>4218</v>
      </c>
      <c r="D93" s="927">
        <v>46068</v>
      </c>
      <c r="E93" s="928" t="s">
        <v>7657</v>
      </c>
      <c r="F93" s="928" t="s">
        <v>545</v>
      </c>
      <c r="H93" s="1075" t="s">
        <v>279</v>
      </c>
      <c r="M93" s="929">
        <v>31500</v>
      </c>
      <c r="N93" s="1263"/>
      <c r="O93" s="930"/>
      <c r="V93" s="926" t="s">
        <v>7417</v>
      </c>
      <c r="W93" s="931">
        <v>0.29583333333333334</v>
      </c>
      <c r="X93" s="931">
        <v>11.15</v>
      </c>
    </row>
    <row r="94" spans="1:24" s="926" customFormat="1" x14ac:dyDescent="0.25">
      <c r="A94" s="925" t="s">
        <v>7653</v>
      </c>
      <c r="B94" s="926" t="s">
        <v>1800</v>
      </c>
      <c r="C94" s="1400" t="s">
        <v>410</v>
      </c>
      <c r="D94" s="927">
        <v>46068</v>
      </c>
      <c r="E94" s="928" t="s">
        <v>7658</v>
      </c>
      <c r="F94" s="928" t="s">
        <v>1931</v>
      </c>
      <c r="H94" s="1075" t="s">
        <v>279</v>
      </c>
      <c r="M94" s="929"/>
      <c r="N94" s="929">
        <f>12000*1.18</f>
        <v>14160</v>
      </c>
      <c r="O94" s="930"/>
      <c r="V94" s="926" t="s">
        <v>6952</v>
      </c>
      <c r="W94" s="931">
        <v>0.30833333333333335</v>
      </c>
      <c r="X94" s="931">
        <v>0.61249999999999993</v>
      </c>
    </row>
    <row r="95" spans="1:24" s="33" customFormat="1" x14ac:dyDescent="0.25">
      <c r="A95" s="547" t="s">
        <v>7654</v>
      </c>
      <c r="B95" s="33" t="s">
        <v>6871</v>
      </c>
      <c r="C95" s="1402" t="s">
        <v>4218</v>
      </c>
      <c r="D95" s="548">
        <v>46069</v>
      </c>
      <c r="E95" s="306" t="s">
        <v>7847</v>
      </c>
      <c r="F95" s="306" t="s">
        <v>207</v>
      </c>
      <c r="H95" s="1109" t="s">
        <v>279</v>
      </c>
      <c r="M95" s="312">
        <v>36350</v>
      </c>
      <c r="N95" s="1262"/>
      <c r="O95" s="279"/>
      <c r="V95" s="33" t="s">
        <v>6067</v>
      </c>
      <c r="W95" s="550">
        <v>0.27777777777777779</v>
      </c>
      <c r="X95" s="550">
        <v>0.48402777777777778</v>
      </c>
    </row>
    <row r="96" spans="1:24" s="33" customFormat="1" x14ac:dyDescent="0.25">
      <c r="A96" s="547" t="s">
        <v>7654</v>
      </c>
      <c r="B96" s="33" t="s">
        <v>614</v>
      </c>
      <c r="C96" s="1402" t="s">
        <v>4218</v>
      </c>
      <c r="D96" s="548">
        <v>46069</v>
      </c>
      <c r="E96" s="306" t="s">
        <v>7781</v>
      </c>
      <c r="F96" s="306" t="s">
        <v>285</v>
      </c>
      <c r="H96" s="1109" t="s">
        <v>279</v>
      </c>
      <c r="M96" s="312">
        <v>44096.6</v>
      </c>
      <c r="N96" s="1262"/>
      <c r="O96" s="279"/>
      <c r="V96" s="33" t="s">
        <v>7078</v>
      </c>
      <c r="W96" s="550">
        <v>0.54166666666666663</v>
      </c>
      <c r="X96" s="550">
        <v>0.77569444444444446</v>
      </c>
    </row>
    <row r="97" spans="1:24" s="33" customFormat="1" x14ac:dyDescent="0.25">
      <c r="A97" s="547" t="s">
        <v>7654</v>
      </c>
      <c r="B97" s="33" t="s">
        <v>614</v>
      </c>
      <c r="C97" s="1402" t="s">
        <v>4218</v>
      </c>
      <c r="D97" s="548">
        <v>46069</v>
      </c>
      <c r="E97" s="306" t="s">
        <v>7781</v>
      </c>
      <c r="F97" s="306" t="s">
        <v>285</v>
      </c>
      <c r="H97" s="1109" t="s">
        <v>279</v>
      </c>
      <c r="M97" s="312">
        <v>44096.6</v>
      </c>
      <c r="N97" s="1262"/>
      <c r="O97" s="279"/>
      <c r="V97" s="33" t="s">
        <v>4138</v>
      </c>
      <c r="W97" s="550">
        <v>0.58680555555555558</v>
      </c>
      <c r="X97" s="550">
        <v>0.8222222222222223</v>
      </c>
    </row>
    <row r="98" spans="1:24" s="926" customFormat="1" x14ac:dyDescent="0.25">
      <c r="A98" s="925">
        <v>18022026</v>
      </c>
      <c r="B98" s="926" t="s">
        <v>7609</v>
      </c>
      <c r="C98" s="1400" t="s">
        <v>4218</v>
      </c>
      <c r="D98" s="927">
        <v>46071</v>
      </c>
      <c r="E98" s="928" t="s">
        <v>7694</v>
      </c>
      <c r="F98" s="928" t="s">
        <v>236</v>
      </c>
      <c r="H98" s="1075" t="s">
        <v>279</v>
      </c>
      <c r="I98" s="998"/>
      <c r="J98" s="1140"/>
      <c r="K98" s="1140"/>
      <c r="L98" s="1140"/>
      <c r="M98" s="1272">
        <v>53850</v>
      </c>
      <c r="N98" s="1263"/>
      <c r="O98" s="930"/>
      <c r="V98" s="926" t="s">
        <v>7060</v>
      </c>
      <c r="W98" s="931">
        <v>0.27083333333333331</v>
      </c>
      <c r="X98" s="931">
        <v>0.53611111111111109</v>
      </c>
    </row>
    <row r="99" spans="1:24" s="33" customFormat="1" x14ac:dyDescent="0.25">
      <c r="A99" s="547">
        <v>18022026</v>
      </c>
      <c r="B99" s="33" t="s">
        <v>7063</v>
      </c>
      <c r="C99" s="1402" t="s">
        <v>410</v>
      </c>
      <c r="D99" s="548">
        <v>46071</v>
      </c>
      <c r="E99" s="306" t="s">
        <v>7936</v>
      </c>
      <c r="F99" s="306" t="s">
        <v>4200</v>
      </c>
      <c r="H99" s="1109" t="s">
        <v>279</v>
      </c>
      <c r="I99" s="283"/>
      <c r="J99" s="1229"/>
      <c r="K99" s="1229"/>
      <c r="L99" s="1229"/>
      <c r="M99" s="1270">
        <v>40170</v>
      </c>
      <c r="N99" s="1262"/>
      <c r="O99" s="279"/>
      <c r="V99" s="33" t="s">
        <v>5131</v>
      </c>
      <c r="W99" s="550">
        <v>0.3430555555555555</v>
      </c>
      <c r="X99" s="550">
        <v>0.5854166666666667</v>
      </c>
    </row>
    <row r="100" spans="1:24" s="926" customFormat="1" x14ac:dyDescent="0.25">
      <c r="A100" s="925">
        <v>18022026</v>
      </c>
      <c r="B100" s="926" t="s">
        <v>859</v>
      </c>
      <c r="C100" s="1400" t="s">
        <v>4218</v>
      </c>
      <c r="D100" s="927">
        <v>46071</v>
      </c>
      <c r="E100" s="928" t="s">
        <v>7737</v>
      </c>
      <c r="F100" s="928" t="s">
        <v>5326</v>
      </c>
      <c r="H100" s="1075" t="s">
        <v>279</v>
      </c>
      <c r="I100" s="998"/>
      <c r="J100" s="1140"/>
      <c r="K100" s="1140"/>
      <c r="L100" s="1140"/>
      <c r="M100" s="1272">
        <v>34500</v>
      </c>
      <c r="N100" s="1263"/>
      <c r="O100" s="930"/>
      <c r="V100" s="926" t="s">
        <v>7092</v>
      </c>
      <c r="W100" s="931">
        <v>0.59236111111111112</v>
      </c>
      <c r="X100" s="931">
        <v>0.81527777777777777</v>
      </c>
    </row>
    <row r="101" spans="1:24" s="33" customFormat="1" x14ac:dyDescent="0.25">
      <c r="A101" s="547">
        <v>18022026</v>
      </c>
      <c r="B101" s="33" t="s">
        <v>614</v>
      </c>
      <c r="C101" s="1402" t="s">
        <v>410</v>
      </c>
      <c r="D101" s="548">
        <v>46071</v>
      </c>
      <c r="E101" s="306" t="s">
        <v>7781</v>
      </c>
      <c r="F101" s="306" t="s">
        <v>4622</v>
      </c>
      <c r="H101" s="1109" t="s">
        <v>279</v>
      </c>
      <c r="I101" s="283"/>
      <c r="J101" s="1229"/>
      <c r="K101" s="1229"/>
      <c r="L101" s="1229"/>
      <c r="M101" s="1270">
        <v>26632.6</v>
      </c>
      <c r="N101" s="1262"/>
      <c r="O101" s="279"/>
      <c r="V101" s="33" t="s">
        <v>5131</v>
      </c>
      <c r="W101" s="550">
        <v>0.63194444444444442</v>
      </c>
      <c r="X101" s="550" t="s">
        <v>7693</v>
      </c>
    </row>
    <row r="102" spans="1:24" s="926" customFormat="1" x14ac:dyDescent="0.25">
      <c r="A102" s="925">
        <v>19022026</v>
      </c>
      <c r="B102" s="926" t="s">
        <v>859</v>
      </c>
      <c r="C102" s="1400" t="s">
        <v>4218</v>
      </c>
      <c r="D102" s="927">
        <v>46072</v>
      </c>
      <c r="E102" s="928" t="s">
        <v>7738</v>
      </c>
      <c r="F102" s="928" t="s">
        <v>5326</v>
      </c>
      <c r="H102" s="1075" t="s">
        <v>279</v>
      </c>
      <c r="I102" s="998"/>
      <c r="J102" s="1140"/>
      <c r="K102" s="1140"/>
      <c r="L102" s="1140"/>
      <c r="M102" s="1272">
        <v>34500</v>
      </c>
      <c r="N102" s="1263"/>
      <c r="O102" s="930"/>
      <c r="V102" s="926" t="s">
        <v>7060</v>
      </c>
      <c r="W102" s="931">
        <v>0.27083333333333331</v>
      </c>
      <c r="X102" s="931">
        <v>0.47291666666666665</v>
      </c>
    </row>
    <row r="103" spans="1:24" s="926" customFormat="1" x14ac:dyDescent="0.25">
      <c r="A103" s="925">
        <v>19022026</v>
      </c>
      <c r="B103" s="926" t="s">
        <v>1800</v>
      </c>
      <c r="C103" s="1400" t="s">
        <v>4218</v>
      </c>
      <c r="D103" s="927">
        <v>46072</v>
      </c>
      <c r="E103" s="928" t="s">
        <v>7698</v>
      </c>
      <c r="F103" s="928" t="s">
        <v>1931</v>
      </c>
      <c r="H103" s="1075" t="s">
        <v>279</v>
      </c>
      <c r="M103" s="929"/>
      <c r="N103" s="929">
        <f>12000*1.18</f>
        <v>14160</v>
      </c>
      <c r="O103" s="930"/>
      <c r="V103" s="926" t="s">
        <v>5131</v>
      </c>
      <c r="W103" s="931">
        <v>0.53055555555555556</v>
      </c>
      <c r="X103" s="931">
        <v>0.81458333333333333</v>
      </c>
    </row>
    <row r="104" spans="1:24" s="33" customFormat="1" x14ac:dyDescent="0.25">
      <c r="A104" s="547">
        <v>19022026</v>
      </c>
      <c r="B104" s="33" t="s">
        <v>2303</v>
      </c>
      <c r="C104" s="1402" t="s">
        <v>410</v>
      </c>
      <c r="D104" s="548">
        <v>46072</v>
      </c>
      <c r="E104" s="306" t="s">
        <v>7892</v>
      </c>
      <c r="F104" s="306" t="s">
        <v>1744</v>
      </c>
      <c r="H104" s="1109" t="s">
        <v>279</v>
      </c>
      <c r="I104" s="283"/>
      <c r="J104" s="1229"/>
      <c r="K104" s="1229"/>
      <c r="L104" s="1229"/>
      <c r="M104" s="1270">
        <v>48427</v>
      </c>
      <c r="N104" s="1262"/>
      <c r="O104" s="279"/>
      <c r="V104" s="33" t="s">
        <v>4983</v>
      </c>
      <c r="W104" s="550">
        <v>0.52638888888888891</v>
      </c>
      <c r="X104" s="550">
        <v>0.78541666666666676</v>
      </c>
    </row>
    <row r="105" spans="1:24" s="33" customFormat="1" x14ac:dyDescent="0.25">
      <c r="A105" s="547">
        <v>20022026</v>
      </c>
      <c r="B105" s="33" t="s">
        <v>6269</v>
      </c>
      <c r="C105" s="1402" t="s">
        <v>4218</v>
      </c>
      <c r="D105" s="548">
        <v>46073</v>
      </c>
      <c r="E105" s="306" t="s">
        <v>7861</v>
      </c>
      <c r="F105" s="306" t="s">
        <v>317</v>
      </c>
      <c r="H105" s="1109" t="s">
        <v>279</v>
      </c>
      <c r="I105" s="283"/>
      <c r="J105" s="1229"/>
      <c r="K105" s="1229"/>
      <c r="L105" s="1229"/>
      <c r="M105" s="1270">
        <v>46634</v>
      </c>
      <c r="N105" s="1262"/>
      <c r="O105" s="279"/>
      <c r="V105" s="33" t="s">
        <v>4138</v>
      </c>
      <c r="W105" s="550">
        <v>0.4069444444444445</v>
      </c>
      <c r="X105" s="550">
        <v>0.79375000000000007</v>
      </c>
    </row>
    <row r="106" spans="1:24" s="33" customFormat="1" x14ac:dyDescent="0.25">
      <c r="A106" s="547">
        <v>21022026</v>
      </c>
      <c r="B106" s="33" t="s">
        <v>7696</v>
      </c>
      <c r="C106" s="1402" t="s">
        <v>410</v>
      </c>
      <c r="D106" s="548">
        <v>46074</v>
      </c>
      <c r="E106" s="306" t="s">
        <v>7853</v>
      </c>
      <c r="F106" s="306" t="s">
        <v>563</v>
      </c>
      <c r="H106" s="1109" t="s">
        <v>279</v>
      </c>
      <c r="I106" s="283"/>
      <c r="J106" s="1229"/>
      <c r="K106" s="1229"/>
      <c r="L106" s="1229"/>
      <c r="M106" s="1270">
        <v>27700</v>
      </c>
      <c r="N106" s="1262"/>
      <c r="O106" s="279"/>
      <c r="V106" s="33" t="s">
        <v>7335</v>
      </c>
      <c r="W106" s="550">
        <v>0.2673611111111111</v>
      </c>
      <c r="X106" s="550">
        <v>0.46458333333333335</v>
      </c>
    </row>
    <row r="107" spans="1:24" s="33" customFormat="1" x14ac:dyDescent="0.25">
      <c r="A107" s="547">
        <v>21022026</v>
      </c>
      <c r="B107" s="33" t="s">
        <v>5093</v>
      </c>
      <c r="C107" s="1402" t="s">
        <v>410</v>
      </c>
      <c r="D107" s="548">
        <v>46074</v>
      </c>
      <c r="E107" s="306" t="s">
        <v>7838</v>
      </c>
      <c r="F107" s="306" t="s">
        <v>5326</v>
      </c>
      <c r="H107" s="1109" t="s">
        <v>279</v>
      </c>
      <c r="I107" s="283"/>
      <c r="J107" s="1229"/>
      <c r="K107" s="1229"/>
      <c r="L107" s="1229"/>
      <c r="M107" s="1270">
        <v>34500</v>
      </c>
      <c r="N107" s="1262"/>
      <c r="O107" s="279"/>
      <c r="V107" s="33" t="s">
        <v>7335</v>
      </c>
      <c r="W107" s="550">
        <v>0.51041666666666663</v>
      </c>
      <c r="X107" s="550">
        <v>0.70763888888888893</v>
      </c>
    </row>
    <row r="108" spans="1:24" s="13" customFormat="1" x14ac:dyDescent="0.25">
      <c r="A108" s="586">
        <v>21022026</v>
      </c>
      <c r="C108" s="1405" t="s">
        <v>4218</v>
      </c>
      <c r="D108" s="587">
        <v>46074</v>
      </c>
      <c r="E108" s="241"/>
      <c r="F108" s="241" t="s">
        <v>236</v>
      </c>
      <c r="H108" s="1145"/>
      <c r="J108" s="1145"/>
      <c r="K108" s="1145"/>
      <c r="L108" s="1145"/>
      <c r="M108" s="1165"/>
      <c r="N108" s="1107"/>
      <c r="O108" s="180"/>
      <c r="V108" s="13" t="s">
        <v>6150</v>
      </c>
      <c r="W108" s="482">
        <v>0.65972222222222221</v>
      </c>
      <c r="X108" s="482">
        <v>0.6958333333333333</v>
      </c>
    </row>
    <row r="109" spans="1:24" s="926" customFormat="1" x14ac:dyDescent="0.25">
      <c r="A109" s="925">
        <v>22022026</v>
      </c>
      <c r="B109" s="926" t="s">
        <v>7609</v>
      </c>
      <c r="C109" s="1400" t="s">
        <v>410</v>
      </c>
      <c r="D109" s="927">
        <v>46075</v>
      </c>
      <c r="E109" s="928" t="s">
        <v>7697</v>
      </c>
      <c r="F109" s="928" t="s">
        <v>236</v>
      </c>
      <c r="H109" s="1075" t="s">
        <v>279</v>
      </c>
      <c r="J109" s="1075"/>
      <c r="K109" s="1075"/>
      <c r="L109" s="1075"/>
      <c r="M109" s="932">
        <v>53850</v>
      </c>
      <c r="N109" s="1263"/>
      <c r="O109" s="930"/>
      <c r="V109" s="926" t="s">
        <v>4867</v>
      </c>
      <c r="W109" s="931">
        <v>0.32361111111111113</v>
      </c>
      <c r="X109" s="931">
        <v>0.59236111111111112</v>
      </c>
    </row>
    <row r="110" spans="1:24" s="926" customFormat="1" x14ac:dyDescent="0.25">
      <c r="A110" s="925">
        <v>22022026</v>
      </c>
      <c r="B110" s="926" t="s">
        <v>7699</v>
      </c>
      <c r="C110" s="1400" t="s">
        <v>4218</v>
      </c>
      <c r="D110" s="927">
        <v>46075</v>
      </c>
      <c r="E110" s="928" t="s">
        <v>7734</v>
      </c>
      <c r="F110" s="928" t="s">
        <v>207</v>
      </c>
      <c r="H110" s="1075" t="s">
        <v>279</v>
      </c>
      <c r="J110" s="1075"/>
      <c r="K110" s="1075"/>
      <c r="L110" s="1075"/>
      <c r="M110" s="932"/>
      <c r="N110" s="1272">
        <v>9440</v>
      </c>
      <c r="O110" s="930"/>
      <c r="V110" s="926" t="s">
        <v>5131</v>
      </c>
      <c r="W110" s="931">
        <v>0.41250000000000003</v>
      </c>
      <c r="X110" s="931">
        <v>0.61041666666666672</v>
      </c>
    </row>
    <row r="111" spans="1:24" s="399" customFormat="1" x14ac:dyDescent="0.25">
      <c r="A111" s="626">
        <v>23022026</v>
      </c>
      <c r="B111" s="399" t="s">
        <v>4662</v>
      </c>
      <c r="C111" s="1415" t="s">
        <v>4218</v>
      </c>
      <c r="D111" s="606">
        <v>46076</v>
      </c>
      <c r="E111" s="552" t="s">
        <v>8269</v>
      </c>
      <c r="F111" s="552" t="s">
        <v>5605</v>
      </c>
      <c r="H111" s="1469" t="s">
        <v>279</v>
      </c>
      <c r="J111" s="1469"/>
      <c r="K111" s="1469"/>
      <c r="L111" s="1469"/>
      <c r="M111" s="1123">
        <v>54870</v>
      </c>
      <c r="N111" s="1470"/>
      <c r="O111" s="608"/>
      <c r="V111" s="399" t="s">
        <v>4983</v>
      </c>
      <c r="W111" s="609">
        <v>0.27777777777777779</v>
      </c>
      <c r="X111" s="609">
        <v>0.76597222222222217</v>
      </c>
    </row>
    <row r="112" spans="1:24" s="926" customFormat="1" x14ac:dyDescent="0.25">
      <c r="A112" s="925">
        <v>24022026</v>
      </c>
      <c r="B112" s="926" t="s">
        <v>572</v>
      </c>
      <c r="C112" s="1400" t="s">
        <v>4218</v>
      </c>
      <c r="D112" s="927">
        <v>46077</v>
      </c>
      <c r="E112" s="928" t="s">
        <v>7739</v>
      </c>
      <c r="F112" s="928" t="s">
        <v>6072</v>
      </c>
      <c r="H112" s="1075" t="s">
        <v>279</v>
      </c>
      <c r="J112" s="1075"/>
      <c r="K112" s="1075"/>
      <c r="L112" s="1075"/>
      <c r="M112" s="932"/>
      <c r="N112" s="1272">
        <f>19148.88*100/88</f>
        <v>21760.090909090908</v>
      </c>
      <c r="O112" s="930"/>
      <c r="V112" s="926" t="s">
        <v>7078</v>
      </c>
      <c r="W112" s="931">
        <v>0.34166666666666662</v>
      </c>
      <c r="X112" s="931">
        <v>0.71250000000000002</v>
      </c>
    </row>
    <row r="113" spans="1:24" s="33" customFormat="1" x14ac:dyDescent="0.25">
      <c r="A113" s="547">
        <v>24022026</v>
      </c>
      <c r="B113" s="33" t="s">
        <v>614</v>
      </c>
      <c r="C113" s="1402" t="s">
        <v>410</v>
      </c>
      <c r="D113" s="548">
        <v>46077</v>
      </c>
      <c r="E113" s="306" t="s">
        <v>7781</v>
      </c>
      <c r="F113" s="306" t="s">
        <v>294</v>
      </c>
      <c r="H113" s="1109" t="s">
        <v>279</v>
      </c>
      <c r="J113" s="1109"/>
      <c r="K113" s="1109"/>
      <c r="L113" s="1109"/>
      <c r="M113" s="933">
        <v>37984.199999999997</v>
      </c>
      <c r="N113" s="1262"/>
      <c r="O113" s="279"/>
      <c r="V113" s="33" t="s">
        <v>5989</v>
      </c>
      <c r="W113" s="550">
        <v>0.68680555555555556</v>
      </c>
      <c r="X113" s="550">
        <v>0.88124999999999998</v>
      </c>
    </row>
    <row r="114" spans="1:24" s="33" customFormat="1" x14ac:dyDescent="0.25">
      <c r="A114" s="547">
        <v>24022026</v>
      </c>
      <c r="B114" s="33" t="s">
        <v>2497</v>
      </c>
      <c r="C114" s="1402" t="s">
        <v>4218</v>
      </c>
      <c r="D114" s="548">
        <v>46077</v>
      </c>
      <c r="E114" s="306" t="s">
        <v>7871</v>
      </c>
      <c r="F114" s="306" t="s">
        <v>143</v>
      </c>
      <c r="H114" s="1109" t="s">
        <v>279</v>
      </c>
      <c r="J114" s="1109"/>
      <c r="K114" s="1109"/>
      <c r="L114" s="1109"/>
      <c r="M114" s="933">
        <v>37252</v>
      </c>
      <c r="N114" s="1262"/>
      <c r="O114" s="279"/>
      <c r="V114" s="33" t="s">
        <v>4867</v>
      </c>
      <c r="W114" s="550">
        <v>0.76527777777777783</v>
      </c>
      <c r="X114" s="550">
        <v>3.8194444444444441E-2</v>
      </c>
    </row>
    <row r="115" spans="1:24" s="33" customFormat="1" x14ac:dyDescent="0.25">
      <c r="A115" s="547">
        <v>25022026</v>
      </c>
      <c r="B115" s="33" t="s">
        <v>614</v>
      </c>
      <c r="C115" s="1402" t="s">
        <v>410</v>
      </c>
      <c r="D115" s="548">
        <v>46078</v>
      </c>
      <c r="E115" s="306" t="s">
        <v>7781</v>
      </c>
      <c r="F115" s="306" t="s">
        <v>563</v>
      </c>
      <c r="H115" s="1109" t="s">
        <v>279</v>
      </c>
      <c r="J115" s="1109"/>
      <c r="K115" s="1109"/>
      <c r="L115" s="1109"/>
      <c r="M115" s="933">
        <v>28379</v>
      </c>
      <c r="N115" s="1262"/>
      <c r="O115" s="279"/>
      <c r="V115" s="33" t="s">
        <v>7092</v>
      </c>
      <c r="W115" s="550">
        <v>0.30902777777777779</v>
      </c>
      <c r="X115" s="550">
        <v>0.50416666666666665</v>
      </c>
    </row>
    <row r="116" spans="1:24" s="33" customFormat="1" x14ac:dyDescent="0.25">
      <c r="A116" s="547">
        <v>25022026</v>
      </c>
      <c r="B116" s="33" t="s">
        <v>875</v>
      </c>
      <c r="C116" s="1402" t="s">
        <v>4218</v>
      </c>
      <c r="D116" s="548">
        <v>46078</v>
      </c>
      <c r="E116" s="306" t="s">
        <v>7939</v>
      </c>
      <c r="F116" s="306" t="s">
        <v>2036</v>
      </c>
      <c r="H116" s="1109" t="s">
        <v>279</v>
      </c>
      <c r="J116" s="1109"/>
      <c r="K116" s="1109"/>
      <c r="L116" s="1109"/>
      <c r="M116" s="933">
        <v>26904</v>
      </c>
      <c r="N116" s="1262"/>
      <c r="O116" s="279"/>
      <c r="V116" s="33" t="s">
        <v>7060</v>
      </c>
      <c r="W116" s="550">
        <v>0.39861111111111108</v>
      </c>
      <c r="X116" s="550">
        <v>0.52708333333333335</v>
      </c>
    </row>
    <row r="117" spans="1:24" s="926" customFormat="1" x14ac:dyDescent="0.25">
      <c r="A117" s="925">
        <v>25022026</v>
      </c>
      <c r="B117" s="926" t="s">
        <v>610</v>
      </c>
      <c r="C117" s="1400" t="s">
        <v>410</v>
      </c>
      <c r="D117" s="927">
        <v>46078</v>
      </c>
      <c r="E117" s="928" t="s">
        <v>7740</v>
      </c>
      <c r="F117" s="928" t="s">
        <v>106</v>
      </c>
      <c r="H117" s="1075" t="s">
        <v>279</v>
      </c>
      <c r="J117" s="1075"/>
      <c r="K117" s="1075"/>
      <c r="L117" s="1075"/>
      <c r="M117" s="932">
        <v>29700</v>
      </c>
      <c r="N117" s="1263"/>
      <c r="O117" s="930"/>
      <c r="V117" s="926" t="s">
        <v>7092</v>
      </c>
      <c r="W117" s="931">
        <v>0.53194444444444444</v>
      </c>
      <c r="X117" s="931">
        <v>0.67569444444444438</v>
      </c>
    </row>
    <row r="118" spans="1:24" s="120" customFormat="1" x14ac:dyDescent="0.25">
      <c r="A118" s="595">
        <v>25022026</v>
      </c>
      <c r="B118" s="120" t="s">
        <v>2227</v>
      </c>
      <c r="C118" s="1407" t="s">
        <v>4218</v>
      </c>
      <c r="D118" s="427">
        <v>46078</v>
      </c>
      <c r="E118" s="334" t="s">
        <v>8034</v>
      </c>
      <c r="F118" s="334" t="s">
        <v>106</v>
      </c>
      <c r="H118" s="1211" t="s">
        <v>279</v>
      </c>
      <c r="J118" s="1211"/>
      <c r="K118" s="1211"/>
      <c r="L118" s="1211"/>
      <c r="M118" s="1001">
        <v>28000</v>
      </c>
      <c r="N118" s="1353"/>
      <c r="O118" s="150"/>
      <c r="V118" s="120" t="s">
        <v>7060</v>
      </c>
      <c r="W118" s="597">
        <v>0.57013888888888886</v>
      </c>
      <c r="X118" s="597">
        <v>0.68819444444444444</v>
      </c>
    </row>
    <row r="119" spans="1:24" s="926" customFormat="1" ht="15" customHeight="1" x14ac:dyDescent="0.25">
      <c r="A119" s="925">
        <v>25022026</v>
      </c>
      <c r="B119" s="926" t="s">
        <v>565</v>
      </c>
      <c r="C119" s="1400" t="s">
        <v>410</v>
      </c>
      <c r="D119" s="927">
        <v>46078</v>
      </c>
      <c r="E119" s="928" t="s">
        <v>7725</v>
      </c>
      <c r="F119" s="928" t="s">
        <v>545</v>
      </c>
      <c r="H119" s="1075" t="s">
        <v>279</v>
      </c>
      <c r="J119" s="1075"/>
      <c r="K119" s="1075"/>
      <c r="L119" s="1075"/>
      <c r="M119" s="932">
        <v>31500</v>
      </c>
      <c r="N119" s="1263"/>
      <c r="O119" s="930"/>
      <c r="V119" s="926" t="s">
        <v>4867</v>
      </c>
      <c r="W119" s="931">
        <v>0.77708333333333324</v>
      </c>
      <c r="X119" s="931">
        <v>0.94791666666666663</v>
      </c>
    </row>
    <row r="120" spans="1:24" s="926" customFormat="1" ht="15" customHeight="1" x14ac:dyDescent="0.25">
      <c r="A120" s="925">
        <v>26022026</v>
      </c>
      <c r="B120" s="926" t="s">
        <v>1720</v>
      </c>
      <c r="C120" s="1400" t="s">
        <v>410</v>
      </c>
      <c r="D120" s="927">
        <v>46079</v>
      </c>
      <c r="E120" s="928" t="s">
        <v>7732</v>
      </c>
      <c r="F120" s="928" t="s">
        <v>545</v>
      </c>
      <c r="H120" s="1075" t="s">
        <v>277</v>
      </c>
      <c r="J120" s="1075"/>
      <c r="K120" s="1075"/>
      <c r="L120" s="1075"/>
      <c r="M120" s="932">
        <v>34048</v>
      </c>
      <c r="N120" s="1263"/>
      <c r="O120" s="930"/>
      <c r="V120" s="926" t="s">
        <v>5131</v>
      </c>
      <c r="W120" s="931">
        <v>0.27152777777777776</v>
      </c>
      <c r="X120" s="931">
        <v>0.41944444444444445</v>
      </c>
    </row>
    <row r="121" spans="1:24" s="926" customFormat="1" ht="15" customHeight="1" x14ac:dyDescent="0.25">
      <c r="A121" s="925">
        <v>26022026</v>
      </c>
      <c r="B121" s="926" t="s">
        <v>3880</v>
      </c>
      <c r="C121" s="1400" t="s">
        <v>410</v>
      </c>
      <c r="D121" s="927">
        <v>46079</v>
      </c>
      <c r="E121" s="928" t="s">
        <v>7776</v>
      </c>
      <c r="F121" s="928" t="s">
        <v>545</v>
      </c>
      <c r="H121" s="1075" t="s">
        <v>279</v>
      </c>
      <c r="J121" s="1075"/>
      <c r="K121" s="1075"/>
      <c r="L121" s="1075"/>
      <c r="M121" s="932">
        <v>32284.400000000001</v>
      </c>
      <c r="N121" s="1263"/>
      <c r="O121" s="930"/>
      <c r="V121" s="926" t="s">
        <v>7092</v>
      </c>
      <c r="W121" s="931">
        <v>0.8222222222222223</v>
      </c>
      <c r="X121" s="931">
        <v>0.9902777777777777</v>
      </c>
    </row>
    <row r="122" spans="1:24" s="926" customFormat="1" x14ac:dyDescent="0.25">
      <c r="A122" s="925">
        <v>27022026</v>
      </c>
      <c r="B122" s="926" t="s">
        <v>859</v>
      </c>
      <c r="C122" s="1400" t="s">
        <v>410</v>
      </c>
      <c r="D122" s="927">
        <v>46080</v>
      </c>
      <c r="E122" s="928" t="s">
        <v>7891</v>
      </c>
      <c r="F122" s="928" t="s">
        <v>5326</v>
      </c>
      <c r="H122" s="1075" t="s">
        <v>279</v>
      </c>
      <c r="I122" s="998"/>
      <c r="J122" s="1140"/>
      <c r="K122" s="1140"/>
      <c r="L122" s="1140"/>
      <c r="M122" s="1272">
        <v>34500</v>
      </c>
      <c r="N122" s="1263"/>
      <c r="O122" s="930"/>
      <c r="V122" s="926" t="s">
        <v>7335</v>
      </c>
      <c r="W122" s="931">
        <v>0.4604166666666667</v>
      </c>
      <c r="X122" s="931">
        <v>0.64027777777777783</v>
      </c>
    </row>
    <row r="123" spans="1:24" s="418" customFormat="1" x14ac:dyDescent="0.25">
      <c r="A123" s="624">
        <v>27022026</v>
      </c>
      <c r="B123" s="418" t="s">
        <v>875</v>
      </c>
      <c r="C123" s="1408" t="s">
        <v>4218</v>
      </c>
      <c r="D123" s="602">
        <v>46080</v>
      </c>
      <c r="E123" s="420" t="s">
        <v>8076</v>
      </c>
      <c r="F123" s="420" t="s">
        <v>2036</v>
      </c>
      <c r="H123" s="1147" t="s">
        <v>279</v>
      </c>
      <c r="I123" s="1379"/>
      <c r="J123" s="1380"/>
      <c r="K123" s="1380"/>
      <c r="L123" s="1380"/>
      <c r="M123" s="1381">
        <v>26904</v>
      </c>
      <c r="N123" s="1382"/>
      <c r="O123" s="422"/>
      <c r="V123" s="418" t="s">
        <v>4983</v>
      </c>
      <c r="W123" s="604">
        <v>0.61597222222222225</v>
      </c>
      <c r="X123" s="604">
        <v>0.74861111111111101</v>
      </c>
    </row>
    <row r="124" spans="1:24" s="33" customFormat="1" x14ac:dyDescent="0.25">
      <c r="A124" s="547">
        <v>28022026</v>
      </c>
      <c r="B124" s="33" t="s">
        <v>614</v>
      </c>
      <c r="C124" s="1402" t="s">
        <v>410</v>
      </c>
      <c r="D124" s="548">
        <v>46081</v>
      </c>
      <c r="E124" s="306" t="s">
        <v>7781</v>
      </c>
      <c r="F124" s="306" t="s">
        <v>872</v>
      </c>
      <c r="H124" s="1109" t="s">
        <v>279</v>
      </c>
      <c r="I124" s="283"/>
      <c r="J124" s="1229"/>
      <c r="K124" s="1229"/>
      <c r="L124" s="1229"/>
      <c r="M124" s="1270">
        <v>37984.199999999997</v>
      </c>
      <c r="N124" s="1262"/>
      <c r="O124" s="279"/>
      <c r="V124" s="33" t="s">
        <v>7763</v>
      </c>
      <c r="W124" s="550">
        <v>0.53263888888888888</v>
      </c>
      <c r="X124" s="550">
        <v>0.72013888888888899</v>
      </c>
    </row>
    <row r="125" spans="1:24" s="33" customFormat="1" ht="15" customHeight="1" x14ac:dyDescent="0.25">
      <c r="A125" s="547">
        <v>28022026</v>
      </c>
      <c r="B125" s="33" t="s">
        <v>1720</v>
      </c>
      <c r="C125" s="1402" t="s">
        <v>4218</v>
      </c>
      <c r="D125" s="548">
        <v>46081</v>
      </c>
      <c r="E125" s="306" t="s">
        <v>7795</v>
      </c>
      <c r="F125" s="306" t="s">
        <v>545</v>
      </c>
      <c r="H125" s="1109" t="s">
        <v>279</v>
      </c>
      <c r="J125" s="1109"/>
      <c r="K125" s="1109"/>
      <c r="L125" s="1109"/>
      <c r="M125" s="933">
        <v>31500</v>
      </c>
      <c r="N125" s="1262"/>
      <c r="O125" s="279"/>
      <c r="V125" s="33" t="s">
        <v>5131</v>
      </c>
      <c r="W125" s="550">
        <v>0.625</v>
      </c>
      <c r="X125" s="550">
        <v>0.77847222222222223</v>
      </c>
    </row>
    <row r="126" spans="1:24" s="33" customFormat="1" x14ac:dyDescent="0.25">
      <c r="A126" s="547">
        <v>28022026</v>
      </c>
      <c r="B126" s="33" t="s">
        <v>1720</v>
      </c>
      <c r="C126" s="1402" t="s">
        <v>410</v>
      </c>
      <c r="D126" s="548">
        <v>46081</v>
      </c>
      <c r="E126" s="306" t="s">
        <v>7796</v>
      </c>
      <c r="F126" s="306" t="s">
        <v>545</v>
      </c>
      <c r="H126" s="1109" t="s">
        <v>279</v>
      </c>
      <c r="I126" s="283"/>
      <c r="J126" s="1229"/>
      <c r="K126" s="1229"/>
      <c r="L126" s="1229"/>
      <c r="M126" s="933">
        <v>31500</v>
      </c>
      <c r="N126" s="1262"/>
      <c r="O126" s="279"/>
      <c r="V126" s="33" t="s">
        <v>7763</v>
      </c>
      <c r="W126" s="550">
        <v>0.74930555555555556</v>
      </c>
      <c r="X126" s="550">
        <v>0.92708333333333337</v>
      </c>
    </row>
    <row r="127" spans="1:24" ht="15" customHeight="1" x14ac:dyDescent="0.25">
      <c r="A127" s="483"/>
      <c r="D127" s="233"/>
      <c r="H127" s="1067"/>
      <c r="J127" s="1067"/>
      <c r="K127" s="1067"/>
      <c r="L127" s="1067"/>
      <c r="M127" s="798"/>
      <c r="N127" s="558"/>
      <c r="O127" s="88"/>
      <c r="W127" s="360"/>
      <c r="X127" s="360"/>
    </row>
    <row r="128" spans="1:24" x14ac:dyDescent="0.25">
      <c r="A128" s="483"/>
      <c r="D128" s="233"/>
      <c r="H128" s="1145"/>
      <c r="I128" s="13"/>
      <c r="J128" s="1145"/>
      <c r="K128" s="1145"/>
      <c r="L128" s="1145"/>
      <c r="M128" s="915"/>
      <c r="N128" s="558"/>
      <c r="O128" s="88"/>
      <c r="W128" s="360"/>
      <c r="X128" s="360"/>
    </row>
    <row r="129" spans="1:24" ht="15.75" thickBot="1" x14ac:dyDescent="0.3">
      <c r="A129" s="483"/>
      <c r="D129" s="233"/>
      <c r="H129" s="1145"/>
      <c r="I129" s="641"/>
      <c r="J129" s="1145"/>
      <c r="K129" s="1315"/>
      <c r="L129" s="1315"/>
      <c r="M129" s="960">
        <f>SUM(M63:M128)</f>
        <v>2095140</v>
      </c>
      <c r="N129" s="960">
        <f t="shared" ref="N129:O129" si="0">SUM(N63:N128)</f>
        <v>83120.090909090912</v>
      </c>
      <c r="O129" s="88">
        <f t="shared" si="0"/>
        <v>0</v>
      </c>
      <c r="W129" s="360"/>
      <c r="X129" s="360"/>
    </row>
    <row r="130" spans="1:24" x14ac:dyDescent="0.25">
      <c r="A130" s="483"/>
      <c r="D130" s="233"/>
      <c r="G130" s="32"/>
      <c r="H130" s="1145"/>
      <c r="I130" s="13"/>
      <c r="J130" s="1145"/>
      <c r="K130" s="1145"/>
      <c r="L130" s="1145"/>
      <c r="M130" s="558"/>
      <c r="N130" s="558"/>
      <c r="O130" s="88"/>
      <c r="W130" s="360"/>
      <c r="X130" s="360"/>
    </row>
    <row r="131" spans="1:24" x14ac:dyDescent="0.25">
      <c r="A131" s="483"/>
      <c r="D131" s="233"/>
      <c r="H131" s="1145"/>
      <c r="I131" s="13"/>
      <c r="J131" s="1145"/>
      <c r="K131" s="1145"/>
      <c r="L131" s="1145"/>
      <c r="M131" s="558"/>
      <c r="N131" s="558"/>
      <c r="O131" s="88"/>
      <c r="W131" s="360"/>
      <c r="X131" s="360"/>
    </row>
    <row r="132" spans="1:24" x14ac:dyDescent="0.25">
      <c r="A132" s="483"/>
      <c r="D132" s="233"/>
      <c r="H132" s="1145"/>
      <c r="I132" s="13"/>
      <c r="J132" s="1145"/>
      <c r="K132" s="1145"/>
      <c r="L132" s="1145"/>
      <c r="M132" s="558"/>
      <c r="N132" s="558"/>
      <c r="O132" s="88"/>
      <c r="W132" s="360"/>
      <c r="X132" s="360"/>
    </row>
    <row r="133" spans="1:24" s="926" customFormat="1" x14ac:dyDescent="0.25">
      <c r="A133" s="925" t="s">
        <v>7764</v>
      </c>
      <c r="B133" s="926" t="s">
        <v>582</v>
      </c>
      <c r="C133" s="1400" t="s">
        <v>13</v>
      </c>
      <c r="D133" s="927">
        <v>46082</v>
      </c>
      <c r="E133" s="928" t="s">
        <v>7775</v>
      </c>
      <c r="F133" s="928" t="s">
        <v>143</v>
      </c>
      <c r="H133" s="1075" t="s">
        <v>279</v>
      </c>
      <c r="I133" s="998"/>
      <c r="J133" s="1140"/>
      <c r="K133" s="1140"/>
      <c r="L133" s="1140"/>
      <c r="M133" s="1272">
        <v>36200</v>
      </c>
      <c r="N133" s="1263"/>
      <c r="O133" s="930"/>
      <c r="V133" s="926" t="s">
        <v>7122</v>
      </c>
      <c r="W133" s="931">
        <v>0.26874999999999999</v>
      </c>
      <c r="X133" s="931">
        <v>0.49027777777777781</v>
      </c>
    </row>
    <row r="134" spans="1:24" s="33" customFormat="1" x14ac:dyDescent="0.25">
      <c r="A134" s="547" t="s">
        <v>7764</v>
      </c>
      <c r="B134" s="33" t="s">
        <v>614</v>
      </c>
      <c r="C134" s="1402" t="s">
        <v>410</v>
      </c>
      <c r="D134" s="548">
        <v>46082</v>
      </c>
      <c r="E134" s="306" t="s">
        <v>7972</v>
      </c>
      <c r="F134" s="306" t="s">
        <v>143</v>
      </c>
      <c r="H134" s="1109" t="s">
        <v>279</v>
      </c>
      <c r="I134" s="283"/>
      <c r="J134" s="1229"/>
      <c r="K134" s="1229"/>
      <c r="L134" s="1229"/>
      <c r="M134" s="1270">
        <v>37111</v>
      </c>
      <c r="N134" s="1262"/>
      <c r="O134" s="279"/>
      <c r="V134" s="33" t="s">
        <v>4297</v>
      </c>
      <c r="W134" s="550">
        <v>0.41250000000000003</v>
      </c>
      <c r="X134" s="550">
        <v>0.6069444444444444</v>
      </c>
    </row>
    <row r="135" spans="1:24" s="926" customFormat="1" x14ac:dyDescent="0.25">
      <c r="A135" s="925" t="s">
        <v>7764</v>
      </c>
      <c r="B135" s="926" t="s">
        <v>610</v>
      </c>
      <c r="C135" s="1400" t="s">
        <v>4218</v>
      </c>
      <c r="D135" s="927">
        <v>46082</v>
      </c>
      <c r="E135" s="928" t="s">
        <v>7766</v>
      </c>
      <c r="F135" s="928" t="s">
        <v>106</v>
      </c>
      <c r="H135" s="1075" t="s">
        <v>279</v>
      </c>
      <c r="I135" s="998"/>
      <c r="J135" s="1140"/>
      <c r="K135" s="1140"/>
      <c r="L135" s="1140"/>
      <c r="M135" s="1272">
        <v>29770</v>
      </c>
      <c r="N135" s="1263"/>
      <c r="O135" s="930"/>
      <c r="V135" s="926" t="s">
        <v>7763</v>
      </c>
      <c r="W135" s="931">
        <v>0.49722222222222223</v>
      </c>
      <c r="X135" s="931">
        <v>0.67083333333333339</v>
      </c>
    </row>
    <row r="136" spans="1:24" s="33" customFormat="1" x14ac:dyDescent="0.25">
      <c r="A136" s="547" t="s">
        <v>7764</v>
      </c>
      <c r="B136" s="33" t="s">
        <v>614</v>
      </c>
      <c r="C136" s="1402" t="s">
        <v>4218</v>
      </c>
      <c r="D136" s="548">
        <v>46082</v>
      </c>
      <c r="E136" s="306" t="s">
        <v>7972</v>
      </c>
      <c r="F136" s="306" t="s">
        <v>143</v>
      </c>
      <c r="H136" s="1109" t="s">
        <v>279</v>
      </c>
      <c r="I136" s="283"/>
      <c r="J136" s="1229"/>
      <c r="K136" s="1229"/>
      <c r="L136" s="1229"/>
      <c r="M136" s="1270">
        <v>37984.199999999997</v>
      </c>
      <c r="N136" s="1262"/>
      <c r="O136" s="279"/>
      <c r="V136" s="33" t="s">
        <v>7763</v>
      </c>
      <c r="W136" s="550">
        <v>0.70138888888888884</v>
      </c>
      <c r="X136" s="550">
        <v>0.85833333333333339</v>
      </c>
    </row>
    <row r="137" spans="1:24" s="33" customFormat="1" x14ac:dyDescent="0.25">
      <c r="A137" s="547" t="s">
        <v>7767</v>
      </c>
      <c r="B137" s="33" t="s">
        <v>614</v>
      </c>
      <c r="C137" s="1402" t="s">
        <v>410</v>
      </c>
      <c r="D137" s="548">
        <v>46083</v>
      </c>
      <c r="E137" s="306" t="s">
        <v>7972</v>
      </c>
      <c r="F137" s="306" t="s">
        <v>1931</v>
      </c>
      <c r="H137" s="1109" t="s">
        <v>279</v>
      </c>
      <c r="I137" s="283"/>
      <c r="J137" s="1229"/>
      <c r="K137" s="1229"/>
      <c r="L137" s="1229"/>
      <c r="M137" s="1270">
        <v>52828.6</v>
      </c>
      <c r="N137" s="1262"/>
      <c r="O137" s="279"/>
      <c r="V137" s="33" t="s">
        <v>4983</v>
      </c>
      <c r="W137" s="550">
        <v>0.61875000000000002</v>
      </c>
      <c r="X137" s="550">
        <v>0.9243055555555556</v>
      </c>
    </row>
    <row r="138" spans="1:24" s="926" customFormat="1" x14ac:dyDescent="0.25">
      <c r="A138" s="925" t="s">
        <v>7778</v>
      </c>
      <c r="B138" s="926" t="s">
        <v>3238</v>
      </c>
      <c r="C138" s="1400" t="s">
        <v>13</v>
      </c>
      <c r="D138" s="927">
        <v>46084</v>
      </c>
      <c r="E138" s="928" t="s">
        <v>7911</v>
      </c>
      <c r="F138" s="928" t="s">
        <v>425</v>
      </c>
      <c r="H138" s="1075" t="s">
        <v>279</v>
      </c>
      <c r="I138" s="998"/>
      <c r="J138" s="1140"/>
      <c r="K138" s="1140"/>
      <c r="L138" s="1140"/>
      <c r="M138" s="1272"/>
      <c r="N138" s="1272">
        <f>6630*1.18</f>
        <v>7823.4</v>
      </c>
      <c r="O138" s="930"/>
      <c r="P138" s="5"/>
      <c r="Q138" s="5"/>
      <c r="V138" s="926" t="s">
        <v>4297</v>
      </c>
      <c r="W138" s="931">
        <v>0.33124999999999999</v>
      </c>
      <c r="X138" s="931">
        <v>0.52847222222222223</v>
      </c>
    </row>
    <row r="139" spans="1:24" s="1321" customFormat="1" x14ac:dyDescent="0.25">
      <c r="A139" s="1320" t="s">
        <v>7778</v>
      </c>
      <c r="B139" s="1321" t="s">
        <v>4724</v>
      </c>
      <c r="C139" s="1403" t="s">
        <v>410</v>
      </c>
      <c r="D139" s="1322">
        <v>46084</v>
      </c>
      <c r="E139" s="1323" t="s">
        <v>8270</v>
      </c>
      <c r="F139" s="1323" t="s">
        <v>2008</v>
      </c>
      <c r="H139" s="1324" t="s">
        <v>279</v>
      </c>
      <c r="I139" s="1466"/>
      <c r="J139" s="1325"/>
      <c r="K139" s="1325"/>
      <c r="L139" s="1325"/>
      <c r="M139" s="1467">
        <v>47250</v>
      </c>
      <c r="N139" s="1468"/>
      <c r="O139" s="1329"/>
      <c r="V139" s="1321" t="s">
        <v>7763</v>
      </c>
      <c r="W139" s="1330">
        <v>0.34027777777777773</v>
      </c>
      <c r="X139" s="1330">
        <v>0.57152777777777775</v>
      </c>
    </row>
    <row r="140" spans="1:24" s="926" customFormat="1" x14ac:dyDescent="0.25">
      <c r="A140" s="925" t="s">
        <v>7778</v>
      </c>
      <c r="B140" s="926" t="s">
        <v>2497</v>
      </c>
      <c r="C140" s="1400" t="s">
        <v>13</v>
      </c>
      <c r="D140" s="927">
        <v>46084</v>
      </c>
      <c r="E140" s="928" t="s">
        <v>7938</v>
      </c>
      <c r="F140" s="928" t="s">
        <v>143</v>
      </c>
      <c r="H140" s="1075" t="s">
        <v>279</v>
      </c>
      <c r="I140" s="998"/>
      <c r="J140" s="1140"/>
      <c r="K140" s="1140"/>
      <c r="L140" s="1140"/>
      <c r="M140" s="1272">
        <v>37252</v>
      </c>
      <c r="N140" s="1263"/>
      <c r="O140" s="930"/>
      <c r="V140" s="926" t="s">
        <v>4297</v>
      </c>
      <c r="W140" s="931">
        <v>0.57291666666666663</v>
      </c>
      <c r="X140" s="931">
        <v>0.80902777777777779</v>
      </c>
    </row>
    <row r="141" spans="1:24" s="33" customFormat="1" x14ac:dyDescent="0.25">
      <c r="A141" s="547" t="s">
        <v>7778</v>
      </c>
      <c r="B141" s="33" t="s">
        <v>614</v>
      </c>
      <c r="C141" s="1402" t="s">
        <v>410</v>
      </c>
      <c r="D141" s="548">
        <v>46084</v>
      </c>
      <c r="E141" s="306" t="s">
        <v>7972</v>
      </c>
      <c r="F141" s="306" t="s">
        <v>143</v>
      </c>
      <c r="H141" s="1109" t="s">
        <v>279</v>
      </c>
      <c r="I141" s="283"/>
      <c r="J141" s="1229"/>
      <c r="K141" s="1229"/>
      <c r="L141" s="1229"/>
      <c r="M141" s="1270">
        <v>37111</v>
      </c>
      <c r="N141" s="1262"/>
      <c r="O141" s="279"/>
      <c r="V141" s="33" t="s">
        <v>4983</v>
      </c>
      <c r="W141" s="550">
        <v>0.71597222222222223</v>
      </c>
      <c r="X141" s="550">
        <v>0.94652777777777775</v>
      </c>
    </row>
    <row r="142" spans="1:24" s="926" customFormat="1" x14ac:dyDescent="0.25">
      <c r="A142" s="925" t="s">
        <v>7780</v>
      </c>
      <c r="B142" s="926" t="s">
        <v>608</v>
      </c>
      <c r="C142" s="1400" t="s">
        <v>13</v>
      </c>
      <c r="D142" s="927">
        <v>46085</v>
      </c>
      <c r="E142" s="928" t="s">
        <v>7826</v>
      </c>
      <c r="F142" s="928" t="s">
        <v>236</v>
      </c>
      <c r="H142" s="1075" t="s">
        <v>279</v>
      </c>
      <c r="I142" s="998"/>
      <c r="J142" s="1140"/>
      <c r="K142" s="1140"/>
      <c r="L142" s="1140"/>
      <c r="M142" s="1272">
        <v>58231</v>
      </c>
      <c r="N142" s="1263"/>
      <c r="O142" s="930"/>
      <c r="V142" s="926" t="s">
        <v>7763</v>
      </c>
      <c r="W142" s="931">
        <v>0.70624999999999993</v>
      </c>
      <c r="X142" s="931">
        <v>0.99375000000000002</v>
      </c>
    </row>
    <row r="143" spans="1:24" s="33" customFormat="1" x14ac:dyDescent="0.25">
      <c r="A143" s="547" t="s">
        <v>7785</v>
      </c>
      <c r="B143" s="33" t="s">
        <v>3083</v>
      </c>
      <c r="C143" s="1402" t="s">
        <v>410</v>
      </c>
      <c r="D143" s="548">
        <v>46086</v>
      </c>
      <c r="E143" s="306" t="s">
        <v>7995</v>
      </c>
      <c r="F143" s="306" t="s">
        <v>2253</v>
      </c>
      <c r="H143" s="1286" t="s">
        <v>279</v>
      </c>
      <c r="I143" s="283"/>
      <c r="J143" s="1229"/>
      <c r="K143" s="1229"/>
      <c r="L143" s="1229"/>
      <c r="M143" s="1270">
        <v>58824</v>
      </c>
      <c r="N143" s="1262"/>
      <c r="O143" s="279"/>
      <c r="V143" s="33" t="s">
        <v>7060</v>
      </c>
      <c r="W143" s="550">
        <v>0.27361111111111108</v>
      </c>
      <c r="X143" s="550">
        <v>14.3</v>
      </c>
    </row>
    <row r="144" spans="1:24" s="33" customFormat="1" x14ac:dyDescent="0.25">
      <c r="A144" s="547" t="s">
        <v>7785</v>
      </c>
      <c r="B144" s="33" t="s">
        <v>614</v>
      </c>
      <c r="C144" s="1402" t="s">
        <v>13</v>
      </c>
      <c r="D144" s="548">
        <v>46086</v>
      </c>
      <c r="E144" s="306" t="s">
        <v>7972</v>
      </c>
      <c r="F144" s="306" t="s">
        <v>317</v>
      </c>
      <c r="H144" s="1286" t="s">
        <v>279</v>
      </c>
      <c r="I144" s="283"/>
      <c r="J144" s="1229"/>
      <c r="K144" s="1229"/>
      <c r="L144" s="1229"/>
      <c r="M144" s="1270">
        <v>45843</v>
      </c>
      <c r="N144" s="1262"/>
      <c r="O144" s="279"/>
      <c r="P144"/>
      <c r="Q144"/>
      <c r="V144" s="33" t="s">
        <v>7092</v>
      </c>
      <c r="W144" s="550">
        <v>0.28472222222222221</v>
      </c>
      <c r="X144" s="550">
        <v>0.71180555555555547</v>
      </c>
    </row>
    <row r="145" spans="1:25" s="33" customFormat="1" x14ac:dyDescent="0.25">
      <c r="A145" s="547" t="s">
        <v>7785</v>
      </c>
      <c r="B145" s="33" t="s">
        <v>614</v>
      </c>
      <c r="C145" s="1402" t="s">
        <v>4218</v>
      </c>
      <c r="D145" s="548">
        <v>46086</v>
      </c>
      <c r="E145" s="306" t="s">
        <v>7972</v>
      </c>
      <c r="F145" s="306" t="s">
        <v>285</v>
      </c>
      <c r="H145" s="1286" t="s">
        <v>279</v>
      </c>
      <c r="I145" s="283"/>
      <c r="J145" s="1229"/>
      <c r="K145" s="1229"/>
      <c r="L145" s="1229"/>
      <c r="M145" s="1270">
        <v>44096.6</v>
      </c>
      <c r="N145" s="1262"/>
      <c r="O145" s="279"/>
      <c r="P145"/>
      <c r="Q145"/>
      <c r="V145" s="33" t="s">
        <v>5393</v>
      </c>
      <c r="W145" s="550">
        <v>0.55347222222222225</v>
      </c>
      <c r="X145" s="550">
        <v>0.78749999999999998</v>
      </c>
    </row>
    <row r="146" spans="1:25" s="926" customFormat="1" x14ac:dyDescent="0.25">
      <c r="A146" s="925" t="s">
        <v>7798</v>
      </c>
      <c r="B146" s="926" t="s">
        <v>7799</v>
      </c>
      <c r="C146" s="1400" t="s">
        <v>410</v>
      </c>
      <c r="D146" s="927">
        <v>46087</v>
      </c>
      <c r="E146" s="928" t="s">
        <v>7825</v>
      </c>
      <c r="F146" s="928" t="s">
        <v>285</v>
      </c>
      <c r="H146" s="1288" t="s">
        <v>279</v>
      </c>
      <c r="I146" s="998"/>
      <c r="J146" s="1140"/>
      <c r="K146" s="1140"/>
      <c r="L146" s="1140"/>
      <c r="M146" s="1272">
        <v>42480</v>
      </c>
      <c r="N146" s="1263"/>
      <c r="O146" s="930"/>
      <c r="V146" s="926" t="s">
        <v>7335</v>
      </c>
      <c r="W146" s="931">
        <v>0.2722222222222222</v>
      </c>
      <c r="X146" s="931">
        <v>0.49583333333333335</v>
      </c>
    </row>
    <row r="147" spans="1:25" s="33" customFormat="1" x14ac:dyDescent="0.25">
      <c r="A147" s="547" t="s">
        <v>7798</v>
      </c>
      <c r="B147" s="33" t="s">
        <v>614</v>
      </c>
      <c r="C147" s="1402" t="s">
        <v>13</v>
      </c>
      <c r="D147" s="548">
        <v>46087</v>
      </c>
      <c r="E147" s="306" t="s">
        <v>7972</v>
      </c>
      <c r="F147" s="306" t="s">
        <v>2948</v>
      </c>
      <c r="H147" s="1286" t="s">
        <v>279</v>
      </c>
      <c r="I147" s="283"/>
      <c r="J147" s="1229"/>
      <c r="K147" s="1229"/>
      <c r="L147" s="1229"/>
      <c r="M147" s="1270">
        <v>24886.2</v>
      </c>
      <c r="N147" s="1262"/>
      <c r="O147" s="279"/>
      <c r="V147" s="33" t="s">
        <v>7548</v>
      </c>
      <c r="W147" s="550">
        <v>0.41250000000000003</v>
      </c>
      <c r="X147" s="550">
        <v>0.5756944444444444</v>
      </c>
    </row>
    <row r="148" spans="1:25" s="33" customFormat="1" x14ac:dyDescent="0.25">
      <c r="A148" s="547" t="s">
        <v>7798</v>
      </c>
      <c r="B148" s="33" t="s">
        <v>614</v>
      </c>
      <c r="C148" s="1402" t="s">
        <v>410</v>
      </c>
      <c r="D148" s="548">
        <v>46087</v>
      </c>
      <c r="E148" s="306" t="s">
        <v>7972</v>
      </c>
      <c r="F148" s="306" t="s">
        <v>143</v>
      </c>
      <c r="H148" s="1286" t="s">
        <v>279</v>
      </c>
      <c r="I148" s="283"/>
      <c r="J148" s="1229"/>
      <c r="K148" s="1229"/>
      <c r="L148" s="1229"/>
      <c r="M148" s="1270">
        <v>37111</v>
      </c>
      <c r="N148" s="1262"/>
      <c r="O148" s="279"/>
      <c r="V148" s="33" t="s">
        <v>7092</v>
      </c>
      <c r="W148" s="550">
        <v>0.57291666666666663</v>
      </c>
      <c r="X148" s="550">
        <v>0.80069444444444438</v>
      </c>
    </row>
    <row r="149" spans="1:25" s="33" customFormat="1" x14ac:dyDescent="0.25">
      <c r="A149" s="547" t="s">
        <v>7798</v>
      </c>
      <c r="B149" s="33" t="s">
        <v>2129</v>
      </c>
      <c r="C149" s="1402" t="s">
        <v>410</v>
      </c>
      <c r="D149" s="548">
        <v>46087</v>
      </c>
      <c r="E149" s="306" t="s">
        <v>7973</v>
      </c>
      <c r="F149" s="306" t="s">
        <v>236</v>
      </c>
      <c r="H149" s="1286" t="s">
        <v>279</v>
      </c>
      <c r="I149" s="283"/>
      <c r="J149" s="1229"/>
      <c r="K149" s="1229"/>
      <c r="L149" s="1229"/>
      <c r="M149" s="1270">
        <v>62540</v>
      </c>
      <c r="N149" s="1262"/>
      <c r="O149" s="279"/>
      <c r="V149" s="33" t="s">
        <v>6150</v>
      </c>
      <c r="W149" s="550">
        <v>0.85625000000000007</v>
      </c>
      <c r="X149" s="550">
        <v>0.12708333333333333</v>
      </c>
    </row>
    <row r="150" spans="1:25" s="33" customFormat="1" x14ac:dyDescent="0.25">
      <c r="A150" s="547" t="s">
        <v>7800</v>
      </c>
      <c r="B150" s="33" t="s">
        <v>614</v>
      </c>
      <c r="C150" s="1402" t="s">
        <v>410</v>
      </c>
      <c r="D150" s="548">
        <v>46088</v>
      </c>
      <c r="E150" s="306" t="s">
        <v>7972</v>
      </c>
      <c r="F150" s="306" t="s">
        <v>425</v>
      </c>
      <c r="H150" s="1286" t="s">
        <v>279</v>
      </c>
      <c r="I150" s="283"/>
      <c r="J150" s="1229"/>
      <c r="K150" s="1229"/>
      <c r="L150" s="1229"/>
      <c r="M150" s="1270">
        <v>33618.199999999997</v>
      </c>
      <c r="N150" s="1262"/>
      <c r="O150" s="279"/>
      <c r="V150" s="33" t="s">
        <v>7335</v>
      </c>
      <c r="W150" s="550">
        <v>0.57708333333333328</v>
      </c>
      <c r="X150" s="550">
        <v>0.76527777777777783</v>
      </c>
    </row>
    <row r="151" spans="1:25" s="33" customFormat="1" x14ac:dyDescent="0.25">
      <c r="A151" s="547" t="s">
        <v>7801</v>
      </c>
      <c r="B151" s="33" t="s">
        <v>614</v>
      </c>
      <c r="C151" s="1402" t="s">
        <v>13</v>
      </c>
      <c r="D151" s="548">
        <v>46089</v>
      </c>
      <c r="E151" s="306" t="s">
        <v>7972</v>
      </c>
      <c r="F151" s="306" t="s">
        <v>68</v>
      </c>
      <c r="H151" s="1286" t="s">
        <v>279</v>
      </c>
      <c r="I151" s="283"/>
      <c r="J151" s="1229"/>
      <c r="K151" s="1229"/>
      <c r="L151" s="1229"/>
      <c r="M151" s="1270">
        <v>44096.6</v>
      </c>
      <c r="N151" s="1262"/>
      <c r="O151" s="279"/>
      <c r="V151" s="33" t="s">
        <v>7763</v>
      </c>
      <c r="W151" s="550">
        <v>0.44930555555555557</v>
      </c>
      <c r="X151" s="550">
        <v>0.7006944444444444</v>
      </c>
    </row>
    <row r="152" spans="1:25" s="926" customFormat="1" x14ac:dyDescent="0.25">
      <c r="A152" s="925" t="s">
        <v>7802</v>
      </c>
      <c r="B152" s="926" t="s">
        <v>610</v>
      </c>
      <c r="C152" s="1400" t="s">
        <v>13</v>
      </c>
      <c r="D152" s="927">
        <v>46090</v>
      </c>
      <c r="E152" s="928" t="s">
        <v>7818</v>
      </c>
      <c r="F152" s="928" t="s">
        <v>106</v>
      </c>
      <c r="H152" s="1288" t="s">
        <v>279</v>
      </c>
      <c r="I152" s="998"/>
      <c r="J152" s="1140"/>
      <c r="K152" s="1140"/>
      <c r="L152" s="1140"/>
      <c r="M152" s="1272">
        <v>29770</v>
      </c>
      <c r="N152" s="1263"/>
      <c r="O152" s="930"/>
      <c r="V152" s="926" t="s">
        <v>7335</v>
      </c>
      <c r="W152" s="931">
        <v>0.58680555555555558</v>
      </c>
      <c r="X152" s="931">
        <v>0.74236111111111114</v>
      </c>
    </row>
    <row r="153" spans="1:25" s="926" customFormat="1" x14ac:dyDescent="0.25">
      <c r="A153" s="925" t="s">
        <v>7806</v>
      </c>
      <c r="B153" s="926" t="s">
        <v>7808</v>
      </c>
      <c r="C153" s="1400" t="s">
        <v>410</v>
      </c>
      <c r="D153" s="927">
        <v>46091</v>
      </c>
      <c r="E153" s="928" t="s">
        <v>7827</v>
      </c>
      <c r="F153" s="928" t="s">
        <v>236</v>
      </c>
      <c r="H153" s="1075" t="s">
        <v>5224</v>
      </c>
      <c r="I153" s="998"/>
      <c r="J153" s="1140"/>
      <c r="K153" s="1140"/>
      <c r="L153" s="1140"/>
      <c r="M153" s="1272">
        <v>47500</v>
      </c>
      <c r="N153" s="1263"/>
      <c r="O153" s="930"/>
      <c r="V153" s="926" t="s">
        <v>7417</v>
      </c>
      <c r="W153" s="931">
        <v>0.59583333333333333</v>
      </c>
      <c r="X153" s="931">
        <v>0.8847222222222223</v>
      </c>
    </row>
    <row r="154" spans="1:25" s="926" customFormat="1" x14ac:dyDescent="0.25">
      <c r="A154" s="925" t="s">
        <v>7806</v>
      </c>
      <c r="B154" s="926" t="s">
        <v>7808</v>
      </c>
      <c r="C154" s="1400" t="s">
        <v>4218</v>
      </c>
      <c r="D154" s="927">
        <v>46091</v>
      </c>
      <c r="E154" s="928" t="s">
        <v>7828</v>
      </c>
      <c r="F154" s="928" t="s">
        <v>236</v>
      </c>
      <c r="H154" s="1075" t="s">
        <v>279</v>
      </c>
      <c r="I154" s="998"/>
      <c r="J154" s="1140"/>
      <c r="K154" s="1140"/>
      <c r="L154" s="1140"/>
      <c r="M154" s="1272">
        <v>53850</v>
      </c>
      <c r="N154" s="1263"/>
      <c r="O154" s="930"/>
      <c r="V154" s="926" t="s">
        <v>5131</v>
      </c>
      <c r="W154" s="931">
        <v>0.57986111111111105</v>
      </c>
      <c r="X154" s="931">
        <v>0.8652777777777777</v>
      </c>
      <c r="Y154" s="931"/>
    </row>
    <row r="155" spans="1:25" s="33" customFormat="1" x14ac:dyDescent="0.25">
      <c r="A155" s="547" t="s">
        <v>7807</v>
      </c>
      <c r="B155" s="33" t="s">
        <v>614</v>
      </c>
      <c r="C155" s="1402" t="s">
        <v>4218</v>
      </c>
      <c r="D155" s="548">
        <v>46092</v>
      </c>
      <c r="E155" s="306" t="s">
        <v>7972</v>
      </c>
      <c r="F155" s="306" t="s">
        <v>2036</v>
      </c>
      <c r="H155" s="1109" t="s">
        <v>279</v>
      </c>
      <c r="I155" s="283"/>
      <c r="J155" s="1229"/>
      <c r="K155" s="1229"/>
      <c r="L155" s="1229"/>
      <c r="M155" s="1270">
        <v>26632.6</v>
      </c>
      <c r="N155" s="1262"/>
      <c r="O155" s="279"/>
      <c r="V155" s="33" t="s">
        <v>4867</v>
      </c>
      <c r="W155" s="550">
        <v>0.375</v>
      </c>
      <c r="X155" s="550">
        <v>0.5083333333333333</v>
      </c>
    </row>
    <row r="156" spans="1:25" s="33" customFormat="1" x14ac:dyDescent="0.25">
      <c r="A156" s="547" t="s">
        <v>7807</v>
      </c>
      <c r="B156" s="33" t="s">
        <v>614</v>
      </c>
      <c r="C156" s="1402" t="s">
        <v>410</v>
      </c>
      <c r="D156" s="548">
        <v>46092</v>
      </c>
      <c r="E156" s="306" t="s">
        <v>7972</v>
      </c>
      <c r="F156" s="306" t="s">
        <v>68</v>
      </c>
      <c r="H156" s="1109" t="s">
        <v>279</v>
      </c>
      <c r="I156" s="283"/>
      <c r="J156" s="1229"/>
      <c r="K156" s="1229"/>
      <c r="L156" s="1229"/>
      <c r="M156" s="1270">
        <v>44096.6</v>
      </c>
      <c r="N156" s="1262"/>
      <c r="O156" s="279"/>
      <c r="V156" s="33" t="s">
        <v>7092</v>
      </c>
      <c r="W156" s="550">
        <v>0.29236111111111113</v>
      </c>
      <c r="X156" s="550">
        <v>0.53819444444444442</v>
      </c>
    </row>
    <row r="157" spans="1:25" s="291" customFormat="1" x14ac:dyDescent="0.25">
      <c r="A157" s="544" t="s">
        <v>7820</v>
      </c>
      <c r="B157" s="291" t="s">
        <v>4870</v>
      </c>
      <c r="C157" s="1409" t="s">
        <v>410</v>
      </c>
      <c r="D157" s="545">
        <v>46093</v>
      </c>
      <c r="E157" s="310" t="s">
        <v>8006</v>
      </c>
      <c r="F157" s="310" t="s">
        <v>285</v>
      </c>
      <c r="H157" s="1286" t="s">
        <v>279</v>
      </c>
      <c r="J157" s="1286"/>
      <c r="K157" s="1286"/>
      <c r="L157" s="1286"/>
      <c r="M157" s="945">
        <v>44000</v>
      </c>
      <c r="N157" s="1290"/>
      <c r="O157" s="293"/>
      <c r="V157" s="291" t="s">
        <v>5989</v>
      </c>
      <c r="W157" s="546">
        <v>0.30902777777777779</v>
      </c>
      <c r="X157" s="546">
        <v>0.58333333333333337</v>
      </c>
    </row>
    <row r="158" spans="1:25" s="291" customFormat="1" x14ac:dyDescent="0.25">
      <c r="A158" s="544" t="s">
        <v>7820</v>
      </c>
      <c r="B158" s="291" t="s">
        <v>614</v>
      </c>
      <c r="C158" s="1409" t="s">
        <v>13</v>
      </c>
      <c r="D158" s="545">
        <v>46093</v>
      </c>
      <c r="E158" s="306" t="s">
        <v>7972</v>
      </c>
      <c r="F158" s="310" t="s">
        <v>2008</v>
      </c>
      <c r="H158" s="1286" t="s">
        <v>279</v>
      </c>
      <c r="J158" s="1286"/>
      <c r="K158" s="1286"/>
      <c r="L158" s="1286"/>
      <c r="M158" s="945">
        <v>46716.2</v>
      </c>
      <c r="N158" s="1290"/>
      <c r="O158" s="293"/>
      <c r="V158" s="291" t="s">
        <v>7092</v>
      </c>
      <c r="W158" s="546">
        <v>0.57152777777777775</v>
      </c>
      <c r="X158" s="546">
        <v>0.8652777777777777</v>
      </c>
    </row>
    <row r="159" spans="1:25" s="291" customFormat="1" x14ac:dyDescent="0.25">
      <c r="A159" s="544" t="s">
        <v>7823</v>
      </c>
      <c r="B159" s="291" t="s">
        <v>614</v>
      </c>
      <c r="C159" s="1409" t="s">
        <v>13</v>
      </c>
      <c r="D159" s="545">
        <v>46094</v>
      </c>
      <c r="E159" s="306" t="s">
        <v>7972</v>
      </c>
      <c r="F159" s="310" t="s">
        <v>106</v>
      </c>
      <c r="H159" s="1286" t="s">
        <v>279</v>
      </c>
      <c r="J159" s="1286"/>
      <c r="K159" s="1286"/>
      <c r="L159" s="1286"/>
      <c r="M159" s="945">
        <v>26632.6</v>
      </c>
      <c r="N159" s="1290"/>
      <c r="O159" s="293"/>
      <c r="V159" s="291" t="s">
        <v>5393</v>
      </c>
      <c r="W159" s="546">
        <v>0.27708333333333335</v>
      </c>
    </row>
    <row r="160" spans="1:25" s="947" customFormat="1" x14ac:dyDescent="0.25">
      <c r="A160" s="946" t="s">
        <v>7823</v>
      </c>
      <c r="B160" s="947" t="s">
        <v>3880</v>
      </c>
      <c r="C160" s="1410" t="s">
        <v>410</v>
      </c>
      <c r="D160" s="949">
        <v>46094</v>
      </c>
      <c r="E160" s="948" t="s">
        <v>7829</v>
      </c>
      <c r="F160" s="948" t="s">
        <v>545</v>
      </c>
      <c r="H160" s="1288" t="s">
        <v>279</v>
      </c>
      <c r="J160" s="1288"/>
      <c r="K160" s="1288"/>
      <c r="L160" s="1288"/>
      <c r="M160" s="950">
        <v>32284.400000000001</v>
      </c>
      <c r="N160" s="1291"/>
      <c r="O160" s="1292"/>
      <c r="V160" s="947" t="s">
        <v>6067</v>
      </c>
      <c r="W160" s="951">
        <v>0.29166666666666669</v>
      </c>
      <c r="X160" s="951">
        <v>0.45416666666666666</v>
      </c>
    </row>
    <row r="161" spans="1:25" s="947" customFormat="1" x14ac:dyDescent="0.25">
      <c r="A161" s="946" t="s">
        <v>7823</v>
      </c>
      <c r="B161" s="947" t="s">
        <v>3880</v>
      </c>
      <c r="C161" s="1410" t="s">
        <v>410</v>
      </c>
      <c r="D161" s="949">
        <v>46094</v>
      </c>
      <c r="E161" s="948" t="s">
        <v>7830</v>
      </c>
      <c r="F161" s="948" t="s">
        <v>545</v>
      </c>
      <c r="H161" s="1288" t="s">
        <v>279</v>
      </c>
      <c r="J161" s="1288"/>
      <c r="K161" s="1288"/>
      <c r="L161" s="1288"/>
      <c r="M161" s="950">
        <v>32284.400000000001</v>
      </c>
      <c r="N161" s="1291"/>
      <c r="O161" s="1292"/>
      <c r="V161" s="947" t="s">
        <v>6067</v>
      </c>
      <c r="W161" s="951">
        <v>0.48958333333333331</v>
      </c>
      <c r="X161" s="951">
        <v>0.65347222222222223</v>
      </c>
    </row>
    <row r="162" spans="1:25" s="947" customFormat="1" x14ac:dyDescent="0.25">
      <c r="A162" s="946" t="s">
        <v>7823</v>
      </c>
      <c r="B162" s="947" t="s">
        <v>7822</v>
      </c>
      <c r="C162" s="1410" t="s">
        <v>13</v>
      </c>
      <c r="D162" s="949">
        <v>46094</v>
      </c>
      <c r="E162" s="948" t="s">
        <v>7904</v>
      </c>
      <c r="F162" s="948" t="s">
        <v>2107</v>
      </c>
      <c r="H162" s="1288" t="s">
        <v>279</v>
      </c>
      <c r="J162" s="1288"/>
      <c r="K162" s="1288"/>
      <c r="L162" s="1288"/>
      <c r="M162" s="950">
        <v>33305</v>
      </c>
      <c r="N162" s="1291"/>
      <c r="O162" s="1292"/>
      <c r="P162" s="20"/>
      <c r="Q162" s="20"/>
      <c r="V162" s="947" t="s">
        <v>5393</v>
      </c>
      <c r="W162" s="951">
        <v>0.52638888888888891</v>
      </c>
      <c r="X162" s="951">
        <v>0.69166666666666676</v>
      </c>
      <c r="Y162" s="951"/>
    </row>
    <row r="163" spans="1:25" s="947" customFormat="1" x14ac:dyDescent="0.25">
      <c r="A163" s="946" t="s">
        <v>7823</v>
      </c>
      <c r="B163" s="947" t="s">
        <v>614</v>
      </c>
      <c r="C163" s="1410" t="s">
        <v>410</v>
      </c>
      <c r="D163" s="949">
        <v>46094</v>
      </c>
      <c r="E163" s="948" t="s">
        <v>7841</v>
      </c>
      <c r="F163" s="948" t="s">
        <v>126</v>
      </c>
      <c r="H163" s="1288" t="s">
        <v>279</v>
      </c>
      <c r="J163" s="1288"/>
      <c r="K163" s="1288"/>
      <c r="L163" s="1288"/>
      <c r="M163" s="950">
        <v>37111</v>
      </c>
      <c r="N163" s="1291"/>
      <c r="O163" s="1292"/>
      <c r="V163" s="947" t="s">
        <v>7092</v>
      </c>
      <c r="W163" s="951">
        <v>0.74305555555555547</v>
      </c>
      <c r="X163" s="951">
        <v>0.95833333333333337</v>
      </c>
    </row>
    <row r="164" spans="1:25" s="291" customFormat="1" x14ac:dyDescent="0.25">
      <c r="A164" s="544" t="s">
        <v>7832</v>
      </c>
      <c r="B164" s="291" t="s">
        <v>3204</v>
      </c>
      <c r="C164" s="1409" t="s">
        <v>13</v>
      </c>
      <c r="D164" s="545">
        <v>46095</v>
      </c>
      <c r="E164" s="310" t="s">
        <v>8112</v>
      </c>
      <c r="F164" s="310" t="s">
        <v>2253</v>
      </c>
      <c r="H164" s="1286" t="s">
        <v>279</v>
      </c>
      <c r="J164" s="1286"/>
      <c r="K164" s="1286"/>
      <c r="L164" s="1286"/>
      <c r="M164" s="945">
        <f>43500+11800</f>
        <v>55300</v>
      </c>
      <c r="N164" s="1290"/>
      <c r="O164" s="293"/>
      <c r="V164" s="291" t="s">
        <v>7833</v>
      </c>
      <c r="W164" s="546">
        <v>0.27152777777777776</v>
      </c>
      <c r="X164" s="546">
        <v>0.62361111111111112</v>
      </c>
    </row>
    <row r="165" spans="1:25" s="947" customFormat="1" x14ac:dyDescent="0.25">
      <c r="A165" s="946" t="s">
        <v>7832</v>
      </c>
      <c r="B165" s="926" t="s">
        <v>7808</v>
      </c>
      <c r="C165" s="1410" t="s">
        <v>410</v>
      </c>
      <c r="D165" s="949">
        <v>46095</v>
      </c>
      <c r="E165" s="948" t="s">
        <v>7934</v>
      </c>
      <c r="F165" s="948" t="s">
        <v>236</v>
      </c>
      <c r="H165" s="1288" t="s">
        <v>279</v>
      </c>
      <c r="J165" s="1288"/>
      <c r="K165" s="1288"/>
      <c r="L165" s="1288"/>
      <c r="M165" s="950">
        <v>53850</v>
      </c>
      <c r="N165" s="1291"/>
      <c r="O165" s="1292"/>
      <c r="V165" s="947" t="s">
        <v>5131</v>
      </c>
      <c r="W165" s="951">
        <v>0.75069444444444444</v>
      </c>
      <c r="X165" s="951">
        <v>4.4444444444444446E-2</v>
      </c>
    </row>
    <row r="166" spans="1:25" s="291" customFormat="1" x14ac:dyDescent="0.25">
      <c r="A166" s="544" t="s">
        <v>7856</v>
      </c>
      <c r="B166" s="291" t="s">
        <v>6109</v>
      </c>
      <c r="C166" s="1409" t="s">
        <v>13</v>
      </c>
      <c r="D166" s="545">
        <v>46099</v>
      </c>
      <c r="E166" s="310" t="s">
        <v>8018</v>
      </c>
      <c r="F166" s="310" t="s">
        <v>207</v>
      </c>
      <c r="H166" s="1286" t="s">
        <v>279</v>
      </c>
      <c r="J166" s="1286"/>
      <c r="K166" s="1286"/>
      <c r="L166" s="1286"/>
      <c r="M166" s="945"/>
      <c r="N166" s="945">
        <v>9500</v>
      </c>
      <c r="O166" s="293"/>
      <c r="P166" s="947"/>
      <c r="Q166" s="947"/>
      <c r="V166" s="291" t="s">
        <v>7842</v>
      </c>
      <c r="W166" s="546">
        <v>0.27847222222222223</v>
      </c>
      <c r="X166" s="546">
        <v>0.49861111111111112</v>
      </c>
    </row>
    <row r="167" spans="1:25" s="291" customFormat="1" x14ac:dyDescent="0.25">
      <c r="A167" s="544" t="s">
        <v>7856</v>
      </c>
      <c r="B167" s="291" t="s">
        <v>7609</v>
      </c>
      <c r="C167" s="1409" t="s">
        <v>4218</v>
      </c>
      <c r="D167" s="545">
        <v>46099</v>
      </c>
      <c r="E167" s="310" t="s">
        <v>7935</v>
      </c>
      <c r="F167" s="310" t="s">
        <v>236</v>
      </c>
      <c r="H167" s="1286" t="s">
        <v>279</v>
      </c>
      <c r="J167" s="1286"/>
      <c r="K167" s="1286"/>
      <c r="L167" s="1286"/>
      <c r="M167" s="945">
        <v>53850</v>
      </c>
      <c r="N167" s="1290"/>
      <c r="O167" s="293"/>
      <c r="P167" s="947"/>
      <c r="Q167" s="947"/>
      <c r="V167" s="291" t="s">
        <v>5131</v>
      </c>
      <c r="W167" s="546">
        <v>0.34027777777777773</v>
      </c>
      <c r="X167" s="546">
        <v>0.60972222222222217</v>
      </c>
    </row>
    <row r="168" spans="1:25" s="291" customFormat="1" x14ac:dyDescent="0.25">
      <c r="A168" s="544" t="s">
        <v>7856</v>
      </c>
      <c r="B168" s="291" t="s">
        <v>2227</v>
      </c>
      <c r="C168" s="1409" t="s">
        <v>13</v>
      </c>
      <c r="D168" s="545">
        <v>46099</v>
      </c>
      <c r="E168" s="310" t="s">
        <v>8032</v>
      </c>
      <c r="F168" s="310" t="s">
        <v>106</v>
      </c>
      <c r="H168" s="1286" t="s">
        <v>279</v>
      </c>
      <c r="J168" s="1286"/>
      <c r="K168" s="1286"/>
      <c r="L168" s="1286"/>
      <c r="M168" s="945">
        <v>28000</v>
      </c>
      <c r="N168" s="1290"/>
      <c r="O168" s="293"/>
      <c r="V168" s="291" t="s">
        <v>7842</v>
      </c>
      <c r="W168" s="546">
        <v>0.54305555555555551</v>
      </c>
      <c r="X168" s="546">
        <v>0.72569444444444453</v>
      </c>
    </row>
    <row r="169" spans="1:25" s="947" customFormat="1" x14ac:dyDescent="0.25">
      <c r="A169" s="946" t="s">
        <v>7856</v>
      </c>
      <c r="B169" s="947" t="s">
        <v>1720</v>
      </c>
      <c r="C169" s="1410" t="s">
        <v>4218</v>
      </c>
      <c r="D169" s="949">
        <v>46099</v>
      </c>
      <c r="E169" s="948" t="s">
        <v>7868</v>
      </c>
      <c r="F169" s="948" t="s">
        <v>545</v>
      </c>
      <c r="H169" s="1288" t="s">
        <v>279</v>
      </c>
      <c r="J169" s="1288"/>
      <c r="K169" s="1288"/>
      <c r="L169" s="1288"/>
      <c r="M169" s="950">
        <v>36500</v>
      </c>
      <c r="N169" s="1291"/>
      <c r="O169" s="1292"/>
      <c r="V169" s="947" t="s">
        <v>4983</v>
      </c>
      <c r="W169" s="951">
        <v>0.7402777777777777</v>
      </c>
      <c r="X169" s="951">
        <v>0.91249999999999998</v>
      </c>
    </row>
    <row r="170" spans="1:25" s="291" customFormat="1" x14ac:dyDescent="0.25">
      <c r="A170" s="544" t="s">
        <v>7857</v>
      </c>
      <c r="B170" s="291" t="s">
        <v>1335</v>
      </c>
      <c r="C170" s="1409" t="s">
        <v>13</v>
      </c>
      <c r="D170" s="545">
        <v>46100</v>
      </c>
      <c r="E170" s="306" t="s">
        <v>7974</v>
      </c>
      <c r="F170" s="310" t="s">
        <v>236</v>
      </c>
      <c r="H170" s="1286" t="s">
        <v>279</v>
      </c>
      <c r="J170" s="1286"/>
      <c r="K170" s="1286"/>
      <c r="L170" s="1286"/>
      <c r="M170" s="945">
        <v>64500</v>
      </c>
      <c r="N170" s="1290"/>
      <c r="O170" s="293"/>
      <c r="V170" s="291" t="s">
        <v>7858</v>
      </c>
      <c r="W170" s="546">
        <v>0.31666666666666665</v>
      </c>
      <c r="X170" s="546">
        <v>0.60277777777777775</v>
      </c>
    </row>
    <row r="171" spans="1:25" s="926" customFormat="1" x14ac:dyDescent="0.25">
      <c r="A171" s="925" t="s">
        <v>7857</v>
      </c>
      <c r="B171" s="926" t="s">
        <v>6281</v>
      </c>
      <c r="C171" s="1400" t="s">
        <v>410</v>
      </c>
      <c r="D171" s="927">
        <v>46100</v>
      </c>
      <c r="E171" s="928" t="s">
        <v>7877</v>
      </c>
      <c r="F171" s="928" t="s">
        <v>143</v>
      </c>
      <c r="H171" s="1288" t="s">
        <v>279</v>
      </c>
      <c r="I171" s="998"/>
      <c r="J171" s="1140"/>
      <c r="K171" s="1140"/>
      <c r="L171" s="1140"/>
      <c r="M171" s="1272">
        <v>40630</v>
      </c>
      <c r="N171" s="1263"/>
      <c r="O171" s="930"/>
      <c r="P171" s="5"/>
      <c r="Q171" s="5"/>
      <c r="V171" s="926" t="s">
        <v>4297</v>
      </c>
      <c r="W171" s="931">
        <v>0.43333333333333335</v>
      </c>
      <c r="X171" s="931">
        <v>0.64236111111111105</v>
      </c>
    </row>
    <row r="172" spans="1:25" s="33" customFormat="1" x14ac:dyDescent="0.25">
      <c r="A172" s="547" t="s">
        <v>7860</v>
      </c>
      <c r="B172" s="291" t="s">
        <v>7508</v>
      </c>
      <c r="C172" s="1402" t="s">
        <v>13</v>
      </c>
      <c r="D172" s="548">
        <v>46101</v>
      </c>
      <c r="E172" s="306" t="s">
        <v>7996</v>
      </c>
      <c r="F172" s="306" t="s">
        <v>563</v>
      </c>
      <c r="H172" s="1286" t="s">
        <v>279</v>
      </c>
      <c r="I172" s="283"/>
      <c r="J172" s="1229"/>
      <c r="K172" s="1229"/>
      <c r="L172" s="1229"/>
      <c r="M172" s="1270">
        <v>27700</v>
      </c>
      <c r="N172" s="1262"/>
      <c r="O172" s="279"/>
      <c r="V172" s="291" t="s">
        <v>4983</v>
      </c>
      <c r="W172" s="550">
        <v>0.2902777777777778</v>
      </c>
      <c r="X172" s="550">
        <v>0.50416666666666665</v>
      </c>
    </row>
    <row r="173" spans="1:25" s="33" customFormat="1" x14ac:dyDescent="0.25">
      <c r="A173" s="547" t="s">
        <v>7860</v>
      </c>
      <c r="B173" s="291" t="s">
        <v>614</v>
      </c>
      <c r="C173" s="1402" t="s">
        <v>13</v>
      </c>
      <c r="D173" s="548">
        <v>46101</v>
      </c>
      <c r="E173" s="306" t="s">
        <v>7972</v>
      </c>
      <c r="F173" s="306" t="s">
        <v>2036</v>
      </c>
      <c r="H173" s="1286" t="s">
        <v>279</v>
      </c>
      <c r="I173" s="283"/>
      <c r="J173" s="1229"/>
      <c r="K173" s="1229"/>
      <c r="L173" s="1229"/>
      <c r="M173" s="279">
        <v>26632.6</v>
      </c>
      <c r="N173" s="1262"/>
      <c r="O173" s="279"/>
      <c r="V173" s="33" t="s">
        <v>4983</v>
      </c>
      <c r="W173" s="550">
        <v>0.52916666666666667</v>
      </c>
      <c r="X173" s="550">
        <v>15.53</v>
      </c>
    </row>
    <row r="174" spans="1:25" s="926" customFormat="1" x14ac:dyDescent="0.25">
      <c r="A174" s="925" t="s">
        <v>7860</v>
      </c>
      <c r="B174" s="947" t="s">
        <v>1720</v>
      </c>
      <c r="C174" s="1400" t="s">
        <v>4218</v>
      </c>
      <c r="D174" s="927">
        <v>46101</v>
      </c>
      <c r="E174" s="928" t="s">
        <v>7875</v>
      </c>
      <c r="F174" s="928" t="s">
        <v>545</v>
      </c>
      <c r="H174" s="1288" t="s">
        <v>279</v>
      </c>
      <c r="I174" s="998"/>
      <c r="J174" s="1140"/>
      <c r="K174" s="1140"/>
      <c r="L174" s="1140"/>
      <c r="M174" s="1272">
        <v>36500</v>
      </c>
      <c r="N174" s="1263"/>
      <c r="O174" s="930"/>
      <c r="V174" s="926" t="s">
        <v>4138</v>
      </c>
      <c r="W174" s="931">
        <v>18.2</v>
      </c>
      <c r="X174" s="931">
        <v>0.92499999999999993</v>
      </c>
    </row>
    <row r="175" spans="1:25" s="5" customFormat="1" ht="14.45" customHeight="1" x14ac:dyDescent="0.25">
      <c r="A175" s="495" t="s">
        <v>7869</v>
      </c>
      <c r="B175" s="20" t="s">
        <v>7917</v>
      </c>
      <c r="C175" s="1406" t="s">
        <v>13</v>
      </c>
      <c r="D175" s="494">
        <v>46102</v>
      </c>
      <c r="E175" s="127"/>
      <c r="F175" s="127" t="s">
        <v>545</v>
      </c>
      <c r="H175" s="1287" t="s">
        <v>279</v>
      </c>
      <c r="I175" s="16"/>
      <c r="J175" s="1215"/>
      <c r="K175" s="1215"/>
      <c r="L175" s="1215"/>
      <c r="M175" s="1271">
        <v>36500</v>
      </c>
      <c r="N175" s="1261"/>
      <c r="O175" s="89"/>
      <c r="V175" s="5" t="s">
        <v>7122</v>
      </c>
      <c r="W175" s="496">
        <v>0.18958333333333333</v>
      </c>
      <c r="X175" s="496">
        <v>0.3527777777777778</v>
      </c>
    </row>
    <row r="176" spans="1:25" s="33" customFormat="1" x14ac:dyDescent="0.25">
      <c r="A176" s="547" t="s">
        <v>7870</v>
      </c>
      <c r="B176" s="291" t="s">
        <v>614</v>
      </c>
      <c r="C176" s="1402" t="s">
        <v>13</v>
      </c>
      <c r="D176" s="548">
        <v>46104</v>
      </c>
      <c r="E176" s="306" t="s">
        <v>7972</v>
      </c>
      <c r="F176" s="306" t="s">
        <v>563</v>
      </c>
      <c r="H176" s="1286" t="s">
        <v>279</v>
      </c>
      <c r="I176" s="283"/>
      <c r="J176" s="1229"/>
      <c r="K176" s="1229"/>
      <c r="L176" s="1229"/>
      <c r="M176" s="1270">
        <v>28379</v>
      </c>
      <c r="N176" s="1262"/>
      <c r="O176" s="279"/>
      <c r="V176" s="33" t="s">
        <v>7060</v>
      </c>
      <c r="W176" s="550">
        <v>0.36319444444444443</v>
      </c>
      <c r="X176" s="550">
        <v>0.55069444444444449</v>
      </c>
    </row>
    <row r="177" spans="1:16383" s="33" customFormat="1" x14ac:dyDescent="0.25">
      <c r="A177" s="547" t="s">
        <v>7870</v>
      </c>
      <c r="B177" s="291" t="s">
        <v>4137</v>
      </c>
      <c r="C177" s="1402" t="s">
        <v>410</v>
      </c>
      <c r="D177" s="548">
        <v>46104</v>
      </c>
      <c r="E177" s="306" t="s">
        <v>8104</v>
      </c>
      <c r="F177" s="306" t="s">
        <v>106</v>
      </c>
      <c r="H177" s="1286" t="s">
        <v>279</v>
      </c>
      <c r="I177" s="283"/>
      <c r="J177" s="1229"/>
      <c r="K177" s="1229"/>
      <c r="L177" s="1229"/>
      <c r="M177" s="1270">
        <v>28000</v>
      </c>
      <c r="N177" s="1262"/>
      <c r="O177" s="279"/>
      <c r="V177" s="33" t="s">
        <v>5131</v>
      </c>
      <c r="W177" s="550">
        <v>0.55833333333333335</v>
      </c>
      <c r="X177" s="550">
        <v>0.74652777777777779</v>
      </c>
    </row>
    <row r="178" spans="1:16383" s="33" customFormat="1" x14ac:dyDescent="0.25">
      <c r="A178" s="547" t="s">
        <v>7873</v>
      </c>
      <c r="B178" s="291" t="s">
        <v>3236</v>
      </c>
      <c r="C178" s="1402" t="s">
        <v>410</v>
      </c>
      <c r="D178" s="548">
        <v>46105</v>
      </c>
      <c r="E178" s="306" t="s">
        <v>8403</v>
      </c>
      <c r="F178" s="306" t="s">
        <v>68</v>
      </c>
      <c r="H178" s="1286" t="s">
        <v>279</v>
      </c>
      <c r="I178" s="283"/>
      <c r="J178" s="1229"/>
      <c r="K178" s="1229"/>
      <c r="L178" s="1229"/>
      <c r="M178" s="1270">
        <f>8732+38731</f>
        <v>47463</v>
      </c>
      <c r="N178" s="1262"/>
      <c r="O178" s="279"/>
      <c r="P178"/>
      <c r="Q178"/>
      <c r="V178" s="33" t="s">
        <v>7842</v>
      </c>
      <c r="W178" s="550">
        <v>0.46736111111111112</v>
      </c>
      <c r="X178" s="550">
        <v>0.74791666666666667</v>
      </c>
    </row>
    <row r="179" spans="1:16383" s="926" customFormat="1" x14ac:dyDescent="0.25">
      <c r="A179" s="925" t="s">
        <v>7873</v>
      </c>
      <c r="B179" s="947" t="s">
        <v>3880</v>
      </c>
      <c r="C179" s="1400" t="s">
        <v>13</v>
      </c>
      <c r="D179" s="927">
        <v>46105</v>
      </c>
      <c r="E179" s="928" t="s">
        <v>7920</v>
      </c>
      <c r="F179" s="928" t="s">
        <v>545</v>
      </c>
      <c r="H179" s="1288" t="s">
        <v>279</v>
      </c>
      <c r="I179" s="998"/>
      <c r="J179" s="1140"/>
      <c r="K179" s="1140"/>
      <c r="L179" s="1140"/>
      <c r="M179" s="1272">
        <v>36500</v>
      </c>
      <c r="N179" s="1263"/>
      <c r="O179" s="930"/>
      <c r="P179"/>
      <c r="Q179"/>
      <c r="V179" s="926" t="s">
        <v>5131</v>
      </c>
      <c r="W179" s="931">
        <v>0.56666666666666665</v>
      </c>
      <c r="X179" s="931">
        <v>0.75624999999999998</v>
      </c>
    </row>
    <row r="180" spans="1:16383" s="120" customFormat="1" x14ac:dyDescent="0.25">
      <c r="A180" s="595" t="s">
        <v>7878</v>
      </c>
      <c r="B180" s="575" t="s">
        <v>3204</v>
      </c>
      <c r="C180" s="1407" t="s">
        <v>410</v>
      </c>
      <c r="D180" s="427">
        <v>46106</v>
      </c>
      <c r="E180" s="334" t="s">
        <v>8154</v>
      </c>
      <c r="F180" s="334" t="s">
        <v>7879</v>
      </c>
      <c r="H180" s="1386" t="s">
        <v>279</v>
      </c>
      <c r="I180" s="429"/>
      <c r="J180" s="1304"/>
      <c r="K180" s="1304"/>
      <c r="L180" s="1304"/>
      <c r="M180" s="1387">
        <v>58888</v>
      </c>
      <c r="N180" s="1353"/>
      <c r="O180" s="150"/>
      <c r="V180" s="120" t="s">
        <v>5989</v>
      </c>
      <c r="W180" s="597">
        <v>0.47986111111111113</v>
      </c>
      <c r="X180" s="597">
        <v>0.85416666666666663</v>
      </c>
    </row>
    <row r="181" spans="1:16383" s="33" customFormat="1" x14ac:dyDescent="0.25">
      <c r="A181" s="547" t="s">
        <v>7880</v>
      </c>
      <c r="B181" s="291" t="s">
        <v>610</v>
      </c>
      <c r="C181" s="1402" t="s">
        <v>13</v>
      </c>
      <c r="D181" s="548">
        <v>46107</v>
      </c>
      <c r="E181" s="306" t="s">
        <v>7890</v>
      </c>
      <c r="F181" s="306" t="s">
        <v>106</v>
      </c>
      <c r="H181" s="1286" t="s">
        <v>279</v>
      </c>
      <c r="I181" s="283"/>
      <c r="J181" s="1229"/>
      <c r="K181" s="1229"/>
      <c r="L181" s="1229"/>
      <c r="M181" s="1270">
        <v>30850</v>
      </c>
      <c r="N181" s="1262"/>
      <c r="O181" s="279"/>
      <c r="P181"/>
      <c r="Q181"/>
      <c r="V181" s="33" t="s">
        <v>7335</v>
      </c>
      <c r="W181" s="550">
        <v>0.27986111111111112</v>
      </c>
      <c r="X181" s="550">
        <v>0.44305555555555554</v>
      </c>
    </row>
    <row r="182" spans="1:16383" s="33" customFormat="1" x14ac:dyDescent="0.25">
      <c r="A182" s="547" t="s">
        <v>7880</v>
      </c>
      <c r="B182" s="291" t="s">
        <v>7656</v>
      </c>
      <c r="C182" s="1402" t="s">
        <v>13</v>
      </c>
      <c r="D182" s="548">
        <v>46107</v>
      </c>
      <c r="E182" s="306" t="s">
        <v>8015</v>
      </c>
      <c r="F182" s="306" t="s">
        <v>563</v>
      </c>
      <c r="H182" s="1286" t="s">
        <v>279</v>
      </c>
      <c r="I182" s="283"/>
      <c r="J182" s="1229"/>
      <c r="K182" s="1229"/>
      <c r="L182" s="1229"/>
      <c r="M182" s="1270">
        <v>27700</v>
      </c>
      <c r="N182" s="1262"/>
      <c r="O182" s="279"/>
      <c r="V182" s="33" t="s">
        <v>7335</v>
      </c>
      <c r="W182" s="550">
        <v>0.49236111111111108</v>
      </c>
      <c r="X182" s="550">
        <v>16.27</v>
      </c>
    </row>
    <row r="183" spans="1:16383" s="926" customFormat="1" x14ac:dyDescent="0.25">
      <c r="A183" s="925" t="s">
        <v>7880</v>
      </c>
      <c r="B183" s="947" t="s">
        <v>3880</v>
      </c>
      <c r="C183" s="1400" t="s">
        <v>13</v>
      </c>
      <c r="D183" s="927">
        <v>46107</v>
      </c>
      <c r="E183" s="928" t="s">
        <v>7918</v>
      </c>
      <c r="F183" s="928" t="s">
        <v>545</v>
      </c>
      <c r="H183" s="1288" t="s">
        <v>279</v>
      </c>
      <c r="I183" s="998"/>
      <c r="J183" s="1140"/>
      <c r="K183" s="1140"/>
      <c r="L183" s="1140"/>
      <c r="M183" s="1272">
        <v>36500</v>
      </c>
      <c r="N183" s="1263"/>
      <c r="O183" s="930"/>
      <c r="P183"/>
      <c r="Q183"/>
      <c r="V183" s="926" t="s">
        <v>7833</v>
      </c>
      <c r="W183" s="931">
        <v>0.7597222222222223</v>
      </c>
      <c r="X183" s="931">
        <v>0.94444444444444453</v>
      </c>
    </row>
    <row r="184" spans="1:16383" s="33" customFormat="1" x14ac:dyDescent="0.25">
      <c r="A184" s="547" t="s">
        <v>7880</v>
      </c>
      <c r="B184" s="291" t="s">
        <v>7609</v>
      </c>
      <c r="C184" s="1402" t="s">
        <v>410</v>
      </c>
      <c r="D184" s="548">
        <v>46107</v>
      </c>
      <c r="E184" s="306" t="s">
        <v>7927</v>
      </c>
      <c r="F184" s="306" t="s">
        <v>236</v>
      </c>
      <c r="H184" s="1286" t="s">
        <v>5224</v>
      </c>
      <c r="I184" s="283"/>
      <c r="J184" s="1229"/>
      <c r="K184" s="1229"/>
      <c r="L184" s="1229"/>
      <c r="M184" s="1270">
        <v>52158</v>
      </c>
      <c r="N184" s="1262"/>
      <c r="O184" s="279"/>
      <c r="P184"/>
      <c r="Q184"/>
      <c r="V184" s="33" t="s">
        <v>4138</v>
      </c>
      <c r="W184" s="550">
        <v>0.8354166666666667</v>
      </c>
      <c r="X184" s="550">
        <v>0.1076388888888889</v>
      </c>
    </row>
    <row r="185" spans="1:16383" s="33" customFormat="1" x14ac:dyDescent="0.25">
      <c r="A185" s="547" t="s">
        <v>7881</v>
      </c>
      <c r="B185" s="291" t="s">
        <v>2129</v>
      </c>
      <c r="C185" s="1402" t="s">
        <v>410</v>
      </c>
      <c r="D185" s="548">
        <v>46108</v>
      </c>
      <c r="E185" s="306" t="s">
        <v>7975</v>
      </c>
      <c r="F185" s="306" t="s">
        <v>236</v>
      </c>
      <c r="H185" s="1286" t="s">
        <v>279</v>
      </c>
      <c r="I185" s="283"/>
      <c r="J185" s="1229"/>
      <c r="K185" s="1229"/>
      <c r="L185" s="1229"/>
      <c r="M185" s="1270">
        <v>63887</v>
      </c>
      <c r="N185" s="1262"/>
      <c r="O185" s="279"/>
      <c r="V185" s="33" t="s">
        <v>7092</v>
      </c>
      <c r="W185" s="550">
        <v>0.55833333333333335</v>
      </c>
      <c r="X185" s="550">
        <v>0.8354166666666667</v>
      </c>
    </row>
    <row r="186" spans="1:16383" s="120" customFormat="1" x14ac:dyDescent="0.25">
      <c r="A186" s="595" t="s">
        <v>7883</v>
      </c>
      <c r="B186" s="575" t="s">
        <v>3083</v>
      </c>
      <c r="C186" s="1407" t="s">
        <v>410</v>
      </c>
      <c r="D186" s="427">
        <v>46109</v>
      </c>
      <c r="E186" s="334" t="s">
        <v>8077</v>
      </c>
      <c r="F186" s="334" t="s">
        <v>2253</v>
      </c>
      <c r="H186" s="1386" t="s">
        <v>279</v>
      </c>
      <c r="I186" s="429"/>
      <c r="J186" s="1304"/>
      <c r="K186" s="1304"/>
      <c r="L186" s="1304"/>
      <c r="M186" s="1387">
        <v>60400</v>
      </c>
      <c r="N186" s="1353"/>
      <c r="O186" s="150"/>
      <c r="V186" s="120" t="s">
        <v>6898</v>
      </c>
      <c r="W186" s="597">
        <v>0.36736111111111108</v>
      </c>
      <c r="X186" s="597">
        <v>0.65694444444444444</v>
      </c>
    </row>
    <row r="187" spans="1:16383" s="33" customFormat="1" x14ac:dyDescent="0.25">
      <c r="A187" s="547" t="s">
        <v>7883</v>
      </c>
      <c r="B187" s="291" t="s">
        <v>614</v>
      </c>
      <c r="C187" s="1402" t="s">
        <v>13</v>
      </c>
      <c r="D187" s="548">
        <v>46109</v>
      </c>
      <c r="E187" s="306" t="s">
        <v>7972</v>
      </c>
      <c r="F187" s="306" t="s">
        <v>285</v>
      </c>
      <c r="H187" s="1286" t="s">
        <v>279</v>
      </c>
      <c r="I187" s="283"/>
      <c r="J187" s="1229"/>
      <c r="K187" s="1229"/>
      <c r="L187" s="1229"/>
      <c r="M187" s="1270">
        <v>44096.6</v>
      </c>
      <c r="N187" s="1262"/>
      <c r="O187" s="279"/>
      <c r="P187"/>
      <c r="Q187"/>
      <c r="V187" s="33" t="s">
        <v>4983</v>
      </c>
      <c r="W187" s="550">
        <v>0.44444444444444442</v>
      </c>
      <c r="X187" s="550">
        <v>0.69374999999999998</v>
      </c>
    </row>
    <row r="188" spans="1:16383" s="33" customFormat="1" x14ac:dyDescent="0.25">
      <c r="A188" s="547" t="s">
        <v>7883</v>
      </c>
      <c r="B188" s="291" t="s">
        <v>3640</v>
      </c>
      <c r="C188" s="1402" t="s">
        <v>410</v>
      </c>
      <c r="D188" s="548">
        <v>46109</v>
      </c>
      <c r="E188" s="306" t="s">
        <v>7926</v>
      </c>
      <c r="F188" s="306" t="s">
        <v>68</v>
      </c>
      <c r="H188" s="1286" t="s">
        <v>279</v>
      </c>
      <c r="I188" s="283"/>
      <c r="J188" s="1229"/>
      <c r="K188" s="1229"/>
      <c r="L188" s="1229"/>
      <c r="M188" s="279">
        <f>35000+11180</f>
        <v>46180</v>
      </c>
      <c r="N188" s="1270"/>
      <c r="O188" s="279"/>
      <c r="P188"/>
      <c r="Q188"/>
      <c r="V188" s="33" t="s">
        <v>7842</v>
      </c>
      <c r="W188" s="550">
        <v>0.69930555555555562</v>
      </c>
      <c r="X188" s="550">
        <v>0.95138888888888884</v>
      </c>
    </row>
    <row r="189" spans="1:16383" x14ac:dyDescent="0.25">
      <c r="A189" s="925" t="s">
        <v>7884</v>
      </c>
      <c r="B189" s="947" t="s">
        <v>3880</v>
      </c>
      <c r="C189" s="1400" t="s">
        <v>410</v>
      </c>
      <c r="D189" s="927">
        <v>46110</v>
      </c>
      <c r="E189" s="928" t="s">
        <v>7919</v>
      </c>
      <c r="F189" s="928" t="s">
        <v>545</v>
      </c>
      <c r="G189" s="926"/>
      <c r="H189" s="1288" t="s">
        <v>279</v>
      </c>
      <c r="I189" s="998"/>
      <c r="J189" s="1140"/>
      <c r="K189" s="1140"/>
      <c r="L189" s="1140"/>
      <c r="M189" s="1272">
        <v>36500</v>
      </c>
      <c r="N189" s="1263"/>
      <c r="O189" s="930"/>
      <c r="P189" s="926"/>
      <c r="Q189" s="926"/>
      <c r="R189" s="926"/>
      <c r="S189" s="926"/>
      <c r="T189" s="926"/>
      <c r="U189" s="931"/>
      <c r="V189" s="931" t="s">
        <v>6503</v>
      </c>
      <c r="W189" s="926">
        <v>0.8965277777777777</v>
      </c>
      <c r="X189" s="926">
        <v>8.1944444444444445E-2</v>
      </c>
      <c r="Y189" s="926"/>
      <c r="Z189" s="926"/>
      <c r="AA189" s="926"/>
      <c r="AB189" s="926"/>
      <c r="AC189" s="926"/>
      <c r="AD189" s="926"/>
      <c r="AE189" s="926"/>
      <c r="AF189" s="926"/>
      <c r="AG189" s="926"/>
      <c r="AH189" s="926"/>
      <c r="AI189" s="926"/>
      <c r="AJ189" s="926"/>
      <c r="AK189" s="926"/>
      <c r="AL189" s="926"/>
      <c r="AM189" s="926"/>
      <c r="AN189" s="926"/>
      <c r="AO189" s="926"/>
      <c r="AP189" s="926"/>
      <c r="AQ189" s="926"/>
      <c r="AR189" s="926"/>
      <c r="AS189" s="926"/>
      <c r="AT189" s="926"/>
      <c r="AU189" s="926"/>
      <c r="AV189" s="926"/>
      <c r="AW189" s="926"/>
      <c r="AX189" s="926"/>
      <c r="AY189" s="926"/>
      <c r="AZ189" s="926"/>
      <c r="BA189" s="926"/>
      <c r="BB189" s="926"/>
      <c r="BC189" s="926"/>
      <c r="BD189" s="926"/>
      <c r="BE189" s="926"/>
      <c r="BF189" s="926"/>
      <c r="BG189" s="926"/>
      <c r="BH189" s="926"/>
      <c r="BI189" s="926"/>
      <c r="BJ189" s="926"/>
      <c r="BK189" s="926"/>
      <c r="BL189" s="926"/>
      <c r="BM189" s="926"/>
      <c r="BN189" s="926"/>
      <c r="BO189" s="926"/>
      <c r="BP189" s="926"/>
      <c r="BQ189" s="926"/>
      <c r="BR189" s="926"/>
      <c r="BS189" s="926"/>
      <c r="BT189" s="926"/>
      <c r="BU189" s="926"/>
      <c r="BV189" s="926"/>
      <c r="BW189" s="926"/>
      <c r="BX189" s="926"/>
      <c r="BY189" s="926"/>
      <c r="BZ189" s="926"/>
      <c r="CA189" s="926"/>
      <c r="CB189" s="926"/>
      <c r="CC189" s="926"/>
      <c r="CD189" s="926"/>
      <c r="CE189" s="926"/>
      <c r="CF189" s="926"/>
      <c r="CG189" s="926"/>
      <c r="CH189" s="926"/>
      <c r="CI189" s="926"/>
      <c r="CJ189" s="926"/>
      <c r="CK189" s="926"/>
      <c r="CL189" s="926"/>
      <c r="CM189" s="926"/>
      <c r="CN189" s="926"/>
      <c r="CO189" s="926"/>
      <c r="CP189" s="926"/>
      <c r="CQ189" s="926"/>
      <c r="CR189" s="926"/>
      <c r="CS189" s="926"/>
      <c r="CT189" s="926"/>
      <c r="CU189" s="926"/>
      <c r="CV189" s="926"/>
      <c r="CW189" s="926"/>
      <c r="CX189" s="926"/>
      <c r="CY189" s="926"/>
      <c r="CZ189" s="926"/>
      <c r="DA189" s="926"/>
      <c r="DB189" s="926"/>
      <c r="DC189" s="926"/>
      <c r="DD189" s="926"/>
      <c r="DE189" s="926"/>
      <c r="DF189" s="926"/>
      <c r="DG189" s="926"/>
      <c r="DH189" s="926"/>
      <c r="DI189" s="926"/>
      <c r="DJ189" s="926"/>
      <c r="DK189" s="926"/>
      <c r="DL189" s="926"/>
      <c r="DM189" s="926"/>
      <c r="DN189" s="926"/>
      <c r="DO189" s="926"/>
      <c r="DP189" s="926"/>
      <c r="DQ189" s="926"/>
      <c r="DR189" s="926"/>
      <c r="DS189" s="926"/>
      <c r="DT189" s="926"/>
      <c r="DU189" s="926"/>
      <c r="DV189" s="926"/>
      <c r="DW189" s="926"/>
      <c r="DX189" s="926"/>
      <c r="DY189" s="926"/>
      <c r="DZ189" s="926"/>
      <c r="EA189" s="926"/>
      <c r="EB189" s="926"/>
      <c r="EC189" s="926"/>
      <c r="ED189" s="926"/>
      <c r="EE189" s="926"/>
      <c r="EF189" s="926"/>
      <c r="EG189" s="926"/>
      <c r="EH189" s="926"/>
      <c r="EI189" s="926"/>
      <c r="EJ189" s="926"/>
      <c r="EK189" s="926"/>
      <c r="EL189" s="926"/>
      <c r="EM189" s="926"/>
      <c r="EN189" s="926"/>
      <c r="EO189" s="926"/>
      <c r="EP189" s="926"/>
      <c r="EQ189" s="926"/>
      <c r="ER189" s="926"/>
      <c r="ES189" s="926"/>
      <c r="ET189" s="926"/>
      <c r="EU189" s="926"/>
      <c r="EV189" s="926"/>
      <c r="EW189" s="926"/>
      <c r="EX189" s="926"/>
      <c r="EY189" s="926"/>
      <c r="EZ189" s="926"/>
      <c r="FA189" s="926"/>
      <c r="FB189" s="926"/>
      <c r="FC189" s="926"/>
      <c r="FD189" s="926"/>
      <c r="FE189" s="926"/>
      <c r="FF189" s="926"/>
      <c r="FG189" s="926"/>
      <c r="FH189" s="926"/>
      <c r="FI189" s="926"/>
      <c r="FJ189" s="926"/>
      <c r="FK189" s="926"/>
      <c r="FL189" s="926"/>
      <c r="FM189" s="926"/>
      <c r="FN189" s="926"/>
      <c r="FO189" s="926"/>
      <c r="FP189" s="926"/>
      <c r="FQ189" s="926"/>
      <c r="FR189" s="926"/>
      <c r="FS189" s="926"/>
      <c r="FT189" s="926"/>
      <c r="FU189" s="926"/>
      <c r="FV189" s="926"/>
      <c r="FW189" s="926"/>
      <c r="FX189" s="926"/>
      <c r="FY189" s="926"/>
      <c r="FZ189" s="926"/>
      <c r="GA189" s="926"/>
      <c r="GB189" s="926"/>
      <c r="GC189" s="926"/>
      <c r="GD189" s="926"/>
      <c r="GE189" s="926"/>
      <c r="GF189" s="926"/>
      <c r="GG189" s="926"/>
      <c r="GH189" s="926"/>
      <c r="GI189" s="926"/>
      <c r="GJ189" s="926"/>
      <c r="GK189" s="926"/>
      <c r="GL189" s="926"/>
      <c r="GM189" s="926"/>
      <c r="GN189" s="926"/>
      <c r="GO189" s="926"/>
      <c r="GP189" s="926"/>
      <c r="GQ189" s="926"/>
      <c r="GR189" s="926"/>
      <c r="GS189" s="926"/>
      <c r="GT189" s="926"/>
      <c r="GU189" s="926"/>
      <c r="GV189" s="926"/>
      <c r="GW189" s="926"/>
      <c r="GX189" s="926"/>
      <c r="GY189" s="926"/>
      <c r="GZ189" s="926"/>
      <c r="HA189" s="926"/>
      <c r="HB189" s="926"/>
      <c r="HC189" s="926"/>
      <c r="HD189" s="926"/>
      <c r="HE189" s="926"/>
      <c r="HF189" s="926"/>
      <c r="HG189" s="926"/>
      <c r="HH189" s="926"/>
      <c r="HI189" s="926"/>
      <c r="HJ189" s="926"/>
      <c r="HK189" s="926"/>
      <c r="HL189" s="926"/>
      <c r="HM189" s="926"/>
      <c r="HN189" s="926"/>
      <c r="HO189" s="926"/>
      <c r="HP189" s="926"/>
      <c r="HQ189" s="926"/>
      <c r="HR189" s="926"/>
      <c r="HS189" s="926"/>
      <c r="HT189" s="926"/>
      <c r="HU189" s="926"/>
      <c r="HV189" s="926"/>
      <c r="HW189" s="926"/>
      <c r="HX189" s="926"/>
      <c r="HY189" s="926"/>
      <c r="HZ189" s="926"/>
      <c r="IA189" s="926"/>
      <c r="IB189" s="926"/>
      <c r="IC189" s="926"/>
      <c r="ID189" s="926"/>
      <c r="IE189" s="926"/>
      <c r="IF189" s="926"/>
      <c r="IG189" s="926"/>
      <c r="IH189" s="926"/>
      <c r="II189" s="926"/>
      <c r="IJ189" s="926"/>
      <c r="IK189" s="926"/>
      <c r="IL189" s="926"/>
      <c r="IM189" s="926"/>
      <c r="IN189" s="926"/>
      <c r="IO189" s="926"/>
      <c r="IP189" s="926"/>
      <c r="IQ189" s="926"/>
      <c r="IR189" s="926"/>
      <c r="IS189" s="926"/>
      <c r="IT189" s="926"/>
      <c r="IU189" s="926"/>
      <c r="IV189" s="926"/>
      <c r="IW189" s="926"/>
      <c r="IX189" s="926"/>
      <c r="IY189" s="926"/>
      <c r="IZ189" s="926"/>
      <c r="JA189" s="926"/>
      <c r="JB189" s="926"/>
      <c r="JC189" s="926"/>
      <c r="JD189" s="926"/>
      <c r="JE189" s="926"/>
      <c r="JF189" s="926"/>
      <c r="JG189" s="926"/>
      <c r="JH189" s="926"/>
      <c r="JI189" s="926"/>
      <c r="JJ189" s="926"/>
      <c r="JK189" s="926"/>
      <c r="JL189" s="926"/>
      <c r="JM189" s="926"/>
      <c r="JN189" s="926"/>
      <c r="JO189" s="926"/>
      <c r="JP189" s="926"/>
      <c r="JQ189" s="926"/>
      <c r="JR189" s="926"/>
      <c r="JS189" s="926"/>
      <c r="JT189" s="926"/>
      <c r="JU189" s="926"/>
      <c r="JV189" s="926"/>
      <c r="JW189" s="926"/>
      <c r="JX189" s="926"/>
      <c r="JY189" s="926"/>
      <c r="JZ189" s="926"/>
      <c r="KA189" s="926"/>
      <c r="KB189" s="926"/>
      <c r="KC189" s="926"/>
      <c r="KD189" s="926"/>
      <c r="KE189" s="926"/>
      <c r="KF189" s="926"/>
      <c r="KG189" s="926"/>
      <c r="KH189" s="926"/>
      <c r="KI189" s="926"/>
      <c r="KJ189" s="926"/>
      <c r="KK189" s="926"/>
      <c r="KL189" s="926"/>
      <c r="KM189" s="926"/>
      <c r="KN189" s="926"/>
      <c r="KO189" s="926"/>
      <c r="KP189" s="926"/>
      <c r="KQ189" s="926"/>
      <c r="KR189" s="926"/>
      <c r="KS189" s="926"/>
      <c r="KT189" s="926"/>
      <c r="KU189" s="926"/>
      <c r="KV189" s="926"/>
      <c r="KW189" s="926"/>
      <c r="KX189" s="926"/>
      <c r="KY189" s="926"/>
      <c r="KZ189" s="926"/>
      <c r="LA189" s="926"/>
      <c r="LB189" s="926"/>
      <c r="LC189" s="926"/>
      <c r="LD189" s="926"/>
      <c r="LE189" s="926"/>
      <c r="LF189" s="926"/>
      <c r="LG189" s="926"/>
      <c r="LH189" s="926"/>
      <c r="LI189" s="926"/>
      <c r="LJ189" s="926"/>
      <c r="LK189" s="926"/>
      <c r="LL189" s="926"/>
      <c r="LM189" s="926"/>
      <c r="LN189" s="926"/>
      <c r="LO189" s="926"/>
      <c r="LP189" s="926"/>
      <c r="LQ189" s="926"/>
      <c r="LR189" s="926"/>
      <c r="LS189" s="926"/>
      <c r="LT189" s="926"/>
      <c r="LU189" s="926"/>
      <c r="LV189" s="926"/>
      <c r="LW189" s="926"/>
      <c r="LX189" s="926"/>
      <c r="LY189" s="926"/>
      <c r="LZ189" s="926"/>
      <c r="MA189" s="926"/>
      <c r="MB189" s="926"/>
      <c r="MC189" s="926"/>
      <c r="MD189" s="926"/>
      <c r="ME189" s="926"/>
      <c r="MF189" s="926"/>
      <c r="MG189" s="926"/>
      <c r="MH189" s="926"/>
      <c r="MI189" s="926"/>
      <c r="MJ189" s="926"/>
      <c r="MK189" s="926"/>
      <c r="ML189" s="926"/>
      <c r="MM189" s="926"/>
      <c r="MN189" s="926"/>
      <c r="MO189" s="926"/>
      <c r="MP189" s="926"/>
      <c r="MQ189" s="926"/>
      <c r="MR189" s="926"/>
      <c r="MS189" s="926"/>
      <c r="MT189" s="926"/>
      <c r="MU189" s="926"/>
      <c r="MV189" s="926"/>
      <c r="MW189" s="926"/>
      <c r="MX189" s="926"/>
      <c r="MY189" s="926"/>
      <c r="MZ189" s="926"/>
      <c r="NA189" s="926"/>
      <c r="NB189" s="926"/>
      <c r="NC189" s="926"/>
      <c r="ND189" s="926"/>
      <c r="NE189" s="926"/>
      <c r="NF189" s="926"/>
      <c r="NG189" s="926"/>
      <c r="NH189" s="926"/>
      <c r="NI189" s="926"/>
      <c r="NJ189" s="926"/>
      <c r="NK189" s="926"/>
      <c r="NL189" s="926"/>
      <c r="NM189" s="926"/>
      <c r="NN189" s="926"/>
      <c r="NO189" s="926"/>
      <c r="NP189" s="926"/>
      <c r="NQ189" s="926"/>
      <c r="NR189" s="926"/>
      <c r="NS189" s="926"/>
      <c r="NT189" s="926"/>
      <c r="NU189" s="926"/>
      <c r="NV189" s="926"/>
      <c r="NW189" s="926"/>
      <c r="NX189" s="926"/>
      <c r="NY189" s="926"/>
      <c r="NZ189" s="926"/>
      <c r="OA189" s="926"/>
      <c r="OB189" s="926"/>
      <c r="OC189" s="926"/>
      <c r="OD189" s="926"/>
      <c r="OE189" s="926"/>
      <c r="OF189" s="926"/>
      <c r="OG189" s="926"/>
      <c r="OH189" s="926"/>
      <c r="OI189" s="926"/>
      <c r="OJ189" s="926"/>
      <c r="OK189" s="926"/>
      <c r="OL189" s="926"/>
      <c r="OM189" s="926"/>
      <c r="ON189" s="926"/>
      <c r="OO189" s="926"/>
      <c r="OP189" s="926"/>
      <c r="OQ189" s="926"/>
      <c r="OR189" s="926"/>
      <c r="OS189" s="926"/>
      <c r="OT189" s="926"/>
      <c r="OU189" s="926"/>
      <c r="OV189" s="926"/>
      <c r="OW189" s="926"/>
      <c r="OX189" s="926"/>
      <c r="OY189" s="926"/>
      <c r="OZ189" s="926"/>
      <c r="PA189" s="926"/>
      <c r="PB189" s="926"/>
      <c r="PC189" s="926"/>
      <c r="PD189" s="926"/>
      <c r="PE189" s="926"/>
      <c r="PF189" s="926"/>
      <c r="PG189" s="926"/>
      <c r="PH189" s="926"/>
      <c r="PI189" s="926"/>
      <c r="PJ189" s="926"/>
      <c r="PK189" s="926"/>
      <c r="PL189" s="926"/>
      <c r="PM189" s="926"/>
      <c r="PN189" s="926"/>
      <c r="PO189" s="926"/>
      <c r="PP189" s="926"/>
      <c r="PQ189" s="926"/>
      <c r="PR189" s="926"/>
      <c r="PS189" s="926"/>
      <c r="PT189" s="926"/>
      <c r="PU189" s="926"/>
      <c r="PV189" s="926"/>
      <c r="PW189" s="926"/>
      <c r="PX189" s="926"/>
      <c r="PY189" s="926"/>
      <c r="PZ189" s="926"/>
      <c r="QA189" s="926"/>
      <c r="QB189" s="926"/>
      <c r="QC189" s="926"/>
      <c r="QD189" s="926"/>
      <c r="QE189" s="926"/>
      <c r="QF189" s="926"/>
      <c r="QG189" s="926"/>
      <c r="QH189" s="926"/>
      <c r="QI189" s="926"/>
      <c r="QJ189" s="926"/>
      <c r="QK189" s="926"/>
      <c r="QL189" s="926"/>
      <c r="QM189" s="926"/>
      <c r="QN189" s="926"/>
      <c r="QO189" s="926"/>
      <c r="QP189" s="926"/>
      <c r="QQ189" s="926"/>
      <c r="QR189" s="926"/>
      <c r="QS189" s="926"/>
      <c r="QT189" s="926"/>
      <c r="QU189" s="926"/>
      <c r="QV189" s="926"/>
      <c r="QW189" s="926"/>
      <c r="QX189" s="926"/>
      <c r="QY189" s="926"/>
      <c r="QZ189" s="926"/>
      <c r="RA189" s="926"/>
      <c r="RB189" s="926"/>
      <c r="RC189" s="926"/>
      <c r="RD189" s="926"/>
      <c r="RE189" s="926"/>
      <c r="RF189" s="926"/>
      <c r="RG189" s="926"/>
      <c r="RH189" s="926"/>
      <c r="RI189" s="926"/>
      <c r="RJ189" s="926"/>
      <c r="RK189" s="926"/>
      <c r="RL189" s="926"/>
      <c r="RM189" s="926"/>
      <c r="RN189" s="926"/>
      <c r="RO189" s="926"/>
      <c r="RP189" s="926"/>
      <c r="RQ189" s="926"/>
      <c r="RR189" s="926"/>
      <c r="RS189" s="926"/>
      <c r="RT189" s="926"/>
      <c r="RU189" s="926"/>
      <c r="RV189" s="926"/>
      <c r="RW189" s="926"/>
      <c r="RX189" s="926"/>
      <c r="RY189" s="926"/>
      <c r="RZ189" s="926"/>
      <c r="SA189" s="926"/>
      <c r="SB189" s="926"/>
      <c r="SC189" s="926"/>
      <c r="SD189" s="926"/>
      <c r="SE189" s="926"/>
      <c r="SF189" s="926"/>
      <c r="SG189" s="926"/>
      <c r="SH189" s="926"/>
      <c r="SI189" s="926"/>
      <c r="SJ189" s="926"/>
      <c r="SK189" s="926"/>
      <c r="SL189" s="926"/>
      <c r="SM189" s="926"/>
      <c r="SN189" s="926"/>
      <c r="SO189" s="926"/>
      <c r="SP189" s="926"/>
      <c r="SQ189" s="926"/>
      <c r="SR189" s="926"/>
      <c r="SS189" s="926"/>
      <c r="ST189" s="926"/>
      <c r="SU189" s="926"/>
      <c r="SV189" s="926"/>
      <c r="SW189" s="926"/>
      <c r="SX189" s="926"/>
      <c r="SY189" s="926"/>
      <c r="SZ189" s="926"/>
      <c r="TA189" s="926"/>
      <c r="TB189" s="926"/>
      <c r="TC189" s="926"/>
      <c r="TD189" s="926"/>
      <c r="TE189" s="926"/>
      <c r="TF189" s="926"/>
      <c r="TG189" s="926"/>
      <c r="TH189" s="926"/>
      <c r="TI189" s="926"/>
      <c r="TJ189" s="926"/>
      <c r="TK189" s="926"/>
      <c r="TL189" s="926"/>
      <c r="TM189" s="926"/>
      <c r="TN189" s="926"/>
      <c r="TO189" s="926"/>
      <c r="TP189" s="926"/>
      <c r="TQ189" s="926"/>
      <c r="TR189" s="926"/>
      <c r="TS189" s="926"/>
      <c r="TT189" s="926"/>
      <c r="TU189" s="926"/>
      <c r="TV189" s="926"/>
      <c r="TW189" s="926"/>
      <c r="TX189" s="926"/>
      <c r="TY189" s="926"/>
      <c r="TZ189" s="926"/>
      <c r="UA189" s="926"/>
      <c r="UB189" s="926"/>
      <c r="UC189" s="926"/>
      <c r="UD189" s="926"/>
      <c r="UE189" s="926"/>
      <c r="UF189" s="926"/>
      <c r="UG189" s="926"/>
      <c r="UH189" s="926"/>
      <c r="UI189" s="926"/>
      <c r="UJ189" s="926"/>
      <c r="UK189" s="926"/>
      <c r="UL189" s="926"/>
      <c r="UM189" s="926"/>
      <c r="UN189" s="926"/>
      <c r="UO189" s="926"/>
      <c r="UP189" s="926"/>
      <c r="UQ189" s="926"/>
      <c r="UR189" s="926"/>
      <c r="US189" s="926"/>
      <c r="UT189" s="926"/>
      <c r="UU189" s="926"/>
      <c r="UV189" s="926"/>
      <c r="UW189" s="926"/>
      <c r="UX189" s="926"/>
      <c r="UY189" s="926"/>
      <c r="UZ189" s="926"/>
      <c r="VA189" s="926"/>
      <c r="VB189" s="926"/>
      <c r="VC189" s="926"/>
      <c r="VD189" s="926"/>
      <c r="VE189" s="926"/>
      <c r="VF189" s="926"/>
      <c r="VG189" s="926"/>
      <c r="VH189" s="926"/>
      <c r="VI189" s="926"/>
      <c r="VJ189" s="926"/>
      <c r="VK189" s="926"/>
      <c r="VL189" s="926"/>
      <c r="VM189" s="926"/>
      <c r="VN189" s="926"/>
      <c r="VO189" s="926"/>
      <c r="VP189" s="926"/>
      <c r="VQ189" s="926"/>
      <c r="VR189" s="926"/>
      <c r="VS189" s="926"/>
      <c r="VT189" s="926"/>
      <c r="VU189" s="926"/>
      <c r="VV189" s="926"/>
      <c r="VW189" s="926"/>
      <c r="VX189" s="926"/>
      <c r="VY189" s="926"/>
      <c r="VZ189" s="926"/>
      <c r="WA189" s="926"/>
      <c r="WB189" s="926"/>
      <c r="WC189" s="926"/>
      <c r="WD189" s="926"/>
      <c r="WE189" s="926"/>
      <c r="WF189" s="926"/>
      <c r="WG189" s="926"/>
      <c r="WH189" s="926"/>
      <c r="WI189" s="926"/>
      <c r="WJ189" s="926"/>
      <c r="WK189" s="926"/>
      <c r="WL189" s="926"/>
      <c r="WM189" s="926"/>
      <c r="WN189" s="926"/>
      <c r="WO189" s="926"/>
      <c r="WP189" s="926"/>
      <c r="WQ189" s="926"/>
      <c r="WR189" s="926"/>
      <c r="WS189" s="926"/>
      <c r="WT189" s="926"/>
      <c r="WU189" s="926"/>
      <c r="WV189" s="926"/>
      <c r="WW189" s="926"/>
      <c r="WX189" s="926"/>
      <c r="WY189" s="926"/>
      <c r="WZ189" s="926"/>
      <c r="XA189" s="926"/>
      <c r="XB189" s="926"/>
      <c r="XC189" s="926"/>
      <c r="XD189" s="926"/>
      <c r="XE189" s="926"/>
      <c r="XF189" s="926"/>
      <c r="XG189" s="926"/>
      <c r="XH189" s="926"/>
      <c r="XI189" s="926"/>
      <c r="XJ189" s="926"/>
      <c r="XK189" s="926"/>
      <c r="XL189" s="926"/>
      <c r="XM189" s="926"/>
      <c r="XN189" s="926"/>
      <c r="XO189" s="926"/>
      <c r="XP189" s="926"/>
      <c r="XQ189" s="926"/>
      <c r="XR189" s="926"/>
      <c r="XS189" s="926"/>
      <c r="XT189" s="926"/>
      <c r="XU189" s="926"/>
      <c r="XV189" s="926"/>
      <c r="XW189" s="926"/>
      <c r="XX189" s="926"/>
      <c r="XY189" s="926"/>
      <c r="XZ189" s="926"/>
      <c r="YA189" s="926"/>
      <c r="YB189" s="926"/>
      <c r="YC189" s="926"/>
      <c r="YD189" s="926"/>
      <c r="YE189" s="926"/>
      <c r="YF189" s="926"/>
      <c r="YG189" s="926"/>
      <c r="YH189" s="926"/>
      <c r="YI189" s="926"/>
      <c r="YJ189" s="926"/>
      <c r="YK189" s="926"/>
      <c r="YL189" s="926"/>
      <c r="YM189" s="926"/>
      <c r="YN189" s="926"/>
      <c r="YO189" s="926"/>
      <c r="YP189" s="926"/>
      <c r="YQ189" s="926"/>
      <c r="YR189" s="926"/>
      <c r="YS189" s="926"/>
      <c r="YT189" s="926"/>
      <c r="YU189" s="926"/>
      <c r="YV189" s="926"/>
      <c r="YW189" s="926"/>
      <c r="YX189" s="926"/>
      <c r="YY189" s="926"/>
      <c r="YZ189" s="926"/>
      <c r="ZA189" s="926"/>
      <c r="ZB189" s="926"/>
      <c r="ZC189" s="926"/>
      <c r="ZD189" s="926"/>
      <c r="ZE189" s="926"/>
      <c r="ZF189" s="926"/>
      <c r="ZG189" s="926"/>
      <c r="ZH189" s="926"/>
      <c r="ZI189" s="926"/>
      <c r="ZJ189" s="926"/>
      <c r="ZK189" s="926"/>
      <c r="ZL189" s="926"/>
      <c r="ZM189" s="926"/>
      <c r="ZN189" s="926"/>
      <c r="ZO189" s="926"/>
      <c r="ZP189" s="926"/>
      <c r="ZQ189" s="926"/>
      <c r="ZR189" s="926"/>
      <c r="ZS189" s="926"/>
      <c r="ZT189" s="926"/>
      <c r="ZU189" s="926"/>
      <c r="ZV189" s="926"/>
      <c r="ZW189" s="926"/>
      <c r="ZX189" s="926"/>
      <c r="ZY189" s="926"/>
      <c r="ZZ189" s="926"/>
      <c r="AAA189" s="926"/>
      <c r="AAB189" s="926"/>
      <c r="AAC189" s="926"/>
      <c r="AAD189" s="926"/>
      <c r="AAE189" s="926"/>
      <c r="AAF189" s="926"/>
      <c r="AAG189" s="926"/>
      <c r="AAH189" s="926"/>
      <c r="AAI189" s="926"/>
      <c r="AAJ189" s="926"/>
      <c r="AAK189" s="926"/>
      <c r="AAL189" s="926"/>
      <c r="AAM189" s="926"/>
      <c r="AAN189" s="926"/>
      <c r="AAO189" s="926"/>
      <c r="AAP189" s="926"/>
      <c r="AAQ189" s="926"/>
      <c r="AAR189" s="926"/>
      <c r="AAS189" s="926"/>
      <c r="AAT189" s="926"/>
      <c r="AAU189" s="926"/>
      <c r="AAV189" s="926"/>
      <c r="AAW189" s="926"/>
      <c r="AAX189" s="926"/>
      <c r="AAY189" s="926"/>
      <c r="AAZ189" s="926"/>
      <c r="ABA189" s="926"/>
      <c r="ABB189" s="926"/>
      <c r="ABC189" s="926"/>
      <c r="ABD189" s="926"/>
      <c r="ABE189" s="926"/>
      <c r="ABF189" s="926"/>
      <c r="ABG189" s="926"/>
      <c r="ABH189" s="926"/>
      <c r="ABI189" s="926"/>
      <c r="ABJ189" s="926"/>
      <c r="ABK189" s="926"/>
      <c r="ABL189" s="926"/>
      <c r="ABM189" s="926"/>
      <c r="ABN189" s="926"/>
      <c r="ABO189" s="926"/>
      <c r="ABP189" s="926"/>
      <c r="ABQ189" s="926"/>
      <c r="ABR189" s="926"/>
      <c r="ABS189" s="926"/>
      <c r="ABT189" s="926"/>
      <c r="ABU189" s="926"/>
      <c r="ABV189" s="926"/>
      <c r="ABW189" s="926"/>
      <c r="ABX189" s="926"/>
      <c r="ABY189" s="926"/>
      <c r="ABZ189" s="926"/>
      <c r="ACA189" s="926"/>
      <c r="ACB189" s="926"/>
      <c r="ACC189" s="926"/>
      <c r="ACD189" s="926"/>
      <c r="ACE189" s="926"/>
      <c r="ACF189" s="926"/>
      <c r="ACG189" s="926"/>
      <c r="ACH189" s="926"/>
      <c r="ACI189" s="926"/>
      <c r="ACJ189" s="926"/>
      <c r="ACK189" s="926"/>
      <c r="ACL189" s="926"/>
      <c r="ACM189" s="926"/>
      <c r="ACN189" s="926"/>
      <c r="ACO189" s="926"/>
      <c r="ACP189" s="926"/>
      <c r="ACQ189" s="926"/>
      <c r="ACR189" s="926"/>
      <c r="ACS189" s="926"/>
      <c r="ACT189" s="926"/>
      <c r="ACU189" s="926"/>
      <c r="ACV189" s="926"/>
      <c r="ACW189" s="926"/>
      <c r="ACX189" s="926"/>
      <c r="ACY189" s="926"/>
      <c r="ACZ189" s="926"/>
      <c r="ADA189" s="926"/>
      <c r="ADB189" s="926"/>
      <c r="ADC189" s="926"/>
      <c r="ADD189" s="926"/>
      <c r="ADE189" s="926"/>
      <c r="ADF189" s="926"/>
      <c r="ADG189" s="926"/>
      <c r="ADH189" s="926"/>
      <c r="ADI189" s="926"/>
      <c r="ADJ189" s="926"/>
      <c r="ADK189" s="926"/>
      <c r="ADL189" s="926"/>
      <c r="ADM189" s="926"/>
      <c r="ADN189" s="926"/>
      <c r="ADO189" s="926"/>
      <c r="ADP189" s="926"/>
      <c r="ADQ189" s="926"/>
      <c r="ADR189" s="926"/>
      <c r="ADS189" s="926"/>
      <c r="ADT189" s="926"/>
      <c r="ADU189" s="926"/>
      <c r="ADV189" s="926"/>
      <c r="ADW189" s="926"/>
      <c r="ADX189" s="926"/>
      <c r="ADY189" s="926"/>
      <c r="ADZ189" s="926"/>
      <c r="AEA189" s="926"/>
      <c r="AEB189" s="926"/>
      <c r="AEC189" s="926"/>
      <c r="AED189" s="926"/>
      <c r="AEE189" s="926"/>
      <c r="AEF189" s="926"/>
      <c r="AEG189" s="926"/>
      <c r="AEH189" s="926"/>
      <c r="AEI189" s="926"/>
      <c r="AEJ189" s="926"/>
      <c r="AEK189" s="926"/>
      <c r="AEL189" s="926"/>
      <c r="AEM189" s="926"/>
      <c r="AEN189" s="926"/>
      <c r="AEO189" s="926"/>
      <c r="AEP189" s="926"/>
      <c r="AEQ189" s="926"/>
      <c r="AER189" s="926"/>
      <c r="AES189" s="926"/>
      <c r="AET189" s="926"/>
      <c r="AEU189" s="926"/>
      <c r="AEV189" s="926"/>
      <c r="AEW189" s="926"/>
      <c r="AEX189" s="926"/>
      <c r="AEY189" s="926"/>
      <c r="AEZ189" s="926"/>
      <c r="AFA189" s="926"/>
      <c r="AFB189" s="926"/>
      <c r="AFC189" s="926"/>
      <c r="AFD189" s="926"/>
      <c r="AFE189" s="926"/>
      <c r="AFF189" s="926"/>
      <c r="AFG189" s="926"/>
      <c r="AFH189" s="926"/>
      <c r="AFI189" s="926"/>
      <c r="AFJ189" s="926"/>
      <c r="AFK189" s="926"/>
      <c r="AFL189" s="926"/>
      <c r="AFM189" s="926"/>
      <c r="AFN189" s="926"/>
      <c r="AFO189" s="926"/>
      <c r="AFP189" s="926"/>
      <c r="AFQ189" s="926"/>
      <c r="AFR189" s="926"/>
      <c r="AFS189" s="926"/>
      <c r="AFT189" s="926"/>
      <c r="AFU189" s="926"/>
      <c r="AFV189" s="926"/>
      <c r="AFW189" s="926"/>
      <c r="AFX189" s="926"/>
      <c r="AFY189" s="926"/>
      <c r="AFZ189" s="926"/>
      <c r="AGA189" s="926"/>
      <c r="AGB189" s="926"/>
      <c r="AGC189" s="926"/>
      <c r="AGD189" s="926"/>
      <c r="AGE189" s="926"/>
      <c r="AGF189" s="926"/>
      <c r="AGG189" s="926"/>
      <c r="AGH189" s="926"/>
      <c r="AGI189" s="926"/>
      <c r="AGJ189" s="926"/>
      <c r="AGK189" s="926"/>
      <c r="AGL189" s="926"/>
      <c r="AGM189" s="926"/>
      <c r="AGN189" s="926"/>
      <c r="AGO189" s="926"/>
      <c r="AGP189" s="926"/>
      <c r="AGQ189" s="926"/>
      <c r="AGR189" s="926"/>
      <c r="AGS189" s="926"/>
      <c r="AGT189" s="926"/>
      <c r="AGU189" s="926"/>
      <c r="AGV189" s="926"/>
      <c r="AGW189" s="926"/>
      <c r="AGX189" s="926"/>
      <c r="AGY189" s="926"/>
      <c r="AGZ189" s="926"/>
      <c r="AHA189" s="926"/>
      <c r="AHB189" s="926"/>
      <c r="AHC189" s="926"/>
      <c r="AHD189" s="926"/>
      <c r="AHE189" s="926"/>
      <c r="AHF189" s="926"/>
      <c r="AHG189" s="926"/>
      <c r="AHH189" s="926"/>
      <c r="AHI189" s="926"/>
      <c r="AHJ189" s="926"/>
      <c r="AHK189" s="926"/>
      <c r="AHL189" s="926"/>
      <c r="AHM189" s="926"/>
      <c r="AHN189" s="926"/>
      <c r="AHO189" s="926"/>
      <c r="AHP189" s="926"/>
      <c r="AHQ189" s="926"/>
      <c r="AHR189" s="926"/>
      <c r="AHS189" s="926"/>
      <c r="AHT189" s="926"/>
      <c r="AHU189" s="926"/>
      <c r="AHV189" s="926"/>
      <c r="AHW189" s="926"/>
      <c r="AHX189" s="926"/>
      <c r="AHY189" s="926"/>
      <c r="AHZ189" s="926"/>
      <c r="AIA189" s="926"/>
      <c r="AIB189" s="926"/>
      <c r="AIC189" s="926"/>
      <c r="AID189" s="926"/>
      <c r="AIE189" s="926"/>
      <c r="AIF189" s="926"/>
      <c r="AIG189" s="926"/>
      <c r="AIH189" s="926"/>
      <c r="AII189" s="926"/>
      <c r="AIJ189" s="926"/>
      <c r="AIK189" s="926"/>
      <c r="AIL189" s="926"/>
      <c r="AIM189" s="926"/>
      <c r="AIN189" s="926"/>
      <c r="AIO189" s="926"/>
      <c r="AIP189" s="926"/>
      <c r="AIQ189" s="926"/>
      <c r="AIR189" s="926"/>
      <c r="AIS189" s="926"/>
      <c r="AIT189" s="926"/>
      <c r="AIU189" s="926"/>
      <c r="AIV189" s="926"/>
      <c r="AIW189" s="926"/>
      <c r="AIX189" s="926"/>
      <c r="AIY189" s="926"/>
      <c r="AIZ189" s="926"/>
      <c r="AJA189" s="926"/>
      <c r="AJB189" s="926"/>
      <c r="AJC189" s="926"/>
      <c r="AJD189" s="926"/>
      <c r="AJE189" s="926"/>
      <c r="AJF189" s="926"/>
      <c r="AJG189" s="926"/>
      <c r="AJH189" s="926"/>
      <c r="AJI189" s="926"/>
      <c r="AJJ189" s="926"/>
      <c r="AJK189" s="926"/>
      <c r="AJL189" s="926"/>
      <c r="AJM189" s="926"/>
      <c r="AJN189" s="926"/>
      <c r="AJO189" s="926"/>
      <c r="AJP189" s="926"/>
      <c r="AJQ189" s="926"/>
      <c r="AJR189" s="926"/>
      <c r="AJS189" s="926"/>
      <c r="AJT189" s="926"/>
      <c r="AJU189" s="926"/>
      <c r="AJV189" s="926"/>
      <c r="AJW189" s="926"/>
      <c r="AJX189" s="926"/>
      <c r="AJY189" s="926"/>
      <c r="AJZ189" s="926"/>
      <c r="AKA189" s="926"/>
      <c r="AKB189" s="926"/>
      <c r="AKC189" s="926"/>
      <c r="AKD189" s="926"/>
      <c r="AKE189" s="926"/>
      <c r="AKF189" s="926"/>
      <c r="AKG189" s="926"/>
      <c r="AKH189" s="926"/>
      <c r="AKI189" s="926"/>
      <c r="AKJ189" s="926"/>
      <c r="AKK189" s="926"/>
      <c r="AKL189" s="926"/>
      <c r="AKM189" s="926"/>
      <c r="AKN189" s="926"/>
      <c r="AKO189" s="926"/>
      <c r="AKP189" s="926"/>
      <c r="AKQ189" s="926"/>
      <c r="AKR189" s="926"/>
      <c r="AKS189" s="926"/>
      <c r="AKT189" s="926"/>
      <c r="AKU189" s="926"/>
      <c r="AKV189" s="926"/>
      <c r="AKW189" s="926"/>
      <c r="AKX189" s="926"/>
      <c r="AKY189" s="926"/>
      <c r="AKZ189" s="926"/>
      <c r="ALA189" s="926"/>
      <c r="ALB189" s="926"/>
      <c r="ALC189" s="926"/>
      <c r="ALD189" s="926"/>
      <c r="ALE189" s="926"/>
      <c r="ALF189" s="926"/>
      <c r="ALG189" s="926"/>
      <c r="ALH189" s="926"/>
      <c r="ALI189" s="926"/>
      <c r="ALJ189" s="926"/>
      <c r="ALK189" s="926"/>
      <c r="ALL189" s="926"/>
      <c r="ALM189" s="926"/>
      <c r="ALN189" s="926"/>
      <c r="ALO189" s="926"/>
      <c r="ALP189" s="926"/>
      <c r="ALQ189" s="926"/>
      <c r="ALR189" s="926"/>
      <c r="ALS189" s="926"/>
      <c r="ALT189" s="926"/>
      <c r="ALU189" s="926"/>
      <c r="ALV189" s="926"/>
      <c r="ALW189" s="926"/>
      <c r="ALX189" s="926"/>
      <c r="ALY189" s="926"/>
      <c r="ALZ189" s="926"/>
      <c r="AMA189" s="926"/>
      <c r="AMB189" s="926"/>
      <c r="AMC189" s="926"/>
      <c r="AMD189" s="926"/>
      <c r="AME189" s="926"/>
      <c r="AMF189" s="926"/>
      <c r="AMG189" s="926"/>
      <c r="AMH189" s="926"/>
      <c r="AMI189" s="926"/>
      <c r="AMJ189" s="926"/>
      <c r="AMK189" s="926"/>
      <c r="AML189" s="926"/>
      <c r="AMM189" s="926"/>
      <c r="AMN189" s="926"/>
      <c r="AMO189" s="926"/>
      <c r="AMP189" s="926"/>
      <c r="AMQ189" s="926"/>
      <c r="AMR189" s="926"/>
      <c r="AMS189" s="926"/>
      <c r="AMT189" s="926"/>
      <c r="AMU189" s="926"/>
      <c r="AMV189" s="926"/>
      <c r="AMW189" s="926"/>
      <c r="AMX189" s="926"/>
      <c r="AMY189" s="926"/>
      <c r="AMZ189" s="926"/>
      <c r="ANA189" s="926"/>
      <c r="ANB189" s="926"/>
      <c r="ANC189" s="926"/>
      <c r="AND189" s="926"/>
      <c r="ANE189" s="926"/>
      <c r="ANF189" s="926"/>
      <c r="ANG189" s="926"/>
      <c r="ANH189" s="926"/>
      <c r="ANI189" s="926"/>
      <c r="ANJ189" s="926"/>
      <c r="ANK189" s="926"/>
      <c r="ANL189" s="926"/>
      <c r="ANM189" s="926"/>
      <c r="ANN189" s="926"/>
      <c r="ANO189" s="926"/>
      <c r="ANP189" s="926"/>
      <c r="ANQ189" s="926"/>
      <c r="ANR189" s="926"/>
      <c r="ANS189" s="926"/>
      <c r="ANT189" s="926"/>
      <c r="ANU189" s="926"/>
      <c r="ANV189" s="926"/>
      <c r="ANW189" s="926"/>
      <c r="ANX189" s="926"/>
      <c r="ANY189" s="926"/>
      <c r="ANZ189" s="926"/>
      <c r="AOA189" s="926"/>
      <c r="AOB189" s="926"/>
      <c r="AOC189" s="926"/>
      <c r="AOD189" s="926"/>
      <c r="AOE189" s="926"/>
      <c r="AOF189" s="926"/>
      <c r="AOG189" s="926"/>
      <c r="AOH189" s="926"/>
      <c r="AOI189" s="926"/>
      <c r="AOJ189" s="926"/>
      <c r="AOK189" s="926"/>
      <c r="AOL189" s="926"/>
      <c r="AOM189" s="926"/>
      <c r="AON189" s="926"/>
      <c r="AOO189" s="926"/>
      <c r="AOP189" s="926"/>
      <c r="AOQ189" s="926"/>
      <c r="AOR189" s="926"/>
      <c r="AOS189" s="926"/>
      <c r="AOT189" s="926"/>
      <c r="AOU189" s="926"/>
      <c r="AOV189" s="926"/>
      <c r="AOW189" s="926"/>
      <c r="AOX189" s="926"/>
      <c r="AOY189" s="926"/>
      <c r="AOZ189" s="926"/>
      <c r="APA189" s="926"/>
      <c r="APB189" s="926"/>
      <c r="APC189" s="926"/>
      <c r="APD189" s="926"/>
      <c r="APE189" s="926"/>
      <c r="APF189" s="926"/>
      <c r="APG189" s="926"/>
      <c r="APH189" s="926"/>
      <c r="API189" s="926"/>
      <c r="APJ189" s="926"/>
      <c r="APK189" s="926"/>
      <c r="APL189" s="926"/>
      <c r="APM189" s="926"/>
      <c r="APN189" s="926"/>
      <c r="APO189" s="926"/>
      <c r="APP189" s="926"/>
      <c r="APQ189" s="926"/>
      <c r="APR189" s="926"/>
      <c r="APS189" s="926"/>
      <c r="APT189" s="926"/>
      <c r="APU189" s="926"/>
      <c r="APV189" s="926"/>
      <c r="APW189" s="926"/>
      <c r="APX189" s="926"/>
      <c r="APY189" s="926"/>
      <c r="APZ189" s="926"/>
      <c r="AQA189" s="926"/>
      <c r="AQB189" s="926"/>
      <c r="AQC189" s="926"/>
      <c r="AQD189" s="926"/>
      <c r="AQE189" s="926"/>
      <c r="AQF189" s="926"/>
      <c r="AQG189" s="926"/>
      <c r="AQH189" s="926"/>
      <c r="AQI189" s="926"/>
      <c r="AQJ189" s="926"/>
      <c r="AQK189" s="926"/>
      <c r="AQL189" s="926"/>
      <c r="AQM189" s="926"/>
      <c r="AQN189" s="926"/>
      <c r="AQO189" s="926"/>
      <c r="AQP189" s="926"/>
      <c r="AQQ189" s="926"/>
      <c r="AQR189" s="926"/>
      <c r="AQS189" s="926"/>
      <c r="AQT189" s="926"/>
      <c r="AQU189" s="926"/>
      <c r="AQV189" s="926"/>
      <c r="AQW189" s="926"/>
      <c r="AQX189" s="926"/>
      <c r="AQY189" s="926"/>
      <c r="AQZ189" s="926"/>
      <c r="ARA189" s="926"/>
      <c r="ARB189" s="926"/>
      <c r="ARC189" s="926"/>
      <c r="ARD189" s="926"/>
      <c r="ARE189" s="926"/>
      <c r="ARF189" s="926"/>
      <c r="ARG189" s="926"/>
      <c r="ARH189" s="926"/>
      <c r="ARI189" s="926"/>
      <c r="ARJ189" s="926"/>
      <c r="ARK189" s="926"/>
      <c r="ARL189" s="926"/>
      <c r="ARM189" s="926"/>
      <c r="ARN189" s="926"/>
      <c r="ARO189" s="926"/>
      <c r="ARP189" s="926"/>
      <c r="ARQ189" s="926"/>
      <c r="ARR189" s="926"/>
      <c r="ARS189" s="926"/>
      <c r="ART189" s="926"/>
      <c r="ARU189" s="926"/>
      <c r="ARV189" s="926"/>
      <c r="ARW189" s="926"/>
      <c r="ARX189" s="926"/>
      <c r="ARY189" s="926"/>
      <c r="ARZ189" s="926"/>
      <c r="ASA189" s="926"/>
      <c r="ASB189" s="926"/>
      <c r="ASC189" s="926"/>
      <c r="ASD189" s="926"/>
      <c r="ASE189" s="926"/>
      <c r="ASF189" s="926"/>
      <c r="ASG189" s="926"/>
      <c r="ASH189" s="926"/>
      <c r="ASI189" s="926"/>
      <c r="ASJ189" s="926"/>
      <c r="ASK189" s="926"/>
      <c r="ASL189" s="926"/>
      <c r="ASM189" s="926"/>
      <c r="ASN189" s="926"/>
      <c r="ASO189" s="926"/>
      <c r="ASP189" s="926"/>
      <c r="ASQ189" s="926"/>
      <c r="ASR189" s="926"/>
      <c r="ASS189" s="926"/>
      <c r="AST189" s="926"/>
      <c r="ASU189" s="926"/>
      <c r="ASV189" s="926"/>
      <c r="ASW189" s="926"/>
      <c r="ASX189" s="926"/>
      <c r="ASY189" s="926"/>
      <c r="ASZ189" s="926"/>
      <c r="ATA189" s="926"/>
      <c r="ATB189" s="926"/>
      <c r="ATC189" s="926"/>
      <c r="ATD189" s="926"/>
      <c r="ATE189" s="926"/>
      <c r="ATF189" s="926"/>
      <c r="ATG189" s="926"/>
      <c r="ATH189" s="926"/>
      <c r="ATI189" s="926"/>
      <c r="ATJ189" s="926"/>
      <c r="ATK189" s="926"/>
      <c r="ATL189" s="926"/>
      <c r="ATM189" s="926"/>
      <c r="ATN189" s="926"/>
      <c r="ATO189" s="926"/>
      <c r="ATP189" s="926"/>
      <c r="ATQ189" s="926"/>
      <c r="ATR189" s="926"/>
      <c r="ATS189" s="926"/>
      <c r="ATT189" s="926"/>
      <c r="ATU189" s="926"/>
      <c r="ATV189" s="926"/>
      <c r="ATW189" s="926"/>
      <c r="ATX189" s="926"/>
      <c r="ATY189" s="926"/>
      <c r="ATZ189" s="926"/>
      <c r="AUA189" s="926"/>
      <c r="AUB189" s="926"/>
      <c r="AUC189" s="926"/>
      <c r="AUD189" s="926"/>
      <c r="AUE189" s="926"/>
      <c r="AUF189" s="926"/>
      <c r="AUG189" s="926"/>
      <c r="AUH189" s="926"/>
      <c r="AUI189" s="926"/>
      <c r="AUJ189" s="926"/>
      <c r="AUK189" s="926"/>
      <c r="AUL189" s="926"/>
      <c r="AUM189" s="926"/>
      <c r="AUN189" s="926"/>
      <c r="AUO189" s="926"/>
      <c r="AUP189" s="926"/>
      <c r="AUQ189" s="926"/>
      <c r="AUR189" s="926"/>
      <c r="AUS189" s="926"/>
      <c r="AUT189" s="926"/>
      <c r="AUU189" s="926"/>
      <c r="AUV189" s="926"/>
      <c r="AUW189" s="926"/>
      <c r="AUX189" s="926"/>
      <c r="AUY189" s="926"/>
      <c r="AUZ189" s="926"/>
      <c r="AVA189" s="926"/>
      <c r="AVB189" s="926"/>
      <c r="AVC189" s="926"/>
      <c r="AVD189" s="926"/>
      <c r="AVE189" s="926"/>
      <c r="AVF189" s="926"/>
      <c r="AVG189" s="926"/>
      <c r="AVH189" s="926"/>
      <c r="AVI189" s="926"/>
      <c r="AVJ189" s="926"/>
      <c r="AVK189" s="926"/>
      <c r="AVL189" s="926"/>
      <c r="AVM189" s="926"/>
      <c r="AVN189" s="926"/>
      <c r="AVO189" s="926"/>
      <c r="AVP189" s="926"/>
      <c r="AVQ189" s="926"/>
      <c r="AVR189" s="926"/>
      <c r="AVS189" s="926"/>
      <c r="AVT189" s="926"/>
      <c r="AVU189" s="926"/>
      <c r="AVV189" s="926"/>
      <c r="AVW189" s="926"/>
      <c r="AVX189" s="926"/>
      <c r="AVY189" s="926"/>
      <c r="AVZ189" s="926"/>
      <c r="AWA189" s="926"/>
      <c r="AWB189" s="926"/>
      <c r="AWC189" s="926"/>
      <c r="AWD189" s="926"/>
      <c r="AWE189" s="926"/>
      <c r="AWF189" s="926"/>
      <c r="AWG189" s="926"/>
      <c r="AWH189" s="926"/>
      <c r="AWI189" s="926"/>
      <c r="AWJ189" s="926"/>
      <c r="AWK189" s="926"/>
      <c r="AWL189" s="926"/>
      <c r="AWM189" s="926"/>
      <c r="AWN189" s="926"/>
      <c r="AWO189" s="926"/>
      <c r="AWP189" s="926"/>
      <c r="AWQ189" s="926"/>
      <c r="AWR189" s="926"/>
      <c r="AWS189" s="926"/>
      <c r="AWT189" s="926"/>
      <c r="AWU189" s="926"/>
      <c r="AWV189" s="926"/>
      <c r="AWW189" s="926"/>
      <c r="AWX189" s="926"/>
      <c r="AWY189" s="926"/>
      <c r="AWZ189" s="926"/>
      <c r="AXA189" s="926"/>
      <c r="AXB189" s="926"/>
      <c r="AXC189" s="926"/>
      <c r="AXD189" s="926"/>
      <c r="AXE189" s="926"/>
      <c r="AXF189" s="926"/>
      <c r="AXG189" s="926"/>
      <c r="AXH189" s="926"/>
      <c r="AXI189" s="926"/>
      <c r="AXJ189" s="926"/>
      <c r="AXK189" s="926"/>
      <c r="AXL189" s="926"/>
      <c r="AXM189" s="926"/>
      <c r="AXN189" s="926"/>
      <c r="AXO189" s="926"/>
      <c r="AXP189" s="926"/>
      <c r="AXQ189" s="926"/>
      <c r="AXR189" s="926"/>
      <c r="AXS189" s="926"/>
      <c r="AXT189" s="926"/>
      <c r="AXU189" s="926"/>
      <c r="AXV189" s="926"/>
      <c r="AXW189" s="926"/>
      <c r="AXX189" s="926"/>
      <c r="AXY189" s="926"/>
      <c r="AXZ189" s="926"/>
      <c r="AYA189" s="926"/>
      <c r="AYB189" s="926"/>
      <c r="AYC189" s="926"/>
      <c r="AYD189" s="926"/>
      <c r="AYE189" s="926"/>
      <c r="AYF189" s="926"/>
      <c r="AYG189" s="926"/>
      <c r="AYH189" s="926"/>
      <c r="AYI189" s="926"/>
      <c r="AYJ189" s="926"/>
      <c r="AYK189" s="926"/>
      <c r="AYL189" s="926"/>
      <c r="AYM189" s="926"/>
      <c r="AYN189" s="926"/>
      <c r="AYO189" s="926"/>
      <c r="AYP189" s="926"/>
      <c r="AYQ189" s="926"/>
      <c r="AYR189" s="926"/>
      <c r="AYS189" s="926"/>
      <c r="AYT189" s="926"/>
      <c r="AYU189" s="926"/>
      <c r="AYV189" s="926"/>
      <c r="AYW189" s="926"/>
      <c r="AYX189" s="926"/>
      <c r="AYY189" s="926"/>
      <c r="AYZ189" s="926"/>
      <c r="AZA189" s="926"/>
      <c r="AZB189" s="926"/>
      <c r="AZC189" s="926"/>
      <c r="AZD189" s="926"/>
      <c r="AZE189" s="926"/>
      <c r="AZF189" s="926"/>
      <c r="AZG189" s="926"/>
      <c r="AZH189" s="926"/>
      <c r="AZI189" s="926"/>
      <c r="AZJ189" s="926"/>
      <c r="AZK189" s="926"/>
      <c r="AZL189" s="926"/>
      <c r="AZM189" s="926"/>
      <c r="AZN189" s="926"/>
      <c r="AZO189" s="926"/>
      <c r="AZP189" s="926"/>
      <c r="AZQ189" s="926"/>
      <c r="AZR189" s="926"/>
      <c r="AZS189" s="926"/>
      <c r="AZT189" s="926"/>
      <c r="AZU189" s="926"/>
      <c r="AZV189" s="926"/>
      <c r="AZW189" s="926"/>
      <c r="AZX189" s="926"/>
      <c r="AZY189" s="926"/>
      <c r="AZZ189" s="926"/>
      <c r="BAA189" s="926"/>
      <c r="BAB189" s="926"/>
      <c r="BAC189" s="926"/>
      <c r="BAD189" s="926"/>
      <c r="BAE189" s="926"/>
      <c r="BAF189" s="926"/>
      <c r="BAG189" s="926"/>
      <c r="BAH189" s="926"/>
      <c r="BAI189" s="926"/>
      <c r="BAJ189" s="926"/>
      <c r="BAK189" s="926"/>
      <c r="BAL189" s="926"/>
      <c r="BAM189" s="926"/>
      <c r="BAN189" s="926"/>
      <c r="BAO189" s="926"/>
      <c r="BAP189" s="926"/>
      <c r="BAQ189" s="926"/>
      <c r="BAR189" s="926"/>
      <c r="BAS189" s="926"/>
      <c r="BAT189" s="926"/>
      <c r="BAU189" s="926"/>
      <c r="BAV189" s="926"/>
      <c r="BAW189" s="926"/>
      <c r="BAX189" s="926"/>
      <c r="BAY189" s="926"/>
      <c r="BAZ189" s="926"/>
      <c r="BBA189" s="926"/>
      <c r="BBB189" s="926"/>
      <c r="BBC189" s="926"/>
      <c r="BBD189" s="926"/>
      <c r="BBE189" s="926"/>
      <c r="BBF189" s="926"/>
      <c r="BBG189" s="926"/>
      <c r="BBH189" s="926"/>
      <c r="BBI189" s="926"/>
      <c r="BBJ189" s="926"/>
      <c r="BBK189" s="926"/>
      <c r="BBL189" s="926"/>
      <c r="BBM189" s="926"/>
      <c r="BBN189" s="926"/>
      <c r="BBO189" s="926"/>
      <c r="BBP189" s="926"/>
      <c r="BBQ189" s="926"/>
      <c r="BBR189" s="926"/>
      <c r="BBS189" s="926"/>
      <c r="BBT189" s="926"/>
      <c r="BBU189" s="926"/>
      <c r="BBV189" s="926"/>
      <c r="BBW189" s="926"/>
      <c r="BBX189" s="926"/>
      <c r="BBY189" s="926"/>
      <c r="BBZ189" s="926"/>
      <c r="BCA189" s="926"/>
      <c r="BCB189" s="926"/>
      <c r="BCC189" s="926"/>
      <c r="BCD189" s="926"/>
      <c r="BCE189" s="926"/>
      <c r="BCF189" s="926"/>
      <c r="BCG189" s="926"/>
      <c r="BCH189" s="926"/>
      <c r="BCI189" s="926"/>
      <c r="BCJ189" s="926"/>
      <c r="BCK189" s="926"/>
      <c r="BCL189" s="926"/>
      <c r="BCM189" s="926"/>
      <c r="BCN189" s="926"/>
      <c r="BCO189" s="926"/>
      <c r="BCP189" s="926"/>
      <c r="BCQ189" s="926"/>
      <c r="BCR189" s="926"/>
      <c r="BCS189" s="926"/>
      <c r="BCT189" s="926"/>
      <c r="BCU189" s="926"/>
      <c r="BCV189" s="926"/>
      <c r="BCW189" s="926"/>
      <c r="BCX189" s="926"/>
      <c r="BCY189" s="926"/>
      <c r="BCZ189" s="926"/>
      <c r="BDA189" s="926"/>
      <c r="BDB189" s="926"/>
      <c r="BDC189" s="926"/>
      <c r="BDD189" s="926"/>
      <c r="BDE189" s="926"/>
      <c r="BDF189" s="926"/>
      <c r="BDG189" s="926"/>
      <c r="BDH189" s="926"/>
      <c r="BDI189" s="926"/>
      <c r="BDJ189" s="926"/>
      <c r="BDK189" s="926"/>
      <c r="BDL189" s="926"/>
      <c r="BDM189" s="926"/>
      <c r="BDN189" s="926"/>
      <c r="BDO189" s="926"/>
      <c r="BDP189" s="926"/>
      <c r="BDQ189" s="926"/>
      <c r="BDR189" s="926"/>
      <c r="BDS189" s="926"/>
      <c r="BDT189" s="926"/>
      <c r="BDU189" s="926"/>
      <c r="BDV189" s="926"/>
      <c r="BDW189" s="926"/>
      <c r="BDX189" s="926"/>
      <c r="BDY189" s="926"/>
      <c r="BDZ189" s="926"/>
      <c r="BEA189" s="926"/>
      <c r="BEB189" s="926"/>
      <c r="BEC189" s="926"/>
      <c r="BED189" s="926"/>
      <c r="BEE189" s="926"/>
      <c r="BEF189" s="926"/>
      <c r="BEG189" s="926"/>
      <c r="BEH189" s="926"/>
      <c r="BEI189" s="926"/>
      <c r="BEJ189" s="926"/>
      <c r="BEK189" s="926"/>
      <c r="BEL189" s="926"/>
      <c r="BEM189" s="926"/>
      <c r="BEN189" s="926"/>
      <c r="BEO189" s="926"/>
      <c r="BEP189" s="926"/>
      <c r="BEQ189" s="926"/>
      <c r="BER189" s="926"/>
      <c r="BES189" s="926"/>
      <c r="BET189" s="926"/>
      <c r="BEU189" s="926"/>
      <c r="BEV189" s="926"/>
      <c r="BEW189" s="926"/>
      <c r="BEX189" s="926"/>
      <c r="BEY189" s="926"/>
      <c r="BEZ189" s="926"/>
      <c r="BFA189" s="926"/>
      <c r="BFB189" s="926"/>
      <c r="BFC189" s="926"/>
      <c r="BFD189" s="926"/>
      <c r="BFE189" s="926"/>
      <c r="BFF189" s="926"/>
      <c r="BFG189" s="926"/>
      <c r="BFH189" s="926"/>
      <c r="BFI189" s="926"/>
      <c r="BFJ189" s="926"/>
      <c r="BFK189" s="926"/>
      <c r="BFL189" s="926"/>
      <c r="BFM189" s="926"/>
      <c r="BFN189" s="926"/>
      <c r="BFO189" s="926"/>
      <c r="BFP189" s="926"/>
      <c r="BFQ189" s="926"/>
      <c r="BFR189" s="926"/>
      <c r="BFS189" s="926"/>
      <c r="BFT189" s="926"/>
      <c r="BFU189" s="926"/>
      <c r="BFV189" s="926"/>
      <c r="BFW189" s="926"/>
      <c r="BFX189" s="926"/>
      <c r="BFY189" s="926"/>
      <c r="BFZ189" s="926"/>
      <c r="BGA189" s="926"/>
      <c r="BGB189" s="926"/>
      <c r="BGC189" s="926"/>
      <c r="BGD189" s="926"/>
      <c r="BGE189" s="926"/>
      <c r="BGF189" s="926"/>
      <c r="BGG189" s="926"/>
      <c r="BGH189" s="926"/>
      <c r="BGI189" s="926"/>
      <c r="BGJ189" s="926"/>
      <c r="BGK189" s="926"/>
      <c r="BGL189" s="926"/>
      <c r="BGM189" s="926"/>
      <c r="BGN189" s="926"/>
      <c r="BGO189" s="926"/>
      <c r="BGP189" s="926"/>
      <c r="BGQ189" s="926"/>
      <c r="BGR189" s="926"/>
      <c r="BGS189" s="926"/>
      <c r="BGT189" s="926"/>
      <c r="BGU189" s="926"/>
      <c r="BGV189" s="926"/>
      <c r="BGW189" s="926"/>
      <c r="BGX189" s="926"/>
      <c r="BGY189" s="926"/>
      <c r="BGZ189" s="926"/>
      <c r="BHA189" s="926"/>
      <c r="BHB189" s="926"/>
      <c r="BHC189" s="926"/>
      <c r="BHD189" s="926"/>
      <c r="BHE189" s="926"/>
      <c r="BHF189" s="926"/>
      <c r="BHG189" s="926"/>
      <c r="BHH189" s="926"/>
      <c r="BHI189" s="926"/>
      <c r="BHJ189" s="926"/>
      <c r="BHK189" s="926"/>
      <c r="BHL189" s="926"/>
      <c r="BHM189" s="926"/>
      <c r="BHN189" s="926"/>
      <c r="BHO189" s="926"/>
      <c r="BHP189" s="926"/>
      <c r="BHQ189" s="926"/>
      <c r="BHR189" s="926"/>
      <c r="BHS189" s="926"/>
      <c r="BHT189" s="926"/>
      <c r="BHU189" s="926"/>
      <c r="BHV189" s="926"/>
      <c r="BHW189" s="926"/>
      <c r="BHX189" s="926"/>
      <c r="BHY189" s="926"/>
      <c r="BHZ189" s="926"/>
      <c r="BIA189" s="926"/>
      <c r="BIB189" s="926"/>
      <c r="BIC189" s="926"/>
      <c r="BID189" s="926"/>
      <c r="BIE189" s="926"/>
      <c r="BIF189" s="926"/>
      <c r="BIG189" s="926"/>
      <c r="BIH189" s="926"/>
      <c r="BII189" s="926"/>
      <c r="BIJ189" s="926"/>
      <c r="BIK189" s="926"/>
      <c r="BIL189" s="926"/>
      <c r="BIM189" s="926"/>
      <c r="BIN189" s="926"/>
      <c r="BIO189" s="926"/>
      <c r="BIP189" s="926"/>
      <c r="BIQ189" s="926"/>
      <c r="BIR189" s="926"/>
      <c r="BIS189" s="926"/>
      <c r="BIT189" s="926"/>
      <c r="BIU189" s="926"/>
      <c r="BIV189" s="926"/>
      <c r="BIW189" s="926"/>
      <c r="BIX189" s="926"/>
      <c r="BIY189" s="926"/>
      <c r="BIZ189" s="926"/>
      <c r="BJA189" s="926"/>
      <c r="BJB189" s="926"/>
      <c r="BJC189" s="926"/>
      <c r="BJD189" s="926"/>
      <c r="BJE189" s="926"/>
      <c r="BJF189" s="926"/>
      <c r="BJG189" s="926"/>
      <c r="BJH189" s="926"/>
      <c r="BJI189" s="926"/>
      <c r="BJJ189" s="926"/>
      <c r="BJK189" s="926"/>
      <c r="BJL189" s="926"/>
      <c r="BJM189" s="926"/>
      <c r="BJN189" s="926"/>
      <c r="BJO189" s="926"/>
      <c r="BJP189" s="926"/>
      <c r="BJQ189" s="926"/>
      <c r="BJR189" s="926"/>
      <c r="BJS189" s="926"/>
      <c r="BJT189" s="926"/>
      <c r="BJU189" s="926"/>
      <c r="BJV189" s="926"/>
      <c r="BJW189" s="926"/>
      <c r="BJX189" s="926"/>
      <c r="BJY189" s="926"/>
      <c r="BJZ189" s="926"/>
      <c r="BKA189" s="926"/>
      <c r="BKB189" s="926"/>
      <c r="BKC189" s="926"/>
      <c r="BKD189" s="926"/>
      <c r="BKE189" s="926"/>
      <c r="BKF189" s="926"/>
      <c r="BKG189" s="926"/>
      <c r="BKH189" s="926"/>
      <c r="BKI189" s="926"/>
      <c r="BKJ189" s="926"/>
      <c r="BKK189" s="926"/>
      <c r="BKL189" s="926"/>
      <c r="BKM189" s="926"/>
      <c r="BKN189" s="926"/>
      <c r="BKO189" s="926"/>
      <c r="BKP189" s="926"/>
      <c r="BKQ189" s="926"/>
      <c r="BKR189" s="926"/>
      <c r="BKS189" s="926"/>
      <c r="BKT189" s="926"/>
      <c r="BKU189" s="926"/>
      <c r="BKV189" s="926"/>
      <c r="BKW189" s="926"/>
      <c r="BKX189" s="926"/>
      <c r="BKY189" s="926"/>
      <c r="BKZ189" s="926"/>
      <c r="BLA189" s="926"/>
      <c r="BLB189" s="926"/>
      <c r="BLC189" s="926"/>
      <c r="BLD189" s="926"/>
      <c r="BLE189" s="926"/>
      <c r="BLF189" s="926"/>
      <c r="BLG189" s="926"/>
      <c r="BLH189" s="926"/>
      <c r="BLI189" s="926"/>
      <c r="BLJ189" s="926"/>
      <c r="BLK189" s="926"/>
      <c r="BLL189" s="926"/>
      <c r="BLM189" s="926"/>
      <c r="BLN189" s="926"/>
      <c r="BLO189" s="926"/>
      <c r="BLP189" s="926"/>
      <c r="BLQ189" s="926"/>
      <c r="BLR189" s="926"/>
      <c r="BLS189" s="926"/>
      <c r="BLT189" s="926"/>
      <c r="BLU189" s="926"/>
      <c r="BLV189" s="926"/>
      <c r="BLW189" s="926"/>
      <c r="BLX189" s="926"/>
      <c r="BLY189" s="926"/>
      <c r="BLZ189" s="926"/>
      <c r="BMA189" s="926"/>
      <c r="BMB189" s="926"/>
      <c r="BMC189" s="926"/>
      <c r="BMD189" s="926"/>
      <c r="BME189" s="926"/>
      <c r="BMF189" s="926"/>
      <c r="BMG189" s="926"/>
      <c r="BMH189" s="926"/>
      <c r="BMI189" s="926"/>
      <c r="BMJ189" s="926"/>
      <c r="BMK189" s="926"/>
      <c r="BML189" s="926"/>
      <c r="BMM189" s="926"/>
      <c r="BMN189" s="926"/>
      <c r="BMO189" s="926"/>
      <c r="BMP189" s="926"/>
      <c r="BMQ189" s="926"/>
      <c r="BMR189" s="926"/>
      <c r="BMS189" s="926"/>
      <c r="BMT189" s="926"/>
      <c r="BMU189" s="926"/>
      <c r="BMV189" s="926"/>
      <c r="BMW189" s="926"/>
      <c r="BMX189" s="926"/>
      <c r="BMY189" s="926"/>
      <c r="BMZ189" s="926"/>
      <c r="BNA189" s="926"/>
      <c r="BNB189" s="926"/>
      <c r="BNC189" s="926"/>
      <c r="BND189" s="926"/>
      <c r="BNE189" s="926"/>
      <c r="BNF189" s="926"/>
      <c r="BNG189" s="926"/>
      <c r="BNH189" s="926"/>
      <c r="BNI189" s="926"/>
      <c r="BNJ189" s="926"/>
      <c r="BNK189" s="926"/>
      <c r="BNL189" s="926"/>
      <c r="BNM189" s="926"/>
      <c r="BNN189" s="926"/>
      <c r="BNO189" s="926"/>
      <c r="BNP189" s="926"/>
      <c r="BNQ189" s="926"/>
      <c r="BNR189" s="926"/>
      <c r="BNS189" s="926"/>
      <c r="BNT189" s="926"/>
      <c r="BNU189" s="926"/>
      <c r="BNV189" s="926"/>
      <c r="BNW189" s="926"/>
      <c r="BNX189" s="926"/>
      <c r="BNY189" s="926"/>
      <c r="BNZ189" s="926"/>
      <c r="BOA189" s="926"/>
      <c r="BOB189" s="926"/>
      <c r="BOC189" s="926"/>
      <c r="BOD189" s="926"/>
      <c r="BOE189" s="926"/>
      <c r="BOF189" s="926"/>
      <c r="BOG189" s="926"/>
      <c r="BOH189" s="926"/>
      <c r="BOI189" s="926"/>
      <c r="BOJ189" s="926"/>
      <c r="BOK189" s="926"/>
      <c r="BOL189" s="926"/>
      <c r="BOM189" s="926"/>
      <c r="BON189" s="926"/>
      <c r="BOO189" s="926"/>
      <c r="BOP189" s="926"/>
      <c r="BOQ189" s="926"/>
      <c r="BOR189" s="926"/>
      <c r="BOS189" s="926"/>
      <c r="BOT189" s="926"/>
      <c r="BOU189" s="926"/>
      <c r="BOV189" s="926"/>
      <c r="BOW189" s="926"/>
      <c r="BOX189" s="926"/>
      <c r="BOY189" s="926"/>
      <c r="BOZ189" s="926"/>
      <c r="BPA189" s="926"/>
      <c r="BPB189" s="926"/>
      <c r="BPC189" s="926"/>
      <c r="BPD189" s="926"/>
      <c r="BPE189" s="926"/>
      <c r="BPF189" s="926"/>
      <c r="BPG189" s="926"/>
      <c r="BPH189" s="926"/>
      <c r="BPI189" s="926"/>
      <c r="BPJ189" s="926"/>
      <c r="BPK189" s="926"/>
      <c r="BPL189" s="926"/>
      <c r="BPM189" s="926"/>
      <c r="BPN189" s="926"/>
      <c r="BPO189" s="926"/>
      <c r="BPP189" s="926"/>
      <c r="BPQ189" s="926"/>
      <c r="BPR189" s="926"/>
      <c r="BPS189" s="926"/>
      <c r="BPT189" s="926"/>
      <c r="BPU189" s="926"/>
      <c r="BPV189" s="926"/>
      <c r="BPW189" s="926"/>
      <c r="BPX189" s="926"/>
      <c r="BPY189" s="926"/>
      <c r="BPZ189" s="926"/>
      <c r="BQA189" s="926"/>
      <c r="BQB189" s="926"/>
      <c r="BQC189" s="926"/>
      <c r="BQD189" s="926"/>
      <c r="BQE189" s="926"/>
      <c r="BQF189" s="926"/>
      <c r="BQG189" s="926"/>
      <c r="BQH189" s="926"/>
      <c r="BQI189" s="926"/>
      <c r="BQJ189" s="926"/>
      <c r="BQK189" s="926"/>
      <c r="BQL189" s="926"/>
      <c r="BQM189" s="926"/>
      <c r="BQN189" s="926"/>
      <c r="BQO189" s="926"/>
      <c r="BQP189" s="926"/>
      <c r="BQQ189" s="926"/>
      <c r="BQR189" s="926"/>
      <c r="BQS189" s="926"/>
      <c r="BQT189" s="926"/>
      <c r="BQU189" s="926"/>
      <c r="BQV189" s="926"/>
      <c r="BQW189" s="926"/>
      <c r="BQX189" s="926"/>
      <c r="BQY189" s="926"/>
      <c r="BQZ189" s="926"/>
      <c r="BRA189" s="926"/>
      <c r="BRB189" s="926"/>
      <c r="BRC189" s="926"/>
      <c r="BRD189" s="926"/>
      <c r="BRE189" s="926"/>
      <c r="BRF189" s="926"/>
      <c r="BRG189" s="926"/>
      <c r="BRH189" s="926"/>
      <c r="BRI189" s="926"/>
      <c r="BRJ189" s="926"/>
      <c r="BRK189" s="926"/>
      <c r="BRL189" s="926"/>
      <c r="BRM189" s="926"/>
      <c r="BRN189" s="926"/>
      <c r="BRO189" s="926"/>
      <c r="BRP189" s="926"/>
      <c r="BRQ189" s="926"/>
      <c r="BRR189" s="926"/>
      <c r="BRS189" s="926"/>
      <c r="BRT189" s="926"/>
      <c r="BRU189" s="926"/>
      <c r="BRV189" s="926"/>
      <c r="BRW189" s="926"/>
      <c r="BRX189" s="926"/>
      <c r="BRY189" s="926"/>
      <c r="BRZ189" s="926"/>
      <c r="BSA189" s="926"/>
      <c r="BSB189" s="926"/>
      <c r="BSC189" s="926"/>
      <c r="BSD189" s="926"/>
      <c r="BSE189" s="926"/>
      <c r="BSF189" s="926"/>
      <c r="BSG189" s="926"/>
      <c r="BSH189" s="926"/>
      <c r="BSI189" s="926"/>
      <c r="BSJ189" s="926"/>
      <c r="BSK189" s="926"/>
      <c r="BSL189" s="926"/>
      <c r="BSM189" s="926"/>
      <c r="BSN189" s="926"/>
      <c r="BSO189" s="926"/>
      <c r="BSP189" s="926"/>
      <c r="BSQ189" s="926"/>
      <c r="BSR189" s="926"/>
      <c r="BSS189" s="926"/>
      <c r="BST189" s="926"/>
      <c r="BSU189" s="926"/>
      <c r="BSV189" s="926"/>
      <c r="BSW189" s="926"/>
      <c r="BSX189" s="926"/>
      <c r="BSY189" s="926"/>
      <c r="BSZ189" s="926"/>
      <c r="BTA189" s="926"/>
      <c r="BTB189" s="926"/>
      <c r="BTC189" s="926"/>
      <c r="BTD189" s="926"/>
      <c r="BTE189" s="926"/>
      <c r="BTF189" s="926"/>
      <c r="BTG189" s="926"/>
      <c r="BTH189" s="926"/>
      <c r="BTI189" s="926"/>
      <c r="BTJ189" s="926"/>
      <c r="BTK189" s="926"/>
      <c r="BTL189" s="926"/>
      <c r="BTM189" s="926"/>
      <c r="BTN189" s="926"/>
      <c r="BTO189" s="926"/>
      <c r="BTP189" s="926"/>
      <c r="BTQ189" s="926"/>
      <c r="BTR189" s="926"/>
      <c r="BTS189" s="926"/>
      <c r="BTT189" s="926"/>
      <c r="BTU189" s="926"/>
      <c r="BTV189" s="926"/>
      <c r="BTW189" s="926"/>
      <c r="BTX189" s="926"/>
      <c r="BTY189" s="926"/>
      <c r="BTZ189" s="926"/>
      <c r="BUA189" s="926"/>
      <c r="BUB189" s="926"/>
      <c r="BUC189" s="926"/>
      <c r="BUD189" s="926"/>
      <c r="BUE189" s="926"/>
      <c r="BUF189" s="926"/>
      <c r="BUG189" s="926"/>
      <c r="BUH189" s="926"/>
      <c r="BUI189" s="926"/>
      <c r="BUJ189" s="926"/>
      <c r="BUK189" s="926"/>
      <c r="BUL189" s="926"/>
      <c r="BUM189" s="926"/>
      <c r="BUN189" s="926"/>
      <c r="BUO189" s="926"/>
      <c r="BUP189" s="926"/>
      <c r="BUQ189" s="926"/>
      <c r="BUR189" s="926"/>
      <c r="BUS189" s="926"/>
      <c r="BUT189" s="926"/>
      <c r="BUU189" s="926"/>
      <c r="BUV189" s="926"/>
      <c r="BUW189" s="926"/>
      <c r="BUX189" s="926"/>
      <c r="BUY189" s="926"/>
      <c r="BUZ189" s="926"/>
      <c r="BVA189" s="926"/>
      <c r="BVB189" s="926"/>
      <c r="BVC189" s="926"/>
      <c r="BVD189" s="926"/>
      <c r="BVE189" s="926"/>
      <c r="BVF189" s="926"/>
      <c r="BVG189" s="926"/>
      <c r="BVH189" s="926"/>
      <c r="BVI189" s="926"/>
      <c r="BVJ189" s="926"/>
      <c r="BVK189" s="926"/>
      <c r="BVL189" s="926"/>
      <c r="BVM189" s="926"/>
      <c r="BVN189" s="926"/>
      <c r="BVO189" s="926"/>
      <c r="BVP189" s="926"/>
      <c r="BVQ189" s="926"/>
      <c r="BVR189" s="926"/>
      <c r="BVS189" s="926"/>
      <c r="BVT189" s="926"/>
      <c r="BVU189" s="926"/>
      <c r="BVV189" s="926"/>
      <c r="BVW189" s="926"/>
      <c r="BVX189" s="926"/>
      <c r="BVY189" s="926"/>
      <c r="BVZ189" s="926"/>
      <c r="BWA189" s="926"/>
      <c r="BWB189" s="926"/>
      <c r="BWC189" s="926"/>
      <c r="BWD189" s="926"/>
      <c r="BWE189" s="926"/>
      <c r="BWF189" s="926"/>
      <c r="BWG189" s="926"/>
      <c r="BWH189" s="926"/>
      <c r="BWI189" s="926"/>
      <c r="BWJ189" s="926"/>
      <c r="BWK189" s="926"/>
      <c r="BWL189" s="926"/>
      <c r="BWM189" s="926"/>
      <c r="BWN189" s="926"/>
      <c r="BWO189" s="926"/>
      <c r="BWP189" s="926"/>
      <c r="BWQ189" s="926"/>
      <c r="BWR189" s="926"/>
      <c r="BWS189" s="926"/>
      <c r="BWT189" s="926"/>
      <c r="BWU189" s="926"/>
      <c r="BWV189" s="926"/>
      <c r="BWW189" s="926"/>
      <c r="BWX189" s="926"/>
      <c r="BWY189" s="926"/>
      <c r="BWZ189" s="926"/>
      <c r="BXA189" s="926"/>
      <c r="BXB189" s="926"/>
      <c r="BXC189" s="926"/>
      <c r="BXD189" s="926"/>
      <c r="BXE189" s="926"/>
      <c r="BXF189" s="926"/>
      <c r="BXG189" s="926"/>
      <c r="BXH189" s="926"/>
      <c r="BXI189" s="926"/>
      <c r="BXJ189" s="926"/>
      <c r="BXK189" s="926"/>
      <c r="BXL189" s="926"/>
      <c r="BXM189" s="926"/>
      <c r="BXN189" s="926"/>
      <c r="BXO189" s="926"/>
      <c r="BXP189" s="926"/>
      <c r="BXQ189" s="926"/>
      <c r="BXR189" s="926"/>
      <c r="BXS189" s="926"/>
      <c r="BXT189" s="926"/>
      <c r="BXU189" s="926"/>
      <c r="BXV189" s="926"/>
      <c r="BXW189" s="926"/>
      <c r="BXX189" s="926"/>
      <c r="BXY189" s="926"/>
      <c r="BXZ189" s="926"/>
      <c r="BYA189" s="926"/>
      <c r="BYB189" s="926"/>
      <c r="BYC189" s="926"/>
      <c r="BYD189" s="926"/>
      <c r="BYE189" s="926"/>
      <c r="BYF189" s="926"/>
      <c r="BYG189" s="926"/>
      <c r="BYH189" s="926"/>
      <c r="BYI189" s="926"/>
      <c r="BYJ189" s="926"/>
      <c r="BYK189" s="926"/>
      <c r="BYL189" s="926"/>
      <c r="BYM189" s="926"/>
      <c r="BYN189" s="926"/>
      <c r="BYO189" s="926"/>
      <c r="BYP189" s="926"/>
      <c r="BYQ189" s="926"/>
      <c r="BYR189" s="926"/>
      <c r="BYS189" s="926"/>
      <c r="BYT189" s="926"/>
      <c r="BYU189" s="926"/>
      <c r="BYV189" s="926"/>
      <c r="BYW189" s="926"/>
      <c r="BYX189" s="926"/>
      <c r="BYY189" s="926"/>
      <c r="BYZ189" s="926"/>
      <c r="BZA189" s="926"/>
      <c r="BZB189" s="926"/>
      <c r="BZC189" s="926"/>
      <c r="BZD189" s="926"/>
      <c r="BZE189" s="926"/>
      <c r="BZF189" s="926"/>
      <c r="BZG189" s="926"/>
      <c r="BZH189" s="926"/>
      <c r="BZI189" s="926"/>
      <c r="BZJ189" s="926"/>
      <c r="BZK189" s="926"/>
      <c r="BZL189" s="926"/>
      <c r="BZM189" s="926"/>
      <c r="BZN189" s="926"/>
      <c r="BZO189" s="926"/>
      <c r="BZP189" s="926"/>
      <c r="BZQ189" s="926"/>
      <c r="BZR189" s="926"/>
      <c r="BZS189" s="926"/>
      <c r="BZT189" s="926"/>
      <c r="BZU189" s="926"/>
      <c r="BZV189" s="926"/>
      <c r="BZW189" s="926"/>
      <c r="BZX189" s="926"/>
      <c r="BZY189" s="926"/>
      <c r="BZZ189" s="926"/>
      <c r="CAA189" s="926"/>
      <c r="CAB189" s="926"/>
      <c r="CAC189" s="926"/>
      <c r="CAD189" s="926"/>
      <c r="CAE189" s="926"/>
      <c r="CAF189" s="926"/>
      <c r="CAG189" s="926"/>
      <c r="CAH189" s="926"/>
      <c r="CAI189" s="926"/>
      <c r="CAJ189" s="926"/>
      <c r="CAK189" s="926"/>
      <c r="CAL189" s="926"/>
      <c r="CAM189" s="926"/>
      <c r="CAN189" s="926"/>
      <c r="CAO189" s="926"/>
      <c r="CAP189" s="926"/>
      <c r="CAQ189" s="926"/>
      <c r="CAR189" s="926"/>
      <c r="CAS189" s="926"/>
      <c r="CAT189" s="926"/>
      <c r="CAU189" s="926"/>
      <c r="CAV189" s="926"/>
      <c r="CAW189" s="926"/>
      <c r="CAX189" s="926"/>
      <c r="CAY189" s="926"/>
      <c r="CAZ189" s="926"/>
      <c r="CBA189" s="926"/>
      <c r="CBB189" s="926"/>
      <c r="CBC189" s="926"/>
      <c r="CBD189" s="926"/>
      <c r="CBE189" s="926"/>
      <c r="CBF189" s="926"/>
      <c r="CBG189" s="926"/>
      <c r="CBH189" s="926"/>
      <c r="CBI189" s="926"/>
      <c r="CBJ189" s="926"/>
      <c r="CBK189" s="926"/>
      <c r="CBL189" s="926"/>
      <c r="CBM189" s="926"/>
      <c r="CBN189" s="926"/>
      <c r="CBO189" s="926"/>
      <c r="CBP189" s="926"/>
      <c r="CBQ189" s="926"/>
      <c r="CBR189" s="926"/>
      <c r="CBS189" s="926"/>
      <c r="CBT189" s="926"/>
      <c r="CBU189" s="926"/>
      <c r="CBV189" s="926"/>
      <c r="CBW189" s="926"/>
      <c r="CBX189" s="926"/>
      <c r="CBY189" s="926"/>
      <c r="CBZ189" s="926"/>
      <c r="CCA189" s="926"/>
      <c r="CCB189" s="926"/>
      <c r="CCC189" s="926"/>
      <c r="CCD189" s="926"/>
      <c r="CCE189" s="926"/>
      <c r="CCF189" s="926"/>
      <c r="CCG189" s="926"/>
      <c r="CCH189" s="926"/>
      <c r="CCI189" s="926"/>
      <c r="CCJ189" s="926"/>
      <c r="CCK189" s="926"/>
      <c r="CCL189" s="926"/>
      <c r="CCM189" s="926"/>
      <c r="CCN189" s="926"/>
      <c r="CCO189" s="926"/>
      <c r="CCP189" s="926"/>
      <c r="CCQ189" s="926"/>
      <c r="CCR189" s="926"/>
      <c r="CCS189" s="926"/>
      <c r="CCT189" s="926"/>
      <c r="CCU189" s="926"/>
      <c r="CCV189" s="926"/>
      <c r="CCW189" s="926"/>
      <c r="CCX189" s="926"/>
      <c r="CCY189" s="926"/>
      <c r="CCZ189" s="926"/>
      <c r="CDA189" s="926"/>
      <c r="CDB189" s="926"/>
      <c r="CDC189" s="926"/>
      <c r="CDD189" s="926"/>
      <c r="CDE189" s="926"/>
      <c r="CDF189" s="926"/>
      <c r="CDG189" s="926"/>
      <c r="CDH189" s="926"/>
      <c r="CDI189" s="926"/>
      <c r="CDJ189" s="926"/>
      <c r="CDK189" s="926"/>
      <c r="CDL189" s="926"/>
      <c r="CDM189" s="926"/>
      <c r="CDN189" s="926"/>
      <c r="CDO189" s="926"/>
      <c r="CDP189" s="926"/>
      <c r="CDQ189" s="926"/>
      <c r="CDR189" s="926"/>
      <c r="CDS189" s="926"/>
      <c r="CDT189" s="926"/>
      <c r="CDU189" s="926"/>
      <c r="CDV189" s="926"/>
      <c r="CDW189" s="926"/>
      <c r="CDX189" s="926"/>
      <c r="CDY189" s="926"/>
      <c r="CDZ189" s="926"/>
      <c r="CEA189" s="926"/>
      <c r="CEB189" s="926"/>
      <c r="CEC189" s="926"/>
      <c r="CED189" s="926"/>
      <c r="CEE189" s="926"/>
      <c r="CEF189" s="926"/>
      <c r="CEG189" s="926"/>
      <c r="CEH189" s="926"/>
      <c r="CEI189" s="926"/>
      <c r="CEJ189" s="926"/>
      <c r="CEK189" s="926"/>
      <c r="CEL189" s="926"/>
      <c r="CEM189" s="926"/>
      <c r="CEN189" s="926"/>
      <c r="CEO189" s="926"/>
      <c r="CEP189" s="926"/>
      <c r="CEQ189" s="926"/>
      <c r="CER189" s="926"/>
      <c r="CES189" s="926"/>
      <c r="CET189" s="926"/>
      <c r="CEU189" s="926"/>
      <c r="CEV189" s="926"/>
      <c r="CEW189" s="926"/>
      <c r="CEX189" s="926"/>
      <c r="CEY189" s="926"/>
      <c r="CEZ189" s="926"/>
      <c r="CFA189" s="926"/>
      <c r="CFB189" s="926"/>
      <c r="CFC189" s="926"/>
      <c r="CFD189" s="926"/>
      <c r="CFE189" s="926"/>
      <c r="CFF189" s="926"/>
      <c r="CFG189" s="926"/>
      <c r="CFH189" s="926"/>
      <c r="CFI189" s="926"/>
      <c r="CFJ189" s="926"/>
      <c r="CFK189" s="926"/>
      <c r="CFL189" s="926"/>
      <c r="CFM189" s="926"/>
      <c r="CFN189" s="926"/>
      <c r="CFO189" s="926"/>
      <c r="CFP189" s="926"/>
      <c r="CFQ189" s="926"/>
      <c r="CFR189" s="926"/>
      <c r="CFS189" s="926"/>
      <c r="CFT189" s="926"/>
      <c r="CFU189" s="926"/>
      <c r="CFV189" s="926"/>
      <c r="CFW189" s="926"/>
      <c r="CFX189" s="926"/>
      <c r="CFY189" s="926"/>
      <c r="CFZ189" s="926"/>
      <c r="CGA189" s="926"/>
      <c r="CGB189" s="926"/>
      <c r="CGC189" s="926"/>
      <c r="CGD189" s="926"/>
      <c r="CGE189" s="926"/>
      <c r="CGF189" s="926"/>
      <c r="CGG189" s="926"/>
      <c r="CGH189" s="926"/>
      <c r="CGI189" s="926"/>
      <c r="CGJ189" s="926"/>
      <c r="CGK189" s="926"/>
      <c r="CGL189" s="926"/>
      <c r="CGM189" s="926"/>
      <c r="CGN189" s="926"/>
      <c r="CGO189" s="926"/>
      <c r="CGP189" s="926"/>
      <c r="CGQ189" s="926"/>
      <c r="CGR189" s="926"/>
      <c r="CGS189" s="926"/>
      <c r="CGT189" s="926"/>
      <c r="CGU189" s="926"/>
      <c r="CGV189" s="926"/>
      <c r="CGW189" s="926"/>
      <c r="CGX189" s="926"/>
      <c r="CGY189" s="926"/>
      <c r="CGZ189" s="926"/>
      <c r="CHA189" s="926"/>
      <c r="CHB189" s="926"/>
      <c r="CHC189" s="926"/>
      <c r="CHD189" s="926"/>
      <c r="CHE189" s="926"/>
      <c r="CHF189" s="926"/>
      <c r="CHG189" s="926"/>
      <c r="CHH189" s="926"/>
      <c r="CHI189" s="926"/>
      <c r="CHJ189" s="926"/>
      <c r="CHK189" s="926"/>
      <c r="CHL189" s="926"/>
      <c r="CHM189" s="926"/>
      <c r="CHN189" s="926"/>
      <c r="CHO189" s="926"/>
      <c r="CHP189" s="926"/>
      <c r="CHQ189" s="926"/>
      <c r="CHR189" s="926"/>
      <c r="CHS189" s="926"/>
      <c r="CHT189" s="926"/>
      <c r="CHU189" s="926"/>
      <c r="CHV189" s="926"/>
      <c r="CHW189" s="926"/>
      <c r="CHX189" s="926"/>
      <c r="CHY189" s="926"/>
      <c r="CHZ189" s="926"/>
      <c r="CIA189" s="926"/>
      <c r="CIB189" s="926"/>
      <c r="CIC189" s="926"/>
      <c r="CID189" s="926"/>
      <c r="CIE189" s="926"/>
      <c r="CIF189" s="926"/>
      <c r="CIG189" s="926"/>
      <c r="CIH189" s="926"/>
      <c r="CII189" s="926"/>
      <c r="CIJ189" s="926"/>
      <c r="CIK189" s="926"/>
      <c r="CIL189" s="926"/>
      <c r="CIM189" s="926"/>
      <c r="CIN189" s="926"/>
      <c r="CIO189" s="926"/>
      <c r="CIP189" s="926"/>
      <c r="CIQ189" s="926"/>
      <c r="CIR189" s="926"/>
      <c r="CIS189" s="926"/>
      <c r="CIT189" s="926"/>
      <c r="CIU189" s="926"/>
      <c r="CIV189" s="926"/>
      <c r="CIW189" s="926"/>
      <c r="CIX189" s="926"/>
      <c r="CIY189" s="926"/>
      <c r="CIZ189" s="926"/>
      <c r="CJA189" s="926"/>
      <c r="CJB189" s="926"/>
      <c r="CJC189" s="926"/>
      <c r="CJD189" s="926"/>
      <c r="CJE189" s="926"/>
      <c r="CJF189" s="926"/>
      <c r="CJG189" s="926"/>
      <c r="CJH189" s="926"/>
      <c r="CJI189" s="926"/>
      <c r="CJJ189" s="926"/>
      <c r="CJK189" s="926"/>
      <c r="CJL189" s="926"/>
      <c r="CJM189" s="926"/>
      <c r="CJN189" s="926"/>
      <c r="CJO189" s="926"/>
      <c r="CJP189" s="926"/>
      <c r="CJQ189" s="926"/>
      <c r="CJR189" s="926"/>
      <c r="CJS189" s="926"/>
      <c r="CJT189" s="926"/>
      <c r="CJU189" s="926"/>
      <c r="CJV189" s="926"/>
      <c r="CJW189" s="926"/>
      <c r="CJX189" s="926"/>
      <c r="CJY189" s="926"/>
      <c r="CJZ189" s="926"/>
      <c r="CKA189" s="926"/>
      <c r="CKB189" s="926"/>
      <c r="CKC189" s="926"/>
      <c r="CKD189" s="926"/>
      <c r="CKE189" s="926"/>
      <c r="CKF189" s="926"/>
      <c r="CKG189" s="926"/>
      <c r="CKH189" s="926"/>
      <c r="CKI189" s="926"/>
      <c r="CKJ189" s="926"/>
      <c r="CKK189" s="926"/>
      <c r="CKL189" s="926"/>
      <c r="CKM189" s="926"/>
      <c r="CKN189" s="926"/>
      <c r="CKO189" s="926"/>
      <c r="CKP189" s="926"/>
      <c r="CKQ189" s="926"/>
      <c r="CKR189" s="926"/>
      <c r="CKS189" s="926"/>
      <c r="CKT189" s="926"/>
      <c r="CKU189" s="926"/>
      <c r="CKV189" s="926"/>
      <c r="CKW189" s="926"/>
      <c r="CKX189" s="926"/>
      <c r="CKY189" s="926"/>
      <c r="CKZ189" s="926"/>
      <c r="CLA189" s="926"/>
      <c r="CLB189" s="926"/>
      <c r="CLC189" s="926"/>
      <c r="CLD189" s="926"/>
      <c r="CLE189" s="926"/>
      <c r="CLF189" s="926"/>
      <c r="CLG189" s="926"/>
      <c r="CLH189" s="926"/>
      <c r="CLI189" s="926"/>
      <c r="CLJ189" s="926"/>
      <c r="CLK189" s="926"/>
      <c r="CLL189" s="926"/>
      <c r="CLM189" s="926"/>
      <c r="CLN189" s="926"/>
      <c r="CLO189" s="926"/>
      <c r="CLP189" s="926"/>
      <c r="CLQ189" s="926"/>
      <c r="CLR189" s="926"/>
      <c r="CLS189" s="926"/>
      <c r="CLT189" s="926"/>
      <c r="CLU189" s="926"/>
      <c r="CLV189" s="926"/>
      <c r="CLW189" s="926"/>
      <c r="CLX189" s="926"/>
      <c r="CLY189" s="926"/>
      <c r="CLZ189" s="926"/>
      <c r="CMA189" s="926"/>
      <c r="CMB189" s="926"/>
      <c r="CMC189" s="926"/>
      <c r="CMD189" s="926"/>
      <c r="CME189" s="926"/>
      <c r="CMF189" s="926"/>
      <c r="CMG189" s="926"/>
      <c r="CMH189" s="926"/>
      <c r="CMI189" s="926"/>
      <c r="CMJ189" s="926"/>
      <c r="CMK189" s="926"/>
      <c r="CML189" s="926"/>
      <c r="CMM189" s="926"/>
      <c r="CMN189" s="926"/>
      <c r="CMO189" s="926"/>
      <c r="CMP189" s="926"/>
      <c r="CMQ189" s="926"/>
      <c r="CMR189" s="926"/>
      <c r="CMS189" s="926"/>
      <c r="CMT189" s="926"/>
      <c r="CMU189" s="926"/>
      <c r="CMV189" s="926"/>
      <c r="CMW189" s="926"/>
      <c r="CMX189" s="926"/>
      <c r="CMY189" s="926"/>
      <c r="CMZ189" s="926"/>
      <c r="CNA189" s="926"/>
      <c r="CNB189" s="926"/>
      <c r="CNC189" s="926"/>
      <c r="CND189" s="926"/>
      <c r="CNE189" s="926"/>
      <c r="CNF189" s="926"/>
      <c r="CNG189" s="926"/>
      <c r="CNH189" s="926"/>
      <c r="CNI189" s="926"/>
      <c r="CNJ189" s="926"/>
      <c r="CNK189" s="926"/>
      <c r="CNL189" s="926"/>
      <c r="CNM189" s="926"/>
      <c r="CNN189" s="926"/>
      <c r="CNO189" s="926"/>
      <c r="CNP189" s="926"/>
      <c r="CNQ189" s="926"/>
      <c r="CNR189" s="926"/>
      <c r="CNS189" s="926"/>
      <c r="CNT189" s="926"/>
      <c r="CNU189" s="926"/>
      <c r="CNV189" s="926"/>
      <c r="CNW189" s="926"/>
      <c r="CNX189" s="926"/>
      <c r="CNY189" s="926"/>
      <c r="CNZ189" s="926"/>
      <c r="COA189" s="926"/>
      <c r="COB189" s="926"/>
      <c r="COC189" s="926"/>
      <c r="COD189" s="926"/>
      <c r="COE189" s="926"/>
      <c r="COF189" s="926"/>
      <c r="COG189" s="926"/>
      <c r="COH189" s="926"/>
      <c r="COI189" s="926"/>
      <c r="COJ189" s="926"/>
      <c r="COK189" s="926"/>
      <c r="COL189" s="926"/>
      <c r="COM189" s="926"/>
      <c r="CON189" s="926"/>
      <c r="COO189" s="926"/>
      <c r="COP189" s="926"/>
      <c r="COQ189" s="926"/>
      <c r="COR189" s="926"/>
      <c r="COS189" s="926"/>
      <c r="COT189" s="926"/>
      <c r="COU189" s="926"/>
      <c r="COV189" s="926"/>
      <c r="COW189" s="926"/>
      <c r="COX189" s="926"/>
      <c r="COY189" s="926"/>
      <c r="COZ189" s="926"/>
      <c r="CPA189" s="926"/>
      <c r="CPB189" s="926"/>
      <c r="CPC189" s="926"/>
      <c r="CPD189" s="926"/>
      <c r="CPE189" s="926"/>
      <c r="CPF189" s="926"/>
      <c r="CPG189" s="926"/>
      <c r="CPH189" s="926"/>
      <c r="CPI189" s="926"/>
      <c r="CPJ189" s="926"/>
      <c r="CPK189" s="926"/>
      <c r="CPL189" s="926"/>
      <c r="CPM189" s="926"/>
      <c r="CPN189" s="926"/>
      <c r="CPO189" s="926"/>
      <c r="CPP189" s="926"/>
      <c r="CPQ189" s="926"/>
      <c r="CPR189" s="926"/>
      <c r="CPS189" s="926"/>
      <c r="CPT189" s="926"/>
      <c r="CPU189" s="926"/>
      <c r="CPV189" s="926"/>
      <c r="CPW189" s="926"/>
      <c r="CPX189" s="926"/>
      <c r="CPY189" s="926"/>
      <c r="CPZ189" s="926"/>
      <c r="CQA189" s="926"/>
      <c r="CQB189" s="926"/>
      <c r="CQC189" s="926"/>
      <c r="CQD189" s="926"/>
      <c r="CQE189" s="926"/>
      <c r="CQF189" s="926"/>
      <c r="CQG189" s="926"/>
      <c r="CQH189" s="926"/>
      <c r="CQI189" s="926"/>
      <c r="CQJ189" s="926"/>
      <c r="CQK189" s="926"/>
      <c r="CQL189" s="926"/>
      <c r="CQM189" s="926"/>
      <c r="CQN189" s="926"/>
      <c r="CQO189" s="926"/>
      <c r="CQP189" s="926"/>
      <c r="CQQ189" s="926"/>
      <c r="CQR189" s="926"/>
      <c r="CQS189" s="926"/>
      <c r="CQT189" s="926"/>
      <c r="CQU189" s="926"/>
      <c r="CQV189" s="926"/>
      <c r="CQW189" s="926"/>
      <c r="CQX189" s="926"/>
      <c r="CQY189" s="926"/>
      <c r="CQZ189" s="926"/>
      <c r="CRA189" s="926"/>
      <c r="CRB189" s="926"/>
      <c r="CRC189" s="926"/>
      <c r="CRD189" s="926"/>
      <c r="CRE189" s="926"/>
      <c r="CRF189" s="926"/>
      <c r="CRG189" s="926"/>
      <c r="CRH189" s="926"/>
      <c r="CRI189" s="926"/>
      <c r="CRJ189" s="926"/>
      <c r="CRK189" s="926"/>
      <c r="CRL189" s="926"/>
      <c r="CRM189" s="926"/>
      <c r="CRN189" s="926"/>
      <c r="CRO189" s="926"/>
      <c r="CRP189" s="926"/>
      <c r="CRQ189" s="926"/>
      <c r="CRR189" s="926"/>
      <c r="CRS189" s="926"/>
      <c r="CRT189" s="926"/>
      <c r="CRU189" s="926"/>
      <c r="CRV189" s="926"/>
      <c r="CRW189" s="926"/>
      <c r="CRX189" s="926"/>
      <c r="CRY189" s="926"/>
      <c r="CRZ189" s="926"/>
      <c r="CSA189" s="926"/>
      <c r="CSB189" s="926"/>
      <c r="CSC189" s="926"/>
      <c r="CSD189" s="926"/>
      <c r="CSE189" s="926"/>
      <c r="CSF189" s="926"/>
      <c r="CSG189" s="926"/>
      <c r="CSH189" s="926"/>
      <c r="CSI189" s="926"/>
      <c r="CSJ189" s="926"/>
      <c r="CSK189" s="926"/>
      <c r="CSL189" s="926"/>
      <c r="CSM189" s="926"/>
      <c r="CSN189" s="926"/>
      <c r="CSO189" s="926"/>
      <c r="CSP189" s="926"/>
      <c r="CSQ189" s="926"/>
      <c r="CSR189" s="926"/>
      <c r="CSS189" s="926"/>
      <c r="CST189" s="926"/>
      <c r="CSU189" s="926"/>
      <c r="CSV189" s="926"/>
      <c r="CSW189" s="926"/>
      <c r="CSX189" s="926"/>
      <c r="CSY189" s="926"/>
      <c r="CSZ189" s="926"/>
      <c r="CTA189" s="926"/>
      <c r="CTB189" s="926"/>
      <c r="CTC189" s="926"/>
      <c r="CTD189" s="926"/>
      <c r="CTE189" s="926"/>
      <c r="CTF189" s="926"/>
      <c r="CTG189" s="926"/>
      <c r="CTH189" s="926"/>
      <c r="CTI189" s="926"/>
      <c r="CTJ189" s="926"/>
      <c r="CTK189" s="926"/>
      <c r="CTL189" s="926"/>
      <c r="CTM189" s="926"/>
      <c r="CTN189" s="926"/>
      <c r="CTO189" s="926"/>
      <c r="CTP189" s="926"/>
      <c r="CTQ189" s="926"/>
      <c r="CTR189" s="926"/>
      <c r="CTS189" s="926"/>
      <c r="CTT189" s="926"/>
      <c r="CTU189" s="926"/>
      <c r="CTV189" s="926"/>
      <c r="CTW189" s="926"/>
      <c r="CTX189" s="926"/>
      <c r="CTY189" s="926"/>
      <c r="CTZ189" s="926"/>
      <c r="CUA189" s="926"/>
      <c r="CUB189" s="926"/>
      <c r="CUC189" s="926"/>
      <c r="CUD189" s="926"/>
      <c r="CUE189" s="926"/>
      <c r="CUF189" s="926"/>
      <c r="CUG189" s="926"/>
      <c r="CUH189" s="926"/>
      <c r="CUI189" s="926"/>
      <c r="CUJ189" s="926"/>
      <c r="CUK189" s="926"/>
      <c r="CUL189" s="926"/>
      <c r="CUM189" s="926"/>
      <c r="CUN189" s="926"/>
      <c r="CUO189" s="926"/>
      <c r="CUP189" s="926"/>
      <c r="CUQ189" s="926"/>
      <c r="CUR189" s="926"/>
      <c r="CUS189" s="926"/>
      <c r="CUT189" s="926"/>
      <c r="CUU189" s="926"/>
      <c r="CUV189" s="926"/>
      <c r="CUW189" s="926"/>
      <c r="CUX189" s="926"/>
      <c r="CUY189" s="926"/>
      <c r="CUZ189" s="926"/>
      <c r="CVA189" s="926"/>
      <c r="CVB189" s="926"/>
      <c r="CVC189" s="926"/>
      <c r="CVD189" s="926"/>
      <c r="CVE189" s="926"/>
      <c r="CVF189" s="926"/>
      <c r="CVG189" s="926"/>
      <c r="CVH189" s="926"/>
      <c r="CVI189" s="926"/>
      <c r="CVJ189" s="926"/>
      <c r="CVK189" s="926"/>
      <c r="CVL189" s="926"/>
      <c r="CVM189" s="926"/>
      <c r="CVN189" s="926"/>
      <c r="CVO189" s="926"/>
      <c r="CVP189" s="926"/>
      <c r="CVQ189" s="926"/>
      <c r="CVR189" s="926"/>
      <c r="CVS189" s="926"/>
      <c r="CVT189" s="926"/>
      <c r="CVU189" s="926"/>
      <c r="CVV189" s="926"/>
      <c r="CVW189" s="926"/>
      <c r="CVX189" s="926"/>
      <c r="CVY189" s="926"/>
      <c r="CVZ189" s="926"/>
      <c r="CWA189" s="926"/>
      <c r="CWB189" s="926"/>
      <c r="CWC189" s="926"/>
      <c r="CWD189" s="926"/>
      <c r="CWE189" s="926"/>
      <c r="CWF189" s="926"/>
      <c r="CWG189" s="926"/>
      <c r="CWH189" s="926"/>
      <c r="CWI189" s="926"/>
      <c r="CWJ189" s="926"/>
      <c r="CWK189" s="926"/>
      <c r="CWL189" s="926"/>
      <c r="CWM189" s="926"/>
      <c r="CWN189" s="926"/>
      <c r="CWO189" s="926"/>
      <c r="CWP189" s="926"/>
      <c r="CWQ189" s="926"/>
      <c r="CWR189" s="926"/>
      <c r="CWS189" s="926"/>
      <c r="CWT189" s="926"/>
      <c r="CWU189" s="926"/>
      <c r="CWV189" s="926"/>
      <c r="CWW189" s="926"/>
      <c r="CWX189" s="926"/>
      <c r="CWY189" s="926"/>
      <c r="CWZ189" s="926"/>
      <c r="CXA189" s="926"/>
      <c r="CXB189" s="926"/>
      <c r="CXC189" s="926"/>
      <c r="CXD189" s="926"/>
      <c r="CXE189" s="926"/>
      <c r="CXF189" s="926"/>
      <c r="CXG189" s="926"/>
      <c r="CXH189" s="926"/>
      <c r="CXI189" s="926"/>
      <c r="CXJ189" s="926"/>
      <c r="CXK189" s="926"/>
      <c r="CXL189" s="926"/>
      <c r="CXM189" s="926"/>
      <c r="CXN189" s="926"/>
      <c r="CXO189" s="926"/>
      <c r="CXP189" s="926"/>
      <c r="CXQ189" s="926"/>
      <c r="CXR189" s="926"/>
      <c r="CXS189" s="926"/>
      <c r="CXT189" s="926"/>
      <c r="CXU189" s="926"/>
      <c r="CXV189" s="926"/>
      <c r="CXW189" s="926"/>
      <c r="CXX189" s="926"/>
      <c r="CXY189" s="926"/>
      <c r="CXZ189" s="926"/>
      <c r="CYA189" s="926"/>
      <c r="CYB189" s="926"/>
      <c r="CYC189" s="926"/>
      <c r="CYD189" s="926"/>
      <c r="CYE189" s="926"/>
      <c r="CYF189" s="926"/>
      <c r="CYG189" s="926"/>
      <c r="CYH189" s="926"/>
      <c r="CYI189" s="926"/>
      <c r="CYJ189" s="926"/>
      <c r="CYK189" s="926"/>
      <c r="CYL189" s="926"/>
      <c r="CYM189" s="926"/>
      <c r="CYN189" s="926"/>
      <c r="CYO189" s="926"/>
      <c r="CYP189" s="926"/>
      <c r="CYQ189" s="926"/>
      <c r="CYR189" s="926"/>
      <c r="CYS189" s="926"/>
      <c r="CYT189" s="926"/>
      <c r="CYU189" s="926"/>
      <c r="CYV189" s="926"/>
      <c r="CYW189" s="926"/>
      <c r="CYX189" s="926"/>
      <c r="CYY189" s="926"/>
      <c r="CYZ189" s="926"/>
      <c r="CZA189" s="926"/>
      <c r="CZB189" s="926"/>
      <c r="CZC189" s="926"/>
      <c r="CZD189" s="926"/>
      <c r="CZE189" s="926"/>
      <c r="CZF189" s="926"/>
      <c r="CZG189" s="926"/>
      <c r="CZH189" s="926"/>
      <c r="CZI189" s="926"/>
      <c r="CZJ189" s="926"/>
      <c r="CZK189" s="926"/>
      <c r="CZL189" s="926"/>
      <c r="CZM189" s="926"/>
      <c r="CZN189" s="926"/>
      <c r="CZO189" s="926"/>
      <c r="CZP189" s="926"/>
      <c r="CZQ189" s="926"/>
      <c r="CZR189" s="926"/>
      <c r="CZS189" s="926"/>
      <c r="CZT189" s="926"/>
      <c r="CZU189" s="926"/>
      <c r="CZV189" s="926"/>
      <c r="CZW189" s="926"/>
      <c r="CZX189" s="926"/>
      <c r="CZY189" s="926"/>
      <c r="CZZ189" s="926"/>
      <c r="DAA189" s="926"/>
      <c r="DAB189" s="926"/>
      <c r="DAC189" s="926"/>
      <c r="DAD189" s="926"/>
      <c r="DAE189" s="926"/>
      <c r="DAF189" s="926"/>
      <c r="DAG189" s="926"/>
      <c r="DAH189" s="926"/>
      <c r="DAI189" s="926"/>
      <c r="DAJ189" s="926"/>
      <c r="DAK189" s="926"/>
      <c r="DAL189" s="926"/>
      <c r="DAM189" s="926"/>
      <c r="DAN189" s="926"/>
      <c r="DAO189" s="926"/>
      <c r="DAP189" s="926"/>
      <c r="DAQ189" s="926"/>
      <c r="DAR189" s="926"/>
      <c r="DAS189" s="926"/>
      <c r="DAT189" s="926"/>
      <c r="DAU189" s="926"/>
      <c r="DAV189" s="926"/>
      <c r="DAW189" s="926"/>
      <c r="DAX189" s="926"/>
      <c r="DAY189" s="926"/>
      <c r="DAZ189" s="926"/>
      <c r="DBA189" s="926"/>
      <c r="DBB189" s="926"/>
      <c r="DBC189" s="926"/>
      <c r="DBD189" s="926"/>
      <c r="DBE189" s="926"/>
      <c r="DBF189" s="926"/>
      <c r="DBG189" s="926"/>
      <c r="DBH189" s="926"/>
      <c r="DBI189" s="926"/>
      <c r="DBJ189" s="926"/>
      <c r="DBK189" s="926"/>
      <c r="DBL189" s="926"/>
      <c r="DBM189" s="926"/>
      <c r="DBN189" s="926"/>
      <c r="DBO189" s="926"/>
      <c r="DBP189" s="926"/>
      <c r="DBQ189" s="926"/>
      <c r="DBR189" s="926"/>
      <c r="DBS189" s="926"/>
      <c r="DBT189" s="926"/>
      <c r="DBU189" s="926"/>
      <c r="DBV189" s="926"/>
      <c r="DBW189" s="926"/>
      <c r="DBX189" s="926"/>
      <c r="DBY189" s="926"/>
      <c r="DBZ189" s="926"/>
      <c r="DCA189" s="926"/>
      <c r="DCB189" s="926"/>
      <c r="DCC189" s="926"/>
      <c r="DCD189" s="926"/>
      <c r="DCE189" s="926"/>
      <c r="DCF189" s="926"/>
      <c r="DCG189" s="926"/>
      <c r="DCH189" s="926"/>
      <c r="DCI189" s="926"/>
      <c r="DCJ189" s="926"/>
      <c r="DCK189" s="926"/>
      <c r="DCL189" s="926"/>
      <c r="DCM189" s="926"/>
      <c r="DCN189" s="926"/>
      <c r="DCO189" s="926"/>
      <c r="DCP189" s="926"/>
      <c r="DCQ189" s="926"/>
      <c r="DCR189" s="926"/>
      <c r="DCS189" s="926"/>
      <c r="DCT189" s="926"/>
      <c r="DCU189" s="926"/>
      <c r="DCV189" s="926"/>
      <c r="DCW189" s="926"/>
      <c r="DCX189" s="926"/>
      <c r="DCY189" s="926"/>
      <c r="DCZ189" s="926"/>
      <c r="DDA189" s="926"/>
      <c r="DDB189" s="926"/>
      <c r="DDC189" s="926"/>
      <c r="DDD189" s="926"/>
      <c r="DDE189" s="926"/>
      <c r="DDF189" s="926"/>
      <c r="DDG189" s="926"/>
      <c r="DDH189" s="926"/>
      <c r="DDI189" s="926"/>
      <c r="DDJ189" s="926"/>
      <c r="DDK189" s="926"/>
      <c r="DDL189" s="926"/>
      <c r="DDM189" s="926"/>
      <c r="DDN189" s="926"/>
      <c r="DDO189" s="926"/>
      <c r="DDP189" s="926"/>
      <c r="DDQ189" s="926"/>
      <c r="DDR189" s="926"/>
      <c r="DDS189" s="926"/>
      <c r="DDT189" s="926"/>
      <c r="DDU189" s="926"/>
      <c r="DDV189" s="926"/>
      <c r="DDW189" s="926"/>
      <c r="DDX189" s="926"/>
      <c r="DDY189" s="926"/>
      <c r="DDZ189" s="926"/>
      <c r="DEA189" s="926"/>
      <c r="DEB189" s="926"/>
      <c r="DEC189" s="926"/>
      <c r="DED189" s="926"/>
      <c r="DEE189" s="926"/>
      <c r="DEF189" s="926"/>
      <c r="DEG189" s="926"/>
      <c r="DEH189" s="926"/>
      <c r="DEI189" s="926"/>
      <c r="DEJ189" s="926"/>
      <c r="DEK189" s="926"/>
      <c r="DEL189" s="926"/>
      <c r="DEM189" s="926"/>
      <c r="DEN189" s="926"/>
      <c r="DEO189" s="926"/>
      <c r="DEP189" s="926"/>
      <c r="DEQ189" s="926"/>
      <c r="DER189" s="926"/>
      <c r="DES189" s="926"/>
      <c r="DET189" s="926"/>
      <c r="DEU189" s="926"/>
      <c r="DEV189" s="926"/>
      <c r="DEW189" s="926"/>
      <c r="DEX189" s="926"/>
      <c r="DEY189" s="926"/>
      <c r="DEZ189" s="926"/>
      <c r="DFA189" s="926"/>
      <c r="DFB189" s="926"/>
      <c r="DFC189" s="926"/>
      <c r="DFD189" s="926"/>
      <c r="DFE189" s="926"/>
      <c r="DFF189" s="926"/>
      <c r="DFG189" s="926"/>
      <c r="DFH189" s="926"/>
      <c r="DFI189" s="926"/>
      <c r="DFJ189" s="926"/>
      <c r="DFK189" s="926"/>
      <c r="DFL189" s="926"/>
      <c r="DFM189" s="926"/>
      <c r="DFN189" s="926"/>
      <c r="DFO189" s="926"/>
      <c r="DFP189" s="926"/>
      <c r="DFQ189" s="926"/>
      <c r="DFR189" s="926"/>
      <c r="DFS189" s="926"/>
      <c r="DFT189" s="926"/>
      <c r="DFU189" s="926"/>
      <c r="DFV189" s="926"/>
      <c r="DFW189" s="926"/>
      <c r="DFX189" s="926"/>
      <c r="DFY189" s="926"/>
      <c r="DFZ189" s="926"/>
      <c r="DGA189" s="926"/>
      <c r="DGB189" s="926"/>
      <c r="DGC189" s="926"/>
      <c r="DGD189" s="926"/>
      <c r="DGE189" s="926"/>
      <c r="DGF189" s="926"/>
      <c r="DGG189" s="926"/>
      <c r="DGH189" s="926"/>
      <c r="DGI189" s="926"/>
      <c r="DGJ189" s="926"/>
      <c r="DGK189" s="926"/>
      <c r="DGL189" s="926"/>
      <c r="DGM189" s="926"/>
      <c r="DGN189" s="926"/>
      <c r="DGO189" s="926"/>
      <c r="DGP189" s="926"/>
      <c r="DGQ189" s="926"/>
      <c r="DGR189" s="926"/>
      <c r="DGS189" s="926"/>
      <c r="DGT189" s="926"/>
      <c r="DGU189" s="926"/>
      <c r="DGV189" s="926"/>
      <c r="DGW189" s="926"/>
      <c r="DGX189" s="926"/>
      <c r="DGY189" s="926"/>
      <c r="DGZ189" s="926"/>
      <c r="DHA189" s="926"/>
      <c r="DHB189" s="926"/>
      <c r="DHC189" s="926"/>
      <c r="DHD189" s="926"/>
      <c r="DHE189" s="926"/>
      <c r="DHF189" s="926"/>
      <c r="DHG189" s="926"/>
      <c r="DHH189" s="926"/>
      <c r="DHI189" s="926"/>
      <c r="DHJ189" s="926"/>
      <c r="DHK189" s="926"/>
      <c r="DHL189" s="926"/>
      <c r="DHM189" s="926"/>
      <c r="DHN189" s="926"/>
      <c r="DHO189" s="926"/>
      <c r="DHP189" s="926"/>
      <c r="DHQ189" s="926"/>
      <c r="DHR189" s="926"/>
      <c r="DHS189" s="926"/>
      <c r="DHT189" s="926"/>
      <c r="DHU189" s="926"/>
      <c r="DHV189" s="926"/>
      <c r="DHW189" s="926"/>
      <c r="DHX189" s="926"/>
      <c r="DHY189" s="926"/>
      <c r="DHZ189" s="926"/>
      <c r="DIA189" s="926"/>
      <c r="DIB189" s="926"/>
      <c r="DIC189" s="926"/>
      <c r="DID189" s="926"/>
      <c r="DIE189" s="926"/>
      <c r="DIF189" s="926"/>
      <c r="DIG189" s="926"/>
      <c r="DIH189" s="926"/>
      <c r="DII189" s="926"/>
      <c r="DIJ189" s="926"/>
      <c r="DIK189" s="926"/>
      <c r="DIL189" s="926"/>
      <c r="DIM189" s="926"/>
      <c r="DIN189" s="926"/>
      <c r="DIO189" s="926"/>
      <c r="DIP189" s="926"/>
      <c r="DIQ189" s="926"/>
      <c r="DIR189" s="926"/>
      <c r="DIS189" s="926"/>
      <c r="DIT189" s="926"/>
      <c r="DIU189" s="926"/>
      <c r="DIV189" s="926"/>
      <c r="DIW189" s="926"/>
      <c r="DIX189" s="926"/>
      <c r="DIY189" s="926"/>
      <c r="DIZ189" s="926"/>
      <c r="DJA189" s="926"/>
      <c r="DJB189" s="926"/>
      <c r="DJC189" s="926"/>
      <c r="DJD189" s="926"/>
      <c r="DJE189" s="926"/>
      <c r="DJF189" s="926"/>
      <c r="DJG189" s="926"/>
      <c r="DJH189" s="926"/>
      <c r="DJI189" s="926"/>
      <c r="DJJ189" s="926"/>
      <c r="DJK189" s="926"/>
      <c r="DJL189" s="926"/>
      <c r="DJM189" s="926"/>
      <c r="DJN189" s="926"/>
      <c r="DJO189" s="926"/>
      <c r="DJP189" s="926"/>
      <c r="DJQ189" s="926"/>
      <c r="DJR189" s="926"/>
      <c r="DJS189" s="926"/>
      <c r="DJT189" s="926"/>
      <c r="DJU189" s="926"/>
      <c r="DJV189" s="926"/>
      <c r="DJW189" s="926"/>
      <c r="DJX189" s="926"/>
      <c r="DJY189" s="926"/>
      <c r="DJZ189" s="926"/>
      <c r="DKA189" s="926"/>
      <c r="DKB189" s="926"/>
      <c r="DKC189" s="926"/>
      <c r="DKD189" s="926"/>
      <c r="DKE189" s="926"/>
      <c r="DKF189" s="926"/>
      <c r="DKG189" s="926"/>
      <c r="DKH189" s="926"/>
      <c r="DKI189" s="926"/>
      <c r="DKJ189" s="926"/>
      <c r="DKK189" s="926"/>
      <c r="DKL189" s="926"/>
      <c r="DKM189" s="926"/>
      <c r="DKN189" s="926"/>
      <c r="DKO189" s="926"/>
      <c r="DKP189" s="926"/>
      <c r="DKQ189" s="926"/>
      <c r="DKR189" s="926"/>
      <c r="DKS189" s="926"/>
      <c r="DKT189" s="926"/>
      <c r="DKU189" s="926"/>
      <c r="DKV189" s="926"/>
      <c r="DKW189" s="926"/>
      <c r="DKX189" s="926"/>
      <c r="DKY189" s="926"/>
      <c r="DKZ189" s="926"/>
      <c r="DLA189" s="926"/>
      <c r="DLB189" s="926"/>
      <c r="DLC189" s="926"/>
      <c r="DLD189" s="926"/>
      <c r="DLE189" s="926"/>
      <c r="DLF189" s="926"/>
      <c r="DLG189" s="926"/>
      <c r="DLH189" s="926"/>
      <c r="DLI189" s="926"/>
      <c r="DLJ189" s="926"/>
      <c r="DLK189" s="926"/>
      <c r="DLL189" s="926"/>
      <c r="DLM189" s="926"/>
      <c r="DLN189" s="926"/>
      <c r="DLO189" s="926"/>
      <c r="DLP189" s="926"/>
      <c r="DLQ189" s="926"/>
      <c r="DLR189" s="926"/>
      <c r="DLS189" s="926"/>
      <c r="DLT189" s="926"/>
      <c r="DLU189" s="926"/>
      <c r="DLV189" s="926"/>
      <c r="DLW189" s="926"/>
      <c r="DLX189" s="926"/>
      <c r="DLY189" s="926"/>
      <c r="DLZ189" s="926"/>
      <c r="DMA189" s="926"/>
      <c r="DMB189" s="926"/>
      <c r="DMC189" s="926"/>
      <c r="DMD189" s="926"/>
      <c r="DME189" s="926"/>
      <c r="DMF189" s="926"/>
      <c r="DMG189" s="926"/>
      <c r="DMH189" s="926"/>
      <c r="DMI189" s="926"/>
      <c r="DMJ189" s="926"/>
      <c r="DMK189" s="926"/>
      <c r="DML189" s="926"/>
      <c r="DMM189" s="926"/>
      <c r="DMN189" s="926"/>
      <c r="DMO189" s="926"/>
      <c r="DMP189" s="926"/>
      <c r="DMQ189" s="926"/>
      <c r="DMR189" s="926"/>
      <c r="DMS189" s="926"/>
      <c r="DMT189" s="926"/>
      <c r="DMU189" s="926"/>
      <c r="DMV189" s="926"/>
      <c r="DMW189" s="926"/>
      <c r="DMX189" s="926"/>
      <c r="DMY189" s="926"/>
      <c r="DMZ189" s="926"/>
      <c r="DNA189" s="926"/>
      <c r="DNB189" s="926"/>
      <c r="DNC189" s="926"/>
      <c r="DND189" s="926"/>
      <c r="DNE189" s="926"/>
      <c r="DNF189" s="926"/>
      <c r="DNG189" s="926"/>
      <c r="DNH189" s="926"/>
      <c r="DNI189" s="926"/>
      <c r="DNJ189" s="926"/>
      <c r="DNK189" s="926"/>
      <c r="DNL189" s="926"/>
      <c r="DNM189" s="926"/>
      <c r="DNN189" s="926"/>
      <c r="DNO189" s="926"/>
      <c r="DNP189" s="926"/>
      <c r="DNQ189" s="926"/>
      <c r="DNR189" s="926"/>
      <c r="DNS189" s="926"/>
      <c r="DNT189" s="926"/>
      <c r="DNU189" s="926"/>
      <c r="DNV189" s="926"/>
      <c r="DNW189" s="926"/>
      <c r="DNX189" s="926"/>
      <c r="DNY189" s="926"/>
      <c r="DNZ189" s="926"/>
      <c r="DOA189" s="926"/>
      <c r="DOB189" s="926"/>
      <c r="DOC189" s="926"/>
      <c r="DOD189" s="926"/>
      <c r="DOE189" s="926"/>
      <c r="DOF189" s="926"/>
      <c r="DOG189" s="926"/>
      <c r="DOH189" s="926"/>
      <c r="DOI189" s="926"/>
      <c r="DOJ189" s="926"/>
      <c r="DOK189" s="926"/>
      <c r="DOL189" s="926"/>
      <c r="DOM189" s="926"/>
      <c r="DON189" s="926"/>
      <c r="DOO189" s="926"/>
      <c r="DOP189" s="926"/>
      <c r="DOQ189" s="926"/>
      <c r="DOR189" s="926"/>
      <c r="DOS189" s="926"/>
      <c r="DOT189" s="926"/>
      <c r="DOU189" s="926"/>
      <c r="DOV189" s="926"/>
      <c r="DOW189" s="926"/>
      <c r="DOX189" s="926"/>
      <c r="DOY189" s="926"/>
      <c r="DOZ189" s="926"/>
      <c r="DPA189" s="926"/>
      <c r="DPB189" s="926"/>
      <c r="DPC189" s="926"/>
      <c r="DPD189" s="926"/>
      <c r="DPE189" s="926"/>
      <c r="DPF189" s="926"/>
      <c r="DPG189" s="926"/>
      <c r="DPH189" s="926"/>
      <c r="DPI189" s="926"/>
      <c r="DPJ189" s="926"/>
      <c r="DPK189" s="926"/>
      <c r="DPL189" s="926"/>
      <c r="DPM189" s="926"/>
      <c r="DPN189" s="926"/>
      <c r="DPO189" s="926"/>
      <c r="DPP189" s="926"/>
      <c r="DPQ189" s="926"/>
      <c r="DPR189" s="926"/>
      <c r="DPS189" s="926"/>
      <c r="DPT189" s="926"/>
      <c r="DPU189" s="926"/>
      <c r="DPV189" s="926"/>
      <c r="DPW189" s="926"/>
      <c r="DPX189" s="926"/>
      <c r="DPY189" s="926"/>
      <c r="DPZ189" s="926"/>
      <c r="DQA189" s="926"/>
      <c r="DQB189" s="926"/>
      <c r="DQC189" s="926"/>
      <c r="DQD189" s="926"/>
      <c r="DQE189" s="926"/>
      <c r="DQF189" s="926"/>
      <c r="DQG189" s="926"/>
      <c r="DQH189" s="926"/>
      <c r="DQI189" s="926"/>
      <c r="DQJ189" s="926"/>
      <c r="DQK189" s="926"/>
      <c r="DQL189" s="926"/>
      <c r="DQM189" s="926"/>
      <c r="DQN189" s="926"/>
      <c r="DQO189" s="926"/>
      <c r="DQP189" s="926"/>
      <c r="DQQ189" s="926"/>
      <c r="DQR189" s="926"/>
      <c r="DQS189" s="926"/>
      <c r="DQT189" s="926"/>
      <c r="DQU189" s="926"/>
      <c r="DQV189" s="926"/>
      <c r="DQW189" s="926"/>
      <c r="DQX189" s="926"/>
      <c r="DQY189" s="926"/>
      <c r="DQZ189" s="926"/>
      <c r="DRA189" s="926"/>
      <c r="DRB189" s="926"/>
      <c r="DRC189" s="926"/>
      <c r="DRD189" s="926"/>
      <c r="DRE189" s="926"/>
      <c r="DRF189" s="926"/>
      <c r="DRG189" s="926"/>
      <c r="DRH189" s="926"/>
      <c r="DRI189" s="926"/>
      <c r="DRJ189" s="926"/>
      <c r="DRK189" s="926"/>
      <c r="DRL189" s="926"/>
      <c r="DRM189" s="926"/>
      <c r="DRN189" s="926"/>
      <c r="DRO189" s="926"/>
      <c r="DRP189" s="926"/>
      <c r="DRQ189" s="926"/>
      <c r="DRR189" s="926"/>
      <c r="DRS189" s="926"/>
      <c r="DRT189" s="926"/>
      <c r="DRU189" s="926"/>
      <c r="DRV189" s="926"/>
      <c r="DRW189" s="926"/>
      <c r="DRX189" s="926"/>
      <c r="DRY189" s="926"/>
      <c r="DRZ189" s="926"/>
      <c r="DSA189" s="926"/>
      <c r="DSB189" s="926"/>
      <c r="DSC189" s="926"/>
      <c r="DSD189" s="926"/>
      <c r="DSE189" s="926"/>
      <c r="DSF189" s="926"/>
      <c r="DSG189" s="926"/>
      <c r="DSH189" s="926"/>
      <c r="DSI189" s="926"/>
      <c r="DSJ189" s="926"/>
      <c r="DSK189" s="926"/>
      <c r="DSL189" s="926"/>
      <c r="DSM189" s="926"/>
      <c r="DSN189" s="926"/>
      <c r="DSO189" s="926"/>
      <c r="DSP189" s="926"/>
      <c r="DSQ189" s="926"/>
      <c r="DSR189" s="926"/>
      <c r="DSS189" s="926"/>
      <c r="DST189" s="926"/>
      <c r="DSU189" s="926"/>
      <c r="DSV189" s="926"/>
      <c r="DSW189" s="926"/>
      <c r="DSX189" s="926"/>
      <c r="DSY189" s="926"/>
      <c r="DSZ189" s="926"/>
      <c r="DTA189" s="926"/>
      <c r="DTB189" s="926"/>
      <c r="DTC189" s="926"/>
      <c r="DTD189" s="926"/>
      <c r="DTE189" s="926"/>
      <c r="DTF189" s="926"/>
      <c r="DTG189" s="926"/>
      <c r="DTH189" s="926"/>
      <c r="DTI189" s="926"/>
      <c r="DTJ189" s="926"/>
      <c r="DTK189" s="926"/>
      <c r="DTL189" s="926"/>
      <c r="DTM189" s="926"/>
      <c r="DTN189" s="926"/>
      <c r="DTO189" s="926"/>
      <c r="DTP189" s="926"/>
      <c r="DTQ189" s="926"/>
      <c r="DTR189" s="926"/>
      <c r="DTS189" s="926"/>
      <c r="DTT189" s="926"/>
      <c r="DTU189" s="926"/>
      <c r="DTV189" s="926"/>
      <c r="DTW189" s="926"/>
      <c r="DTX189" s="926"/>
      <c r="DTY189" s="926"/>
      <c r="DTZ189" s="926"/>
      <c r="DUA189" s="926"/>
      <c r="DUB189" s="926"/>
      <c r="DUC189" s="926"/>
      <c r="DUD189" s="926"/>
      <c r="DUE189" s="926"/>
      <c r="DUF189" s="926"/>
      <c r="DUG189" s="926"/>
      <c r="DUH189" s="926"/>
      <c r="DUI189" s="926"/>
      <c r="DUJ189" s="926"/>
      <c r="DUK189" s="926"/>
      <c r="DUL189" s="926"/>
      <c r="DUM189" s="926"/>
      <c r="DUN189" s="926"/>
      <c r="DUO189" s="926"/>
      <c r="DUP189" s="926"/>
      <c r="DUQ189" s="926"/>
      <c r="DUR189" s="926"/>
      <c r="DUS189" s="926"/>
      <c r="DUT189" s="926"/>
      <c r="DUU189" s="926"/>
      <c r="DUV189" s="926"/>
      <c r="DUW189" s="926"/>
      <c r="DUX189" s="926"/>
      <c r="DUY189" s="926"/>
      <c r="DUZ189" s="926"/>
      <c r="DVA189" s="926"/>
      <c r="DVB189" s="926"/>
      <c r="DVC189" s="926"/>
      <c r="DVD189" s="926"/>
      <c r="DVE189" s="926"/>
      <c r="DVF189" s="926"/>
      <c r="DVG189" s="926"/>
      <c r="DVH189" s="926"/>
      <c r="DVI189" s="926"/>
      <c r="DVJ189" s="926"/>
      <c r="DVK189" s="926"/>
      <c r="DVL189" s="926"/>
      <c r="DVM189" s="926"/>
      <c r="DVN189" s="926"/>
      <c r="DVO189" s="926"/>
      <c r="DVP189" s="926"/>
      <c r="DVQ189" s="926"/>
      <c r="DVR189" s="926"/>
      <c r="DVS189" s="926"/>
      <c r="DVT189" s="926"/>
      <c r="DVU189" s="926"/>
      <c r="DVV189" s="926"/>
      <c r="DVW189" s="926"/>
      <c r="DVX189" s="926"/>
      <c r="DVY189" s="926"/>
      <c r="DVZ189" s="926"/>
      <c r="DWA189" s="926"/>
      <c r="DWB189" s="926"/>
      <c r="DWC189" s="926"/>
      <c r="DWD189" s="926"/>
      <c r="DWE189" s="926"/>
      <c r="DWF189" s="926"/>
      <c r="DWG189" s="926"/>
      <c r="DWH189" s="926"/>
      <c r="DWI189" s="926"/>
      <c r="DWJ189" s="926"/>
      <c r="DWK189" s="926"/>
      <c r="DWL189" s="926"/>
      <c r="DWM189" s="926"/>
      <c r="DWN189" s="926"/>
      <c r="DWO189" s="926"/>
      <c r="DWP189" s="926"/>
      <c r="DWQ189" s="926"/>
      <c r="DWR189" s="926"/>
      <c r="DWS189" s="926"/>
      <c r="DWT189" s="926"/>
      <c r="DWU189" s="926"/>
      <c r="DWV189" s="926"/>
      <c r="DWW189" s="926"/>
      <c r="DWX189" s="926"/>
      <c r="DWY189" s="926"/>
      <c r="DWZ189" s="926"/>
      <c r="DXA189" s="926"/>
      <c r="DXB189" s="926"/>
      <c r="DXC189" s="926"/>
      <c r="DXD189" s="926"/>
      <c r="DXE189" s="926"/>
      <c r="DXF189" s="926"/>
      <c r="DXG189" s="926"/>
      <c r="DXH189" s="926"/>
      <c r="DXI189" s="926"/>
      <c r="DXJ189" s="926"/>
      <c r="DXK189" s="926"/>
      <c r="DXL189" s="926"/>
      <c r="DXM189" s="926"/>
      <c r="DXN189" s="926"/>
      <c r="DXO189" s="926"/>
      <c r="DXP189" s="926"/>
      <c r="DXQ189" s="926"/>
      <c r="DXR189" s="926"/>
      <c r="DXS189" s="926"/>
      <c r="DXT189" s="926"/>
      <c r="DXU189" s="926"/>
      <c r="DXV189" s="926"/>
      <c r="DXW189" s="926"/>
      <c r="DXX189" s="926"/>
      <c r="DXY189" s="926"/>
      <c r="DXZ189" s="926"/>
      <c r="DYA189" s="926"/>
      <c r="DYB189" s="926"/>
      <c r="DYC189" s="926"/>
      <c r="DYD189" s="926"/>
      <c r="DYE189" s="926"/>
      <c r="DYF189" s="926"/>
      <c r="DYG189" s="926"/>
      <c r="DYH189" s="926"/>
      <c r="DYI189" s="926"/>
      <c r="DYJ189" s="926"/>
      <c r="DYK189" s="926"/>
      <c r="DYL189" s="926"/>
      <c r="DYM189" s="926"/>
      <c r="DYN189" s="926"/>
      <c r="DYO189" s="926"/>
      <c r="DYP189" s="926"/>
      <c r="DYQ189" s="926"/>
      <c r="DYR189" s="926"/>
      <c r="DYS189" s="926"/>
      <c r="DYT189" s="926"/>
      <c r="DYU189" s="926"/>
      <c r="DYV189" s="926"/>
      <c r="DYW189" s="926"/>
      <c r="DYX189" s="926"/>
      <c r="DYY189" s="926"/>
      <c r="DYZ189" s="926"/>
      <c r="DZA189" s="926"/>
      <c r="DZB189" s="926"/>
      <c r="DZC189" s="926"/>
      <c r="DZD189" s="926"/>
      <c r="DZE189" s="926"/>
      <c r="DZF189" s="926"/>
      <c r="DZG189" s="926"/>
      <c r="DZH189" s="926"/>
      <c r="DZI189" s="926"/>
      <c r="DZJ189" s="926"/>
      <c r="DZK189" s="926"/>
      <c r="DZL189" s="926"/>
      <c r="DZM189" s="926"/>
      <c r="DZN189" s="926"/>
      <c r="DZO189" s="926"/>
      <c r="DZP189" s="926"/>
      <c r="DZQ189" s="926"/>
      <c r="DZR189" s="926"/>
      <c r="DZS189" s="926"/>
      <c r="DZT189" s="926"/>
      <c r="DZU189" s="926"/>
      <c r="DZV189" s="926"/>
      <c r="DZW189" s="926"/>
      <c r="DZX189" s="926"/>
      <c r="DZY189" s="926"/>
      <c r="DZZ189" s="926"/>
      <c r="EAA189" s="926"/>
      <c r="EAB189" s="926"/>
      <c r="EAC189" s="926"/>
      <c r="EAD189" s="926"/>
      <c r="EAE189" s="926"/>
      <c r="EAF189" s="926"/>
      <c r="EAG189" s="926"/>
      <c r="EAH189" s="926"/>
      <c r="EAI189" s="926"/>
      <c r="EAJ189" s="926"/>
      <c r="EAK189" s="926"/>
      <c r="EAL189" s="926"/>
      <c r="EAM189" s="926"/>
      <c r="EAN189" s="926"/>
      <c r="EAO189" s="926"/>
      <c r="EAP189" s="926"/>
      <c r="EAQ189" s="926"/>
      <c r="EAR189" s="926"/>
      <c r="EAS189" s="926"/>
      <c r="EAT189" s="926"/>
      <c r="EAU189" s="926"/>
      <c r="EAV189" s="926"/>
      <c r="EAW189" s="926"/>
      <c r="EAX189" s="926"/>
      <c r="EAY189" s="926"/>
      <c r="EAZ189" s="926"/>
      <c r="EBA189" s="926"/>
      <c r="EBB189" s="926"/>
      <c r="EBC189" s="926"/>
      <c r="EBD189" s="926"/>
      <c r="EBE189" s="926"/>
      <c r="EBF189" s="926"/>
      <c r="EBG189" s="926"/>
      <c r="EBH189" s="926"/>
      <c r="EBI189" s="926"/>
      <c r="EBJ189" s="926"/>
      <c r="EBK189" s="926"/>
      <c r="EBL189" s="926"/>
      <c r="EBM189" s="926"/>
      <c r="EBN189" s="926"/>
      <c r="EBO189" s="926"/>
      <c r="EBP189" s="926"/>
      <c r="EBQ189" s="926"/>
      <c r="EBR189" s="926"/>
      <c r="EBS189" s="926"/>
      <c r="EBT189" s="926"/>
      <c r="EBU189" s="926"/>
      <c r="EBV189" s="926"/>
      <c r="EBW189" s="926"/>
      <c r="EBX189" s="926"/>
      <c r="EBY189" s="926"/>
      <c r="EBZ189" s="926"/>
      <c r="ECA189" s="926"/>
      <c r="ECB189" s="926"/>
      <c r="ECC189" s="926"/>
      <c r="ECD189" s="926"/>
      <c r="ECE189" s="926"/>
      <c r="ECF189" s="926"/>
      <c r="ECG189" s="926"/>
      <c r="ECH189" s="926"/>
      <c r="ECI189" s="926"/>
      <c r="ECJ189" s="926"/>
      <c r="ECK189" s="926"/>
      <c r="ECL189" s="926"/>
      <c r="ECM189" s="926"/>
      <c r="ECN189" s="926"/>
      <c r="ECO189" s="926"/>
      <c r="ECP189" s="926"/>
      <c r="ECQ189" s="926"/>
      <c r="ECR189" s="926"/>
      <c r="ECS189" s="926"/>
      <c r="ECT189" s="926"/>
      <c r="ECU189" s="926"/>
      <c r="ECV189" s="926"/>
      <c r="ECW189" s="926"/>
      <c r="ECX189" s="926"/>
      <c r="ECY189" s="926"/>
      <c r="ECZ189" s="926"/>
      <c r="EDA189" s="926"/>
      <c r="EDB189" s="926"/>
      <c r="EDC189" s="926"/>
      <c r="EDD189" s="926"/>
      <c r="EDE189" s="926"/>
      <c r="EDF189" s="926"/>
      <c r="EDG189" s="926"/>
      <c r="EDH189" s="926"/>
      <c r="EDI189" s="926"/>
      <c r="EDJ189" s="926"/>
      <c r="EDK189" s="926"/>
      <c r="EDL189" s="926"/>
      <c r="EDM189" s="926"/>
      <c r="EDN189" s="926"/>
      <c r="EDO189" s="926"/>
      <c r="EDP189" s="926"/>
      <c r="EDQ189" s="926"/>
      <c r="EDR189" s="926"/>
      <c r="EDS189" s="926"/>
      <c r="EDT189" s="926"/>
      <c r="EDU189" s="926"/>
      <c r="EDV189" s="926"/>
      <c r="EDW189" s="926"/>
      <c r="EDX189" s="926"/>
      <c r="EDY189" s="926"/>
      <c r="EDZ189" s="926"/>
      <c r="EEA189" s="926"/>
      <c r="EEB189" s="926"/>
      <c r="EEC189" s="926"/>
      <c r="EED189" s="926"/>
      <c r="EEE189" s="926"/>
      <c r="EEF189" s="926"/>
      <c r="EEG189" s="926"/>
      <c r="EEH189" s="926"/>
      <c r="EEI189" s="926"/>
      <c r="EEJ189" s="926"/>
      <c r="EEK189" s="926"/>
      <c r="EEL189" s="926"/>
      <c r="EEM189" s="926"/>
      <c r="EEN189" s="926"/>
      <c r="EEO189" s="926"/>
      <c r="EEP189" s="926"/>
      <c r="EEQ189" s="926"/>
      <c r="EER189" s="926"/>
      <c r="EES189" s="926"/>
      <c r="EET189" s="926"/>
      <c r="EEU189" s="926"/>
      <c r="EEV189" s="926"/>
      <c r="EEW189" s="926"/>
      <c r="EEX189" s="926"/>
      <c r="EEY189" s="926"/>
      <c r="EEZ189" s="926"/>
      <c r="EFA189" s="926"/>
      <c r="EFB189" s="926"/>
      <c r="EFC189" s="926"/>
      <c r="EFD189" s="926"/>
      <c r="EFE189" s="926"/>
      <c r="EFF189" s="926"/>
      <c r="EFG189" s="926"/>
      <c r="EFH189" s="926"/>
      <c r="EFI189" s="926"/>
      <c r="EFJ189" s="926"/>
      <c r="EFK189" s="926"/>
      <c r="EFL189" s="926"/>
      <c r="EFM189" s="926"/>
      <c r="EFN189" s="926"/>
      <c r="EFO189" s="926"/>
      <c r="EFP189" s="926"/>
      <c r="EFQ189" s="926"/>
      <c r="EFR189" s="926"/>
      <c r="EFS189" s="926"/>
      <c r="EFT189" s="926"/>
      <c r="EFU189" s="926"/>
      <c r="EFV189" s="926"/>
      <c r="EFW189" s="926"/>
      <c r="EFX189" s="926"/>
      <c r="EFY189" s="926"/>
      <c r="EFZ189" s="926"/>
      <c r="EGA189" s="926"/>
      <c r="EGB189" s="926"/>
      <c r="EGC189" s="926"/>
      <c r="EGD189" s="926"/>
      <c r="EGE189" s="926"/>
      <c r="EGF189" s="926"/>
      <c r="EGG189" s="926"/>
      <c r="EGH189" s="926"/>
      <c r="EGI189" s="926"/>
      <c r="EGJ189" s="926"/>
      <c r="EGK189" s="926"/>
      <c r="EGL189" s="926"/>
      <c r="EGM189" s="926"/>
      <c r="EGN189" s="926"/>
      <c r="EGO189" s="926"/>
      <c r="EGP189" s="926"/>
      <c r="EGQ189" s="926"/>
      <c r="EGR189" s="926"/>
      <c r="EGS189" s="926"/>
      <c r="EGT189" s="926"/>
      <c r="EGU189" s="926"/>
      <c r="EGV189" s="926"/>
      <c r="EGW189" s="926"/>
      <c r="EGX189" s="926"/>
      <c r="EGY189" s="926"/>
      <c r="EGZ189" s="926"/>
      <c r="EHA189" s="926"/>
      <c r="EHB189" s="926"/>
      <c r="EHC189" s="926"/>
      <c r="EHD189" s="926"/>
      <c r="EHE189" s="926"/>
      <c r="EHF189" s="926"/>
      <c r="EHG189" s="926"/>
      <c r="EHH189" s="926"/>
      <c r="EHI189" s="926"/>
      <c r="EHJ189" s="926"/>
      <c r="EHK189" s="926"/>
      <c r="EHL189" s="926"/>
      <c r="EHM189" s="926"/>
      <c r="EHN189" s="926"/>
      <c r="EHO189" s="926"/>
      <c r="EHP189" s="926"/>
      <c r="EHQ189" s="926"/>
      <c r="EHR189" s="926"/>
      <c r="EHS189" s="926"/>
      <c r="EHT189" s="926"/>
      <c r="EHU189" s="926"/>
      <c r="EHV189" s="926"/>
      <c r="EHW189" s="926"/>
      <c r="EHX189" s="926"/>
      <c r="EHY189" s="926"/>
      <c r="EHZ189" s="926"/>
      <c r="EIA189" s="926"/>
      <c r="EIB189" s="926"/>
      <c r="EIC189" s="926"/>
      <c r="EID189" s="926"/>
      <c r="EIE189" s="926"/>
      <c r="EIF189" s="926"/>
      <c r="EIG189" s="926"/>
      <c r="EIH189" s="926"/>
      <c r="EII189" s="926"/>
      <c r="EIJ189" s="926"/>
      <c r="EIK189" s="926"/>
      <c r="EIL189" s="926"/>
      <c r="EIM189" s="926"/>
      <c r="EIN189" s="926"/>
      <c r="EIO189" s="926"/>
      <c r="EIP189" s="926"/>
      <c r="EIQ189" s="926"/>
      <c r="EIR189" s="926"/>
      <c r="EIS189" s="926"/>
      <c r="EIT189" s="926"/>
      <c r="EIU189" s="926"/>
      <c r="EIV189" s="926"/>
      <c r="EIW189" s="926"/>
      <c r="EIX189" s="926"/>
      <c r="EIY189" s="926"/>
      <c r="EIZ189" s="926"/>
      <c r="EJA189" s="926"/>
      <c r="EJB189" s="926"/>
      <c r="EJC189" s="926"/>
      <c r="EJD189" s="926"/>
      <c r="EJE189" s="926"/>
      <c r="EJF189" s="926"/>
      <c r="EJG189" s="926"/>
      <c r="EJH189" s="926"/>
      <c r="EJI189" s="926"/>
      <c r="EJJ189" s="926"/>
      <c r="EJK189" s="926"/>
      <c r="EJL189" s="926"/>
      <c r="EJM189" s="926"/>
      <c r="EJN189" s="926"/>
      <c r="EJO189" s="926"/>
      <c r="EJP189" s="926"/>
      <c r="EJQ189" s="926"/>
      <c r="EJR189" s="926"/>
      <c r="EJS189" s="926"/>
      <c r="EJT189" s="926"/>
      <c r="EJU189" s="926"/>
      <c r="EJV189" s="926"/>
      <c r="EJW189" s="926"/>
      <c r="EJX189" s="926"/>
      <c r="EJY189" s="926"/>
      <c r="EJZ189" s="926"/>
      <c r="EKA189" s="926"/>
      <c r="EKB189" s="926"/>
      <c r="EKC189" s="926"/>
      <c r="EKD189" s="926"/>
      <c r="EKE189" s="926"/>
      <c r="EKF189" s="926"/>
      <c r="EKG189" s="926"/>
      <c r="EKH189" s="926"/>
      <c r="EKI189" s="926"/>
      <c r="EKJ189" s="926"/>
      <c r="EKK189" s="926"/>
      <c r="EKL189" s="926"/>
      <c r="EKM189" s="926"/>
      <c r="EKN189" s="926"/>
      <c r="EKO189" s="926"/>
      <c r="EKP189" s="926"/>
      <c r="EKQ189" s="926"/>
      <c r="EKR189" s="926"/>
      <c r="EKS189" s="926"/>
      <c r="EKT189" s="926"/>
      <c r="EKU189" s="926"/>
      <c r="EKV189" s="926"/>
      <c r="EKW189" s="926"/>
      <c r="EKX189" s="926"/>
      <c r="EKY189" s="926"/>
      <c r="EKZ189" s="926"/>
      <c r="ELA189" s="926"/>
      <c r="ELB189" s="926"/>
      <c r="ELC189" s="926"/>
      <c r="ELD189" s="926"/>
      <c r="ELE189" s="926"/>
      <c r="ELF189" s="926"/>
      <c r="ELG189" s="926"/>
      <c r="ELH189" s="926"/>
      <c r="ELI189" s="926"/>
      <c r="ELJ189" s="926"/>
      <c r="ELK189" s="926"/>
      <c r="ELL189" s="926"/>
      <c r="ELM189" s="926"/>
      <c r="ELN189" s="926"/>
      <c r="ELO189" s="926"/>
      <c r="ELP189" s="926"/>
      <c r="ELQ189" s="926"/>
      <c r="ELR189" s="926"/>
      <c r="ELS189" s="926"/>
      <c r="ELT189" s="926"/>
      <c r="ELU189" s="926"/>
      <c r="ELV189" s="926"/>
      <c r="ELW189" s="926"/>
      <c r="ELX189" s="926"/>
      <c r="ELY189" s="926"/>
      <c r="ELZ189" s="926"/>
      <c r="EMA189" s="926"/>
      <c r="EMB189" s="926"/>
      <c r="EMC189" s="926"/>
      <c r="EMD189" s="926"/>
      <c r="EME189" s="926"/>
      <c r="EMF189" s="926"/>
      <c r="EMG189" s="926"/>
      <c r="EMH189" s="926"/>
      <c r="EMI189" s="926"/>
      <c r="EMJ189" s="926"/>
      <c r="EMK189" s="926"/>
      <c r="EML189" s="926"/>
      <c r="EMM189" s="926"/>
      <c r="EMN189" s="926"/>
      <c r="EMO189" s="926"/>
      <c r="EMP189" s="926"/>
      <c r="EMQ189" s="926"/>
      <c r="EMR189" s="926"/>
      <c r="EMS189" s="926"/>
      <c r="EMT189" s="926"/>
      <c r="EMU189" s="926"/>
      <c r="EMV189" s="926"/>
      <c r="EMW189" s="926"/>
      <c r="EMX189" s="926"/>
      <c r="EMY189" s="926"/>
      <c r="EMZ189" s="926"/>
      <c r="ENA189" s="926"/>
      <c r="ENB189" s="926"/>
      <c r="ENC189" s="926"/>
      <c r="END189" s="926"/>
      <c r="ENE189" s="926"/>
      <c r="ENF189" s="926"/>
      <c r="ENG189" s="926"/>
      <c r="ENH189" s="926"/>
      <c r="ENI189" s="926"/>
      <c r="ENJ189" s="926"/>
      <c r="ENK189" s="926"/>
      <c r="ENL189" s="926"/>
      <c r="ENM189" s="926"/>
      <c r="ENN189" s="926"/>
      <c r="ENO189" s="926"/>
      <c r="ENP189" s="926"/>
      <c r="ENQ189" s="926"/>
      <c r="ENR189" s="926"/>
      <c r="ENS189" s="926"/>
      <c r="ENT189" s="926"/>
      <c r="ENU189" s="926"/>
      <c r="ENV189" s="926"/>
      <c r="ENW189" s="926"/>
      <c r="ENX189" s="926"/>
      <c r="ENY189" s="926"/>
      <c r="ENZ189" s="926"/>
      <c r="EOA189" s="926"/>
      <c r="EOB189" s="926"/>
      <c r="EOC189" s="926"/>
      <c r="EOD189" s="926"/>
      <c r="EOE189" s="926"/>
      <c r="EOF189" s="926"/>
      <c r="EOG189" s="926"/>
      <c r="EOH189" s="926"/>
      <c r="EOI189" s="926"/>
      <c r="EOJ189" s="926"/>
      <c r="EOK189" s="926"/>
      <c r="EOL189" s="926"/>
      <c r="EOM189" s="926"/>
      <c r="EON189" s="926"/>
      <c r="EOO189" s="926"/>
      <c r="EOP189" s="926"/>
      <c r="EOQ189" s="926"/>
      <c r="EOR189" s="926"/>
      <c r="EOS189" s="926"/>
      <c r="EOT189" s="926"/>
      <c r="EOU189" s="926"/>
      <c r="EOV189" s="926"/>
      <c r="EOW189" s="926"/>
      <c r="EOX189" s="926"/>
      <c r="EOY189" s="926"/>
      <c r="EOZ189" s="926"/>
      <c r="EPA189" s="926"/>
      <c r="EPB189" s="926"/>
      <c r="EPC189" s="926"/>
      <c r="EPD189" s="926"/>
      <c r="EPE189" s="926"/>
      <c r="EPF189" s="926"/>
      <c r="EPG189" s="926"/>
      <c r="EPH189" s="926"/>
      <c r="EPI189" s="926"/>
      <c r="EPJ189" s="926"/>
      <c r="EPK189" s="926"/>
      <c r="EPL189" s="926"/>
      <c r="EPM189" s="926"/>
      <c r="EPN189" s="926"/>
      <c r="EPO189" s="926"/>
      <c r="EPP189" s="926"/>
      <c r="EPQ189" s="926"/>
      <c r="EPR189" s="926"/>
      <c r="EPS189" s="926"/>
      <c r="EPT189" s="926"/>
      <c r="EPU189" s="926"/>
      <c r="EPV189" s="926"/>
      <c r="EPW189" s="926"/>
      <c r="EPX189" s="926"/>
      <c r="EPY189" s="926"/>
      <c r="EPZ189" s="926"/>
      <c r="EQA189" s="926"/>
      <c r="EQB189" s="926"/>
      <c r="EQC189" s="926"/>
      <c r="EQD189" s="926"/>
      <c r="EQE189" s="926"/>
      <c r="EQF189" s="926"/>
      <c r="EQG189" s="926"/>
      <c r="EQH189" s="926"/>
      <c r="EQI189" s="926"/>
      <c r="EQJ189" s="926"/>
      <c r="EQK189" s="926"/>
      <c r="EQL189" s="926"/>
      <c r="EQM189" s="926"/>
      <c r="EQN189" s="926"/>
      <c r="EQO189" s="926"/>
      <c r="EQP189" s="926"/>
      <c r="EQQ189" s="926"/>
      <c r="EQR189" s="926"/>
      <c r="EQS189" s="926"/>
      <c r="EQT189" s="926"/>
      <c r="EQU189" s="926"/>
      <c r="EQV189" s="926"/>
      <c r="EQW189" s="926"/>
      <c r="EQX189" s="926"/>
      <c r="EQY189" s="926"/>
      <c r="EQZ189" s="926"/>
      <c r="ERA189" s="926"/>
      <c r="ERB189" s="926"/>
      <c r="ERC189" s="926"/>
      <c r="ERD189" s="926"/>
      <c r="ERE189" s="926"/>
      <c r="ERF189" s="926"/>
      <c r="ERG189" s="926"/>
      <c r="ERH189" s="926"/>
      <c r="ERI189" s="926"/>
      <c r="ERJ189" s="926"/>
      <c r="ERK189" s="926"/>
      <c r="ERL189" s="926"/>
      <c r="ERM189" s="926"/>
      <c r="ERN189" s="926"/>
      <c r="ERO189" s="926"/>
      <c r="ERP189" s="926"/>
      <c r="ERQ189" s="926"/>
      <c r="ERR189" s="926"/>
      <c r="ERS189" s="926"/>
      <c r="ERT189" s="926"/>
      <c r="ERU189" s="926"/>
      <c r="ERV189" s="926"/>
      <c r="ERW189" s="926"/>
      <c r="ERX189" s="926"/>
      <c r="ERY189" s="926"/>
      <c r="ERZ189" s="926"/>
      <c r="ESA189" s="926"/>
      <c r="ESB189" s="926"/>
      <c r="ESC189" s="926"/>
      <c r="ESD189" s="926"/>
      <c r="ESE189" s="926"/>
      <c r="ESF189" s="926"/>
      <c r="ESG189" s="926"/>
      <c r="ESH189" s="926"/>
      <c r="ESI189" s="926"/>
      <c r="ESJ189" s="926"/>
      <c r="ESK189" s="926"/>
      <c r="ESL189" s="926"/>
      <c r="ESM189" s="926"/>
      <c r="ESN189" s="926"/>
      <c r="ESO189" s="926"/>
      <c r="ESP189" s="926"/>
      <c r="ESQ189" s="926"/>
      <c r="ESR189" s="926"/>
      <c r="ESS189" s="926"/>
      <c r="EST189" s="926"/>
      <c r="ESU189" s="926"/>
      <c r="ESV189" s="926"/>
      <c r="ESW189" s="926"/>
      <c r="ESX189" s="926"/>
      <c r="ESY189" s="926"/>
      <c r="ESZ189" s="926"/>
      <c r="ETA189" s="926"/>
      <c r="ETB189" s="926"/>
      <c r="ETC189" s="926"/>
      <c r="ETD189" s="926"/>
      <c r="ETE189" s="926"/>
      <c r="ETF189" s="926"/>
      <c r="ETG189" s="926"/>
      <c r="ETH189" s="926"/>
      <c r="ETI189" s="926"/>
      <c r="ETJ189" s="926"/>
      <c r="ETK189" s="926"/>
      <c r="ETL189" s="926"/>
      <c r="ETM189" s="926"/>
      <c r="ETN189" s="926"/>
      <c r="ETO189" s="926"/>
      <c r="ETP189" s="926"/>
      <c r="ETQ189" s="926"/>
      <c r="ETR189" s="926"/>
      <c r="ETS189" s="926"/>
      <c r="ETT189" s="926"/>
      <c r="ETU189" s="926"/>
      <c r="ETV189" s="926"/>
      <c r="ETW189" s="926"/>
      <c r="ETX189" s="926"/>
      <c r="ETY189" s="926"/>
      <c r="ETZ189" s="926"/>
      <c r="EUA189" s="926"/>
      <c r="EUB189" s="926"/>
      <c r="EUC189" s="926"/>
      <c r="EUD189" s="926"/>
      <c r="EUE189" s="926"/>
      <c r="EUF189" s="926"/>
      <c r="EUG189" s="926"/>
      <c r="EUH189" s="926"/>
      <c r="EUI189" s="926"/>
      <c r="EUJ189" s="926"/>
      <c r="EUK189" s="926"/>
      <c r="EUL189" s="926"/>
      <c r="EUM189" s="926"/>
      <c r="EUN189" s="926"/>
      <c r="EUO189" s="926"/>
      <c r="EUP189" s="926"/>
      <c r="EUQ189" s="926"/>
      <c r="EUR189" s="926"/>
      <c r="EUS189" s="926"/>
      <c r="EUT189" s="926"/>
      <c r="EUU189" s="926"/>
      <c r="EUV189" s="926"/>
      <c r="EUW189" s="926"/>
      <c r="EUX189" s="926"/>
      <c r="EUY189" s="926"/>
      <c r="EUZ189" s="926"/>
      <c r="EVA189" s="926"/>
      <c r="EVB189" s="926"/>
      <c r="EVC189" s="926"/>
      <c r="EVD189" s="926"/>
      <c r="EVE189" s="926"/>
      <c r="EVF189" s="926"/>
      <c r="EVG189" s="926"/>
      <c r="EVH189" s="926"/>
      <c r="EVI189" s="926"/>
      <c r="EVJ189" s="926"/>
      <c r="EVK189" s="926"/>
      <c r="EVL189" s="926"/>
      <c r="EVM189" s="926"/>
      <c r="EVN189" s="926"/>
      <c r="EVO189" s="926"/>
      <c r="EVP189" s="926"/>
      <c r="EVQ189" s="926"/>
      <c r="EVR189" s="926"/>
      <c r="EVS189" s="926"/>
      <c r="EVT189" s="926"/>
      <c r="EVU189" s="926"/>
      <c r="EVV189" s="926"/>
      <c r="EVW189" s="926"/>
      <c r="EVX189" s="926"/>
      <c r="EVY189" s="926"/>
      <c r="EVZ189" s="926"/>
      <c r="EWA189" s="926"/>
      <c r="EWB189" s="926"/>
      <c r="EWC189" s="926"/>
      <c r="EWD189" s="926"/>
      <c r="EWE189" s="926"/>
      <c r="EWF189" s="926"/>
      <c r="EWG189" s="926"/>
      <c r="EWH189" s="926"/>
      <c r="EWI189" s="926"/>
      <c r="EWJ189" s="926"/>
      <c r="EWK189" s="926"/>
      <c r="EWL189" s="926"/>
      <c r="EWM189" s="926"/>
      <c r="EWN189" s="926"/>
      <c r="EWO189" s="926"/>
      <c r="EWP189" s="926"/>
      <c r="EWQ189" s="926"/>
      <c r="EWR189" s="926"/>
      <c r="EWS189" s="926"/>
      <c r="EWT189" s="926"/>
      <c r="EWU189" s="926"/>
      <c r="EWV189" s="926"/>
      <c r="EWW189" s="926"/>
      <c r="EWX189" s="926"/>
      <c r="EWY189" s="926"/>
      <c r="EWZ189" s="926"/>
      <c r="EXA189" s="926"/>
      <c r="EXB189" s="926"/>
      <c r="EXC189" s="926"/>
      <c r="EXD189" s="926"/>
      <c r="EXE189" s="926"/>
      <c r="EXF189" s="926"/>
      <c r="EXG189" s="926"/>
      <c r="EXH189" s="926"/>
      <c r="EXI189" s="926"/>
      <c r="EXJ189" s="926"/>
      <c r="EXK189" s="926"/>
      <c r="EXL189" s="926"/>
      <c r="EXM189" s="926"/>
      <c r="EXN189" s="926"/>
      <c r="EXO189" s="926"/>
      <c r="EXP189" s="926"/>
      <c r="EXQ189" s="926"/>
      <c r="EXR189" s="926"/>
      <c r="EXS189" s="926"/>
      <c r="EXT189" s="926"/>
      <c r="EXU189" s="926"/>
      <c r="EXV189" s="926"/>
      <c r="EXW189" s="926"/>
      <c r="EXX189" s="926"/>
      <c r="EXY189" s="926"/>
      <c r="EXZ189" s="926"/>
      <c r="EYA189" s="926"/>
      <c r="EYB189" s="926"/>
      <c r="EYC189" s="926"/>
      <c r="EYD189" s="926"/>
      <c r="EYE189" s="926"/>
      <c r="EYF189" s="926"/>
      <c r="EYG189" s="926"/>
      <c r="EYH189" s="926"/>
      <c r="EYI189" s="926"/>
      <c r="EYJ189" s="926"/>
      <c r="EYK189" s="926"/>
      <c r="EYL189" s="926"/>
      <c r="EYM189" s="926"/>
      <c r="EYN189" s="926"/>
      <c r="EYO189" s="926"/>
      <c r="EYP189" s="926"/>
      <c r="EYQ189" s="926"/>
      <c r="EYR189" s="926"/>
      <c r="EYS189" s="926"/>
      <c r="EYT189" s="926"/>
      <c r="EYU189" s="926"/>
      <c r="EYV189" s="926"/>
      <c r="EYW189" s="926"/>
      <c r="EYX189" s="926"/>
      <c r="EYY189" s="926"/>
      <c r="EYZ189" s="926"/>
      <c r="EZA189" s="926"/>
      <c r="EZB189" s="926"/>
      <c r="EZC189" s="926"/>
      <c r="EZD189" s="926"/>
      <c r="EZE189" s="926"/>
      <c r="EZF189" s="926"/>
      <c r="EZG189" s="926"/>
      <c r="EZH189" s="926"/>
      <c r="EZI189" s="926"/>
      <c r="EZJ189" s="926"/>
      <c r="EZK189" s="926"/>
      <c r="EZL189" s="926"/>
      <c r="EZM189" s="926"/>
      <c r="EZN189" s="926"/>
      <c r="EZO189" s="926"/>
      <c r="EZP189" s="926"/>
      <c r="EZQ189" s="926"/>
      <c r="EZR189" s="926"/>
      <c r="EZS189" s="926"/>
      <c r="EZT189" s="926"/>
      <c r="EZU189" s="926"/>
      <c r="EZV189" s="926"/>
      <c r="EZW189" s="926"/>
      <c r="EZX189" s="926"/>
      <c r="EZY189" s="926"/>
      <c r="EZZ189" s="926"/>
      <c r="FAA189" s="926"/>
      <c r="FAB189" s="926"/>
      <c r="FAC189" s="926"/>
      <c r="FAD189" s="926"/>
      <c r="FAE189" s="926"/>
      <c r="FAF189" s="926"/>
      <c r="FAG189" s="926"/>
      <c r="FAH189" s="926"/>
      <c r="FAI189" s="926"/>
      <c r="FAJ189" s="926"/>
      <c r="FAK189" s="926"/>
      <c r="FAL189" s="926"/>
      <c r="FAM189" s="926"/>
      <c r="FAN189" s="926"/>
      <c r="FAO189" s="926"/>
      <c r="FAP189" s="926"/>
      <c r="FAQ189" s="926"/>
      <c r="FAR189" s="926"/>
      <c r="FAS189" s="926"/>
      <c r="FAT189" s="926"/>
      <c r="FAU189" s="926"/>
      <c r="FAV189" s="926"/>
      <c r="FAW189" s="926"/>
      <c r="FAX189" s="926"/>
      <c r="FAY189" s="926"/>
      <c r="FAZ189" s="926"/>
      <c r="FBA189" s="926"/>
      <c r="FBB189" s="926"/>
      <c r="FBC189" s="926"/>
      <c r="FBD189" s="926"/>
      <c r="FBE189" s="926"/>
      <c r="FBF189" s="926"/>
      <c r="FBG189" s="926"/>
      <c r="FBH189" s="926"/>
      <c r="FBI189" s="926"/>
      <c r="FBJ189" s="926"/>
      <c r="FBK189" s="926"/>
      <c r="FBL189" s="926"/>
      <c r="FBM189" s="926"/>
      <c r="FBN189" s="926"/>
      <c r="FBO189" s="926"/>
      <c r="FBP189" s="926"/>
      <c r="FBQ189" s="926"/>
      <c r="FBR189" s="926"/>
      <c r="FBS189" s="926"/>
      <c r="FBT189" s="926"/>
      <c r="FBU189" s="926"/>
      <c r="FBV189" s="926"/>
      <c r="FBW189" s="926"/>
      <c r="FBX189" s="926"/>
      <c r="FBY189" s="926"/>
      <c r="FBZ189" s="926"/>
      <c r="FCA189" s="926"/>
      <c r="FCB189" s="926"/>
      <c r="FCC189" s="926"/>
      <c r="FCD189" s="926"/>
      <c r="FCE189" s="926"/>
      <c r="FCF189" s="926"/>
      <c r="FCG189" s="926"/>
      <c r="FCH189" s="926"/>
      <c r="FCI189" s="926"/>
      <c r="FCJ189" s="926"/>
      <c r="FCK189" s="926"/>
      <c r="FCL189" s="926"/>
      <c r="FCM189" s="926"/>
      <c r="FCN189" s="926"/>
      <c r="FCO189" s="926"/>
      <c r="FCP189" s="926"/>
      <c r="FCQ189" s="926"/>
      <c r="FCR189" s="926"/>
      <c r="FCS189" s="926"/>
      <c r="FCT189" s="926"/>
      <c r="FCU189" s="926"/>
      <c r="FCV189" s="926"/>
      <c r="FCW189" s="926"/>
      <c r="FCX189" s="926"/>
      <c r="FCY189" s="926"/>
      <c r="FCZ189" s="926"/>
      <c r="FDA189" s="926"/>
      <c r="FDB189" s="926"/>
      <c r="FDC189" s="926"/>
      <c r="FDD189" s="926"/>
      <c r="FDE189" s="926"/>
      <c r="FDF189" s="926"/>
      <c r="FDG189" s="926"/>
      <c r="FDH189" s="926"/>
      <c r="FDI189" s="926"/>
      <c r="FDJ189" s="926"/>
      <c r="FDK189" s="926"/>
      <c r="FDL189" s="926"/>
      <c r="FDM189" s="926"/>
      <c r="FDN189" s="926"/>
      <c r="FDO189" s="926"/>
      <c r="FDP189" s="926"/>
      <c r="FDQ189" s="926"/>
      <c r="FDR189" s="926"/>
      <c r="FDS189" s="926"/>
      <c r="FDT189" s="926"/>
      <c r="FDU189" s="926"/>
      <c r="FDV189" s="926"/>
      <c r="FDW189" s="926"/>
      <c r="FDX189" s="926"/>
      <c r="FDY189" s="926"/>
      <c r="FDZ189" s="926"/>
      <c r="FEA189" s="926"/>
      <c r="FEB189" s="926"/>
      <c r="FEC189" s="926"/>
      <c r="FED189" s="926"/>
      <c r="FEE189" s="926"/>
      <c r="FEF189" s="926"/>
      <c r="FEG189" s="926"/>
      <c r="FEH189" s="926"/>
      <c r="FEI189" s="926"/>
      <c r="FEJ189" s="926"/>
      <c r="FEK189" s="926"/>
      <c r="FEL189" s="926"/>
      <c r="FEM189" s="926"/>
      <c r="FEN189" s="926"/>
      <c r="FEO189" s="926"/>
      <c r="FEP189" s="926"/>
      <c r="FEQ189" s="926"/>
      <c r="FER189" s="926"/>
      <c r="FES189" s="926"/>
      <c r="FET189" s="926"/>
      <c r="FEU189" s="926"/>
      <c r="FEV189" s="926"/>
      <c r="FEW189" s="926"/>
      <c r="FEX189" s="926"/>
      <c r="FEY189" s="926"/>
      <c r="FEZ189" s="926"/>
      <c r="FFA189" s="926"/>
      <c r="FFB189" s="926"/>
      <c r="FFC189" s="926"/>
      <c r="FFD189" s="926"/>
      <c r="FFE189" s="926"/>
      <c r="FFF189" s="926"/>
      <c r="FFG189" s="926"/>
      <c r="FFH189" s="926"/>
      <c r="FFI189" s="926"/>
      <c r="FFJ189" s="926"/>
      <c r="FFK189" s="926"/>
      <c r="FFL189" s="926"/>
      <c r="FFM189" s="926"/>
      <c r="FFN189" s="926"/>
      <c r="FFO189" s="926"/>
      <c r="FFP189" s="926"/>
      <c r="FFQ189" s="926"/>
      <c r="FFR189" s="926"/>
      <c r="FFS189" s="926"/>
      <c r="FFT189" s="926"/>
      <c r="FFU189" s="926"/>
      <c r="FFV189" s="926"/>
      <c r="FFW189" s="926"/>
      <c r="FFX189" s="926"/>
      <c r="FFY189" s="926"/>
      <c r="FFZ189" s="926"/>
      <c r="FGA189" s="926"/>
      <c r="FGB189" s="926"/>
      <c r="FGC189" s="926"/>
      <c r="FGD189" s="926"/>
      <c r="FGE189" s="926"/>
      <c r="FGF189" s="926"/>
      <c r="FGG189" s="926"/>
      <c r="FGH189" s="926"/>
      <c r="FGI189" s="926"/>
      <c r="FGJ189" s="926"/>
      <c r="FGK189" s="926"/>
      <c r="FGL189" s="926"/>
      <c r="FGM189" s="926"/>
      <c r="FGN189" s="926"/>
      <c r="FGO189" s="926"/>
      <c r="FGP189" s="926"/>
      <c r="FGQ189" s="926"/>
      <c r="FGR189" s="926"/>
      <c r="FGS189" s="926"/>
      <c r="FGT189" s="926"/>
      <c r="FGU189" s="926"/>
      <c r="FGV189" s="926"/>
      <c r="FGW189" s="926"/>
      <c r="FGX189" s="926"/>
      <c r="FGY189" s="926"/>
      <c r="FGZ189" s="926"/>
      <c r="FHA189" s="926"/>
      <c r="FHB189" s="926"/>
      <c r="FHC189" s="926"/>
      <c r="FHD189" s="926"/>
      <c r="FHE189" s="926"/>
      <c r="FHF189" s="926"/>
      <c r="FHG189" s="926"/>
      <c r="FHH189" s="926"/>
      <c r="FHI189" s="926"/>
      <c r="FHJ189" s="926"/>
      <c r="FHK189" s="926"/>
      <c r="FHL189" s="926"/>
      <c r="FHM189" s="926"/>
      <c r="FHN189" s="926"/>
      <c r="FHO189" s="926"/>
      <c r="FHP189" s="926"/>
      <c r="FHQ189" s="926"/>
      <c r="FHR189" s="926"/>
      <c r="FHS189" s="926"/>
      <c r="FHT189" s="926"/>
      <c r="FHU189" s="926"/>
      <c r="FHV189" s="926"/>
      <c r="FHW189" s="926"/>
      <c r="FHX189" s="926"/>
      <c r="FHY189" s="926"/>
      <c r="FHZ189" s="926"/>
      <c r="FIA189" s="926"/>
      <c r="FIB189" s="926"/>
      <c r="FIC189" s="926"/>
      <c r="FID189" s="926"/>
      <c r="FIE189" s="926"/>
      <c r="FIF189" s="926"/>
      <c r="FIG189" s="926"/>
      <c r="FIH189" s="926"/>
      <c r="FII189" s="926"/>
      <c r="FIJ189" s="926"/>
      <c r="FIK189" s="926"/>
      <c r="FIL189" s="926"/>
      <c r="FIM189" s="926"/>
      <c r="FIN189" s="926"/>
      <c r="FIO189" s="926"/>
      <c r="FIP189" s="926"/>
      <c r="FIQ189" s="926"/>
      <c r="FIR189" s="926"/>
      <c r="FIS189" s="926"/>
      <c r="FIT189" s="926"/>
      <c r="FIU189" s="926"/>
      <c r="FIV189" s="926"/>
      <c r="FIW189" s="926"/>
      <c r="FIX189" s="926"/>
      <c r="FIY189" s="926"/>
      <c r="FIZ189" s="926"/>
      <c r="FJA189" s="926"/>
      <c r="FJB189" s="926"/>
      <c r="FJC189" s="926"/>
      <c r="FJD189" s="926"/>
      <c r="FJE189" s="926"/>
      <c r="FJF189" s="926"/>
      <c r="FJG189" s="926"/>
      <c r="FJH189" s="926"/>
      <c r="FJI189" s="926"/>
      <c r="FJJ189" s="926"/>
      <c r="FJK189" s="926"/>
      <c r="FJL189" s="926"/>
      <c r="FJM189" s="926"/>
      <c r="FJN189" s="926"/>
      <c r="FJO189" s="926"/>
      <c r="FJP189" s="926"/>
      <c r="FJQ189" s="926"/>
      <c r="FJR189" s="926"/>
      <c r="FJS189" s="926"/>
      <c r="FJT189" s="926"/>
      <c r="FJU189" s="926"/>
      <c r="FJV189" s="926"/>
      <c r="FJW189" s="926"/>
      <c r="FJX189" s="926"/>
      <c r="FJY189" s="926"/>
      <c r="FJZ189" s="926"/>
      <c r="FKA189" s="926"/>
      <c r="FKB189" s="926"/>
      <c r="FKC189" s="926"/>
      <c r="FKD189" s="926"/>
      <c r="FKE189" s="926"/>
      <c r="FKF189" s="926"/>
      <c r="FKG189" s="926"/>
      <c r="FKH189" s="926"/>
      <c r="FKI189" s="926"/>
      <c r="FKJ189" s="926"/>
      <c r="FKK189" s="926"/>
      <c r="FKL189" s="926"/>
      <c r="FKM189" s="926"/>
      <c r="FKN189" s="926"/>
      <c r="FKO189" s="926"/>
      <c r="FKP189" s="926"/>
      <c r="FKQ189" s="926"/>
      <c r="FKR189" s="926"/>
      <c r="FKS189" s="926"/>
      <c r="FKT189" s="926"/>
      <c r="FKU189" s="926"/>
      <c r="FKV189" s="926"/>
      <c r="FKW189" s="926"/>
      <c r="FKX189" s="926"/>
      <c r="FKY189" s="926"/>
      <c r="FKZ189" s="926"/>
      <c r="FLA189" s="926"/>
      <c r="FLB189" s="926"/>
      <c r="FLC189" s="926"/>
      <c r="FLD189" s="926"/>
      <c r="FLE189" s="926"/>
      <c r="FLF189" s="926"/>
      <c r="FLG189" s="926"/>
      <c r="FLH189" s="926"/>
      <c r="FLI189" s="926"/>
      <c r="FLJ189" s="926"/>
      <c r="FLK189" s="926"/>
      <c r="FLL189" s="926"/>
      <c r="FLM189" s="926"/>
      <c r="FLN189" s="926"/>
      <c r="FLO189" s="926"/>
      <c r="FLP189" s="926"/>
      <c r="FLQ189" s="926"/>
      <c r="FLR189" s="926"/>
      <c r="FLS189" s="926"/>
      <c r="FLT189" s="926"/>
      <c r="FLU189" s="926"/>
      <c r="FLV189" s="926"/>
      <c r="FLW189" s="926"/>
      <c r="FLX189" s="926"/>
      <c r="FLY189" s="926"/>
      <c r="FLZ189" s="926"/>
      <c r="FMA189" s="926"/>
      <c r="FMB189" s="926"/>
      <c r="FMC189" s="926"/>
      <c r="FMD189" s="926"/>
      <c r="FME189" s="926"/>
      <c r="FMF189" s="926"/>
      <c r="FMG189" s="926"/>
      <c r="FMH189" s="926"/>
      <c r="FMI189" s="926"/>
      <c r="FMJ189" s="926"/>
      <c r="FMK189" s="926"/>
      <c r="FML189" s="926"/>
      <c r="FMM189" s="926"/>
      <c r="FMN189" s="926"/>
      <c r="FMO189" s="926"/>
      <c r="FMP189" s="926"/>
      <c r="FMQ189" s="926"/>
      <c r="FMR189" s="926"/>
      <c r="FMS189" s="926"/>
      <c r="FMT189" s="926"/>
      <c r="FMU189" s="926"/>
      <c r="FMV189" s="926"/>
      <c r="FMW189" s="926"/>
      <c r="FMX189" s="926"/>
      <c r="FMY189" s="926"/>
      <c r="FMZ189" s="926"/>
      <c r="FNA189" s="926"/>
      <c r="FNB189" s="926"/>
      <c r="FNC189" s="926"/>
      <c r="FND189" s="926"/>
      <c r="FNE189" s="926"/>
      <c r="FNF189" s="926"/>
      <c r="FNG189" s="926"/>
      <c r="FNH189" s="926"/>
      <c r="FNI189" s="926"/>
      <c r="FNJ189" s="926"/>
      <c r="FNK189" s="926"/>
      <c r="FNL189" s="926"/>
      <c r="FNM189" s="926"/>
      <c r="FNN189" s="926"/>
      <c r="FNO189" s="926"/>
      <c r="FNP189" s="926"/>
      <c r="FNQ189" s="926"/>
      <c r="FNR189" s="926"/>
      <c r="FNS189" s="926"/>
      <c r="FNT189" s="926"/>
      <c r="FNU189" s="926"/>
      <c r="FNV189" s="926"/>
      <c r="FNW189" s="926"/>
      <c r="FNX189" s="926"/>
      <c r="FNY189" s="926"/>
      <c r="FNZ189" s="926"/>
      <c r="FOA189" s="926"/>
      <c r="FOB189" s="926"/>
      <c r="FOC189" s="926"/>
      <c r="FOD189" s="926"/>
      <c r="FOE189" s="926"/>
      <c r="FOF189" s="926"/>
      <c r="FOG189" s="926"/>
      <c r="FOH189" s="926"/>
      <c r="FOI189" s="926"/>
      <c r="FOJ189" s="926"/>
      <c r="FOK189" s="926"/>
      <c r="FOL189" s="926"/>
      <c r="FOM189" s="926"/>
      <c r="FON189" s="926"/>
      <c r="FOO189" s="926"/>
      <c r="FOP189" s="926"/>
      <c r="FOQ189" s="926"/>
      <c r="FOR189" s="926"/>
      <c r="FOS189" s="926"/>
      <c r="FOT189" s="926"/>
      <c r="FOU189" s="926"/>
      <c r="FOV189" s="926"/>
      <c r="FOW189" s="926"/>
      <c r="FOX189" s="926"/>
      <c r="FOY189" s="926"/>
      <c r="FOZ189" s="926"/>
      <c r="FPA189" s="926"/>
      <c r="FPB189" s="926"/>
      <c r="FPC189" s="926"/>
      <c r="FPD189" s="926"/>
      <c r="FPE189" s="926"/>
      <c r="FPF189" s="926"/>
      <c r="FPG189" s="926"/>
      <c r="FPH189" s="926"/>
      <c r="FPI189" s="926"/>
      <c r="FPJ189" s="926"/>
      <c r="FPK189" s="926"/>
      <c r="FPL189" s="926"/>
      <c r="FPM189" s="926"/>
      <c r="FPN189" s="926"/>
      <c r="FPO189" s="926"/>
      <c r="FPP189" s="926"/>
      <c r="FPQ189" s="926"/>
      <c r="FPR189" s="926"/>
      <c r="FPS189" s="926"/>
      <c r="FPT189" s="926"/>
      <c r="FPU189" s="926"/>
      <c r="FPV189" s="926"/>
      <c r="FPW189" s="926"/>
      <c r="FPX189" s="926"/>
      <c r="FPY189" s="926"/>
      <c r="FPZ189" s="926"/>
      <c r="FQA189" s="926"/>
      <c r="FQB189" s="926"/>
      <c r="FQC189" s="926"/>
      <c r="FQD189" s="926"/>
      <c r="FQE189" s="926"/>
      <c r="FQF189" s="926"/>
      <c r="FQG189" s="926"/>
      <c r="FQH189" s="926"/>
      <c r="FQI189" s="926"/>
      <c r="FQJ189" s="926"/>
      <c r="FQK189" s="926"/>
      <c r="FQL189" s="926"/>
      <c r="FQM189" s="926"/>
      <c r="FQN189" s="926"/>
      <c r="FQO189" s="926"/>
      <c r="FQP189" s="926"/>
      <c r="FQQ189" s="926"/>
      <c r="FQR189" s="926"/>
      <c r="FQS189" s="926"/>
      <c r="FQT189" s="926"/>
      <c r="FQU189" s="926"/>
      <c r="FQV189" s="926"/>
      <c r="FQW189" s="926"/>
      <c r="FQX189" s="926"/>
      <c r="FQY189" s="926"/>
      <c r="FQZ189" s="926"/>
      <c r="FRA189" s="926"/>
      <c r="FRB189" s="926"/>
      <c r="FRC189" s="926"/>
      <c r="FRD189" s="926"/>
      <c r="FRE189" s="926"/>
      <c r="FRF189" s="926"/>
      <c r="FRG189" s="926"/>
      <c r="FRH189" s="926"/>
      <c r="FRI189" s="926"/>
      <c r="FRJ189" s="926"/>
      <c r="FRK189" s="926"/>
      <c r="FRL189" s="926"/>
      <c r="FRM189" s="926"/>
      <c r="FRN189" s="926"/>
      <c r="FRO189" s="926"/>
      <c r="FRP189" s="926"/>
      <c r="FRQ189" s="926"/>
      <c r="FRR189" s="926"/>
      <c r="FRS189" s="926"/>
      <c r="FRT189" s="926"/>
      <c r="FRU189" s="926"/>
      <c r="FRV189" s="926"/>
      <c r="FRW189" s="926"/>
      <c r="FRX189" s="926"/>
      <c r="FRY189" s="926"/>
      <c r="FRZ189" s="926"/>
      <c r="FSA189" s="926"/>
      <c r="FSB189" s="926"/>
      <c r="FSC189" s="926"/>
      <c r="FSD189" s="926"/>
      <c r="FSE189" s="926"/>
      <c r="FSF189" s="926"/>
      <c r="FSG189" s="926"/>
      <c r="FSH189" s="926"/>
      <c r="FSI189" s="926"/>
      <c r="FSJ189" s="926"/>
      <c r="FSK189" s="926"/>
      <c r="FSL189" s="926"/>
      <c r="FSM189" s="926"/>
      <c r="FSN189" s="926"/>
      <c r="FSO189" s="926"/>
      <c r="FSP189" s="926"/>
      <c r="FSQ189" s="926"/>
      <c r="FSR189" s="926"/>
      <c r="FSS189" s="926"/>
      <c r="FST189" s="926"/>
      <c r="FSU189" s="926"/>
      <c r="FSV189" s="926"/>
      <c r="FSW189" s="926"/>
      <c r="FSX189" s="926"/>
      <c r="FSY189" s="926"/>
      <c r="FSZ189" s="926"/>
      <c r="FTA189" s="926"/>
      <c r="FTB189" s="926"/>
      <c r="FTC189" s="926"/>
      <c r="FTD189" s="926"/>
      <c r="FTE189" s="926"/>
      <c r="FTF189" s="926"/>
      <c r="FTG189" s="926"/>
      <c r="FTH189" s="926"/>
      <c r="FTI189" s="926"/>
      <c r="FTJ189" s="926"/>
      <c r="FTK189" s="926"/>
      <c r="FTL189" s="926"/>
      <c r="FTM189" s="926"/>
      <c r="FTN189" s="926"/>
      <c r="FTO189" s="926"/>
      <c r="FTP189" s="926"/>
      <c r="FTQ189" s="926"/>
      <c r="FTR189" s="926"/>
      <c r="FTS189" s="926"/>
      <c r="FTT189" s="926"/>
      <c r="FTU189" s="926"/>
      <c r="FTV189" s="926"/>
      <c r="FTW189" s="926"/>
      <c r="FTX189" s="926"/>
      <c r="FTY189" s="926"/>
      <c r="FTZ189" s="926"/>
      <c r="FUA189" s="926"/>
      <c r="FUB189" s="926"/>
      <c r="FUC189" s="926"/>
      <c r="FUD189" s="926"/>
      <c r="FUE189" s="926"/>
      <c r="FUF189" s="926"/>
      <c r="FUG189" s="926"/>
      <c r="FUH189" s="926"/>
      <c r="FUI189" s="926"/>
      <c r="FUJ189" s="926"/>
      <c r="FUK189" s="926"/>
      <c r="FUL189" s="926"/>
      <c r="FUM189" s="926"/>
      <c r="FUN189" s="926"/>
      <c r="FUO189" s="926"/>
      <c r="FUP189" s="926"/>
      <c r="FUQ189" s="926"/>
      <c r="FUR189" s="926"/>
      <c r="FUS189" s="926"/>
      <c r="FUT189" s="926"/>
      <c r="FUU189" s="926"/>
      <c r="FUV189" s="926"/>
      <c r="FUW189" s="926"/>
      <c r="FUX189" s="926"/>
      <c r="FUY189" s="926"/>
      <c r="FUZ189" s="926"/>
      <c r="FVA189" s="926"/>
      <c r="FVB189" s="926"/>
      <c r="FVC189" s="926"/>
      <c r="FVD189" s="926"/>
      <c r="FVE189" s="926"/>
      <c r="FVF189" s="926"/>
      <c r="FVG189" s="926"/>
      <c r="FVH189" s="926"/>
      <c r="FVI189" s="926"/>
      <c r="FVJ189" s="926"/>
      <c r="FVK189" s="926"/>
      <c r="FVL189" s="926"/>
      <c r="FVM189" s="926"/>
      <c r="FVN189" s="926"/>
      <c r="FVO189" s="926"/>
      <c r="FVP189" s="926"/>
      <c r="FVQ189" s="926"/>
      <c r="FVR189" s="926"/>
      <c r="FVS189" s="926"/>
      <c r="FVT189" s="926"/>
      <c r="FVU189" s="926"/>
      <c r="FVV189" s="926"/>
      <c r="FVW189" s="926"/>
      <c r="FVX189" s="926"/>
      <c r="FVY189" s="926"/>
      <c r="FVZ189" s="926"/>
      <c r="FWA189" s="926"/>
      <c r="FWB189" s="926"/>
      <c r="FWC189" s="926"/>
      <c r="FWD189" s="926"/>
      <c r="FWE189" s="926"/>
      <c r="FWF189" s="926"/>
      <c r="FWG189" s="926"/>
      <c r="FWH189" s="926"/>
      <c r="FWI189" s="926"/>
      <c r="FWJ189" s="926"/>
      <c r="FWK189" s="926"/>
      <c r="FWL189" s="926"/>
      <c r="FWM189" s="926"/>
      <c r="FWN189" s="926"/>
      <c r="FWO189" s="926"/>
      <c r="FWP189" s="926"/>
      <c r="FWQ189" s="926"/>
      <c r="FWR189" s="926"/>
      <c r="FWS189" s="926"/>
      <c r="FWT189" s="926"/>
      <c r="FWU189" s="926"/>
      <c r="FWV189" s="926"/>
      <c r="FWW189" s="926"/>
      <c r="FWX189" s="926"/>
      <c r="FWY189" s="926"/>
      <c r="FWZ189" s="926"/>
      <c r="FXA189" s="926"/>
      <c r="FXB189" s="926"/>
      <c r="FXC189" s="926"/>
      <c r="FXD189" s="926"/>
      <c r="FXE189" s="926"/>
      <c r="FXF189" s="926"/>
      <c r="FXG189" s="926"/>
      <c r="FXH189" s="926"/>
      <c r="FXI189" s="926"/>
      <c r="FXJ189" s="926"/>
      <c r="FXK189" s="926"/>
      <c r="FXL189" s="926"/>
      <c r="FXM189" s="926"/>
      <c r="FXN189" s="926"/>
      <c r="FXO189" s="926"/>
      <c r="FXP189" s="926"/>
      <c r="FXQ189" s="926"/>
      <c r="FXR189" s="926"/>
      <c r="FXS189" s="926"/>
      <c r="FXT189" s="926"/>
      <c r="FXU189" s="926"/>
      <c r="FXV189" s="926"/>
      <c r="FXW189" s="926"/>
      <c r="FXX189" s="926"/>
      <c r="FXY189" s="926"/>
      <c r="FXZ189" s="926"/>
      <c r="FYA189" s="926"/>
      <c r="FYB189" s="926"/>
      <c r="FYC189" s="926"/>
      <c r="FYD189" s="926"/>
      <c r="FYE189" s="926"/>
      <c r="FYF189" s="926"/>
      <c r="FYG189" s="926"/>
      <c r="FYH189" s="926"/>
      <c r="FYI189" s="926"/>
      <c r="FYJ189" s="926"/>
      <c r="FYK189" s="926"/>
      <c r="FYL189" s="926"/>
      <c r="FYM189" s="926"/>
      <c r="FYN189" s="926"/>
      <c r="FYO189" s="926"/>
      <c r="FYP189" s="926"/>
      <c r="FYQ189" s="926"/>
      <c r="FYR189" s="926"/>
      <c r="FYS189" s="926"/>
      <c r="FYT189" s="926"/>
      <c r="FYU189" s="926"/>
      <c r="FYV189" s="926"/>
      <c r="FYW189" s="926"/>
      <c r="FYX189" s="926"/>
      <c r="FYY189" s="926"/>
      <c r="FYZ189" s="926"/>
      <c r="FZA189" s="926"/>
      <c r="FZB189" s="926"/>
      <c r="FZC189" s="926"/>
      <c r="FZD189" s="926"/>
      <c r="FZE189" s="926"/>
      <c r="FZF189" s="926"/>
      <c r="FZG189" s="926"/>
      <c r="FZH189" s="926"/>
      <c r="FZI189" s="926"/>
      <c r="FZJ189" s="926"/>
      <c r="FZK189" s="926"/>
      <c r="FZL189" s="926"/>
      <c r="FZM189" s="926"/>
      <c r="FZN189" s="926"/>
      <c r="FZO189" s="926"/>
      <c r="FZP189" s="926"/>
      <c r="FZQ189" s="926"/>
      <c r="FZR189" s="926"/>
      <c r="FZS189" s="926"/>
      <c r="FZT189" s="926"/>
      <c r="FZU189" s="926"/>
      <c r="FZV189" s="926"/>
      <c r="FZW189" s="926"/>
      <c r="FZX189" s="926"/>
      <c r="FZY189" s="926"/>
      <c r="FZZ189" s="926"/>
      <c r="GAA189" s="926"/>
      <c r="GAB189" s="926"/>
      <c r="GAC189" s="926"/>
      <c r="GAD189" s="926"/>
      <c r="GAE189" s="926"/>
      <c r="GAF189" s="926"/>
      <c r="GAG189" s="926"/>
      <c r="GAH189" s="926"/>
      <c r="GAI189" s="926"/>
      <c r="GAJ189" s="926"/>
      <c r="GAK189" s="926"/>
      <c r="GAL189" s="926"/>
      <c r="GAM189" s="926"/>
      <c r="GAN189" s="926"/>
      <c r="GAO189" s="926"/>
      <c r="GAP189" s="926"/>
      <c r="GAQ189" s="926"/>
      <c r="GAR189" s="926"/>
      <c r="GAS189" s="926"/>
      <c r="GAT189" s="926"/>
      <c r="GAU189" s="926"/>
      <c r="GAV189" s="926"/>
      <c r="GAW189" s="926"/>
      <c r="GAX189" s="926"/>
      <c r="GAY189" s="926"/>
      <c r="GAZ189" s="926"/>
      <c r="GBA189" s="926"/>
      <c r="GBB189" s="926"/>
      <c r="GBC189" s="926"/>
      <c r="GBD189" s="926"/>
      <c r="GBE189" s="926"/>
      <c r="GBF189" s="926"/>
      <c r="GBG189" s="926"/>
      <c r="GBH189" s="926"/>
      <c r="GBI189" s="926"/>
      <c r="GBJ189" s="926"/>
      <c r="GBK189" s="926"/>
      <c r="GBL189" s="926"/>
      <c r="GBM189" s="926"/>
      <c r="GBN189" s="926"/>
      <c r="GBO189" s="926"/>
      <c r="GBP189" s="926"/>
      <c r="GBQ189" s="926"/>
      <c r="GBR189" s="926"/>
      <c r="GBS189" s="926"/>
      <c r="GBT189" s="926"/>
      <c r="GBU189" s="926"/>
      <c r="GBV189" s="926"/>
      <c r="GBW189" s="926"/>
      <c r="GBX189" s="926"/>
      <c r="GBY189" s="926"/>
      <c r="GBZ189" s="926"/>
      <c r="GCA189" s="926"/>
      <c r="GCB189" s="926"/>
      <c r="GCC189" s="926"/>
      <c r="GCD189" s="926"/>
      <c r="GCE189" s="926"/>
      <c r="GCF189" s="926"/>
      <c r="GCG189" s="926"/>
      <c r="GCH189" s="926"/>
      <c r="GCI189" s="926"/>
      <c r="GCJ189" s="926"/>
      <c r="GCK189" s="926"/>
      <c r="GCL189" s="926"/>
      <c r="GCM189" s="926"/>
      <c r="GCN189" s="926"/>
      <c r="GCO189" s="926"/>
      <c r="GCP189" s="926"/>
      <c r="GCQ189" s="926"/>
      <c r="GCR189" s="926"/>
      <c r="GCS189" s="926"/>
      <c r="GCT189" s="926"/>
      <c r="GCU189" s="926"/>
      <c r="GCV189" s="926"/>
      <c r="GCW189" s="926"/>
      <c r="GCX189" s="926"/>
      <c r="GCY189" s="926"/>
      <c r="GCZ189" s="926"/>
      <c r="GDA189" s="926"/>
      <c r="GDB189" s="926"/>
      <c r="GDC189" s="926"/>
      <c r="GDD189" s="926"/>
      <c r="GDE189" s="926"/>
      <c r="GDF189" s="926"/>
      <c r="GDG189" s="926"/>
      <c r="GDH189" s="926"/>
      <c r="GDI189" s="926"/>
      <c r="GDJ189" s="926"/>
      <c r="GDK189" s="926"/>
      <c r="GDL189" s="926"/>
      <c r="GDM189" s="926"/>
      <c r="GDN189" s="926"/>
      <c r="GDO189" s="926"/>
      <c r="GDP189" s="926"/>
      <c r="GDQ189" s="926"/>
      <c r="GDR189" s="926"/>
      <c r="GDS189" s="926"/>
      <c r="GDT189" s="926"/>
      <c r="GDU189" s="926"/>
      <c r="GDV189" s="926"/>
      <c r="GDW189" s="926"/>
      <c r="GDX189" s="926"/>
      <c r="GDY189" s="926"/>
      <c r="GDZ189" s="926"/>
      <c r="GEA189" s="926"/>
      <c r="GEB189" s="926"/>
      <c r="GEC189" s="926"/>
      <c r="GED189" s="926"/>
      <c r="GEE189" s="926"/>
      <c r="GEF189" s="926"/>
      <c r="GEG189" s="926"/>
      <c r="GEH189" s="926"/>
      <c r="GEI189" s="926"/>
      <c r="GEJ189" s="926"/>
      <c r="GEK189" s="926"/>
      <c r="GEL189" s="926"/>
      <c r="GEM189" s="926"/>
      <c r="GEN189" s="926"/>
      <c r="GEO189" s="926"/>
      <c r="GEP189" s="926"/>
      <c r="GEQ189" s="926"/>
      <c r="GER189" s="926"/>
      <c r="GES189" s="926"/>
      <c r="GET189" s="926"/>
      <c r="GEU189" s="926"/>
      <c r="GEV189" s="926"/>
      <c r="GEW189" s="926"/>
      <c r="GEX189" s="926"/>
      <c r="GEY189" s="926"/>
      <c r="GEZ189" s="926"/>
      <c r="GFA189" s="926"/>
      <c r="GFB189" s="926"/>
      <c r="GFC189" s="926"/>
      <c r="GFD189" s="926"/>
      <c r="GFE189" s="926"/>
      <c r="GFF189" s="926"/>
      <c r="GFG189" s="926"/>
      <c r="GFH189" s="926"/>
      <c r="GFI189" s="926"/>
      <c r="GFJ189" s="926"/>
      <c r="GFK189" s="926"/>
      <c r="GFL189" s="926"/>
      <c r="GFM189" s="926"/>
      <c r="GFN189" s="926"/>
      <c r="GFO189" s="926"/>
      <c r="GFP189" s="926"/>
      <c r="GFQ189" s="926"/>
      <c r="GFR189" s="926"/>
      <c r="GFS189" s="926"/>
      <c r="GFT189" s="926"/>
      <c r="GFU189" s="926"/>
      <c r="GFV189" s="926"/>
      <c r="GFW189" s="926"/>
      <c r="GFX189" s="926"/>
      <c r="GFY189" s="926"/>
      <c r="GFZ189" s="926"/>
      <c r="GGA189" s="926"/>
      <c r="GGB189" s="926"/>
      <c r="GGC189" s="926"/>
      <c r="GGD189" s="926"/>
      <c r="GGE189" s="926"/>
      <c r="GGF189" s="926"/>
      <c r="GGG189" s="926"/>
      <c r="GGH189" s="926"/>
      <c r="GGI189" s="926"/>
      <c r="GGJ189" s="926"/>
      <c r="GGK189" s="926"/>
      <c r="GGL189" s="926"/>
      <c r="GGM189" s="926"/>
      <c r="GGN189" s="926"/>
      <c r="GGO189" s="926"/>
      <c r="GGP189" s="926"/>
      <c r="GGQ189" s="926"/>
      <c r="GGR189" s="926"/>
      <c r="GGS189" s="926"/>
      <c r="GGT189" s="926"/>
      <c r="GGU189" s="926"/>
      <c r="GGV189" s="926"/>
      <c r="GGW189" s="926"/>
      <c r="GGX189" s="926"/>
      <c r="GGY189" s="926"/>
      <c r="GGZ189" s="926"/>
      <c r="GHA189" s="926"/>
      <c r="GHB189" s="926"/>
      <c r="GHC189" s="926"/>
      <c r="GHD189" s="926"/>
      <c r="GHE189" s="926"/>
      <c r="GHF189" s="926"/>
      <c r="GHG189" s="926"/>
      <c r="GHH189" s="926"/>
      <c r="GHI189" s="926"/>
      <c r="GHJ189" s="926"/>
      <c r="GHK189" s="926"/>
      <c r="GHL189" s="926"/>
      <c r="GHM189" s="926"/>
      <c r="GHN189" s="926"/>
      <c r="GHO189" s="926"/>
      <c r="GHP189" s="926"/>
      <c r="GHQ189" s="926"/>
      <c r="GHR189" s="926"/>
      <c r="GHS189" s="926"/>
      <c r="GHT189" s="926"/>
      <c r="GHU189" s="926"/>
      <c r="GHV189" s="926"/>
      <c r="GHW189" s="926"/>
      <c r="GHX189" s="926"/>
      <c r="GHY189" s="926"/>
      <c r="GHZ189" s="926"/>
      <c r="GIA189" s="926"/>
      <c r="GIB189" s="926"/>
      <c r="GIC189" s="926"/>
      <c r="GID189" s="926"/>
      <c r="GIE189" s="926"/>
      <c r="GIF189" s="926"/>
      <c r="GIG189" s="926"/>
      <c r="GIH189" s="926"/>
      <c r="GII189" s="926"/>
      <c r="GIJ189" s="926"/>
      <c r="GIK189" s="926"/>
      <c r="GIL189" s="926"/>
      <c r="GIM189" s="926"/>
      <c r="GIN189" s="926"/>
      <c r="GIO189" s="926"/>
      <c r="GIP189" s="926"/>
      <c r="GIQ189" s="926"/>
      <c r="GIR189" s="926"/>
      <c r="GIS189" s="926"/>
      <c r="GIT189" s="926"/>
      <c r="GIU189" s="926"/>
      <c r="GIV189" s="926"/>
      <c r="GIW189" s="926"/>
      <c r="GIX189" s="926"/>
      <c r="GIY189" s="926"/>
      <c r="GIZ189" s="926"/>
      <c r="GJA189" s="926"/>
      <c r="GJB189" s="926"/>
      <c r="GJC189" s="926"/>
      <c r="GJD189" s="926"/>
      <c r="GJE189" s="926"/>
      <c r="GJF189" s="926"/>
      <c r="GJG189" s="926"/>
      <c r="GJH189" s="926"/>
      <c r="GJI189" s="926"/>
      <c r="GJJ189" s="926"/>
      <c r="GJK189" s="926"/>
      <c r="GJL189" s="926"/>
      <c r="GJM189" s="926"/>
      <c r="GJN189" s="926"/>
      <c r="GJO189" s="926"/>
      <c r="GJP189" s="926"/>
      <c r="GJQ189" s="926"/>
      <c r="GJR189" s="926"/>
      <c r="GJS189" s="926"/>
      <c r="GJT189" s="926"/>
      <c r="GJU189" s="926"/>
      <c r="GJV189" s="926"/>
      <c r="GJW189" s="926"/>
      <c r="GJX189" s="926"/>
      <c r="GJY189" s="926"/>
      <c r="GJZ189" s="926"/>
      <c r="GKA189" s="926"/>
      <c r="GKB189" s="926"/>
      <c r="GKC189" s="926"/>
      <c r="GKD189" s="926"/>
      <c r="GKE189" s="926"/>
      <c r="GKF189" s="926"/>
      <c r="GKG189" s="926"/>
      <c r="GKH189" s="926"/>
      <c r="GKI189" s="926"/>
      <c r="GKJ189" s="926"/>
      <c r="GKK189" s="926"/>
      <c r="GKL189" s="926"/>
      <c r="GKM189" s="926"/>
      <c r="GKN189" s="926"/>
      <c r="GKO189" s="926"/>
      <c r="GKP189" s="926"/>
      <c r="GKQ189" s="926"/>
      <c r="GKR189" s="926"/>
      <c r="GKS189" s="926"/>
      <c r="GKT189" s="926"/>
      <c r="GKU189" s="926"/>
      <c r="GKV189" s="926"/>
      <c r="GKW189" s="926"/>
      <c r="GKX189" s="926"/>
      <c r="GKY189" s="926"/>
      <c r="GKZ189" s="926"/>
      <c r="GLA189" s="926"/>
      <c r="GLB189" s="926"/>
      <c r="GLC189" s="926"/>
      <c r="GLD189" s="926"/>
      <c r="GLE189" s="926"/>
      <c r="GLF189" s="926"/>
      <c r="GLG189" s="926"/>
      <c r="GLH189" s="926"/>
      <c r="GLI189" s="926"/>
      <c r="GLJ189" s="926"/>
      <c r="GLK189" s="926"/>
      <c r="GLL189" s="926"/>
      <c r="GLM189" s="926"/>
      <c r="GLN189" s="926"/>
      <c r="GLO189" s="926"/>
      <c r="GLP189" s="926"/>
      <c r="GLQ189" s="926"/>
      <c r="GLR189" s="926"/>
      <c r="GLS189" s="926"/>
      <c r="GLT189" s="926"/>
      <c r="GLU189" s="926"/>
      <c r="GLV189" s="926"/>
      <c r="GLW189" s="926"/>
      <c r="GLX189" s="926"/>
      <c r="GLY189" s="926"/>
      <c r="GLZ189" s="926"/>
      <c r="GMA189" s="926"/>
      <c r="GMB189" s="926"/>
      <c r="GMC189" s="926"/>
      <c r="GMD189" s="926"/>
      <c r="GME189" s="926"/>
      <c r="GMF189" s="926"/>
      <c r="GMG189" s="926"/>
      <c r="GMH189" s="926"/>
      <c r="GMI189" s="926"/>
      <c r="GMJ189" s="926"/>
      <c r="GMK189" s="926"/>
      <c r="GML189" s="926"/>
      <c r="GMM189" s="926"/>
      <c r="GMN189" s="926"/>
      <c r="GMO189" s="926"/>
      <c r="GMP189" s="926"/>
      <c r="GMQ189" s="926"/>
      <c r="GMR189" s="926"/>
      <c r="GMS189" s="926"/>
      <c r="GMT189" s="926"/>
      <c r="GMU189" s="926"/>
      <c r="GMV189" s="926"/>
      <c r="GMW189" s="926"/>
      <c r="GMX189" s="926"/>
      <c r="GMY189" s="926"/>
      <c r="GMZ189" s="926"/>
      <c r="GNA189" s="926"/>
      <c r="GNB189" s="926"/>
      <c r="GNC189" s="926"/>
      <c r="GND189" s="926"/>
      <c r="GNE189" s="926"/>
      <c r="GNF189" s="926"/>
      <c r="GNG189" s="926"/>
      <c r="GNH189" s="926"/>
      <c r="GNI189" s="926"/>
      <c r="GNJ189" s="926"/>
      <c r="GNK189" s="926"/>
      <c r="GNL189" s="926"/>
      <c r="GNM189" s="926"/>
      <c r="GNN189" s="926"/>
      <c r="GNO189" s="926"/>
      <c r="GNP189" s="926"/>
      <c r="GNQ189" s="926"/>
      <c r="GNR189" s="926"/>
      <c r="GNS189" s="926"/>
      <c r="GNT189" s="926"/>
      <c r="GNU189" s="926"/>
      <c r="GNV189" s="926"/>
      <c r="GNW189" s="926"/>
      <c r="GNX189" s="926"/>
      <c r="GNY189" s="926"/>
      <c r="GNZ189" s="926"/>
      <c r="GOA189" s="926"/>
      <c r="GOB189" s="926"/>
      <c r="GOC189" s="926"/>
      <c r="GOD189" s="926"/>
      <c r="GOE189" s="926"/>
      <c r="GOF189" s="926"/>
      <c r="GOG189" s="926"/>
      <c r="GOH189" s="926"/>
      <c r="GOI189" s="926"/>
      <c r="GOJ189" s="926"/>
      <c r="GOK189" s="926"/>
      <c r="GOL189" s="926"/>
      <c r="GOM189" s="926"/>
      <c r="GON189" s="926"/>
      <c r="GOO189" s="926"/>
      <c r="GOP189" s="926"/>
      <c r="GOQ189" s="926"/>
      <c r="GOR189" s="926"/>
      <c r="GOS189" s="926"/>
      <c r="GOT189" s="926"/>
      <c r="GOU189" s="926"/>
      <c r="GOV189" s="926"/>
      <c r="GOW189" s="926"/>
      <c r="GOX189" s="926"/>
      <c r="GOY189" s="926"/>
      <c r="GOZ189" s="926"/>
      <c r="GPA189" s="926"/>
      <c r="GPB189" s="926"/>
      <c r="GPC189" s="926"/>
      <c r="GPD189" s="926"/>
      <c r="GPE189" s="926"/>
      <c r="GPF189" s="926"/>
      <c r="GPG189" s="926"/>
      <c r="GPH189" s="926"/>
      <c r="GPI189" s="926"/>
      <c r="GPJ189" s="926"/>
      <c r="GPK189" s="926"/>
      <c r="GPL189" s="926"/>
      <c r="GPM189" s="926"/>
      <c r="GPN189" s="926"/>
      <c r="GPO189" s="926"/>
      <c r="GPP189" s="926"/>
      <c r="GPQ189" s="926"/>
      <c r="GPR189" s="926"/>
      <c r="GPS189" s="926"/>
      <c r="GPT189" s="926"/>
      <c r="GPU189" s="926"/>
      <c r="GPV189" s="926"/>
      <c r="GPW189" s="926"/>
      <c r="GPX189" s="926"/>
      <c r="GPY189" s="926"/>
      <c r="GPZ189" s="926"/>
      <c r="GQA189" s="926"/>
      <c r="GQB189" s="926"/>
      <c r="GQC189" s="926"/>
      <c r="GQD189" s="926"/>
      <c r="GQE189" s="926"/>
      <c r="GQF189" s="926"/>
      <c r="GQG189" s="926"/>
      <c r="GQH189" s="926"/>
      <c r="GQI189" s="926"/>
      <c r="GQJ189" s="926"/>
      <c r="GQK189" s="926"/>
      <c r="GQL189" s="926"/>
      <c r="GQM189" s="926"/>
      <c r="GQN189" s="926"/>
      <c r="GQO189" s="926"/>
      <c r="GQP189" s="926"/>
      <c r="GQQ189" s="926"/>
      <c r="GQR189" s="926"/>
      <c r="GQS189" s="926"/>
      <c r="GQT189" s="926"/>
      <c r="GQU189" s="926"/>
      <c r="GQV189" s="926"/>
      <c r="GQW189" s="926"/>
      <c r="GQX189" s="926"/>
      <c r="GQY189" s="926"/>
      <c r="GQZ189" s="926"/>
      <c r="GRA189" s="926"/>
      <c r="GRB189" s="926"/>
      <c r="GRC189" s="926"/>
      <c r="GRD189" s="926"/>
      <c r="GRE189" s="926"/>
      <c r="GRF189" s="926"/>
      <c r="GRG189" s="926"/>
      <c r="GRH189" s="926"/>
      <c r="GRI189" s="926"/>
      <c r="GRJ189" s="926"/>
      <c r="GRK189" s="926"/>
      <c r="GRL189" s="926"/>
      <c r="GRM189" s="926"/>
      <c r="GRN189" s="926"/>
      <c r="GRO189" s="926"/>
      <c r="GRP189" s="926"/>
      <c r="GRQ189" s="926"/>
      <c r="GRR189" s="926"/>
      <c r="GRS189" s="926"/>
      <c r="GRT189" s="926"/>
      <c r="GRU189" s="926"/>
      <c r="GRV189" s="926"/>
      <c r="GRW189" s="926"/>
      <c r="GRX189" s="926"/>
      <c r="GRY189" s="926"/>
      <c r="GRZ189" s="926"/>
      <c r="GSA189" s="926"/>
      <c r="GSB189" s="926"/>
      <c r="GSC189" s="926"/>
      <c r="GSD189" s="926"/>
      <c r="GSE189" s="926"/>
      <c r="GSF189" s="926"/>
      <c r="GSG189" s="926"/>
      <c r="GSH189" s="926"/>
      <c r="GSI189" s="926"/>
      <c r="GSJ189" s="926"/>
      <c r="GSK189" s="926"/>
      <c r="GSL189" s="926"/>
      <c r="GSM189" s="926"/>
      <c r="GSN189" s="926"/>
      <c r="GSO189" s="926"/>
      <c r="GSP189" s="926"/>
      <c r="GSQ189" s="926"/>
      <c r="GSR189" s="926"/>
      <c r="GSS189" s="926"/>
      <c r="GST189" s="926"/>
      <c r="GSU189" s="926"/>
      <c r="GSV189" s="926"/>
      <c r="GSW189" s="926"/>
      <c r="GSX189" s="926"/>
      <c r="GSY189" s="926"/>
      <c r="GSZ189" s="926"/>
      <c r="GTA189" s="926"/>
      <c r="GTB189" s="926"/>
      <c r="GTC189" s="926"/>
      <c r="GTD189" s="926"/>
      <c r="GTE189" s="926"/>
      <c r="GTF189" s="926"/>
      <c r="GTG189" s="926"/>
      <c r="GTH189" s="926"/>
      <c r="GTI189" s="926"/>
      <c r="GTJ189" s="926"/>
      <c r="GTK189" s="926"/>
      <c r="GTL189" s="926"/>
      <c r="GTM189" s="926"/>
      <c r="GTN189" s="926"/>
      <c r="GTO189" s="926"/>
      <c r="GTP189" s="926"/>
      <c r="GTQ189" s="926"/>
      <c r="GTR189" s="926"/>
      <c r="GTS189" s="926"/>
      <c r="GTT189" s="926"/>
      <c r="GTU189" s="926"/>
      <c r="GTV189" s="926"/>
      <c r="GTW189" s="926"/>
      <c r="GTX189" s="926"/>
      <c r="GTY189" s="926"/>
      <c r="GTZ189" s="926"/>
      <c r="GUA189" s="926"/>
      <c r="GUB189" s="926"/>
      <c r="GUC189" s="926"/>
      <c r="GUD189" s="926"/>
      <c r="GUE189" s="926"/>
      <c r="GUF189" s="926"/>
      <c r="GUG189" s="926"/>
      <c r="GUH189" s="926"/>
      <c r="GUI189" s="926"/>
      <c r="GUJ189" s="926"/>
      <c r="GUK189" s="926"/>
      <c r="GUL189" s="926"/>
      <c r="GUM189" s="926"/>
      <c r="GUN189" s="926"/>
      <c r="GUO189" s="926"/>
      <c r="GUP189" s="926"/>
      <c r="GUQ189" s="926"/>
      <c r="GUR189" s="926"/>
      <c r="GUS189" s="926"/>
      <c r="GUT189" s="926"/>
      <c r="GUU189" s="926"/>
      <c r="GUV189" s="926"/>
      <c r="GUW189" s="926"/>
      <c r="GUX189" s="926"/>
      <c r="GUY189" s="926"/>
      <c r="GUZ189" s="926"/>
      <c r="GVA189" s="926"/>
      <c r="GVB189" s="926"/>
      <c r="GVC189" s="926"/>
      <c r="GVD189" s="926"/>
      <c r="GVE189" s="926"/>
      <c r="GVF189" s="926"/>
      <c r="GVG189" s="926"/>
      <c r="GVH189" s="926"/>
      <c r="GVI189" s="926"/>
      <c r="GVJ189" s="926"/>
      <c r="GVK189" s="926"/>
      <c r="GVL189" s="926"/>
      <c r="GVM189" s="926"/>
      <c r="GVN189" s="926"/>
      <c r="GVO189" s="926"/>
      <c r="GVP189" s="926"/>
      <c r="GVQ189" s="926"/>
      <c r="GVR189" s="926"/>
      <c r="GVS189" s="926"/>
      <c r="GVT189" s="926"/>
      <c r="GVU189" s="926"/>
      <c r="GVV189" s="926"/>
      <c r="GVW189" s="926"/>
      <c r="GVX189" s="926"/>
      <c r="GVY189" s="926"/>
      <c r="GVZ189" s="926"/>
      <c r="GWA189" s="926"/>
      <c r="GWB189" s="926"/>
      <c r="GWC189" s="926"/>
      <c r="GWD189" s="926"/>
      <c r="GWE189" s="926"/>
      <c r="GWF189" s="926"/>
      <c r="GWG189" s="926"/>
      <c r="GWH189" s="926"/>
      <c r="GWI189" s="926"/>
      <c r="GWJ189" s="926"/>
      <c r="GWK189" s="926"/>
      <c r="GWL189" s="926"/>
      <c r="GWM189" s="926"/>
      <c r="GWN189" s="926"/>
      <c r="GWO189" s="926"/>
      <c r="GWP189" s="926"/>
      <c r="GWQ189" s="926"/>
      <c r="GWR189" s="926"/>
      <c r="GWS189" s="926"/>
      <c r="GWT189" s="926"/>
      <c r="GWU189" s="926"/>
      <c r="GWV189" s="926"/>
      <c r="GWW189" s="926"/>
      <c r="GWX189" s="926"/>
      <c r="GWY189" s="926"/>
      <c r="GWZ189" s="926"/>
      <c r="GXA189" s="926"/>
      <c r="GXB189" s="926"/>
      <c r="GXC189" s="926"/>
      <c r="GXD189" s="926"/>
      <c r="GXE189" s="926"/>
      <c r="GXF189" s="926"/>
      <c r="GXG189" s="926"/>
      <c r="GXH189" s="926"/>
      <c r="GXI189" s="926"/>
      <c r="GXJ189" s="926"/>
      <c r="GXK189" s="926"/>
      <c r="GXL189" s="926"/>
      <c r="GXM189" s="926"/>
      <c r="GXN189" s="926"/>
      <c r="GXO189" s="926"/>
      <c r="GXP189" s="926"/>
      <c r="GXQ189" s="926"/>
      <c r="GXR189" s="926"/>
      <c r="GXS189" s="926"/>
      <c r="GXT189" s="926"/>
      <c r="GXU189" s="926"/>
      <c r="GXV189" s="926"/>
      <c r="GXW189" s="926"/>
      <c r="GXX189" s="926"/>
      <c r="GXY189" s="926"/>
      <c r="GXZ189" s="926"/>
      <c r="GYA189" s="926"/>
      <c r="GYB189" s="926"/>
      <c r="GYC189" s="926"/>
      <c r="GYD189" s="926"/>
      <c r="GYE189" s="926"/>
      <c r="GYF189" s="926"/>
      <c r="GYG189" s="926"/>
      <c r="GYH189" s="926"/>
      <c r="GYI189" s="926"/>
      <c r="GYJ189" s="926"/>
      <c r="GYK189" s="926"/>
      <c r="GYL189" s="926"/>
      <c r="GYM189" s="926"/>
      <c r="GYN189" s="926"/>
      <c r="GYO189" s="926"/>
      <c r="GYP189" s="926"/>
      <c r="GYQ189" s="926"/>
      <c r="GYR189" s="926"/>
      <c r="GYS189" s="926"/>
      <c r="GYT189" s="926"/>
      <c r="GYU189" s="926"/>
      <c r="GYV189" s="926"/>
      <c r="GYW189" s="926"/>
      <c r="GYX189" s="926"/>
      <c r="GYY189" s="926"/>
      <c r="GYZ189" s="926"/>
      <c r="GZA189" s="926"/>
      <c r="GZB189" s="926"/>
      <c r="GZC189" s="926"/>
      <c r="GZD189" s="926"/>
      <c r="GZE189" s="926"/>
      <c r="GZF189" s="926"/>
      <c r="GZG189" s="926"/>
      <c r="GZH189" s="926"/>
      <c r="GZI189" s="926"/>
      <c r="GZJ189" s="926"/>
      <c r="GZK189" s="926"/>
      <c r="GZL189" s="926"/>
      <c r="GZM189" s="926"/>
      <c r="GZN189" s="926"/>
      <c r="GZO189" s="926"/>
      <c r="GZP189" s="926"/>
      <c r="GZQ189" s="926"/>
      <c r="GZR189" s="926"/>
      <c r="GZS189" s="926"/>
      <c r="GZT189" s="926"/>
      <c r="GZU189" s="926"/>
      <c r="GZV189" s="926"/>
      <c r="GZW189" s="926"/>
      <c r="GZX189" s="926"/>
      <c r="GZY189" s="926"/>
      <c r="GZZ189" s="926"/>
      <c r="HAA189" s="926"/>
      <c r="HAB189" s="926"/>
      <c r="HAC189" s="926"/>
      <c r="HAD189" s="926"/>
      <c r="HAE189" s="926"/>
      <c r="HAF189" s="926"/>
      <c r="HAG189" s="926"/>
      <c r="HAH189" s="926"/>
      <c r="HAI189" s="926"/>
      <c r="HAJ189" s="926"/>
      <c r="HAK189" s="926"/>
      <c r="HAL189" s="926"/>
      <c r="HAM189" s="926"/>
      <c r="HAN189" s="926"/>
      <c r="HAO189" s="926"/>
      <c r="HAP189" s="926"/>
      <c r="HAQ189" s="926"/>
      <c r="HAR189" s="926"/>
      <c r="HAS189" s="926"/>
      <c r="HAT189" s="926"/>
      <c r="HAU189" s="926"/>
      <c r="HAV189" s="926"/>
      <c r="HAW189" s="926"/>
      <c r="HAX189" s="926"/>
      <c r="HAY189" s="926"/>
      <c r="HAZ189" s="926"/>
      <c r="HBA189" s="926"/>
      <c r="HBB189" s="926"/>
      <c r="HBC189" s="926"/>
      <c r="HBD189" s="926"/>
      <c r="HBE189" s="926"/>
      <c r="HBF189" s="926"/>
      <c r="HBG189" s="926"/>
      <c r="HBH189" s="926"/>
      <c r="HBI189" s="926"/>
      <c r="HBJ189" s="926"/>
      <c r="HBK189" s="926"/>
      <c r="HBL189" s="926"/>
      <c r="HBM189" s="926"/>
      <c r="HBN189" s="926"/>
      <c r="HBO189" s="926"/>
      <c r="HBP189" s="926"/>
      <c r="HBQ189" s="926"/>
      <c r="HBR189" s="926"/>
      <c r="HBS189" s="926"/>
      <c r="HBT189" s="926"/>
      <c r="HBU189" s="926"/>
      <c r="HBV189" s="926"/>
      <c r="HBW189" s="926"/>
      <c r="HBX189" s="926"/>
      <c r="HBY189" s="926"/>
      <c r="HBZ189" s="926"/>
      <c r="HCA189" s="926"/>
      <c r="HCB189" s="926"/>
      <c r="HCC189" s="926"/>
      <c r="HCD189" s="926"/>
      <c r="HCE189" s="926"/>
      <c r="HCF189" s="926"/>
      <c r="HCG189" s="926"/>
      <c r="HCH189" s="926"/>
      <c r="HCI189" s="926"/>
      <c r="HCJ189" s="926"/>
      <c r="HCK189" s="926"/>
      <c r="HCL189" s="926"/>
      <c r="HCM189" s="926"/>
      <c r="HCN189" s="926"/>
      <c r="HCO189" s="926"/>
      <c r="HCP189" s="926"/>
      <c r="HCQ189" s="926"/>
      <c r="HCR189" s="926"/>
      <c r="HCS189" s="926"/>
      <c r="HCT189" s="926"/>
      <c r="HCU189" s="926"/>
      <c r="HCV189" s="926"/>
      <c r="HCW189" s="926"/>
      <c r="HCX189" s="926"/>
      <c r="HCY189" s="926"/>
      <c r="HCZ189" s="926"/>
      <c r="HDA189" s="926"/>
      <c r="HDB189" s="926"/>
      <c r="HDC189" s="926"/>
      <c r="HDD189" s="926"/>
      <c r="HDE189" s="926"/>
      <c r="HDF189" s="926"/>
      <c r="HDG189" s="926"/>
      <c r="HDH189" s="926"/>
      <c r="HDI189" s="926"/>
      <c r="HDJ189" s="926"/>
      <c r="HDK189" s="926"/>
      <c r="HDL189" s="926"/>
      <c r="HDM189" s="926"/>
      <c r="HDN189" s="926"/>
      <c r="HDO189" s="926"/>
      <c r="HDP189" s="926"/>
      <c r="HDQ189" s="926"/>
      <c r="HDR189" s="926"/>
      <c r="HDS189" s="926"/>
      <c r="HDT189" s="926"/>
      <c r="HDU189" s="926"/>
      <c r="HDV189" s="926"/>
      <c r="HDW189" s="926"/>
      <c r="HDX189" s="926"/>
      <c r="HDY189" s="926"/>
      <c r="HDZ189" s="926"/>
      <c r="HEA189" s="926"/>
      <c r="HEB189" s="926"/>
      <c r="HEC189" s="926"/>
      <c r="HED189" s="926"/>
      <c r="HEE189" s="926"/>
      <c r="HEF189" s="926"/>
      <c r="HEG189" s="926"/>
      <c r="HEH189" s="926"/>
      <c r="HEI189" s="926"/>
      <c r="HEJ189" s="926"/>
      <c r="HEK189" s="926"/>
      <c r="HEL189" s="926"/>
      <c r="HEM189" s="926"/>
      <c r="HEN189" s="926"/>
      <c r="HEO189" s="926"/>
      <c r="HEP189" s="926"/>
      <c r="HEQ189" s="926"/>
      <c r="HER189" s="926"/>
      <c r="HES189" s="926"/>
      <c r="HET189" s="926"/>
      <c r="HEU189" s="926"/>
      <c r="HEV189" s="926"/>
      <c r="HEW189" s="926"/>
      <c r="HEX189" s="926"/>
      <c r="HEY189" s="926"/>
      <c r="HEZ189" s="926"/>
      <c r="HFA189" s="926"/>
      <c r="HFB189" s="926"/>
      <c r="HFC189" s="926"/>
      <c r="HFD189" s="926"/>
      <c r="HFE189" s="926"/>
      <c r="HFF189" s="926"/>
      <c r="HFG189" s="926"/>
      <c r="HFH189" s="926"/>
      <c r="HFI189" s="926"/>
      <c r="HFJ189" s="926"/>
      <c r="HFK189" s="926"/>
      <c r="HFL189" s="926"/>
      <c r="HFM189" s="926"/>
      <c r="HFN189" s="926"/>
      <c r="HFO189" s="926"/>
      <c r="HFP189" s="926"/>
      <c r="HFQ189" s="926"/>
      <c r="HFR189" s="926"/>
      <c r="HFS189" s="926"/>
      <c r="HFT189" s="926"/>
      <c r="HFU189" s="926"/>
      <c r="HFV189" s="926"/>
      <c r="HFW189" s="926"/>
      <c r="HFX189" s="926"/>
      <c r="HFY189" s="926"/>
      <c r="HFZ189" s="926"/>
      <c r="HGA189" s="926"/>
      <c r="HGB189" s="926"/>
      <c r="HGC189" s="926"/>
      <c r="HGD189" s="926"/>
      <c r="HGE189" s="926"/>
      <c r="HGF189" s="926"/>
      <c r="HGG189" s="926"/>
      <c r="HGH189" s="926"/>
      <c r="HGI189" s="926"/>
      <c r="HGJ189" s="926"/>
      <c r="HGK189" s="926"/>
      <c r="HGL189" s="926"/>
      <c r="HGM189" s="926"/>
      <c r="HGN189" s="926"/>
      <c r="HGO189" s="926"/>
      <c r="HGP189" s="926"/>
      <c r="HGQ189" s="926"/>
      <c r="HGR189" s="926"/>
      <c r="HGS189" s="926"/>
      <c r="HGT189" s="926"/>
      <c r="HGU189" s="926"/>
      <c r="HGV189" s="926"/>
      <c r="HGW189" s="926"/>
      <c r="HGX189" s="926"/>
      <c r="HGY189" s="926"/>
      <c r="HGZ189" s="926"/>
      <c r="HHA189" s="926"/>
      <c r="HHB189" s="926"/>
      <c r="HHC189" s="926"/>
      <c r="HHD189" s="926"/>
      <c r="HHE189" s="926"/>
      <c r="HHF189" s="926"/>
      <c r="HHG189" s="926"/>
      <c r="HHH189" s="926"/>
      <c r="HHI189" s="926"/>
      <c r="HHJ189" s="926"/>
      <c r="HHK189" s="926"/>
      <c r="HHL189" s="926"/>
      <c r="HHM189" s="926"/>
      <c r="HHN189" s="926"/>
      <c r="HHO189" s="926"/>
      <c r="HHP189" s="926"/>
      <c r="HHQ189" s="926"/>
      <c r="HHR189" s="926"/>
      <c r="HHS189" s="926"/>
      <c r="HHT189" s="926"/>
      <c r="HHU189" s="926"/>
      <c r="HHV189" s="926"/>
      <c r="HHW189" s="926"/>
      <c r="HHX189" s="926"/>
      <c r="HHY189" s="926"/>
      <c r="HHZ189" s="926"/>
      <c r="HIA189" s="926"/>
      <c r="HIB189" s="926"/>
      <c r="HIC189" s="926"/>
      <c r="HID189" s="926"/>
      <c r="HIE189" s="926"/>
      <c r="HIF189" s="926"/>
      <c r="HIG189" s="926"/>
      <c r="HIH189" s="926"/>
      <c r="HII189" s="926"/>
      <c r="HIJ189" s="926"/>
      <c r="HIK189" s="926"/>
      <c r="HIL189" s="926"/>
      <c r="HIM189" s="926"/>
      <c r="HIN189" s="926"/>
      <c r="HIO189" s="926"/>
      <c r="HIP189" s="926"/>
      <c r="HIQ189" s="926"/>
      <c r="HIR189" s="926"/>
      <c r="HIS189" s="926"/>
      <c r="HIT189" s="926"/>
      <c r="HIU189" s="926"/>
      <c r="HIV189" s="926"/>
      <c r="HIW189" s="926"/>
      <c r="HIX189" s="926"/>
      <c r="HIY189" s="926"/>
      <c r="HIZ189" s="926"/>
      <c r="HJA189" s="926"/>
      <c r="HJB189" s="926"/>
      <c r="HJC189" s="926"/>
      <c r="HJD189" s="926"/>
      <c r="HJE189" s="926"/>
      <c r="HJF189" s="926"/>
      <c r="HJG189" s="926"/>
      <c r="HJH189" s="926"/>
      <c r="HJI189" s="926"/>
      <c r="HJJ189" s="926"/>
      <c r="HJK189" s="926"/>
      <c r="HJL189" s="926"/>
      <c r="HJM189" s="926"/>
      <c r="HJN189" s="926"/>
      <c r="HJO189" s="926"/>
      <c r="HJP189" s="926"/>
      <c r="HJQ189" s="926"/>
      <c r="HJR189" s="926"/>
      <c r="HJS189" s="926"/>
      <c r="HJT189" s="926"/>
      <c r="HJU189" s="926"/>
      <c r="HJV189" s="926"/>
      <c r="HJW189" s="926"/>
      <c r="HJX189" s="926"/>
      <c r="HJY189" s="926"/>
      <c r="HJZ189" s="926"/>
      <c r="HKA189" s="926"/>
      <c r="HKB189" s="926"/>
      <c r="HKC189" s="926"/>
      <c r="HKD189" s="926"/>
      <c r="HKE189" s="926"/>
      <c r="HKF189" s="926"/>
      <c r="HKG189" s="926"/>
      <c r="HKH189" s="926"/>
      <c r="HKI189" s="926"/>
      <c r="HKJ189" s="926"/>
      <c r="HKK189" s="926"/>
      <c r="HKL189" s="926"/>
      <c r="HKM189" s="926"/>
      <c r="HKN189" s="926"/>
      <c r="HKO189" s="926"/>
      <c r="HKP189" s="926"/>
      <c r="HKQ189" s="926"/>
      <c r="HKR189" s="926"/>
      <c r="HKS189" s="926"/>
      <c r="HKT189" s="926"/>
      <c r="HKU189" s="926"/>
      <c r="HKV189" s="926"/>
      <c r="HKW189" s="926"/>
      <c r="HKX189" s="926"/>
      <c r="HKY189" s="926"/>
      <c r="HKZ189" s="926"/>
      <c r="HLA189" s="926"/>
      <c r="HLB189" s="926"/>
      <c r="HLC189" s="926"/>
      <c r="HLD189" s="926"/>
      <c r="HLE189" s="926"/>
      <c r="HLF189" s="926"/>
      <c r="HLG189" s="926"/>
      <c r="HLH189" s="926"/>
      <c r="HLI189" s="926"/>
      <c r="HLJ189" s="926"/>
      <c r="HLK189" s="926"/>
      <c r="HLL189" s="926"/>
      <c r="HLM189" s="926"/>
      <c r="HLN189" s="926"/>
      <c r="HLO189" s="926"/>
      <c r="HLP189" s="926"/>
      <c r="HLQ189" s="926"/>
      <c r="HLR189" s="926"/>
      <c r="HLS189" s="926"/>
      <c r="HLT189" s="926"/>
      <c r="HLU189" s="926"/>
      <c r="HLV189" s="926"/>
      <c r="HLW189" s="926"/>
      <c r="HLX189" s="926"/>
      <c r="HLY189" s="926"/>
      <c r="HLZ189" s="926"/>
      <c r="HMA189" s="926"/>
      <c r="HMB189" s="926"/>
      <c r="HMC189" s="926"/>
      <c r="HMD189" s="926"/>
      <c r="HME189" s="926"/>
      <c r="HMF189" s="926"/>
      <c r="HMG189" s="926"/>
      <c r="HMH189" s="926"/>
      <c r="HMI189" s="926"/>
      <c r="HMJ189" s="926"/>
      <c r="HMK189" s="926"/>
      <c r="HML189" s="926"/>
      <c r="HMM189" s="926"/>
      <c r="HMN189" s="926"/>
      <c r="HMO189" s="926"/>
      <c r="HMP189" s="926"/>
      <c r="HMQ189" s="926"/>
      <c r="HMR189" s="926"/>
      <c r="HMS189" s="926"/>
      <c r="HMT189" s="926"/>
      <c r="HMU189" s="926"/>
      <c r="HMV189" s="926"/>
      <c r="HMW189" s="926"/>
      <c r="HMX189" s="926"/>
      <c r="HMY189" s="926"/>
      <c r="HMZ189" s="926"/>
      <c r="HNA189" s="926"/>
      <c r="HNB189" s="926"/>
      <c r="HNC189" s="926"/>
      <c r="HND189" s="926"/>
      <c r="HNE189" s="926"/>
      <c r="HNF189" s="926"/>
      <c r="HNG189" s="926"/>
      <c r="HNH189" s="926"/>
      <c r="HNI189" s="926"/>
      <c r="HNJ189" s="926"/>
      <c r="HNK189" s="926"/>
      <c r="HNL189" s="926"/>
      <c r="HNM189" s="926"/>
      <c r="HNN189" s="926"/>
      <c r="HNO189" s="926"/>
      <c r="HNP189" s="926"/>
      <c r="HNQ189" s="926"/>
      <c r="HNR189" s="926"/>
      <c r="HNS189" s="926"/>
      <c r="HNT189" s="926"/>
      <c r="HNU189" s="926"/>
      <c r="HNV189" s="926"/>
      <c r="HNW189" s="926"/>
      <c r="HNX189" s="926"/>
      <c r="HNY189" s="926"/>
      <c r="HNZ189" s="926"/>
      <c r="HOA189" s="926"/>
      <c r="HOB189" s="926"/>
      <c r="HOC189" s="926"/>
      <c r="HOD189" s="926"/>
      <c r="HOE189" s="926"/>
      <c r="HOF189" s="926"/>
      <c r="HOG189" s="926"/>
      <c r="HOH189" s="926"/>
      <c r="HOI189" s="926"/>
      <c r="HOJ189" s="926"/>
      <c r="HOK189" s="926"/>
      <c r="HOL189" s="926"/>
      <c r="HOM189" s="926"/>
      <c r="HON189" s="926"/>
      <c r="HOO189" s="926"/>
      <c r="HOP189" s="926"/>
      <c r="HOQ189" s="926"/>
      <c r="HOR189" s="926"/>
      <c r="HOS189" s="926"/>
      <c r="HOT189" s="926"/>
      <c r="HOU189" s="926"/>
      <c r="HOV189" s="926"/>
      <c r="HOW189" s="926"/>
      <c r="HOX189" s="926"/>
      <c r="HOY189" s="926"/>
      <c r="HOZ189" s="926"/>
      <c r="HPA189" s="926"/>
      <c r="HPB189" s="926"/>
      <c r="HPC189" s="926"/>
      <c r="HPD189" s="926"/>
      <c r="HPE189" s="926"/>
      <c r="HPF189" s="926"/>
      <c r="HPG189" s="926"/>
      <c r="HPH189" s="926"/>
      <c r="HPI189" s="926"/>
      <c r="HPJ189" s="926"/>
      <c r="HPK189" s="926"/>
      <c r="HPL189" s="926"/>
      <c r="HPM189" s="926"/>
      <c r="HPN189" s="926"/>
      <c r="HPO189" s="926"/>
      <c r="HPP189" s="926"/>
      <c r="HPQ189" s="926"/>
      <c r="HPR189" s="926"/>
      <c r="HPS189" s="926"/>
      <c r="HPT189" s="926"/>
      <c r="HPU189" s="926"/>
      <c r="HPV189" s="926"/>
      <c r="HPW189" s="926"/>
      <c r="HPX189" s="926"/>
      <c r="HPY189" s="926"/>
      <c r="HPZ189" s="926"/>
      <c r="HQA189" s="926"/>
      <c r="HQB189" s="926"/>
      <c r="HQC189" s="926"/>
      <c r="HQD189" s="926"/>
      <c r="HQE189" s="926"/>
      <c r="HQF189" s="926"/>
      <c r="HQG189" s="926"/>
      <c r="HQH189" s="926"/>
      <c r="HQI189" s="926"/>
      <c r="HQJ189" s="926"/>
      <c r="HQK189" s="926"/>
      <c r="HQL189" s="926"/>
      <c r="HQM189" s="926"/>
      <c r="HQN189" s="926"/>
      <c r="HQO189" s="926"/>
      <c r="HQP189" s="926"/>
      <c r="HQQ189" s="926"/>
      <c r="HQR189" s="926"/>
      <c r="HQS189" s="926"/>
      <c r="HQT189" s="926"/>
      <c r="HQU189" s="926"/>
      <c r="HQV189" s="926"/>
      <c r="HQW189" s="926"/>
      <c r="HQX189" s="926"/>
      <c r="HQY189" s="926"/>
      <c r="HQZ189" s="926"/>
      <c r="HRA189" s="926"/>
      <c r="HRB189" s="926"/>
      <c r="HRC189" s="926"/>
      <c r="HRD189" s="926"/>
      <c r="HRE189" s="926"/>
      <c r="HRF189" s="926"/>
      <c r="HRG189" s="926"/>
      <c r="HRH189" s="926"/>
      <c r="HRI189" s="926"/>
      <c r="HRJ189" s="926"/>
      <c r="HRK189" s="926"/>
      <c r="HRL189" s="926"/>
      <c r="HRM189" s="926"/>
      <c r="HRN189" s="926"/>
      <c r="HRO189" s="926"/>
      <c r="HRP189" s="926"/>
      <c r="HRQ189" s="926"/>
      <c r="HRR189" s="926"/>
      <c r="HRS189" s="926"/>
      <c r="HRT189" s="926"/>
      <c r="HRU189" s="926"/>
      <c r="HRV189" s="926"/>
      <c r="HRW189" s="926"/>
      <c r="HRX189" s="926"/>
      <c r="HRY189" s="926"/>
      <c r="HRZ189" s="926"/>
      <c r="HSA189" s="926"/>
      <c r="HSB189" s="926"/>
      <c r="HSC189" s="926"/>
      <c r="HSD189" s="926"/>
      <c r="HSE189" s="926"/>
      <c r="HSF189" s="926"/>
      <c r="HSG189" s="926"/>
      <c r="HSH189" s="926"/>
      <c r="HSI189" s="926"/>
      <c r="HSJ189" s="926"/>
      <c r="HSK189" s="926"/>
      <c r="HSL189" s="926"/>
      <c r="HSM189" s="926"/>
      <c r="HSN189" s="926"/>
      <c r="HSO189" s="926"/>
      <c r="HSP189" s="926"/>
      <c r="HSQ189" s="926"/>
      <c r="HSR189" s="926"/>
      <c r="HSS189" s="926"/>
      <c r="HST189" s="926"/>
      <c r="HSU189" s="926"/>
      <c r="HSV189" s="926"/>
      <c r="HSW189" s="926"/>
      <c r="HSX189" s="926"/>
      <c r="HSY189" s="926"/>
      <c r="HSZ189" s="926"/>
      <c r="HTA189" s="926"/>
      <c r="HTB189" s="926"/>
      <c r="HTC189" s="926"/>
      <c r="HTD189" s="926"/>
      <c r="HTE189" s="926"/>
      <c r="HTF189" s="926"/>
      <c r="HTG189" s="926"/>
      <c r="HTH189" s="926"/>
      <c r="HTI189" s="926"/>
      <c r="HTJ189" s="926"/>
      <c r="HTK189" s="926"/>
      <c r="HTL189" s="926"/>
      <c r="HTM189" s="926"/>
      <c r="HTN189" s="926"/>
      <c r="HTO189" s="926"/>
      <c r="HTP189" s="926"/>
      <c r="HTQ189" s="926"/>
      <c r="HTR189" s="926"/>
      <c r="HTS189" s="926"/>
      <c r="HTT189" s="926"/>
      <c r="HTU189" s="926"/>
      <c r="HTV189" s="926"/>
      <c r="HTW189" s="926"/>
      <c r="HTX189" s="926"/>
      <c r="HTY189" s="926"/>
      <c r="HTZ189" s="926"/>
      <c r="HUA189" s="926"/>
      <c r="HUB189" s="926"/>
      <c r="HUC189" s="926"/>
      <c r="HUD189" s="926"/>
      <c r="HUE189" s="926"/>
      <c r="HUF189" s="926"/>
      <c r="HUG189" s="926"/>
      <c r="HUH189" s="926"/>
      <c r="HUI189" s="926"/>
      <c r="HUJ189" s="926"/>
      <c r="HUK189" s="926"/>
      <c r="HUL189" s="926"/>
      <c r="HUM189" s="926"/>
      <c r="HUN189" s="926"/>
      <c r="HUO189" s="926"/>
      <c r="HUP189" s="926"/>
      <c r="HUQ189" s="926"/>
      <c r="HUR189" s="926"/>
      <c r="HUS189" s="926"/>
      <c r="HUT189" s="926"/>
      <c r="HUU189" s="926"/>
      <c r="HUV189" s="926"/>
      <c r="HUW189" s="926"/>
      <c r="HUX189" s="926"/>
      <c r="HUY189" s="926"/>
      <c r="HUZ189" s="926"/>
      <c r="HVA189" s="926"/>
      <c r="HVB189" s="926"/>
      <c r="HVC189" s="926"/>
      <c r="HVD189" s="926"/>
      <c r="HVE189" s="926"/>
      <c r="HVF189" s="926"/>
      <c r="HVG189" s="926"/>
      <c r="HVH189" s="926"/>
      <c r="HVI189" s="926"/>
      <c r="HVJ189" s="926"/>
      <c r="HVK189" s="926"/>
      <c r="HVL189" s="926"/>
      <c r="HVM189" s="926"/>
      <c r="HVN189" s="926"/>
      <c r="HVO189" s="926"/>
      <c r="HVP189" s="926"/>
      <c r="HVQ189" s="926"/>
      <c r="HVR189" s="926"/>
      <c r="HVS189" s="926"/>
      <c r="HVT189" s="926"/>
      <c r="HVU189" s="926"/>
      <c r="HVV189" s="926"/>
      <c r="HVW189" s="926"/>
      <c r="HVX189" s="926"/>
      <c r="HVY189" s="926"/>
      <c r="HVZ189" s="926"/>
      <c r="HWA189" s="926"/>
      <c r="HWB189" s="926"/>
      <c r="HWC189" s="926"/>
      <c r="HWD189" s="926"/>
      <c r="HWE189" s="926"/>
      <c r="HWF189" s="926"/>
      <c r="HWG189" s="926"/>
      <c r="HWH189" s="926"/>
      <c r="HWI189" s="926"/>
      <c r="HWJ189" s="926"/>
      <c r="HWK189" s="926"/>
      <c r="HWL189" s="926"/>
      <c r="HWM189" s="926"/>
      <c r="HWN189" s="926"/>
      <c r="HWO189" s="926"/>
      <c r="HWP189" s="926"/>
      <c r="HWQ189" s="926"/>
      <c r="HWR189" s="926"/>
      <c r="HWS189" s="926"/>
      <c r="HWT189" s="926"/>
      <c r="HWU189" s="926"/>
      <c r="HWV189" s="926"/>
      <c r="HWW189" s="926"/>
      <c r="HWX189" s="926"/>
      <c r="HWY189" s="926"/>
      <c r="HWZ189" s="926"/>
      <c r="HXA189" s="926"/>
      <c r="HXB189" s="926"/>
      <c r="HXC189" s="926"/>
      <c r="HXD189" s="926"/>
      <c r="HXE189" s="926"/>
      <c r="HXF189" s="926"/>
      <c r="HXG189" s="926"/>
      <c r="HXH189" s="926"/>
      <c r="HXI189" s="926"/>
      <c r="HXJ189" s="926"/>
      <c r="HXK189" s="926"/>
      <c r="HXL189" s="926"/>
      <c r="HXM189" s="926"/>
      <c r="HXN189" s="926"/>
      <c r="HXO189" s="926"/>
      <c r="HXP189" s="926"/>
      <c r="HXQ189" s="926"/>
      <c r="HXR189" s="926"/>
      <c r="HXS189" s="926"/>
      <c r="HXT189" s="926"/>
      <c r="HXU189" s="926"/>
      <c r="HXV189" s="926"/>
      <c r="HXW189" s="926"/>
      <c r="HXX189" s="926"/>
      <c r="HXY189" s="926"/>
      <c r="HXZ189" s="926"/>
      <c r="HYA189" s="926"/>
      <c r="HYB189" s="926"/>
      <c r="HYC189" s="926"/>
      <c r="HYD189" s="926"/>
      <c r="HYE189" s="926"/>
      <c r="HYF189" s="926"/>
      <c r="HYG189" s="926"/>
      <c r="HYH189" s="926"/>
      <c r="HYI189" s="926"/>
      <c r="HYJ189" s="926"/>
      <c r="HYK189" s="926"/>
      <c r="HYL189" s="926"/>
      <c r="HYM189" s="926"/>
      <c r="HYN189" s="926"/>
      <c r="HYO189" s="926"/>
      <c r="HYP189" s="926"/>
      <c r="HYQ189" s="926"/>
      <c r="HYR189" s="926"/>
      <c r="HYS189" s="926"/>
      <c r="HYT189" s="926"/>
      <c r="HYU189" s="926"/>
      <c r="HYV189" s="926"/>
      <c r="HYW189" s="926"/>
      <c r="HYX189" s="926"/>
      <c r="HYY189" s="926"/>
      <c r="HYZ189" s="926"/>
      <c r="HZA189" s="926"/>
      <c r="HZB189" s="926"/>
      <c r="HZC189" s="926"/>
      <c r="HZD189" s="926"/>
      <c r="HZE189" s="926"/>
      <c r="HZF189" s="926"/>
      <c r="HZG189" s="926"/>
      <c r="HZH189" s="926"/>
      <c r="HZI189" s="926"/>
      <c r="HZJ189" s="926"/>
      <c r="HZK189" s="926"/>
      <c r="HZL189" s="926"/>
      <c r="HZM189" s="926"/>
      <c r="HZN189" s="926"/>
      <c r="HZO189" s="926"/>
      <c r="HZP189" s="926"/>
      <c r="HZQ189" s="926"/>
      <c r="HZR189" s="926"/>
      <c r="HZS189" s="926"/>
      <c r="HZT189" s="926"/>
      <c r="HZU189" s="926"/>
      <c r="HZV189" s="926"/>
      <c r="HZW189" s="926"/>
      <c r="HZX189" s="926"/>
      <c r="HZY189" s="926"/>
      <c r="HZZ189" s="926"/>
      <c r="IAA189" s="926"/>
      <c r="IAB189" s="926"/>
      <c r="IAC189" s="926"/>
      <c r="IAD189" s="926"/>
      <c r="IAE189" s="926"/>
      <c r="IAF189" s="926"/>
      <c r="IAG189" s="926"/>
      <c r="IAH189" s="926"/>
      <c r="IAI189" s="926"/>
      <c r="IAJ189" s="926"/>
      <c r="IAK189" s="926"/>
      <c r="IAL189" s="926"/>
      <c r="IAM189" s="926"/>
      <c r="IAN189" s="926"/>
      <c r="IAO189" s="926"/>
      <c r="IAP189" s="926"/>
      <c r="IAQ189" s="926"/>
      <c r="IAR189" s="926"/>
      <c r="IAS189" s="926"/>
      <c r="IAT189" s="926"/>
      <c r="IAU189" s="926"/>
      <c r="IAV189" s="926"/>
      <c r="IAW189" s="926"/>
      <c r="IAX189" s="926"/>
      <c r="IAY189" s="926"/>
      <c r="IAZ189" s="926"/>
      <c r="IBA189" s="926"/>
      <c r="IBB189" s="926"/>
      <c r="IBC189" s="926"/>
      <c r="IBD189" s="926"/>
      <c r="IBE189" s="926"/>
      <c r="IBF189" s="926"/>
      <c r="IBG189" s="926"/>
      <c r="IBH189" s="926"/>
      <c r="IBI189" s="926"/>
      <c r="IBJ189" s="926"/>
      <c r="IBK189" s="926"/>
      <c r="IBL189" s="926"/>
      <c r="IBM189" s="926"/>
      <c r="IBN189" s="926"/>
      <c r="IBO189" s="926"/>
      <c r="IBP189" s="926"/>
      <c r="IBQ189" s="926"/>
      <c r="IBR189" s="926"/>
      <c r="IBS189" s="926"/>
      <c r="IBT189" s="926"/>
      <c r="IBU189" s="926"/>
      <c r="IBV189" s="926"/>
      <c r="IBW189" s="926"/>
      <c r="IBX189" s="926"/>
      <c r="IBY189" s="926"/>
      <c r="IBZ189" s="926"/>
      <c r="ICA189" s="926"/>
      <c r="ICB189" s="926"/>
      <c r="ICC189" s="926"/>
      <c r="ICD189" s="926"/>
      <c r="ICE189" s="926"/>
      <c r="ICF189" s="926"/>
      <c r="ICG189" s="926"/>
      <c r="ICH189" s="926"/>
      <c r="ICI189" s="926"/>
      <c r="ICJ189" s="926"/>
      <c r="ICK189" s="926"/>
      <c r="ICL189" s="926"/>
      <c r="ICM189" s="926"/>
      <c r="ICN189" s="926"/>
      <c r="ICO189" s="926"/>
      <c r="ICP189" s="926"/>
      <c r="ICQ189" s="926"/>
      <c r="ICR189" s="926"/>
      <c r="ICS189" s="926"/>
      <c r="ICT189" s="926"/>
      <c r="ICU189" s="926"/>
      <c r="ICV189" s="926"/>
      <c r="ICW189" s="926"/>
      <c r="ICX189" s="926"/>
      <c r="ICY189" s="926"/>
      <c r="ICZ189" s="926"/>
      <c r="IDA189" s="926"/>
      <c r="IDB189" s="926"/>
      <c r="IDC189" s="926"/>
      <c r="IDD189" s="926"/>
      <c r="IDE189" s="926"/>
      <c r="IDF189" s="926"/>
      <c r="IDG189" s="926"/>
      <c r="IDH189" s="926"/>
      <c r="IDI189" s="926"/>
      <c r="IDJ189" s="926"/>
      <c r="IDK189" s="926"/>
      <c r="IDL189" s="926"/>
      <c r="IDM189" s="926"/>
      <c r="IDN189" s="926"/>
      <c r="IDO189" s="926"/>
      <c r="IDP189" s="926"/>
      <c r="IDQ189" s="926"/>
      <c r="IDR189" s="926"/>
      <c r="IDS189" s="926"/>
      <c r="IDT189" s="926"/>
      <c r="IDU189" s="926"/>
      <c r="IDV189" s="926"/>
      <c r="IDW189" s="926"/>
      <c r="IDX189" s="926"/>
      <c r="IDY189" s="926"/>
      <c r="IDZ189" s="926"/>
      <c r="IEA189" s="926"/>
      <c r="IEB189" s="926"/>
      <c r="IEC189" s="926"/>
      <c r="IED189" s="926"/>
      <c r="IEE189" s="926"/>
      <c r="IEF189" s="926"/>
      <c r="IEG189" s="926"/>
      <c r="IEH189" s="926"/>
      <c r="IEI189" s="926"/>
      <c r="IEJ189" s="926"/>
      <c r="IEK189" s="926"/>
      <c r="IEL189" s="926"/>
      <c r="IEM189" s="926"/>
      <c r="IEN189" s="926"/>
      <c r="IEO189" s="926"/>
      <c r="IEP189" s="926"/>
      <c r="IEQ189" s="926"/>
      <c r="IER189" s="926"/>
      <c r="IES189" s="926"/>
      <c r="IET189" s="926"/>
      <c r="IEU189" s="926"/>
      <c r="IEV189" s="926"/>
      <c r="IEW189" s="926"/>
      <c r="IEX189" s="926"/>
      <c r="IEY189" s="926"/>
      <c r="IEZ189" s="926"/>
      <c r="IFA189" s="926"/>
      <c r="IFB189" s="926"/>
      <c r="IFC189" s="926"/>
      <c r="IFD189" s="926"/>
      <c r="IFE189" s="926"/>
      <c r="IFF189" s="926"/>
      <c r="IFG189" s="926"/>
      <c r="IFH189" s="926"/>
      <c r="IFI189" s="926"/>
      <c r="IFJ189" s="926"/>
      <c r="IFK189" s="926"/>
      <c r="IFL189" s="926"/>
      <c r="IFM189" s="926"/>
      <c r="IFN189" s="926"/>
      <c r="IFO189" s="926"/>
      <c r="IFP189" s="926"/>
      <c r="IFQ189" s="926"/>
      <c r="IFR189" s="926"/>
      <c r="IFS189" s="926"/>
      <c r="IFT189" s="926"/>
      <c r="IFU189" s="926"/>
      <c r="IFV189" s="926"/>
      <c r="IFW189" s="926"/>
      <c r="IFX189" s="926"/>
      <c r="IFY189" s="926"/>
      <c r="IFZ189" s="926"/>
      <c r="IGA189" s="926"/>
      <c r="IGB189" s="926"/>
      <c r="IGC189" s="926"/>
      <c r="IGD189" s="926"/>
      <c r="IGE189" s="926"/>
      <c r="IGF189" s="926"/>
      <c r="IGG189" s="926"/>
      <c r="IGH189" s="926"/>
      <c r="IGI189" s="926"/>
      <c r="IGJ189" s="926"/>
      <c r="IGK189" s="926"/>
      <c r="IGL189" s="926"/>
      <c r="IGM189" s="926"/>
      <c r="IGN189" s="926"/>
      <c r="IGO189" s="926"/>
      <c r="IGP189" s="926"/>
      <c r="IGQ189" s="926"/>
      <c r="IGR189" s="926"/>
      <c r="IGS189" s="926"/>
      <c r="IGT189" s="926"/>
      <c r="IGU189" s="926"/>
      <c r="IGV189" s="926"/>
      <c r="IGW189" s="926"/>
      <c r="IGX189" s="926"/>
      <c r="IGY189" s="926"/>
      <c r="IGZ189" s="926"/>
      <c r="IHA189" s="926"/>
      <c r="IHB189" s="926"/>
      <c r="IHC189" s="926"/>
      <c r="IHD189" s="926"/>
      <c r="IHE189" s="926"/>
      <c r="IHF189" s="926"/>
      <c r="IHG189" s="926"/>
      <c r="IHH189" s="926"/>
      <c r="IHI189" s="926"/>
      <c r="IHJ189" s="926"/>
      <c r="IHK189" s="926"/>
      <c r="IHL189" s="926"/>
      <c r="IHM189" s="926"/>
      <c r="IHN189" s="926"/>
      <c r="IHO189" s="926"/>
      <c r="IHP189" s="926"/>
      <c r="IHQ189" s="926"/>
      <c r="IHR189" s="926"/>
      <c r="IHS189" s="926"/>
      <c r="IHT189" s="926"/>
      <c r="IHU189" s="926"/>
      <c r="IHV189" s="926"/>
      <c r="IHW189" s="926"/>
      <c r="IHX189" s="926"/>
      <c r="IHY189" s="926"/>
      <c r="IHZ189" s="926"/>
      <c r="IIA189" s="926"/>
      <c r="IIB189" s="926"/>
      <c r="IIC189" s="926"/>
      <c r="IID189" s="926"/>
      <c r="IIE189" s="926"/>
      <c r="IIF189" s="926"/>
      <c r="IIG189" s="926"/>
      <c r="IIH189" s="926"/>
      <c r="III189" s="926"/>
      <c r="IIJ189" s="926"/>
      <c r="IIK189" s="926"/>
      <c r="IIL189" s="926"/>
      <c r="IIM189" s="926"/>
      <c r="IIN189" s="926"/>
      <c r="IIO189" s="926"/>
      <c r="IIP189" s="926"/>
      <c r="IIQ189" s="926"/>
      <c r="IIR189" s="926"/>
      <c r="IIS189" s="926"/>
      <c r="IIT189" s="926"/>
      <c r="IIU189" s="926"/>
      <c r="IIV189" s="926"/>
      <c r="IIW189" s="926"/>
      <c r="IIX189" s="926"/>
      <c r="IIY189" s="926"/>
      <c r="IIZ189" s="926"/>
      <c r="IJA189" s="926"/>
      <c r="IJB189" s="926"/>
      <c r="IJC189" s="926"/>
      <c r="IJD189" s="926"/>
      <c r="IJE189" s="926"/>
      <c r="IJF189" s="926"/>
      <c r="IJG189" s="926"/>
      <c r="IJH189" s="926"/>
      <c r="IJI189" s="926"/>
      <c r="IJJ189" s="926"/>
      <c r="IJK189" s="926"/>
      <c r="IJL189" s="926"/>
      <c r="IJM189" s="926"/>
      <c r="IJN189" s="926"/>
      <c r="IJO189" s="926"/>
      <c r="IJP189" s="926"/>
      <c r="IJQ189" s="926"/>
      <c r="IJR189" s="926"/>
      <c r="IJS189" s="926"/>
      <c r="IJT189" s="926"/>
      <c r="IJU189" s="926"/>
      <c r="IJV189" s="926"/>
      <c r="IJW189" s="926"/>
      <c r="IJX189" s="926"/>
      <c r="IJY189" s="926"/>
      <c r="IJZ189" s="926"/>
      <c r="IKA189" s="926"/>
      <c r="IKB189" s="926"/>
      <c r="IKC189" s="926"/>
      <c r="IKD189" s="926"/>
      <c r="IKE189" s="926"/>
      <c r="IKF189" s="926"/>
      <c r="IKG189" s="926"/>
      <c r="IKH189" s="926"/>
      <c r="IKI189" s="926"/>
      <c r="IKJ189" s="926"/>
      <c r="IKK189" s="926"/>
      <c r="IKL189" s="926"/>
      <c r="IKM189" s="926"/>
      <c r="IKN189" s="926"/>
      <c r="IKO189" s="926"/>
      <c r="IKP189" s="926"/>
      <c r="IKQ189" s="926"/>
      <c r="IKR189" s="926"/>
      <c r="IKS189" s="926"/>
      <c r="IKT189" s="926"/>
      <c r="IKU189" s="926"/>
      <c r="IKV189" s="926"/>
      <c r="IKW189" s="926"/>
      <c r="IKX189" s="926"/>
      <c r="IKY189" s="926"/>
      <c r="IKZ189" s="926"/>
      <c r="ILA189" s="926"/>
      <c r="ILB189" s="926"/>
      <c r="ILC189" s="926"/>
      <c r="ILD189" s="926"/>
      <c r="ILE189" s="926"/>
      <c r="ILF189" s="926"/>
      <c r="ILG189" s="926"/>
      <c r="ILH189" s="926"/>
      <c r="ILI189" s="926"/>
      <c r="ILJ189" s="926"/>
      <c r="ILK189" s="926"/>
      <c r="ILL189" s="926"/>
      <c r="ILM189" s="926"/>
      <c r="ILN189" s="926"/>
      <c r="ILO189" s="926"/>
      <c r="ILP189" s="926"/>
      <c r="ILQ189" s="926"/>
      <c r="ILR189" s="926"/>
      <c r="ILS189" s="926"/>
      <c r="ILT189" s="926"/>
      <c r="ILU189" s="926"/>
      <c r="ILV189" s="926"/>
      <c r="ILW189" s="926"/>
      <c r="ILX189" s="926"/>
      <c r="ILY189" s="926"/>
      <c r="ILZ189" s="926"/>
      <c r="IMA189" s="926"/>
      <c r="IMB189" s="926"/>
      <c r="IMC189" s="926"/>
      <c r="IMD189" s="926"/>
      <c r="IME189" s="926"/>
      <c r="IMF189" s="926"/>
      <c r="IMG189" s="926"/>
      <c r="IMH189" s="926"/>
      <c r="IMI189" s="926"/>
      <c r="IMJ189" s="926"/>
      <c r="IMK189" s="926"/>
      <c r="IML189" s="926"/>
      <c r="IMM189" s="926"/>
      <c r="IMN189" s="926"/>
      <c r="IMO189" s="926"/>
      <c r="IMP189" s="926"/>
      <c r="IMQ189" s="926"/>
      <c r="IMR189" s="926"/>
      <c r="IMS189" s="926"/>
      <c r="IMT189" s="926"/>
      <c r="IMU189" s="926"/>
      <c r="IMV189" s="926"/>
      <c r="IMW189" s="926"/>
      <c r="IMX189" s="926"/>
      <c r="IMY189" s="926"/>
      <c r="IMZ189" s="926"/>
      <c r="INA189" s="926"/>
      <c r="INB189" s="926"/>
      <c r="INC189" s="926"/>
      <c r="IND189" s="926"/>
      <c r="INE189" s="926"/>
      <c r="INF189" s="926"/>
      <c r="ING189" s="926"/>
      <c r="INH189" s="926"/>
      <c r="INI189" s="926"/>
      <c r="INJ189" s="926"/>
      <c r="INK189" s="926"/>
      <c r="INL189" s="926"/>
      <c r="INM189" s="926"/>
      <c r="INN189" s="926"/>
      <c r="INO189" s="926"/>
      <c r="INP189" s="926"/>
      <c r="INQ189" s="926"/>
      <c r="INR189" s="926"/>
      <c r="INS189" s="926"/>
      <c r="INT189" s="926"/>
      <c r="INU189" s="926"/>
      <c r="INV189" s="926"/>
      <c r="INW189" s="926"/>
      <c r="INX189" s="926"/>
      <c r="INY189" s="926"/>
      <c r="INZ189" s="926"/>
      <c r="IOA189" s="926"/>
      <c r="IOB189" s="926"/>
      <c r="IOC189" s="926"/>
      <c r="IOD189" s="926"/>
      <c r="IOE189" s="926"/>
      <c r="IOF189" s="926"/>
      <c r="IOG189" s="926"/>
      <c r="IOH189" s="926"/>
      <c r="IOI189" s="926"/>
      <c r="IOJ189" s="926"/>
      <c r="IOK189" s="926"/>
      <c r="IOL189" s="926"/>
      <c r="IOM189" s="926"/>
      <c r="ION189" s="926"/>
      <c r="IOO189" s="926"/>
      <c r="IOP189" s="926"/>
      <c r="IOQ189" s="926"/>
      <c r="IOR189" s="926"/>
      <c r="IOS189" s="926"/>
      <c r="IOT189" s="926"/>
      <c r="IOU189" s="926"/>
      <c r="IOV189" s="926"/>
      <c r="IOW189" s="926"/>
      <c r="IOX189" s="926"/>
      <c r="IOY189" s="926"/>
      <c r="IOZ189" s="926"/>
      <c r="IPA189" s="926"/>
      <c r="IPB189" s="926"/>
      <c r="IPC189" s="926"/>
      <c r="IPD189" s="926"/>
      <c r="IPE189" s="926"/>
      <c r="IPF189" s="926"/>
      <c r="IPG189" s="926"/>
      <c r="IPH189" s="926"/>
      <c r="IPI189" s="926"/>
      <c r="IPJ189" s="926"/>
      <c r="IPK189" s="926"/>
      <c r="IPL189" s="926"/>
      <c r="IPM189" s="926"/>
      <c r="IPN189" s="926"/>
      <c r="IPO189" s="926"/>
      <c r="IPP189" s="926"/>
      <c r="IPQ189" s="926"/>
      <c r="IPR189" s="926"/>
      <c r="IPS189" s="926"/>
      <c r="IPT189" s="926"/>
      <c r="IPU189" s="926"/>
      <c r="IPV189" s="926"/>
      <c r="IPW189" s="926"/>
      <c r="IPX189" s="926"/>
      <c r="IPY189" s="926"/>
      <c r="IPZ189" s="926"/>
      <c r="IQA189" s="926"/>
      <c r="IQB189" s="926"/>
      <c r="IQC189" s="926"/>
      <c r="IQD189" s="926"/>
      <c r="IQE189" s="926"/>
      <c r="IQF189" s="926"/>
      <c r="IQG189" s="926"/>
      <c r="IQH189" s="926"/>
      <c r="IQI189" s="926"/>
      <c r="IQJ189" s="926"/>
      <c r="IQK189" s="926"/>
      <c r="IQL189" s="926"/>
      <c r="IQM189" s="926"/>
      <c r="IQN189" s="926"/>
      <c r="IQO189" s="926"/>
      <c r="IQP189" s="926"/>
      <c r="IQQ189" s="926"/>
      <c r="IQR189" s="926"/>
      <c r="IQS189" s="926"/>
      <c r="IQT189" s="926"/>
      <c r="IQU189" s="926"/>
      <c r="IQV189" s="926"/>
      <c r="IQW189" s="926"/>
      <c r="IQX189" s="926"/>
      <c r="IQY189" s="926"/>
      <c r="IQZ189" s="926"/>
      <c r="IRA189" s="926"/>
      <c r="IRB189" s="926"/>
      <c r="IRC189" s="926"/>
      <c r="IRD189" s="926"/>
      <c r="IRE189" s="926"/>
      <c r="IRF189" s="926"/>
      <c r="IRG189" s="926"/>
      <c r="IRH189" s="926"/>
      <c r="IRI189" s="926"/>
      <c r="IRJ189" s="926"/>
      <c r="IRK189" s="926"/>
      <c r="IRL189" s="926"/>
      <c r="IRM189" s="926"/>
      <c r="IRN189" s="926"/>
      <c r="IRO189" s="926"/>
      <c r="IRP189" s="926"/>
      <c r="IRQ189" s="926"/>
      <c r="IRR189" s="926"/>
      <c r="IRS189" s="926"/>
      <c r="IRT189" s="926"/>
      <c r="IRU189" s="926"/>
      <c r="IRV189" s="926"/>
      <c r="IRW189" s="926"/>
      <c r="IRX189" s="926"/>
      <c r="IRY189" s="926"/>
      <c r="IRZ189" s="926"/>
      <c r="ISA189" s="926"/>
      <c r="ISB189" s="926"/>
      <c r="ISC189" s="926"/>
      <c r="ISD189" s="926"/>
      <c r="ISE189" s="926"/>
      <c r="ISF189" s="926"/>
      <c r="ISG189" s="926"/>
      <c r="ISH189" s="926"/>
      <c r="ISI189" s="926"/>
      <c r="ISJ189" s="926"/>
      <c r="ISK189" s="926"/>
      <c r="ISL189" s="926"/>
      <c r="ISM189" s="926"/>
      <c r="ISN189" s="926"/>
      <c r="ISO189" s="926"/>
      <c r="ISP189" s="926"/>
      <c r="ISQ189" s="926"/>
      <c r="ISR189" s="926"/>
      <c r="ISS189" s="926"/>
      <c r="IST189" s="926"/>
      <c r="ISU189" s="926"/>
      <c r="ISV189" s="926"/>
      <c r="ISW189" s="926"/>
      <c r="ISX189" s="926"/>
      <c r="ISY189" s="926"/>
      <c r="ISZ189" s="926"/>
      <c r="ITA189" s="926"/>
      <c r="ITB189" s="926"/>
      <c r="ITC189" s="926"/>
      <c r="ITD189" s="926"/>
      <c r="ITE189" s="926"/>
      <c r="ITF189" s="926"/>
      <c r="ITG189" s="926"/>
      <c r="ITH189" s="926"/>
      <c r="ITI189" s="926"/>
      <c r="ITJ189" s="926"/>
      <c r="ITK189" s="926"/>
      <c r="ITL189" s="926"/>
      <c r="ITM189" s="926"/>
      <c r="ITN189" s="926"/>
      <c r="ITO189" s="926"/>
      <c r="ITP189" s="926"/>
      <c r="ITQ189" s="926"/>
      <c r="ITR189" s="926"/>
      <c r="ITS189" s="926"/>
      <c r="ITT189" s="926"/>
      <c r="ITU189" s="926"/>
      <c r="ITV189" s="926"/>
      <c r="ITW189" s="926"/>
      <c r="ITX189" s="926"/>
      <c r="ITY189" s="926"/>
      <c r="ITZ189" s="926"/>
      <c r="IUA189" s="926"/>
      <c r="IUB189" s="926"/>
      <c r="IUC189" s="926"/>
      <c r="IUD189" s="926"/>
      <c r="IUE189" s="926"/>
      <c r="IUF189" s="926"/>
      <c r="IUG189" s="926"/>
      <c r="IUH189" s="926"/>
      <c r="IUI189" s="926"/>
      <c r="IUJ189" s="926"/>
      <c r="IUK189" s="926"/>
      <c r="IUL189" s="926"/>
      <c r="IUM189" s="926"/>
      <c r="IUN189" s="926"/>
      <c r="IUO189" s="926"/>
      <c r="IUP189" s="926"/>
      <c r="IUQ189" s="926"/>
      <c r="IUR189" s="926"/>
      <c r="IUS189" s="926"/>
      <c r="IUT189" s="926"/>
      <c r="IUU189" s="926"/>
      <c r="IUV189" s="926"/>
      <c r="IUW189" s="926"/>
      <c r="IUX189" s="926"/>
      <c r="IUY189" s="926"/>
      <c r="IUZ189" s="926"/>
      <c r="IVA189" s="926"/>
      <c r="IVB189" s="926"/>
      <c r="IVC189" s="926"/>
      <c r="IVD189" s="926"/>
      <c r="IVE189" s="926"/>
      <c r="IVF189" s="926"/>
      <c r="IVG189" s="926"/>
      <c r="IVH189" s="926"/>
      <c r="IVI189" s="926"/>
      <c r="IVJ189" s="926"/>
      <c r="IVK189" s="926"/>
      <c r="IVL189" s="926"/>
      <c r="IVM189" s="926"/>
      <c r="IVN189" s="926"/>
      <c r="IVO189" s="926"/>
      <c r="IVP189" s="926"/>
      <c r="IVQ189" s="926"/>
      <c r="IVR189" s="926"/>
      <c r="IVS189" s="926"/>
      <c r="IVT189" s="926"/>
      <c r="IVU189" s="926"/>
      <c r="IVV189" s="926"/>
      <c r="IVW189" s="926"/>
      <c r="IVX189" s="926"/>
      <c r="IVY189" s="926"/>
      <c r="IVZ189" s="926"/>
      <c r="IWA189" s="926"/>
      <c r="IWB189" s="926"/>
      <c r="IWC189" s="926"/>
      <c r="IWD189" s="926"/>
      <c r="IWE189" s="926"/>
      <c r="IWF189" s="926"/>
      <c r="IWG189" s="926"/>
      <c r="IWH189" s="926"/>
      <c r="IWI189" s="926"/>
      <c r="IWJ189" s="926"/>
      <c r="IWK189" s="926"/>
      <c r="IWL189" s="926"/>
      <c r="IWM189" s="926"/>
      <c r="IWN189" s="926"/>
      <c r="IWO189" s="926"/>
      <c r="IWP189" s="926"/>
      <c r="IWQ189" s="926"/>
      <c r="IWR189" s="926"/>
      <c r="IWS189" s="926"/>
      <c r="IWT189" s="926"/>
      <c r="IWU189" s="926"/>
      <c r="IWV189" s="926"/>
      <c r="IWW189" s="926"/>
      <c r="IWX189" s="926"/>
      <c r="IWY189" s="926"/>
      <c r="IWZ189" s="926"/>
      <c r="IXA189" s="926"/>
      <c r="IXB189" s="926"/>
      <c r="IXC189" s="926"/>
      <c r="IXD189" s="926"/>
      <c r="IXE189" s="926"/>
      <c r="IXF189" s="926"/>
      <c r="IXG189" s="926"/>
      <c r="IXH189" s="926"/>
      <c r="IXI189" s="926"/>
      <c r="IXJ189" s="926"/>
      <c r="IXK189" s="926"/>
      <c r="IXL189" s="926"/>
      <c r="IXM189" s="926"/>
      <c r="IXN189" s="926"/>
      <c r="IXO189" s="926"/>
      <c r="IXP189" s="926"/>
      <c r="IXQ189" s="926"/>
      <c r="IXR189" s="926"/>
      <c r="IXS189" s="926"/>
      <c r="IXT189" s="926"/>
      <c r="IXU189" s="926"/>
      <c r="IXV189" s="926"/>
      <c r="IXW189" s="926"/>
      <c r="IXX189" s="926"/>
      <c r="IXY189" s="926"/>
      <c r="IXZ189" s="926"/>
      <c r="IYA189" s="926"/>
      <c r="IYB189" s="926"/>
      <c r="IYC189" s="926"/>
      <c r="IYD189" s="926"/>
      <c r="IYE189" s="926"/>
      <c r="IYF189" s="926"/>
      <c r="IYG189" s="926"/>
      <c r="IYH189" s="926"/>
      <c r="IYI189" s="926"/>
      <c r="IYJ189" s="926"/>
      <c r="IYK189" s="926"/>
      <c r="IYL189" s="926"/>
      <c r="IYM189" s="926"/>
      <c r="IYN189" s="926"/>
      <c r="IYO189" s="926"/>
      <c r="IYP189" s="926"/>
      <c r="IYQ189" s="926"/>
      <c r="IYR189" s="926"/>
      <c r="IYS189" s="926"/>
      <c r="IYT189" s="926"/>
      <c r="IYU189" s="926"/>
      <c r="IYV189" s="926"/>
      <c r="IYW189" s="926"/>
      <c r="IYX189" s="926"/>
      <c r="IYY189" s="926"/>
      <c r="IYZ189" s="926"/>
      <c r="IZA189" s="926"/>
      <c r="IZB189" s="926"/>
      <c r="IZC189" s="926"/>
      <c r="IZD189" s="926"/>
      <c r="IZE189" s="926"/>
      <c r="IZF189" s="926"/>
      <c r="IZG189" s="926"/>
      <c r="IZH189" s="926"/>
      <c r="IZI189" s="926"/>
      <c r="IZJ189" s="926"/>
      <c r="IZK189" s="926"/>
      <c r="IZL189" s="926"/>
      <c r="IZM189" s="926"/>
      <c r="IZN189" s="926"/>
      <c r="IZO189" s="926"/>
      <c r="IZP189" s="926"/>
      <c r="IZQ189" s="926"/>
      <c r="IZR189" s="926"/>
      <c r="IZS189" s="926"/>
      <c r="IZT189" s="926"/>
      <c r="IZU189" s="926"/>
      <c r="IZV189" s="926"/>
      <c r="IZW189" s="926"/>
      <c r="IZX189" s="926"/>
      <c r="IZY189" s="926"/>
      <c r="IZZ189" s="926"/>
      <c r="JAA189" s="926"/>
      <c r="JAB189" s="926"/>
      <c r="JAC189" s="926"/>
      <c r="JAD189" s="926"/>
      <c r="JAE189" s="926"/>
      <c r="JAF189" s="926"/>
      <c r="JAG189" s="926"/>
      <c r="JAH189" s="926"/>
      <c r="JAI189" s="926"/>
      <c r="JAJ189" s="926"/>
      <c r="JAK189" s="926"/>
      <c r="JAL189" s="926"/>
      <c r="JAM189" s="926"/>
      <c r="JAN189" s="926"/>
      <c r="JAO189" s="926"/>
      <c r="JAP189" s="926"/>
      <c r="JAQ189" s="926"/>
      <c r="JAR189" s="926"/>
      <c r="JAS189" s="926"/>
      <c r="JAT189" s="926"/>
      <c r="JAU189" s="926"/>
      <c r="JAV189" s="926"/>
      <c r="JAW189" s="926"/>
      <c r="JAX189" s="926"/>
      <c r="JAY189" s="926"/>
      <c r="JAZ189" s="926"/>
      <c r="JBA189" s="926"/>
      <c r="JBB189" s="926"/>
      <c r="JBC189" s="926"/>
      <c r="JBD189" s="926"/>
      <c r="JBE189" s="926"/>
      <c r="JBF189" s="926"/>
      <c r="JBG189" s="926"/>
      <c r="JBH189" s="926"/>
      <c r="JBI189" s="926"/>
      <c r="JBJ189" s="926"/>
      <c r="JBK189" s="926"/>
      <c r="JBL189" s="926"/>
      <c r="JBM189" s="926"/>
      <c r="JBN189" s="926"/>
      <c r="JBO189" s="926"/>
      <c r="JBP189" s="926"/>
      <c r="JBQ189" s="926"/>
      <c r="JBR189" s="926"/>
      <c r="JBS189" s="926"/>
      <c r="JBT189" s="926"/>
      <c r="JBU189" s="926"/>
      <c r="JBV189" s="926"/>
      <c r="JBW189" s="926"/>
      <c r="JBX189" s="926"/>
      <c r="JBY189" s="926"/>
      <c r="JBZ189" s="926"/>
      <c r="JCA189" s="926"/>
      <c r="JCB189" s="926"/>
      <c r="JCC189" s="926"/>
      <c r="JCD189" s="926"/>
      <c r="JCE189" s="926"/>
      <c r="JCF189" s="926"/>
      <c r="JCG189" s="926"/>
      <c r="JCH189" s="926"/>
      <c r="JCI189" s="926"/>
      <c r="JCJ189" s="926"/>
      <c r="JCK189" s="926"/>
      <c r="JCL189" s="926"/>
      <c r="JCM189" s="926"/>
      <c r="JCN189" s="926"/>
      <c r="JCO189" s="926"/>
      <c r="JCP189" s="926"/>
      <c r="JCQ189" s="926"/>
      <c r="JCR189" s="926"/>
      <c r="JCS189" s="926"/>
      <c r="JCT189" s="926"/>
      <c r="JCU189" s="926"/>
      <c r="JCV189" s="926"/>
      <c r="JCW189" s="926"/>
      <c r="JCX189" s="926"/>
      <c r="JCY189" s="926"/>
      <c r="JCZ189" s="926"/>
      <c r="JDA189" s="926"/>
      <c r="JDB189" s="926"/>
      <c r="JDC189" s="926"/>
      <c r="JDD189" s="926"/>
      <c r="JDE189" s="926"/>
      <c r="JDF189" s="926"/>
      <c r="JDG189" s="926"/>
      <c r="JDH189" s="926"/>
      <c r="JDI189" s="926"/>
      <c r="JDJ189" s="926"/>
      <c r="JDK189" s="926"/>
      <c r="JDL189" s="926"/>
      <c r="JDM189" s="926"/>
      <c r="JDN189" s="926"/>
      <c r="JDO189" s="926"/>
      <c r="JDP189" s="926"/>
      <c r="JDQ189" s="926"/>
      <c r="JDR189" s="926"/>
      <c r="JDS189" s="926"/>
      <c r="JDT189" s="926"/>
      <c r="JDU189" s="926"/>
      <c r="JDV189" s="926"/>
      <c r="JDW189" s="926"/>
      <c r="JDX189" s="926"/>
      <c r="JDY189" s="926"/>
      <c r="JDZ189" s="926"/>
      <c r="JEA189" s="926"/>
      <c r="JEB189" s="926"/>
      <c r="JEC189" s="926"/>
      <c r="JED189" s="926"/>
      <c r="JEE189" s="926"/>
      <c r="JEF189" s="926"/>
      <c r="JEG189" s="926"/>
      <c r="JEH189" s="926"/>
      <c r="JEI189" s="926"/>
      <c r="JEJ189" s="926"/>
      <c r="JEK189" s="926"/>
      <c r="JEL189" s="926"/>
      <c r="JEM189" s="926"/>
      <c r="JEN189" s="926"/>
      <c r="JEO189" s="926"/>
      <c r="JEP189" s="926"/>
      <c r="JEQ189" s="926"/>
      <c r="JER189" s="926"/>
      <c r="JES189" s="926"/>
      <c r="JET189" s="926"/>
      <c r="JEU189" s="926"/>
      <c r="JEV189" s="926"/>
      <c r="JEW189" s="926"/>
      <c r="JEX189" s="926"/>
      <c r="JEY189" s="926"/>
      <c r="JEZ189" s="926"/>
      <c r="JFA189" s="926"/>
      <c r="JFB189" s="926"/>
      <c r="JFC189" s="926"/>
      <c r="JFD189" s="926"/>
      <c r="JFE189" s="926"/>
      <c r="JFF189" s="926"/>
      <c r="JFG189" s="926"/>
      <c r="JFH189" s="926"/>
      <c r="JFI189" s="926"/>
      <c r="JFJ189" s="926"/>
      <c r="JFK189" s="926"/>
      <c r="JFL189" s="926"/>
      <c r="JFM189" s="926"/>
      <c r="JFN189" s="926"/>
      <c r="JFO189" s="926"/>
      <c r="JFP189" s="926"/>
      <c r="JFQ189" s="926"/>
      <c r="JFR189" s="926"/>
      <c r="JFS189" s="926"/>
      <c r="JFT189" s="926"/>
      <c r="JFU189" s="926"/>
      <c r="JFV189" s="926"/>
      <c r="JFW189" s="926"/>
      <c r="JFX189" s="926"/>
      <c r="JFY189" s="926"/>
      <c r="JFZ189" s="926"/>
      <c r="JGA189" s="926"/>
      <c r="JGB189" s="926"/>
      <c r="JGC189" s="926"/>
      <c r="JGD189" s="926"/>
      <c r="JGE189" s="926"/>
      <c r="JGF189" s="926"/>
      <c r="JGG189" s="926"/>
      <c r="JGH189" s="926"/>
      <c r="JGI189" s="926"/>
      <c r="JGJ189" s="926"/>
      <c r="JGK189" s="926"/>
      <c r="JGL189" s="926"/>
      <c r="JGM189" s="926"/>
      <c r="JGN189" s="926"/>
      <c r="JGO189" s="926"/>
      <c r="JGP189" s="926"/>
      <c r="JGQ189" s="926"/>
      <c r="JGR189" s="926"/>
      <c r="JGS189" s="926"/>
      <c r="JGT189" s="926"/>
      <c r="JGU189" s="926"/>
      <c r="JGV189" s="926"/>
      <c r="JGW189" s="926"/>
      <c r="JGX189" s="926"/>
      <c r="JGY189" s="926"/>
      <c r="JGZ189" s="926"/>
      <c r="JHA189" s="926"/>
      <c r="JHB189" s="926"/>
      <c r="JHC189" s="926"/>
      <c r="JHD189" s="926"/>
      <c r="JHE189" s="926"/>
      <c r="JHF189" s="926"/>
      <c r="JHG189" s="926"/>
      <c r="JHH189" s="926"/>
      <c r="JHI189" s="926"/>
      <c r="JHJ189" s="926"/>
      <c r="JHK189" s="926"/>
      <c r="JHL189" s="926"/>
      <c r="JHM189" s="926"/>
      <c r="JHN189" s="926"/>
      <c r="JHO189" s="926"/>
      <c r="JHP189" s="926"/>
      <c r="JHQ189" s="926"/>
      <c r="JHR189" s="926"/>
      <c r="JHS189" s="926"/>
      <c r="JHT189" s="926"/>
      <c r="JHU189" s="926"/>
      <c r="JHV189" s="926"/>
      <c r="JHW189" s="926"/>
      <c r="JHX189" s="926"/>
      <c r="JHY189" s="926"/>
      <c r="JHZ189" s="926"/>
      <c r="JIA189" s="926"/>
      <c r="JIB189" s="926"/>
      <c r="JIC189" s="926"/>
      <c r="JID189" s="926"/>
      <c r="JIE189" s="926"/>
      <c r="JIF189" s="926"/>
      <c r="JIG189" s="926"/>
      <c r="JIH189" s="926"/>
      <c r="JII189" s="926"/>
      <c r="JIJ189" s="926"/>
      <c r="JIK189" s="926"/>
      <c r="JIL189" s="926"/>
      <c r="JIM189" s="926"/>
      <c r="JIN189" s="926"/>
      <c r="JIO189" s="926"/>
      <c r="JIP189" s="926"/>
      <c r="JIQ189" s="926"/>
      <c r="JIR189" s="926"/>
      <c r="JIS189" s="926"/>
      <c r="JIT189" s="926"/>
      <c r="JIU189" s="926"/>
      <c r="JIV189" s="926"/>
      <c r="JIW189" s="926"/>
      <c r="JIX189" s="926"/>
      <c r="JIY189" s="926"/>
      <c r="JIZ189" s="926"/>
      <c r="JJA189" s="926"/>
      <c r="JJB189" s="926"/>
      <c r="JJC189" s="926"/>
      <c r="JJD189" s="926"/>
      <c r="JJE189" s="926"/>
      <c r="JJF189" s="926"/>
      <c r="JJG189" s="926"/>
      <c r="JJH189" s="926"/>
      <c r="JJI189" s="926"/>
      <c r="JJJ189" s="926"/>
      <c r="JJK189" s="926"/>
      <c r="JJL189" s="926"/>
      <c r="JJM189" s="926"/>
      <c r="JJN189" s="926"/>
      <c r="JJO189" s="926"/>
      <c r="JJP189" s="926"/>
      <c r="JJQ189" s="926"/>
      <c r="JJR189" s="926"/>
      <c r="JJS189" s="926"/>
      <c r="JJT189" s="926"/>
      <c r="JJU189" s="926"/>
      <c r="JJV189" s="926"/>
      <c r="JJW189" s="926"/>
      <c r="JJX189" s="926"/>
      <c r="JJY189" s="926"/>
      <c r="JJZ189" s="926"/>
      <c r="JKA189" s="926"/>
      <c r="JKB189" s="926"/>
      <c r="JKC189" s="926"/>
      <c r="JKD189" s="926"/>
      <c r="JKE189" s="926"/>
      <c r="JKF189" s="926"/>
      <c r="JKG189" s="926"/>
      <c r="JKH189" s="926"/>
      <c r="JKI189" s="926"/>
      <c r="JKJ189" s="926"/>
      <c r="JKK189" s="926"/>
      <c r="JKL189" s="926"/>
      <c r="JKM189" s="926"/>
      <c r="JKN189" s="926"/>
      <c r="JKO189" s="926"/>
      <c r="JKP189" s="926"/>
      <c r="JKQ189" s="926"/>
      <c r="JKR189" s="926"/>
      <c r="JKS189" s="926"/>
      <c r="JKT189" s="926"/>
      <c r="JKU189" s="926"/>
      <c r="JKV189" s="926"/>
      <c r="JKW189" s="926"/>
      <c r="JKX189" s="926"/>
      <c r="JKY189" s="926"/>
      <c r="JKZ189" s="926"/>
      <c r="JLA189" s="926"/>
      <c r="JLB189" s="926"/>
      <c r="JLC189" s="926"/>
      <c r="JLD189" s="926"/>
      <c r="JLE189" s="926"/>
      <c r="JLF189" s="926"/>
      <c r="JLG189" s="926"/>
      <c r="JLH189" s="926"/>
      <c r="JLI189" s="926"/>
      <c r="JLJ189" s="926"/>
      <c r="JLK189" s="926"/>
      <c r="JLL189" s="926"/>
      <c r="JLM189" s="926"/>
      <c r="JLN189" s="926"/>
      <c r="JLO189" s="926"/>
      <c r="JLP189" s="926"/>
      <c r="JLQ189" s="926"/>
      <c r="JLR189" s="926"/>
      <c r="JLS189" s="926"/>
      <c r="JLT189" s="926"/>
      <c r="JLU189" s="926"/>
      <c r="JLV189" s="926"/>
      <c r="JLW189" s="926"/>
      <c r="JLX189" s="926"/>
      <c r="JLY189" s="926"/>
      <c r="JLZ189" s="926"/>
      <c r="JMA189" s="926"/>
      <c r="JMB189" s="926"/>
      <c r="JMC189" s="926"/>
      <c r="JMD189" s="926"/>
      <c r="JME189" s="926"/>
      <c r="JMF189" s="926"/>
      <c r="JMG189" s="926"/>
      <c r="JMH189" s="926"/>
      <c r="JMI189" s="926"/>
      <c r="JMJ189" s="926"/>
      <c r="JMK189" s="926"/>
      <c r="JML189" s="926"/>
      <c r="JMM189" s="926"/>
      <c r="JMN189" s="926"/>
      <c r="JMO189" s="926"/>
      <c r="JMP189" s="926"/>
      <c r="JMQ189" s="926"/>
      <c r="JMR189" s="926"/>
      <c r="JMS189" s="926"/>
      <c r="JMT189" s="926"/>
      <c r="JMU189" s="926"/>
      <c r="JMV189" s="926"/>
      <c r="JMW189" s="926"/>
      <c r="JMX189" s="926"/>
      <c r="JMY189" s="926"/>
      <c r="JMZ189" s="926"/>
      <c r="JNA189" s="926"/>
      <c r="JNB189" s="926"/>
      <c r="JNC189" s="926"/>
      <c r="JND189" s="926"/>
      <c r="JNE189" s="926"/>
      <c r="JNF189" s="926"/>
      <c r="JNG189" s="926"/>
      <c r="JNH189" s="926"/>
      <c r="JNI189" s="926"/>
      <c r="JNJ189" s="926"/>
      <c r="JNK189" s="926"/>
      <c r="JNL189" s="926"/>
      <c r="JNM189" s="926"/>
      <c r="JNN189" s="926"/>
      <c r="JNO189" s="926"/>
      <c r="JNP189" s="926"/>
      <c r="JNQ189" s="926"/>
      <c r="JNR189" s="926"/>
      <c r="JNS189" s="926"/>
      <c r="JNT189" s="926"/>
      <c r="JNU189" s="926"/>
      <c r="JNV189" s="926"/>
      <c r="JNW189" s="926"/>
      <c r="JNX189" s="926"/>
      <c r="JNY189" s="926"/>
      <c r="JNZ189" s="926"/>
      <c r="JOA189" s="926"/>
      <c r="JOB189" s="926"/>
      <c r="JOC189" s="926"/>
      <c r="JOD189" s="926"/>
      <c r="JOE189" s="926"/>
      <c r="JOF189" s="926"/>
      <c r="JOG189" s="926"/>
      <c r="JOH189" s="926"/>
      <c r="JOI189" s="926"/>
      <c r="JOJ189" s="926"/>
      <c r="JOK189" s="926"/>
      <c r="JOL189" s="926"/>
      <c r="JOM189" s="926"/>
      <c r="JON189" s="926"/>
      <c r="JOO189" s="926"/>
      <c r="JOP189" s="926"/>
      <c r="JOQ189" s="926"/>
      <c r="JOR189" s="926"/>
      <c r="JOS189" s="926"/>
      <c r="JOT189" s="926"/>
      <c r="JOU189" s="926"/>
      <c r="JOV189" s="926"/>
      <c r="JOW189" s="926"/>
      <c r="JOX189" s="926"/>
      <c r="JOY189" s="926"/>
      <c r="JOZ189" s="926"/>
      <c r="JPA189" s="926"/>
      <c r="JPB189" s="926"/>
      <c r="JPC189" s="926"/>
      <c r="JPD189" s="926"/>
      <c r="JPE189" s="926"/>
      <c r="JPF189" s="926"/>
      <c r="JPG189" s="926"/>
      <c r="JPH189" s="926"/>
      <c r="JPI189" s="926"/>
      <c r="JPJ189" s="926"/>
      <c r="JPK189" s="926"/>
      <c r="JPL189" s="926"/>
      <c r="JPM189" s="926"/>
      <c r="JPN189" s="926"/>
      <c r="JPO189" s="926"/>
      <c r="JPP189" s="926"/>
      <c r="JPQ189" s="926"/>
      <c r="JPR189" s="926"/>
      <c r="JPS189" s="926"/>
      <c r="JPT189" s="926"/>
      <c r="JPU189" s="926"/>
      <c r="JPV189" s="926"/>
      <c r="JPW189" s="926"/>
      <c r="JPX189" s="926"/>
      <c r="JPY189" s="926"/>
      <c r="JPZ189" s="926"/>
      <c r="JQA189" s="926"/>
      <c r="JQB189" s="926"/>
      <c r="JQC189" s="926"/>
      <c r="JQD189" s="926"/>
      <c r="JQE189" s="926"/>
      <c r="JQF189" s="926"/>
      <c r="JQG189" s="926"/>
      <c r="JQH189" s="926"/>
      <c r="JQI189" s="926"/>
      <c r="JQJ189" s="926"/>
      <c r="JQK189" s="926"/>
      <c r="JQL189" s="926"/>
      <c r="JQM189" s="926"/>
      <c r="JQN189" s="926"/>
      <c r="JQO189" s="926"/>
      <c r="JQP189" s="926"/>
      <c r="JQQ189" s="926"/>
      <c r="JQR189" s="926"/>
      <c r="JQS189" s="926"/>
      <c r="JQT189" s="926"/>
      <c r="JQU189" s="926"/>
      <c r="JQV189" s="926"/>
      <c r="JQW189" s="926"/>
      <c r="JQX189" s="926"/>
      <c r="JQY189" s="926"/>
      <c r="JQZ189" s="926"/>
      <c r="JRA189" s="926"/>
      <c r="JRB189" s="926"/>
      <c r="JRC189" s="926"/>
      <c r="JRD189" s="926"/>
      <c r="JRE189" s="926"/>
      <c r="JRF189" s="926"/>
      <c r="JRG189" s="926"/>
      <c r="JRH189" s="926"/>
      <c r="JRI189" s="926"/>
      <c r="JRJ189" s="926"/>
      <c r="JRK189" s="926"/>
      <c r="JRL189" s="926"/>
      <c r="JRM189" s="926"/>
      <c r="JRN189" s="926"/>
      <c r="JRO189" s="926"/>
      <c r="JRP189" s="926"/>
      <c r="JRQ189" s="926"/>
      <c r="JRR189" s="926"/>
      <c r="JRS189" s="926"/>
      <c r="JRT189" s="926"/>
      <c r="JRU189" s="926"/>
      <c r="JRV189" s="926"/>
      <c r="JRW189" s="926"/>
      <c r="JRX189" s="926"/>
      <c r="JRY189" s="926"/>
      <c r="JRZ189" s="926"/>
      <c r="JSA189" s="926"/>
      <c r="JSB189" s="926"/>
      <c r="JSC189" s="926"/>
      <c r="JSD189" s="926"/>
      <c r="JSE189" s="926"/>
      <c r="JSF189" s="926"/>
      <c r="JSG189" s="926"/>
      <c r="JSH189" s="926"/>
      <c r="JSI189" s="926"/>
      <c r="JSJ189" s="926"/>
      <c r="JSK189" s="926"/>
      <c r="JSL189" s="926"/>
      <c r="JSM189" s="926"/>
      <c r="JSN189" s="926"/>
      <c r="JSO189" s="926"/>
      <c r="JSP189" s="926"/>
      <c r="JSQ189" s="926"/>
      <c r="JSR189" s="926"/>
      <c r="JSS189" s="926"/>
      <c r="JST189" s="926"/>
      <c r="JSU189" s="926"/>
      <c r="JSV189" s="926"/>
      <c r="JSW189" s="926"/>
      <c r="JSX189" s="926"/>
      <c r="JSY189" s="926"/>
      <c r="JSZ189" s="926"/>
      <c r="JTA189" s="926"/>
      <c r="JTB189" s="926"/>
      <c r="JTC189" s="926"/>
      <c r="JTD189" s="926"/>
      <c r="JTE189" s="926"/>
      <c r="JTF189" s="926"/>
      <c r="JTG189" s="926"/>
      <c r="JTH189" s="926"/>
      <c r="JTI189" s="926"/>
      <c r="JTJ189" s="926"/>
      <c r="JTK189" s="926"/>
      <c r="JTL189" s="926"/>
      <c r="JTM189" s="926"/>
      <c r="JTN189" s="926"/>
      <c r="JTO189" s="926"/>
      <c r="JTP189" s="926"/>
      <c r="JTQ189" s="926"/>
      <c r="JTR189" s="926"/>
      <c r="JTS189" s="926"/>
      <c r="JTT189" s="926"/>
      <c r="JTU189" s="926"/>
      <c r="JTV189" s="926"/>
      <c r="JTW189" s="926"/>
      <c r="JTX189" s="926"/>
      <c r="JTY189" s="926"/>
      <c r="JTZ189" s="926"/>
      <c r="JUA189" s="926"/>
      <c r="JUB189" s="926"/>
      <c r="JUC189" s="926"/>
      <c r="JUD189" s="926"/>
      <c r="JUE189" s="926"/>
      <c r="JUF189" s="926"/>
      <c r="JUG189" s="926"/>
      <c r="JUH189" s="926"/>
      <c r="JUI189" s="926"/>
      <c r="JUJ189" s="926"/>
      <c r="JUK189" s="926"/>
      <c r="JUL189" s="926"/>
      <c r="JUM189" s="926"/>
      <c r="JUN189" s="926"/>
      <c r="JUO189" s="926"/>
      <c r="JUP189" s="926"/>
      <c r="JUQ189" s="926"/>
      <c r="JUR189" s="926"/>
      <c r="JUS189" s="926"/>
      <c r="JUT189" s="926"/>
      <c r="JUU189" s="926"/>
      <c r="JUV189" s="926"/>
      <c r="JUW189" s="926"/>
      <c r="JUX189" s="926"/>
      <c r="JUY189" s="926"/>
      <c r="JUZ189" s="926"/>
      <c r="JVA189" s="926"/>
      <c r="JVB189" s="926"/>
      <c r="JVC189" s="926"/>
      <c r="JVD189" s="926"/>
      <c r="JVE189" s="926"/>
      <c r="JVF189" s="926"/>
      <c r="JVG189" s="926"/>
      <c r="JVH189" s="926"/>
      <c r="JVI189" s="926"/>
      <c r="JVJ189" s="926"/>
      <c r="JVK189" s="926"/>
      <c r="JVL189" s="926"/>
      <c r="JVM189" s="926"/>
      <c r="JVN189" s="926"/>
      <c r="JVO189" s="926"/>
      <c r="JVP189" s="926"/>
      <c r="JVQ189" s="926"/>
      <c r="JVR189" s="926"/>
      <c r="JVS189" s="926"/>
      <c r="JVT189" s="926"/>
      <c r="JVU189" s="926"/>
      <c r="JVV189" s="926"/>
      <c r="JVW189" s="926"/>
      <c r="JVX189" s="926"/>
      <c r="JVY189" s="926"/>
      <c r="JVZ189" s="926"/>
      <c r="JWA189" s="926"/>
      <c r="JWB189" s="926"/>
      <c r="JWC189" s="926"/>
      <c r="JWD189" s="926"/>
      <c r="JWE189" s="926"/>
      <c r="JWF189" s="926"/>
      <c r="JWG189" s="926"/>
      <c r="JWH189" s="926"/>
      <c r="JWI189" s="926"/>
      <c r="JWJ189" s="926"/>
      <c r="JWK189" s="926"/>
      <c r="JWL189" s="926"/>
      <c r="JWM189" s="926"/>
      <c r="JWN189" s="926"/>
      <c r="JWO189" s="926"/>
      <c r="JWP189" s="926"/>
      <c r="JWQ189" s="926"/>
      <c r="JWR189" s="926"/>
      <c r="JWS189" s="926"/>
      <c r="JWT189" s="926"/>
      <c r="JWU189" s="926"/>
      <c r="JWV189" s="926"/>
      <c r="JWW189" s="926"/>
      <c r="JWX189" s="926"/>
      <c r="JWY189" s="926"/>
      <c r="JWZ189" s="926"/>
      <c r="JXA189" s="926"/>
      <c r="JXB189" s="926"/>
      <c r="JXC189" s="926"/>
      <c r="JXD189" s="926"/>
      <c r="JXE189" s="926"/>
      <c r="JXF189" s="926"/>
      <c r="JXG189" s="926"/>
      <c r="JXH189" s="926"/>
      <c r="JXI189" s="926"/>
      <c r="JXJ189" s="926"/>
      <c r="JXK189" s="926"/>
      <c r="JXL189" s="926"/>
      <c r="JXM189" s="926"/>
      <c r="JXN189" s="926"/>
      <c r="JXO189" s="926"/>
      <c r="JXP189" s="926"/>
      <c r="JXQ189" s="926"/>
      <c r="JXR189" s="926"/>
      <c r="JXS189" s="926"/>
      <c r="JXT189" s="926"/>
      <c r="JXU189" s="926"/>
      <c r="JXV189" s="926"/>
      <c r="JXW189" s="926"/>
      <c r="JXX189" s="926"/>
      <c r="JXY189" s="926"/>
      <c r="JXZ189" s="926"/>
      <c r="JYA189" s="926"/>
      <c r="JYB189" s="926"/>
      <c r="JYC189" s="926"/>
      <c r="JYD189" s="926"/>
      <c r="JYE189" s="926"/>
      <c r="JYF189" s="926"/>
      <c r="JYG189" s="926"/>
      <c r="JYH189" s="926"/>
      <c r="JYI189" s="926"/>
      <c r="JYJ189" s="926"/>
      <c r="JYK189" s="926"/>
      <c r="JYL189" s="926"/>
      <c r="JYM189" s="926"/>
      <c r="JYN189" s="926"/>
      <c r="JYO189" s="926"/>
      <c r="JYP189" s="926"/>
      <c r="JYQ189" s="926"/>
      <c r="JYR189" s="926"/>
      <c r="JYS189" s="926"/>
      <c r="JYT189" s="926"/>
      <c r="JYU189" s="926"/>
      <c r="JYV189" s="926"/>
      <c r="JYW189" s="926"/>
      <c r="JYX189" s="926"/>
      <c r="JYY189" s="926"/>
      <c r="JYZ189" s="926"/>
      <c r="JZA189" s="926"/>
      <c r="JZB189" s="926"/>
      <c r="JZC189" s="926"/>
      <c r="JZD189" s="926"/>
      <c r="JZE189" s="926"/>
      <c r="JZF189" s="926"/>
      <c r="JZG189" s="926"/>
      <c r="JZH189" s="926"/>
      <c r="JZI189" s="926"/>
      <c r="JZJ189" s="926"/>
      <c r="JZK189" s="926"/>
      <c r="JZL189" s="926"/>
      <c r="JZM189" s="926"/>
      <c r="JZN189" s="926"/>
      <c r="JZO189" s="926"/>
      <c r="JZP189" s="926"/>
      <c r="JZQ189" s="926"/>
      <c r="JZR189" s="926"/>
      <c r="JZS189" s="926"/>
      <c r="JZT189" s="926"/>
      <c r="JZU189" s="926"/>
      <c r="JZV189" s="926"/>
      <c r="JZW189" s="926"/>
      <c r="JZX189" s="926"/>
      <c r="JZY189" s="926"/>
      <c r="JZZ189" s="926"/>
      <c r="KAA189" s="926"/>
      <c r="KAB189" s="926"/>
      <c r="KAC189" s="926"/>
      <c r="KAD189" s="926"/>
      <c r="KAE189" s="926"/>
      <c r="KAF189" s="926"/>
      <c r="KAG189" s="926"/>
      <c r="KAH189" s="926"/>
      <c r="KAI189" s="926"/>
      <c r="KAJ189" s="926"/>
      <c r="KAK189" s="926"/>
      <c r="KAL189" s="926"/>
      <c r="KAM189" s="926"/>
      <c r="KAN189" s="926"/>
      <c r="KAO189" s="926"/>
      <c r="KAP189" s="926"/>
      <c r="KAQ189" s="926"/>
      <c r="KAR189" s="926"/>
      <c r="KAS189" s="926"/>
      <c r="KAT189" s="926"/>
      <c r="KAU189" s="926"/>
      <c r="KAV189" s="926"/>
      <c r="KAW189" s="926"/>
      <c r="KAX189" s="926"/>
      <c r="KAY189" s="926"/>
      <c r="KAZ189" s="926"/>
      <c r="KBA189" s="926"/>
      <c r="KBB189" s="926"/>
      <c r="KBC189" s="926"/>
      <c r="KBD189" s="926"/>
      <c r="KBE189" s="926"/>
      <c r="KBF189" s="926"/>
      <c r="KBG189" s="926"/>
      <c r="KBH189" s="926"/>
      <c r="KBI189" s="926"/>
      <c r="KBJ189" s="926"/>
      <c r="KBK189" s="926"/>
      <c r="KBL189" s="926"/>
      <c r="KBM189" s="926"/>
      <c r="KBN189" s="926"/>
      <c r="KBO189" s="926"/>
      <c r="KBP189" s="926"/>
      <c r="KBQ189" s="926"/>
      <c r="KBR189" s="926"/>
      <c r="KBS189" s="926"/>
      <c r="KBT189" s="926"/>
      <c r="KBU189" s="926"/>
      <c r="KBV189" s="926"/>
      <c r="KBW189" s="926"/>
      <c r="KBX189" s="926"/>
      <c r="KBY189" s="926"/>
      <c r="KBZ189" s="926"/>
      <c r="KCA189" s="926"/>
      <c r="KCB189" s="926"/>
      <c r="KCC189" s="926"/>
      <c r="KCD189" s="926"/>
      <c r="KCE189" s="926"/>
      <c r="KCF189" s="926"/>
      <c r="KCG189" s="926"/>
      <c r="KCH189" s="926"/>
      <c r="KCI189" s="926"/>
      <c r="KCJ189" s="926"/>
      <c r="KCK189" s="926"/>
      <c r="KCL189" s="926"/>
      <c r="KCM189" s="926"/>
      <c r="KCN189" s="926"/>
      <c r="KCO189" s="926"/>
      <c r="KCP189" s="926"/>
      <c r="KCQ189" s="926"/>
      <c r="KCR189" s="926"/>
      <c r="KCS189" s="926"/>
      <c r="KCT189" s="926"/>
      <c r="KCU189" s="926"/>
      <c r="KCV189" s="926"/>
      <c r="KCW189" s="926"/>
      <c r="KCX189" s="926"/>
      <c r="KCY189" s="926"/>
      <c r="KCZ189" s="926"/>
      <c r="KDA189" s="926"/>
      <c r="KDB189" s="926"/>
      <c r="KDC189" s="926"/>
      <c r="KDD189" s="926"/>
      <c r="KDE189" s="926"/>
      <c r="KDF189" s="926"/>
      <c r="KDG189" s="926"/>
      <c r="KDH189" s="926"/>
      <c r="KDI189" s="926"/>
      <c r="KDJ189" s="926"/>
      <c r="KDK189" s="926"/>
      <c r="KDL189" s="926"/>
      <c r="KDM189" s="926"/>
      <c r="KDN189" s="926"/>
      <c r="KDO189" s="926"/>
      <c r="KDP189" s="926"/>
      <c r="KDQ189" s="926"/>
      <c r="KDR189" s="926"/>
      <c r="KDS189" s="926"/>
      <c r="KDT189" s="926"/>
      <c r="KDU189" s="926"/>
      <c r="KDV189" s="926"/>
      <c r="KDW189" s="926"/>
      <c r="KDX189" s="926"/>
      <c r="KDY189" s="926"/>
      <c r="KDZ189" s="926"/>
      <c r="KEA189" s="926"/>
      <c r="KEB189" s="926"/>
      <c r="KEC189" s="926"/>
      <c r="KED189" s="926"/>
      <c r="KEE189" s="926"/>
      <c r="KEF189" s="926"/>
      <c r="KEG189" s="926"/>
      <c r="KEH189" s="926"/>
      <c r="KEI189" s="926"/>
      <c r="KEJ189" s="926"/>
      <c r="KEK189" s="926"/>
      <c r="KEL189" s="926"/>
      <c r="KEM189" s="926"/>
      <c r="KEN189" s="926"/>
      <c r="KEO189" s="926"/>
      <c r="KEP189" s="926"/>
      <c r="KEQ189" s="926"/>
      <c r="KER189" s="926"/>
      <c r="KES189" s="926"/>
      <c r="KET189" s="926"/>
      <c r="KEU189" s="926"/>
      <c r="KEV189" s="926"/>
      <c r="KEW189" s="926"/>
      <c r="KEX189" s="926"/>
      <c r="KEY189" s="926"/>
      <c r="KEZ189" s="926"/>
      <c r="KFA189" s="926"/>
      <c r="KFB189" s="926"/>
      <c r="KFC189" s="926"/>
      <c r="KFD189" s="926"/>
      <c r="KFE189" s="926"/>
      <c r="KFF189" s="926"/>
      <c r="KFG189" s="926"/>
      <c r="KFH189" s="926"/>
      <c r="KFI189" s="926"/>
      <c r="KFJ189" s="926"/>
      <c r="KFK189" s="926"/>
      <c r="KFL189" s="926"/>
      <c r="KFM189" s="926"/>
      <c r="KFN189" s="926"/>
      <c r="KFO189" s="926"/>
      <c r="KFP189" s="926"/>
      <c r="KFQ189" s="926"/>
      <c r="KFR189" s="926"/>
      <c r="KFS189" s="926"/>
      <c r="KFT189" s="926"/>
      <c r="KFU189" s="926"/>
      <c r="KFV189" s="926"/>
      <c r="KFW189" s="926"/>
      <c r="KFX189" s="926"/>
      <c r="KFY189" s="926"/>
      <c r="KFZ189" s="926"/>
      <c r="KGA189" s="926"/>
      <c r="KGB189" s="926"/>
      <c r="KGC189" s="926"/>
      <c r="KGD189" s="926"/>
      <c r="KGE189" s="926"/>
      <c r="KGF189" s="926"/>
      <c r="KGG189" s="926"/>
      <c r="KGH189" s="926"/>
      <c r="KGI189" s="926"/>
      <c r="KGJ189" s="926"/>
      <c r="KGK189" s="926"/>
      <c r="KGL189" s="926"/>
      <c r="KGM189" s="926"/>
      <c r="KGN189" s="926"/>
      <c r="KGO189" s="926"/>
      <c r="KGP189" s="926"/>
      <c r="KGQ189" s="926"/>
      <c r="KGR189" s="926"/>
      <c r="KGS189" s="926"/>
      <c r="KGT189" s="926"/>
      <c r="KGU189" s="926"/>
      <c r="KGV189" s="926"/>
      <c r="KGW189" s="926"/>
      <c r="KGX189" s="926"/>
      <c r="KGY189" s="926"/>
      <c r="KGZ189" s="926"/>
      <c r="KHA189" s="926"/>
      <c r="KHB189" s="926"/>
      <c r="KHC189" s="926"/>
      <c r="KHD189" s="926"/>
      <c r="KHE189" s="926"/>
      <c r="KHF189" s="926"/>
      <c r="KHG189" s="926"/>
      <c r="KHH189" s="926"/>
      <c r="KHI189" s="926"/>
      <c r="KHJ189" s="926"/>
      <c r="KHK189" s="926"/>
      <c r="KHL189" s="926"/>
      <c r="KHM189" s="926"/>
      <c r="KHN189" s="926"/>
      <c r="KHO189" s="926"/>
      <c r="KHP189" s="926"/>
      <c r="KHQ189" s="926"/>
      <c r="KHR189" s="926"/>
      <c r="KHS189" s="926"/>
      <c r="KHT189" s="926"/>
      <c r="KHU189" s="926"/>
      <c r="KHV189" s="926"/>
      <c r="KHW189" s="926"/>
      <c r="KHX189" s="926"/>
      <c r="KHY189" s="926"/>
      <c r="KHZ189" s="926"/>
      <c r="KIA189" s="926"/>
      <c r="KIB189" s="926"/>
      <c r="KIC189" s="926"/>
      <c r="KID189" s="926"/>
      <c r="KIE189" s="926"/>
      <c r="KIF189" s="926"/>
      <c r="KIG189" s="926"/>
      <c r="KIH189" s="926"/>
      <c r="KII189" s="926"/>
      <c r="KIJ189" s="926"/>
      <c r="KIK189" s="926"/>
      <c r="KIL189" s="926"/>
      <c r="KIM189" s="926"/>
      <c r="KIN189" s="926"/>
      <c r="KIO189" s="926"/>
      <c r="KIP189" s="926"/>
      <c r="KIQ189" s="926"/>
      <c r="KIR189" s="926"/>
      <c r="KIS189" s="926"/>
      <c r="KIT189" s="926"/>
      <c r="KIU189" s="926"/>
      <c r="KIV189" s="926"/>
      <c r="KIW189" s="926"/>
      <c r="KIX189" s="926"/>
      <c r="KIY189" s="926"/>
      <c r="KIZ189" s="926"/>
      <c r="KJA189" s="926"/>
      <c r="KJB189" s="926"/>
      <c r="KJC189" s="926"/>
      <c r="KJD189" s="926"/>
      <c r="KJE189" s="926"/>
      <c r="KJF189" s="926"/>
      <c r="KJG189" s="926"/>
      <c r="KJH189" s="926"/>
      <c r="KJI189" s="926"/>
      <c r="KJJ189" s="926"/>
      <c r="KJK189" s="926"/>
      <c r="KJL189" s="926"/>
      <c r="KJM189" s="926"/>
      <c r="KJN189" s="926"/>
      <c r="KJO189" s="926"/>
      <c r="KJP189" s="926"/>
      <c r="KJQ189" s="926"/>
      <c r="KJR189" s="926"/>
      <c r="KJS189" s="926"/>
      <c r="KJT189" s="926"/>
      <c r="KJU189" s="926"/>
      <c r="KJV189" s="926"/>
      <c r="KJW189" s="926"/>
      <c r="KJX189" s="926"/>
      <c r="KJY189" s="926"/>
      <c r="KJZ189" s="926"/>
      <c r="KKA189" s="926"/>
      <c r="KKB189" s="926"/>
      <c r="KKC189" s="926"/>
      <c r="KKD189" s="926"/>
      <c r="KKE189" s="926"/>
      <c r="KKF189" s="926"/>
      <c r="KKG189" s="926"/>
      <c r="KKH189" s="926"/>
      <c r="KKI189" s="926"/>
      <c r="KKJ189" s="926"/>
      <c r="KKK189" s="926"/>
      <c r="KKL189" s="926"/>
      <c r="KKM189" s="926"/>
      <c r="KKN189" s="926"/>
      <c r="KKO189" s="926"/>
      <c r="KKP189" s="926"/>
      <c r="KKQ189" s="926"/>
      <c r="KKR189" s="926"/>
      <c r="KKS189" s="926"/>
      <c r="KKT189" s="926"/>
      <c r="KKU189" s="926"/>
      <c r="KKV189" s="926"/>
      <c r="KKW189" s="926"/>
      <c r="KKX189" s="926"/>
      <c r="KKY189" s="926"/>
      <c r="KKZ189" s="926"/>
      <c r="KLA189" s="926"/>
      <c r="KLB189" s="926"/>
      <c r="KLC189" s="926"/>
      <c r="KLD189" s="926"/>
      <c r="KLE189" s="926"/>
      <c r="KLF189" s="926"/>
      <c r="KLG189" s="926"/>
      <c r="KLH189" s="926"/>
      <c r="KLI189" s="926"/>
      <c r="KLJ189" s="926"/>
      <c r="KLK189" s="926"/>
      <c r="KLL189" s="926"/>
      <c r="KLM189" s="926"/>
      <c r="KLN189" s="926"/>
      <c r="KLO189" s="926"/>
      <c r="KLP189" s="926"/>
      <c r="KLQ189" s="926"/>
      <c r="KLR189" s="926"/>
      <c r="KLS189" s="926"/>
      <c r="KLT189" s="926"/>
      <c r="KLU189" s="926"/>
      <c r="KLV189" s="926"/>
      <c r="KLW189" s="926"/>
      <c r="KLX189" s="926"/>
      <c r="KLY189" s="926"/>
      <c r="KLZ189" s="926"/>
      <c r="KMA189" s="926"/>
      <c r="KMB189" s="926"/>
      <c r="KMC189" s="926"/>
      <c r="KMD189" s="926"/>
      <c r="KME189" s="926"/>
      <c r="KMF189" s="926"/>
      <c r="KMG189" s="926"/>
      <c r="KMH189" s="926"/>
      <c r="KMI189" s="926"/>
      <c r="KMJ189" s="926"/>
      <c r="KMK189" s="926"/>
      <c r="KML189" s="926"/>
      <c r="KMM189" s="926"/>
      <c r="KMN189" s="926"/>
      <c r="KMO189" s="926"/>
      <c r="KMP189" s="926"/>
      <c r="KMQ189" s="926"/>
      <c r="KMR189" s="926"/>
      <c r="KMS189" s="926"/>
      <c r="KMT189" s="926"/>
      <c r="KMU189" s="926"/>
      <c r="KMV189" s="926"/>
      <c r="KMW189" s="926"/>
      <c r="KMX189" s="926"/>
      <c r="KMY189" s="926"/>
      <c r="KMZ189" s="926"/>
      <c r="KNA189" s="926"/>
      <c r="KNB189" s="926"/>
      <c r="KNC189" s="926"/>
      <c r="KND189" s="926"/>
      <c r="KNE189" s="926"/>
      <c r="KNF189" s="926"/>
      <c r="KNG189" s="926"/>
      <c r="KNH189" s="926"/>
      <c r="KNI189" s="926"/>
      <c r="KNJ189" s="926"/>
      <c r="KNK189" s="926"/>
      <c r="KNL189" s="926"/>
      <c r="KNM189" s="926"/>
      <c r="KNN189" s="926"/>
      <c r="KNO189" s="926"/>
      <c r="KNP189" s="926"/>
      <c r="KNQ189" s="926"/>
      <c r="KNR189" s="926"/>
      <c r="KNS189" s="926"/>
      <c r="KNT189" s="926"/>
      <c r="KNU189" s="926"/>
      <c r="KNV189" s="926"/>
      <c r="KNW189" s="926"/>
      <c r="KNX189" s="926"/>
      <c r="KNY189" s="926"/>
      <c r="KNZ189" s="926"/>
      <c r="KOA189" s="926"/>
      <c r="KOB189" s="926"/>
      <c r="KOC189" s="926"/>
      <c r="KOD189" s="926"/>
      <c r="KOE189" s="926"/>
      <c r="KOF189" s="926"/>
      <c r="KOG189" s="926"/>
      <c r="KOH189" s="926"/>
      <c r="KOI189" s="926"/>
      <c r="KOJ189" s="926"/>
      <c r="KOK189" s="926"/>
      <c r="KOL189" s="926"/>
      <c r="KOM189" s="926"/>
      <c r="KON189" s="926"/>
      <c r="KOO189" s="926"/>
      <c r="KOP189" s="926"/>
      <c r="KOQ189" s="926"/>
      <c r="KOR189" s="926"/>
      <c r="KOS189" s="926"/>
      <c r="KOT189" s="926"/>
      <c r="KOU189" s="926"/>
      <c r="KOV189" s="926"/>
      <c r="KOW189" s="926"/>
      <c r="KOX189" s="926"/>
      <c r="KOY189" s="926"/>
      <c r="KOZ189" s="926"/>
      <c r="KPA189" s="926"/>
      <c r="KPB189" s="926"/>
      <c r="KPC189" s="926"/>
      <c r="KPD189" s="926"/>
      <c r="KPE189" s="926"/>
      <c r="KPF189" s="926"/>
      <c r="KPG189" s="926"/>
      <c r="KPH189" s="926"/>
      <c r="KPI189" s="926"/>
      <c r="KPJ189" s="926"/>
      <c r="KPK189" s="926"/>
      <c r="KPL189" s="926"/>
      <c r="KPM189" s="926"/>
      <c r="KPN189" s="926"/>
      <c r="KPO189" s="926"/>
      <c r="KPP189" s="926"/>
      <c r="KPQ189" s="926"/>
      <c r="KPR189" s="926"/>
      <c r="KPS189" s="926"/>
      <c r="KPT189" s="926"/>
      <c r="KPU189" s="926"/>
      <c r="KPV189" s="926"/>
      <c r="KPW189" s="926"/>
      <c r="KPX189" s="926"/>
      <c r="KPY189" s="926"/>
      <c r="KPZ189" s="926"/>
      <c r="KQA189" s="926"/>
      <c r="KQB189" s="926"/>
      <c r="KQC189" s="926"/>
      <c r="KQD189" s="926"/>
      <c r="KQE189" s="926"/>
      <c r="KQF189" s="926"/>
      <c r="KQG189" s="926"/>
      <c r="KQH189" s="926"/>
      <c r="KQI189" s="926"/>
      <c r="KQJ189" s="926"/>
      <c r="KQK189" s="926"/>
      <c r="KQL189" s="926"/>
      <c r="KQM189" s="926"/>
      <c r="KQN189" s="926"/>
      <c r="KQO189" s="926"/>
      <c r="KQP189" s="926"/>
      <c r="KQQ189" s="926"/>
      <c r="KQR189" s="926"/>
      <c r="KQS189" s="926"/>
      <c r="KQT189" s="926"/>
      <c r="KQU189" s="926"/>
      <c r="KQV189" s="926"/>
      <c r="KQW189" s="926"/>
      <c r="KQX189" s="926"/>
      <c r="KQY189" s="926"/>
      <c r="KQZ189" s="926"/>
      <c r="KRA189" s="926"/>
      <c r="KRB189" s="926"/>
      <c r="KRC189" s="926"/>
      <c r="KRD189" s="926"/>
      <c r="KRE189" s="926"/>
      <c r="KRF189" s="926"/>
      <c r="KRG189" s="926"/>
      <c r="KRH189" s="926"/>
      <c r="KRI189" s="926"/>
      <c r="KRJ189" s="926"/>
      <c r="KRK189" s="926"/>
      <c r="KRL189" s="926"/>
      <c r="KRM189" s="926"/>
      <c r="KRN189" s="926"/>
      <c r="KRO189" s="926"/>
      <c r="KRP189" s="926"/>
      <c r="KRQ189" s="926"/>
      <c r="KRR189" s="926"/>
      <c r="KRS189" s="926"/>
      <c r="KRT189" s="926"/>
      <c r="KRU189" s="926"/>
      <c r="KRV189" s="926"/>
      <c r="KRW189" s="926"/>
      <c r="KRX189" s="926"/>
      <c r="KRY189" s="926"/>
      <c r="KRZ189" s="926"/>
      <c r="KSA189" s="926"/>
      <c r="KSB189" s="926"/>
      <c r="KSC189" s="926"/>
      <c r="KSD189" s="926"/>
      <c r="KSE189" s="926"/>
      <c r="KSF189" s="926"/>
      <c r="KSG189" s="926"/>
      <c r="KSH189" s="926"/>
      <c r="KSI189" s="926"/>
      <c r="KSJ189" s="926"/>
      <c r="KSK189" s="926"/>
      <c r="KSL189" s="926"/>
      <c r="KSM189" s="926"/>
      <c r="KSN189" s="926"/>
      <c r="KSO189" s="926"/>
      <c r="KSP189" s="926"/>
      <c r="KSQ189" s="926"/>
      <c r="KSR189" s="926"/>
      <c r="KSS189" s="926"/>
      <c r="KST189" s="926"/>
      <c r="KSU189" s="926"/>
      <c r="KSV189" s="926"/>
      <c r="KSW189" s="926"/>
      <c r="KSX189" s="926"/>
      <c r="KSY189" s="926"/>
      <c r="KSZ189" s="926"/>
      <c r="KTA189" s="926"/>
      <c r="KTB189" s="926"/>
      <c r="KTC189" s="926"/>
      <c r="KTD189" s="926"/>
      <c r="KTE189" s="926"/>
      <c r="KTF189" s="926"/>
      <c r="KTG189" s="926"/>
      <c r="KTH189" s="926"/>
      <c r="KTI189" s="926"/>
      <c r="KTJ189" s="926"/>
      <c r="KTK189" s="926"/>
      <c r="KTL189" s="926"/>
      <c r="KTM189" s="926"/>
      <c r="KTN189" s="926"/>
      <c r="KTO189" s="926"/>
      <c r="KTP189" s="926"/>
      <c r="KTQ189" s="926"/>
      <c r="KTR189" s="926"/>
      <c r="KTS189" s="926"/>
      <c r="KTT189" s="926"/>
      <c r="KTU189" s="926"/>
      <c r="KTV189" s="926"/>
      <c r="KTW189" s="926"/>
      <c r="KTX189" s="926"/>
      <c r="KTY189" s="926"/>
      <c r="KTZ189" s="926"/>
      <c r="KUA189" s="926"/>
      <c r="KUB189" s="926"/>
      <c r="KUC189" s="926"/>
      <c r="KUD189" s="926"/>
      <c r="KUE189" s="926"/>
      <c r="KUF189" s="926"/>
      <c r="KUG189" s="926"/>
      <c r="KUH189" s="926"/>
      <c r="KUI189" s="926"/>
      <c r="KUJ189" s="926"/>
      <c r="KUK189" s="926"/>
      <c r="KUL189" s="926"/>
      <c r="KUM189" s="926"/>
      <c r="KUN189" s="926"/>
      <c r="KUO189" s="926"/>
      <c r="KUP189" s="926"/>
      <c r="KUQ189" s="926"/>
      <c r="KUR189" s="926"/>
      <c r="KUS189" s="926"/>
      <c r="KUT189" s="926"/>
      <c r="KUU189" s="926"/>
      <c r="KUV189" s="926"/>
      <c r="KUW189" s="926"/>
      <c r="KUX189" s="926"/>
      <c r="KUY189" s="926"/>
      <c r="KUZ189" s="926"/>
      <c r="KVA189" s="926"/>
      <c r="KVB189" s="926"/>
      <c r="KVC189" s="926"/>
      <c r="KVD189" s="926"/>
      <c r="KVE189" s="926"/>
      <c r="KVF189" s="926"/>
      <c r="KVG189" s="926"/>
      <c r="KVH189" s="926"/>
      <c r="KVI189" s="926"/>
      <c r="KVJ189" s="926"/>
      <c r="KVK189" s="926"/>
      <c r="KVL189" s="926"/>
      <c r="KVM189" s="926"/>
      <c r="KVN189" s="926"/>
      <c r="KVO189" s="926"/>
      <c r="KVP189" s="926"/>
      <c r="KVQ189" s="926"/>
      <c r="KVR189" s="926"/>
      <c r="KVS189" s="926"/>
      <c r="KVT189" s="926"/>
      <c r="KVU189" s="926"/>
      <c r="KVV189" s="926"/>
      <c r="KVW189" s="926"/>
      <c r="KVX189" s="926"/>
      <c r="KVY189" s="926"/>
      <c r="KVZ189" s="926"/>
      <c r="KWA189" s="926"/>
      <c r="KWB189" s="926"/>
      <c r="KWC189" s="926"/>
      <c r="KWD189" s="926"/>
      <c r="KWE189" s="926"/>
      <c r="KWF189" s="926"/>
      <c r="KWG189" s="926"/>
      <c r="KWH189" s="926"/>
      <c r="KWI189" s="926"/>
      <c r="KWJ189" s="926"/>
      <c r="KWK189" s="926"/>
      <c r="KWL189" s="926"/>
      <c r="KWM189" s="926"/>
      <c r="KWN189" s="926"/>
      <c r="KWO189" s="926"/>
      <c r="KWP189" s="926"/>
      <c r="KWQ189" s="926"/>
      <c r="KWR189" s="926"/>
      <c r="KWS189" s="926"/>
      <c r="KWT189" s="926"/>
      <c r="KWU189" s="926"/>
      <c r="KWV189" s="926"/>
      <c r="KWW189" s="926"/>
      <c r="KWX189" s="926"/>
      <c r="KWY189" s="926"/>
      <c r="KWZ189" s="926"/>
      <c r="KXA189" s="926"/>
      <c r="KXB189" s="926"/>
      <c r="KXC189" s="926"/>
      <c r="KXD189" s="926"/>
      <c r="KXE189" s="926"/>
      <c r="KXF189" s="926"/>
      <c r="KXG189" s="926"/>
      <c r="KXH189" s="926"/>
      <c r="KXI189" s="926"/>
      <c r="KXJ189" s="926"/>
      <c r="KXK189" s="926"/>
      <c r="KXL189" s="926"/>
      <c r="KXM189" s="926"/>
      <c r="KXN189" s="926"/>
      <c r="KXO189" s="926"/>
      <c r="KXP189" s="926"/>
      <c r="KXQ189" s="926"/>
      <c r="KXR189" s="926"/>
      <c r="KXS189" s="926"/>
      <c r="KXT189" s="926"/>
      <c r="KXU189" s="926"/>
      <c r="KXV189" s="926"/>
      <c r="KXW189" s="926"/>
      <c r="KXX189" s="926"/>
      <c r="KXY189" s="926"/>
      <c r="KXZ189" s="926"/>
      <c r="KYA189" s="926"/>
      <c r="KYB189" s="926"/>
      <c r="KYC189" s="926"/>
      <c r="KYD189" s="926"/>
      <c r="KYE189" s="926"/>
      <c r="KYF189" s="926"/>
      <c r="KYG189" s="926"/>
      <c r="KYH189" s="926"/>
      <c r="KYI189" s="926"/>
      <c r="KYJ189" s="926"/>
      <c r="KYK189" s="926"/>
      <c r="KYL189" s="926"/>
      <c r="KYM189" s="926"/>
      <c r="KYN189" s="926"/>
      <c r="KYO189" s="926"/>
      <c r="KYP189" s="926"/>
      <c r="KYQ189" s="926"/>
      <c r="KYR189" s="926"/>
      <c r="KYS189" s="926"/>
      <c r="KYT189" s="926"/>
      <c r="KYU189" s="926"/>
      <c r="KYV189" s="926"/>
      <c r="KYW189" s="926"/>
      <c r="KYX189" s="926"/>
      <c r="KYY189" s="926"/>
      <c r="KYZ189" s="926"/>
      <c r="KZA189" s="926"/>
      <c r="KZB189" s="926"/>
      <c r="KZC189" s="926"/>
      <c r="KZD189" s="926"/>
      <c r="KZE189" s="926"/>
      <c r="KZF189" s="926"/>
      <c r="KZG189" s="926"/>
      <c r="KZH189" s="926"/>
      <c r="KZI189" s="926"/>
      <c r="KZJ189" s="926"/>
      <c r="KZK189" s="926"/>
      <c r="KZL189" s="926"/>
      <c r="KZM189" s="926"/>
      <c r="KZN189" s="926"/>
      <c r="KZO189" s="926"/>
      <c r="KZP189" s="926"/>
      <c r="KZQ189" s="926"/>
      <c r="KZR189" s="926"/>
      <c r="KZS189" s="926"/>
      <c r="KZT189" s="926"/>
      <c r="KZU189" s="926"/>
      <c r="KZV189" s="926"/>
      <c r="KZW189" s="926"/>
      <c r="KZX189" s="926"/>
      <c r="KZY189" s="926"/>
      <c r="KZZ189" s="926"/>
      <c r="LAA189" s="926"/>
      <c r="LAB189" s="926"/>
      <c r="LAC189" s="926"/>
      <c r="LAD189" s="926"/>
      <c r="LAE189" s="926"/>
      <c r="LAF189" s="926"/>
      <c r="LAG189" s="926"/>
      <c r="LAH189" s="926"/>
      <c r="LAI189" s="926"/>
      <c r="LAJ189" s="926"/>
      <c r="LAK189" s="926"/>
      <c r="LAL189" s="926"/>
      <c r="LAM189" s="926"/>
      <c r="LAN189" s="926"/>
      <c r="LAO189" s="926"/>
      <c r="LAP189" s="926"/>
      <c r="LAQ189" s="926"/>
      <c r="LAR189" s="926"/>
      <c r="LAS189" s="926"/>
      <c r="LAT189" s="926"/>
      <c r="LAU189" s="926"/>
      <c r="LAV189" s="926"/>
      <c r="LAW189" s="926"/>
      <c r="LAX189" s="926"/>
      <c r="LAY189" s="926"/>
      <c r="LAZ189" s="926"/>
      <c r="LBA189" s="926"/>
      <c r="LBB189" s="926"/>
      <c r="LBC189" s="926"/>
      <c r="LBD189" s="926"/>
      <c r="LBE189" s="926"/>
      <c r="LBF189" s="926"/>
      <c r="LBG189" s="926"/>
      <c r="LBH189" s="926"/>
      <c r="LBI189" s="926"/>
      <c r="LBJ189" s="926"/>
      <c r="LBK189" s="926"/>
      <c r="LBL189" s="926"/>
      <c r="LBM189" s="926"/>
      <c r="LBN189" s="926"/>
      <c r="LBO189" s="926"/>
      <c r="LBP189" s="926"/>
      <c r="LBQ189" s="926"/>
      <c r="LBR189" s="926"/>
      <c r="LBS189" s="926"/>
      <c r="LBT189" s="926"/>
      <c r="LBU189" s="926"/>
      <c r="LBV189" s="926"/>
      <c r="LBW189" s="926"/>
      <c r="LBX189" s="926"/>
      <c r="LBY189" s="926"/>
      <c r="LBZ189" s="926"/>
      <c r="LCA189" s="926"/>
      <c r="LCB189" s="926"/>
      <c r="LCC189" s="926"/>
      <c r="LCD189" s="926"/>
      <c r="LCE189" s="926"/>
      <c r="LCF189" s="926"/>
      <c r="LCG189" s="926"/>
      <c r="LCH189" s="926"/>
      <c r="LCI189" s="926"/>
      <c r="LCJ189" s="926"/>
      <c r="LCK189" s="926"/>
      <c r="LCL189" s="926"/>
      <c r="LCM189" s="926"/>
      <c r="LCN189" s="926"/>
      <c r="LCO189" s="926"/>
      <c r="LCP189" s="926"/>
      <c r="LCQ189" s="926"/>
      <c r="LCR189" s="926"/>
      <c r="LCS189" s="926"/>
      <c r="LCT189" s="926"/>
      <c r="LCU189" s="926"/>
      <c r="LCV189" s="926"/>
      <c r="LCW189" s="926"/>
      <c r="LCX189" s="926"/>
      <c r="LCY189" s="926"/>
      <c r="LCZ189" s="926"/>
      <c r="LDA189" s="926"/>
      <c r="LDB189" s="926"/>
      <c r="LDC189" s="926"/>
      <c r="LDD189" s="926"/>
      <c r="LDE189" s="926"/>
      <c r="LDF189" s="926"/>
      <c r="LDG189" s="926"/>
      <c r="LDH189" s="926"/>
      <c r="LDI189" s="926"/>
      <c r="LDJ189" s="926"/>
      <c r="LDK189" s="926"/>
      <c r="LDL189" s="926"/>
      <c r="LDM189" s="926"/>
      <c r="LDN189" s="926"/>
      <c r="LDO189" s="926"/>
      <c r="LDP189" s="926"/>
      <c r="LDQ189" s="926"/>
      <c r="LDR189" s="926"/>
      <c r="LDS189" s="926"/>
      <c r="LDT189" s="926"/>
      <c r="LDU189" s="926"/>
      <c r="LDV189" s="926"/>
      <c r="LDW189" s="926"/>
      <c r="LDX189" s="926"/>
      <c r="LDY189" s="926"/>
      <c r="LDZ189" s="926"/>
      <c r="LEA189" s="926"/>
      <c r="LEB189" s="926"/>
      <c r="LEC189" s="926"/>
      <c r="LED189" s="926"/>
      <c r="LEE189" s="926"/>
      <c r="LEF189" s="926"/>
      <c r="LEG189" s="926"/>
      <c r="LEH189" s="926"/>
      <c r="LEI189" s="926"/>
      <c r="LEJ189" s="926"/>
      <c r="LEK189" s="926"/>
      <c r="LEL189" s="926"/>
      <c r="LEM189" s="926"/>
      <c r="LEN189" s="926"/>
      <c r="LEO189" s="926"/>
      <c r="LEP189" s="926"/>
      <c r="LEQ189" s="926"/>
      <c r="LER189" s="926"/>
      <c r="LES189" s="926"/>
      <c r="LET189" s="926"/>
      <c r="LEU189" s="926"/>
      <c r="LEV189" s="926"/>
      <c r="LEW189" s="926"/>
      <c r="LEX189" s="926"/>
      <c r="LEY189" s="926"/>
      <c r="LEZ189" s="926"/>
      <c r="LFA189" s="926"/>
      <c r="LFB189" s="926"/>
      <c r="LFC189" s="926"/>
      <c r="LFD189" s="926"/>
      <c r="LFE189" s="926"/>
      <c r="LFF189" s="926"/>
      <c r="LFG189" s="926"/>
      <c r="LFH189" s="926"/>
      <c r="LFI189" s="926"/>
      <c r="LFJ189" s="926"/>
      <c r="LFK189" s="926"/>
      <c r="LFL189" s="926"/>
      <c r="LFM189" s="926"/>
      <c r="LFN189" s="926"/>
      <c r="LFO189" s="926"/>
      <c r="LFP189" s="926"/>
      <c r="LFQ189" s="926"/>
      <c r="LFR189" s="926"/>
      <c r="LFS189" s="926"/>
      <c r="LFT189" s="926"/>
      <c r="LFU189" s="926"/>
      <c r="LFV189" s="926"/>
      <c r="LFW189" s="926"/>
      <c r="LFX189" s="926"/>
      <c r="LFY189" s="926"/>
      <c r="LFZ189" s="926"/>
      <c r="LGA189" s="926"/>
      <c r="LGB189" s="926"/>
      <c r="LGC189" s="926"/>
      <c r="LGD189" s="926"/>
      <c r="LGE189" s="926"/>
      <c r="LGF189" s="926"/>
      <c r="LGG189" s="926"/>
      <c r="LGH189" s="926"/>
      <c r="LGI189" s="926"/>
      <c r="LGJ189" s="926"/>
      <c r="LGK189" s="926"/>
      <c r="LGL189" s="926"/>
      <c r="LGM189" s="926"/>
      <c r="LGN189" s="926"/>
      <c r="LGO189" s="926"/>
      <c r="LGP189" s="926"/>
      <c r="LGQ189" s="926"/>
      <c r="LGR189" s="926"/>
      <c r="LGS189" s="926"/>
      <c r="LGT189" s="926"/>
      <c r="LGU189" s="926"/>
      <c r="LGV189" s="926"/>
      <c r="LGW189" s="926"/>
      <c r="LGX189" s="926"/>
      <c r="LGY189" s="926"/>
      <c r="LGZ189" s="926"/>
      <c r="LHA189" s="926"/>
      <c r="LHB189" s="926"/>
      <c r="LHC189" s="926"/>
      <c r="LHD189" s="926"/>
      <c r="LHE189" s="926"/>
      <c r="LHF189" s="926"/>
      <c r="LHG189" s="926"/>
      <c r="LHH189" s="926"/>
      <c r="LHI189" s="926"/>
      <c r="LHJ189" s="926"/>
      <c r="LHK189" s="926"/>
      <c r="LHL189" s="926"/>
      <c r="LHM189" s="926"/>
      <c r="LHN189" s="926"/>
      <c r="LHO189" s="926"/>
      <c r="LHP189" s="926"/>
      <c r="LHQ189" s="926"/>
      <c r="LHR189" s="926"/>
      <c r="LHS189" s="926"/>
      <c r="LHT189" s="926"/>
      <c r="LHU189" s="926"/>
      <c r="LHV189" s="926"/>
      <c r="LHW189" s="926"/>
      <c r="LHX189" s="926"/>
      <c r="LHY189" s="926"/>
      <c r="LHZ189" s="926"/>
      <c r="LIA189" s="926"/>
      <c r="LIB189" s="926"/>
      <c r="LIC189" s="926"/>
      <c r="LID189" s="926"/>
      <c r="LIE189" s="926"/>
      <c r="LIF189" s="926"/>
      <c r="LIG189" s="926"/>
      <c r="LIH189" s="926"/>
      <c r="LII189" s="926"/>
      <c r="LIJ189" s="926"/>
      <c r="LIK189" s="926"/>
      <c r="LIL189" s="926"/>
      <c r="LIM189" s="926"/>
      <c r="LIN189" s="926"/>
      <c r="LIO189" s="926"/>
      <c r="LIP189" s="926"/>
      <c r="LIQ189" s="926"/>
      <c r="LIR189" s="926"/>
      <c r="LIS189" s="926"/>
      <c r="LIT189" s="926"/>
      <c r="LIU189" s="926"/>
      <c r="LIV189" s="926"/>
      <c r="LIW189" s="926"/>
      <c r="LIX189" s="926"/>
      <c r="LIY189" s="926"/>
      <c r="LIZ189" s="926"/>
      <c r="LJA189" s="926"/>
      <c r="LJB189" s="926"/>
      <c r="LJC189" s="926"/>
      <c r="LJD189" s="926"/>
      <c r="LJE189" s="926"/>
      <c r="LJF189" s="926"/>
      <c r="LJG189" s="926"/>
      <c r="LJH189" s="926"/>
      <c r="LJI189" s="926"/>
      <c r="LJJ189" s="926"/>
      <c r="LJK189" s="926"/>
      <c r="LJL189" s="926"/>
      <c r="LJM189" s="926"/>
      <c r="LJN189" s="926"/>
      <c r="LJO189" s="926"/>
      <c r="LJP189" s="926"/>
      <c r="LJQ189" s="926"/>
      <c r="LJR189" s="926"/>
      <c r="LJS189" s="926"/>
      <c r="LJT189" s="926"/>
      <c r="LJU189" s="926"/>
      <c r="LJV189" s="926"/>
      <c r="LJW189" s="926"/>
      <c r="LJX189" s="926"/>
      <c r="LJY189" s="926"/>
      <c r="LJZ189" s="926"/>
      <c r="LKA189" s="926"/>
      <c r="LKB189" s="926"/>
      <c r="LKC189" s="926"/>
      <c r="LKD189" s="926"/>
      <c r="LKE189" s="926"/>
      <c r="LKF189" s="926"/>
      <c r="LKG189" s="926"/>
      <c r="LKH189" s="926"/>
      <c r="LKI189" s="926"/>
      <c r="LKJ189" s="926"/>
      <c r="LKK189" s="926"/>
      <c r="LKL189" s="926"/>
      <c r="LKM189" s="926"/>
      <c r="LKN189" s="926"/>
      <c r="LKO189" s="926"/>
      <c r="LKP189" s="926"/>
      <c r="LKQ189" s="926"/>
      <c r="LKR189" s="926"/>
      <c r="LKS189" s="926"/>
      <c r="LKT189" s="926"/>
      <c r="LKU189" s="926"/>
      <c r="LKV189" s="926"/>
      <c r="LKW189" s="926"/>
      <c r="LKX189" s="926"/>
      <c r="LKY189" s="926"/>
      <c r="LKZ189" s="926"/>
      <c r="LLA189" s="926"/>
      <c r="LLB189" s="926"/>
      <c r="LLC189" s="926"/>
      <c r="LLD189" s="926"/>
      <c r="LLE189" s="926"/>
      <c r="LLF189" s="926"/>
      <c r="LLG189" s="926"/>
      <c r="LLH189" s="926"/>
      <c r="LLI189" s="926"/>
      <c r="LLJ189" s="926"/>
      <c r="LLK189" s="926"/>
      <c r="LLL189" s="926"/>
      <c r="LLM189" s="926"/>
      <c r="LLN189" s="926"/>
      <c r="LLO189" s="926"/>
      <c r="LLP189" s="926"/>
      <c r="LLQ189" s="926"/>
      <c r="LLR189" s="926"/>
      <c r="LLS189" s="926"/>
      <c r="LLT189" s="926"/>
      <c r="LLU189" s="926"/>
      <c r="LLV189" s="926"/>
      <c r="LLW189" s="926"/>
      <c r="LLX189" s="926"/>
      <c r="LLY189" s="926"/>
      <c r="LLZ189" s="926"/>
      <c r="LMA189" s="926"/>
      <c r="LMB189" s="926"/>
      <c r="LMC189" s="926"/>
      <c r="LMD189" s="926"/>
      <c r="LME189" s="926"/>
      <c r="LMF189" s="926"/>
      <c r="LMG189" s="926"/>
      <c r="LMH189" s="926"/>
      <c r="LMI189" s="926"/>
      <c r="LMJ189" s="926"/>
      <c r="LMK189" s="926"/>
      <c r="LML189" s="926"/>
      <c r="LMM189" s="926"/>
      <c r="LMN189" s="926"/>
      <c r="LMO189" s="926"/>
      <c r="LMP189" s="926"/>
      <c r="LMQ189" s="926"/>
      <c r="LMR189" s="926"/>
      <c r="LMS189" s="926"/>
      <c r="LMT189" s="926"/>
      <c r="LMU189" s="926"/>
      <c r="LMV189" s="926"/>
      <c r="LMW189" s="926"/>
      <c r="LMX189" s="926"/>
      <c r="LMY189" s="926"/>
      <c r="LMZ189" s="926"/>
      <c r="LNA189" s="926"/>
      <c r="LNB189" s="926"/>
      <c r="LNC189" s="926"/>
      <c r="LND189" s="926"/>
      <c r="LNE189" s="926"/>
      <c r="LNF189" s="926"/>
      <c r="LNG189" s="926"/>
      <c r="LNH189" s="926"/>
      <c r="LNI189" s="926"/>
      <c r="LNJ189" s="926"/>
      <c r="LNK189" s="926"/>
      <c r="LNL189" s="926"/>
      <c r="LNM189" s="926"/>
      <c r="LNN189" s="926"/>
      <c r="LNO189" s="926"/>
      <c r="LNP189" s="926"/>
      <c r="LNQ189" s="926"/>
      <c r="LNR189" s="926"/>
      <c r="LNS189" s="926"/>
      <c r="LNT189" s="926"/>
      <c r="LNU189" s="926"/>
      <c r="LNV189" s="926"/>
      <c r="LNW189" s="926"/>
      <c r="LNX189" s="926"/>
      <c r="LNY189" s="926"/>
      <c r="LNZ189" s="926"/>
      <c r="LOA189" s="926"/>
      <c r="LOB189" s="926"/>
      <c r="LOC189" s="926"/>
      <c r="LOD189" s="926"/>
      <c r="LOE189" s="926"/>
      <c r="LOF189" s="926"/>
      <c r="LOG189" s="926"/>
      <c r="LOH189" s="926"/>
      <c r="LOI189" s="926"/>
      <c r="LOJ189" s="926"/>
      <c r="LOK189" s="926"/>
      <c r="LOL189" s="926"/>
      <c r="LOM189" s="926"/>
      <c r="LON189" s="926"/>
      <c r="LOO189" s="926"/>
      <c r="LOP189" s="926"/>
      <c r="LOQ189" s="926"/>
      <c r="LOR189" s="926"/>
      <c r="LOS189" s="926"/>
      <c r="LOT189" s="926"/>
      <c r="LOU189" s="926"/>
      <c r="LOV189" s="926"/>
      <c r="LOW189" s="926"/>
      <c r="LOX189" s="926"/>
      <c r="LOY189" s="926"/>
      <c r="LOZ189" s="926"/>
      <c r="LPA189" s="926"/>
      <c r="LPB189" s="926"/>
      <c r="LPC189" s="926"/>
      <c r="LPD189" s="926"/>
      <c r="LPE189" s="926"/>
      <c r="LPF189" s="926"/>
      <c r="LPG189" s="926"/>
      <c r="LPH189" s="926"/>
      <c r="LPI189" s="926"/>
      <c r="LPJ189" s="926"/>
      <c r="LPK189" s="926"/>
      <c r="LPL189" s="926"/>
      <c r="LPM189" s="926"/>
      <c r="LPN189" s="926"/>
      <c r="LPO189" s="926"/>
      <c r="LPP189" s="926"/>
      <c r="LPQ189" s="926"/>
      <c r="LPR189" s="926"/>
      <c r="LPS189" s="926"/>
      <c r="LPT189" s="926"/>
      <c r="LPU189" s="926"/>
      <c r="LPV189" s="926"/>
      <c r="LPW189" s="926"/>
      <c r="LPX189" s="926"/>
      <c r="LPY189" s="926"/>
      <c r="LPZ189" s="926"/>
      <c r="LQA189" s="926"/>
      <c r="LQB189" s="926"/>
      <c r="LQC189" s="926"/>
      <c r="LQD189" s="926"/>
      <c r="LQE189" s="926"/>
      <c r="LQF189" s="926"/>
      <c r="LQG189" s="926"/>
      <c r="LQH189" s="926"/>
      <c r="LQI189" s="926"/>
      <c r="LQJ189" s="926"/>
      <c r="LQK189" s="926"/>
      <c r="LQL189" s="926"/>
      <c r="LQM189" s="926"/>
      <c r="LQN189" s="926"/>
      <c r="LQO189" s="926"/>
      <c r="LQP189" s="926"/>
      <c r="LQQ189" s="926"/>
      <c r="LQR189" s="926"/>
      <c r="LQS189" s="926"/>
      <c r="LQT189" s="926"/>
      <c r="LQU189" s="926"/>
      <c r="LQV189" s="926"/>
      <c r="LQW189" s="926"/>
      <c r="LQX189" s="926"/>
      <c r="LQY189" s="926"/>
      <c r="LQZ189" s="926"/>
      <c r="LRA189" s="926"/>
      <c r="LRB189" s="926"/>
      <c r="LRC189" s="926"/>
      <c r="LRD189" s="926"/>
      <c r="LRE189" s="926"/>
      <c r="LRF189" s="926"/>
      <c r="LRG189" s="926"/>
      <c r="LRH189" s="926"/>
      <c r="LRI189" s="926"/>
      <c r="LRJ189" s="926"/>
      <c r="LRK189" s="926"/>
      <c r="LRL189" s="926"/>
      <c r="LRM189" s="926"/>
      <c r="LRN189" s="926"/>
      <c r="LRO189" s="926"/>
      <c r="LRP189" s="926"/>
      <c r="LRQ189" s="926"/>
      <c r="LRR189" s="926"/>
      <c r="LRS189" s="926"/>
      <c r="LRT189" s="926"/>
      <c r="LRU189" s="926"/>
      <c r="LRV189" s="926"/>
      <c r="LRW189" s="926"/>
      <c r="LRX189" s="926"/>
      <c r="LRY189" s="926"/>
      <c r="LRZ189" s="926"/>
      <c r="LSA189" s="926"/>
      <c r="LSB189" s="926"/>
      <c r="LSC189" s="926"/>
      <c r="LSD189" s="926"/>
      <c r="LSE189" s="926"/>
      <c r="LSF189" s="926"/>
      <c r="LSG189" s="926"/>
      <c r="LSH189" s="926"/>
      <c r="LSI189" s="926"/>
      <c r="LSJ189" s="926"/>
      <c r="LSK189" s="926"/>
      <c r="LSL189" s="926"/>
      <c r="LSM189" s="926"/>
      <c r="LSN189" s="926"/>
      <c r="LSO189" s="926"/>
      <c r="LSP189" s="926"/>
      <c r="LSQ189" s="926"/>
      <c r="LSR189" s="926"/>
      <c r="LSS189" s="926"/>
      <c r="LST189" s="926"/>
      <c r="LSU189" s="926"/>
      <c r="LSV189" s="926"/>
      <c r="LSW189" s="926"/>
      <c r="LSX189" s="926"/>
      <c r="LSY189" s="926"/>
      <c r="LSZ189" s="926"/>
      <c r="LTA189" s="926"/>
      <c r="LTB189" s="926"/>
      <c r="LTC189" s="926"/>
      <c r="LTD189" s="926"/>
      <c r="LTE189" s="926"/>
      <c r="LTF189" s="926"/>
      <c r="LTG189" s="926"/>
      <c r="LTH189" s="926"/>
      <c r="LTI189" s="926"/>
      <c r="LTJ189" s="926"/>
      <c r="LTK189" s="926"/>
      <c r="LTL189" s="926"/>
      <c r="LTM189" s="926"/>
      <c r="LTN189" s="926"/>
      <c r="LTO189" s="926"/>
      <c r="LTP189" s="926"/>
      <c r="LTQ189" s="926"/>
      <c r="LTR189" s="926"/>
      <c r="LTS189" s="926"/>
      <c r="LTT189" s="926"/>
      <c r="LTU189" s="926"/>
      <c r="LTV189" s="926"/>
      <c r="LTW189" s="926"/>
      <c r="LTX189" s="926"/>
      <c r="LTY189" s="926"/>
      <c r="LTZ189" s="926"/>
      <c r="LUA189" s="926"/>
      <c r="LUB189" s="926"/>
      <c r="LUC189" s="926"/>
      <c r="LUD189" s="926"/>
      <c r="LUE189" s="926"/>
      <c r="LUF189" s="926"/>
      <c r="LUG189" s="926"/>
      <c r="LUH189" s="926"/>
      <c r="LUI189" s="926"/>
      <c r="LUJ189" s="926"/>
      <c r="LUK189" s="926"/>
      <c r="LUL189" s="926"/>
      <c r="LUM189" s="926"/>
      <c r="LUN189" s="926"/>
      <c r="LUO189" s="926"/>
      <c r="LUP189" s="926"/>
      <c r="LUQ189" s="926"/>
      <c r="LUR189" s="926"/>
      <c r="LUS189" s="926"/>
      <c r="LUT189" s="926"/>
      <c r="LUU189" s="926"/>
      <c r="LUV189" s="926"/>
      <c r="LUW189" s="926"/>
      <c r="LUX189" s="926"/>
      <c r="LUY189" s="926"/>
      <c r="LUZ189" s="926"/>
      <c r="LVA189" s="926"/>
      <c r="LVB189" s="926"/>
      <c r="LVC189" s="926"/>
      <c r="LVD189" s="926"/>
      <c r="LVE189" s="926"/>
      <c r="LVF189" s="926"/>
      <c r="LVG189" s="926"/>
      <c r="LVH189" s="926"/>
      <c r="LVI189" s="926"/>
      <c r="LVJ189" s="926"/>
      <c r="LVK189" s="926"/>
      <c r="LVL189" s="926"/>
      <c r="LVM189" s="926"/>
      <c r="LVN189" s="926"/>
      <c r="LVO189" s="926"/>
      <c r="LVP189" s="926"/>
      <c r="LVQ189" s="926"/>
      <c r="LVR189" s="926"/>
      <c r="LVS189" s="926"/>
      <c r="LVT189" s="926"/>
      <c r="LVU189" s="926"/>
      <c r="LVV189" s="926"/>
      <c r="LVW189" s="926"/>
      <c r="LVX189" s="926"/>
      <c r="LVY189" s="926"/>
      <c r="LVZ189" s="926"/>
      <c r="LWA189" s="926"/>
      <c r="LWB189" s="926"/>
      <c r="LWC189" s="926"/>
      <c r="LWD189" s="926"/>
      <c r="LWE189" s="926"/>
      <c r="LWF189" s="926"/>
      <c r="LWG189" s="926"/>
      <c r="LWH189" s="926"/>
      <c r="LWI189" s="926"/>
      <c r="LWJ189" s="926"/>
      <c r="LWK189" s="926"/>
      <c r="LWL189" s="926"/>
      <c r="LWM189" s="926"/>
      <c r="LWN189" s="926"/>
      <c r="LWO189" s="926"/>
      <c r="LWP189" s="926"/>
      <c r="LWQ189" s="926"/>
      <c r="LWR189" s="926"/>
      <c r="LWS189" s="926"/>
      <c r="LWT189" s="926"/>
      <c r="LWU189" s="926"/>
      <c r="LWV189" s="926"/>
      <c r="LWW189" s="926"/>
      <c r="LWX189" s="926"/>
      <c r="LWY189" s="926"/>
      <c r="LWZ189" s="926"/>
      <c r="LXA189" s="926"/>
      <c r="LXB189" s="926"/>
      <c r="LXC189" s="926"/>
      <c r="LXD189" s="926"/>
      <c r="LXE189" s="926"/>
      <c r="LXF189" s="926"/>
      <c r="LXG189" s="926"/>
      <c r="LXH189" s="926"/>
      <c r="LXI189" s="926"/>
      <c r="LXJ189" s="926"/>
      <c r="LXK189" s="926"/>
      <c r="LXL189" s="926"/>
      <c r="LXM189" s="926"/>
      <c r="LXN189" s="926"/>
      <c r="LXO189" s="926"/>
      <c r="LXP189" s="926"/>
      <c r="LXQ189" s="926"/>
      <c r="LXR189" s="926"/>
      <c r="LXS189" s="926"/>
      <c r="LXT189" s="926"/>
      <c r="LXU189" s="926"/>
      <c r="LXV189" s="926"/>
      <c r="LXW189" s="926"/>
      <c r="LXX189" s="926"/>
      <c r="LXY189" s="926"/>
      <c r="LXZ189" s="926"/>
      <c r="LYA189" s="926"/>
      <c r="LYB189" s="926"/>
      <c r="LYC189" s="926"/>
      <c r="LYD189" s="926"/>
      <c r="LYE189" s="926"/>
      <c r="LYF189" s="926"/>
      <c r="LYG189" s="926"/>
      <c r="LYH189" s="926"/>
      <c r="LYI189" s="926"/>
      <c r="LYJ189" s="926"/>
      <c r="LYK189" s="926"/>
      <c r="LYL189" s="926"/>
      <c r="LYM189" s="926"/>
      <c r="LYN189" s="926"/>
      <c r="LYO189" s="926"/>
      <c r="LYP189" s="926"/>
      <c r="LYQ189" s="926"/>
      <c r="LYR189" s="926"/>
      <c r="LYS189" s="926"/>
      <c r="LYT189" s="926"/>
      <c r="LYU189" s="926"/>
      <c r="LYV189" s="926"/>
      <c r="LYW189" s="926"/>
      <c r="LYX189" s="926"/>
      <c r="LYY189" s="926"/>
      <c r="LYZ189" s="926"/>
      <c r="LZA189" s="926"/>
      <c r="LZB189" s="926"/>
      <c r="LZC189" s="926"/>
      <c r="LZD189" s="926"/>
      <c r="LZE189" s="926"/>
      <c r="LZF189" s="926"/>
      <c r="LZG189" s="926"/>
      <c r="LZH189" s="926"/>
      <c r="LZI189" s="926"/>
      <c r="LZJ189" s="926"/>
      <c r="LZK189" s="926"/>
      <c r="LZL189" s="926"/>
      <c r="LZM189" s="926"/>
      <c r="LZN189" s="926"/>
      <c r="LZO189" s="926"/>
      <c r="LZP189" s="926"/>
      <c r="LZQ189" s="926"/>
      <c r="LZR189" s="926"/>
      <c r="LZS189" s="926"/>
      <c r="LZT189" s="926"/>
      <c r="LZU189" s="926"/>
      <c r="LZV189" s="926"/>
      <c r="LZW189" s="926"/>
      <c r="LZX189" s="926"/>
      <c r="LZY189" s="926"/>
      <c r="LZZ189" s="926"/>
      <c r="MAA189" s="926"/>
      <c r="MAB189" s="926"/>
      <c r="MAC189" s="926"/>
      <c r="MAD189" s="926"/>
      <c r="MAE189" s="926"/>
      <c r="MAF189" s="926"/>
      <c r="MAG189" s="926"/>
      <c r="MAH189" s="926"/>
      <c r="MAI189" s="926"/>
      <c r="MAJ189" s="926"/>
      <c r="MAK189" s="926"/>
      <c r="MAL189" s="926"/>
      <c r="MAM189" s="926"/>
      <c r="MAN189" s="926"/>
      <c r="MAO189" s="926"/>
      <c r="MAP189" s="926"/>
      <c r="MAQ189" s="926"/>
      <c r="MAR189" s="926"/>
      <c r="MAS189" s="926"/>
      <c r="MAT189" s="926"/>
      <c r="MAU189" s="926"/>
      <c r="MAV189" s="926"/>
      <c r="MAW189" s="926"/>
      <c r="MAX189" s="926"/>
      <c r="MAY189" s="926"/>
      <c r="MAZ189" s="926"/>
      <c r="MBA189" s="926"/>
      <c r="MBB189" s="926"/>
      <c r="MBC189" s="926"/>
      <c r="MBD189" s="926"/>
      <c r="MBE189" s="926"/>
      <c r="MBF189" s="926"/>
      <c r="MBG189" s="926"/>
      <c r="MBH189" s="926"/>
      <c r="MBI189" s="926"/>
      <c r="MBJ189" s="926"/>
      <c r="MBK189" s="926"/>
      <c r="MBL189" s="926"/>
      <c r="MBM189" s="926"/>
      <c r="MBN189" s="926"/>
      <c r="MBO189" s="926"/>
      <c r="MBP189" s="926"/>
      <c r="MBQ189" s="926"/>
      <c r="MBR189" s="926"/>
      <c r="MBS189" s="926"/>
      <c r="MBT189" s="926"/>
      <c r="MBU189" s="926"/>
      <c r="MBV189" s="926"/>
      <c r="MBW189" s="926"/>
      <c r="MBX189" s="926"/>
      <c r="MBY189" s="926"/>
      <c r="MBZ189" s="926"/>
      <c r="MCA189" s="926"/>
      <c r="MCB189" s="926"/>
      <c r="MCC189" s="926"/>
      <c r="MCD189" s="926"/>
      <c r="MCE189" s="926"/>
      <c r="MCF189" s="926"/>
      <c r="MCG189" s="926"/>
      <c r="MCH189" s="926"/>
      <c r="MCI189" s="926"/>
      <c r="MCJ189" s="926"/>
      <c r="MCK189" s="926"/>
      <c r="MCL189" s="926"/>
      <c r="MCM189" s="926"/>
      <c r="MCN189" s="926"/>
      <c r="MCO189" s="926"/>
      <c r="MCP189" s="926"/>
      <c r="MCQ189" s="926"/>
      <c r="MCR189" s="926"/>
      <c r="MCS189" s="926"/>
      <c r="MCT189" s="926"/>
      <c r="MCU189" s="926"/>
      <c r="MCV189" s="926"/>
      <c r="MCW189" s="926"/>
      <c r="MCX189" s="926"/>
      <c r="MCY189" s="926"/>
      <c r="MCZ189" s="926"/>
      <c r="MDA189" s="926"/>
      <c r="MDB189" s="926"/>
      <c r="MDC189" s="926"/>
      <c r="MDD189" s="926"/>
      <c r="MDE189" s="926"/>
      <c r="MDF189" s="926"/>
      <c r="MDG189" s="926"/>
      <c r="MDH189" s="926"/>
      <c r="MDI189" s="926"/>
      <c r="MDJ189" s="926"/>
      <c r="MDK189" s="926"/>
      <c r="MDL189" s="926"/>
      <c r="MDM189" s="926"/>
      <c r="MDN189" s="926"/>
      <c r="MDO189" s="926"/>
      <c r="MDP189" s="926"/>
      <c r="MDQ189" s="926"/>
      <c r="MDR189" s="926"/>
      <c r="MDS189" s="926"/>
      <c r="MDT189" s="926"/>
      <c r="MDU189" s="926"/>
      <c r="MDV189" s="926"/>
      <c r="MDW189" s="926"/>
      <c r="MDX189" s="926"/>
      <c r="MDY189" s="926"/>
      <c r="MDZ189" s="926"/>
      <c r="MEA189" s="926"/>
      <c r="MEB189" s="926"/>
      <c r="MEC189" s="926"/>
      <c r="MED189" s="926"/>
      <c r="MEE189" s="926"/>
      <c r="MEF189" s="926"/>
      <c r="MEG189" s="926"/>
      <c r="MEH189" s="926"/>
      <c r="MEI189" s="926"/>
      <c r="MEJ189" s="926"/>
      <c r="MEK189" s="926"/>
      <c r="MEL189" s="926"/>
      <c r="MEM189" s="926"/>
      <c r="MEN189" s="926"/>
      <c r="MEO189" s="926"/>
      <c r="MEP189" s="926"/>
      <c r="MEQ189" s="926"/>
      <c r="MER189" s="926"/>
      <c r="MES189" s="926"/>
      <c r="MET189" s="926"/>
      <c r="MEU189" s="926"/>
      <c r="MEV189" s="926"/>
      <c r="MEW189" s="926"/>
      <c r="MEX189" s="926"/>
      <c r="MEY189" s="926"/>
      <c r="MEZ189" s="926"/>
      <c r="MFA189" s="926"/>
      <c r="MFB189" s="926"/>
      <c r="MFC189" s="926"/>
      <c r="MFD189" s="926"/>
      <c r="MFE189" s="926"/>
      <c r="MFF189" s="926"/>
      <c r="MFG189" s="926"/>
      <c r="MFH189" s="926"/>
      <c r="MFI189" s="926"/>
      <c r="MFJ189" s="926"/>
      <c r="MFK189" s="926"/>
      <c r="MFL189" s="926"/>
      <c r="MFM189" s="926"/>
      <c r="MFN189" s="926"/>
      <c r="MFO189" s="926"/>
      <c r="MFP189" s="926"/>
      <c r="MFQ189" s="926"/>
      <c r="MFR189" s="926"/>
      <c r="MFS189" s="926"/>
      <c r="MFT189" s="926"/>
      <c r="MFU189" s="926"/>
      <c r="MFV189" s="926"/>
      <c r="MFW189" s="926"/>
      <c r="MFX189" s="926"/>
      <c r="MFY189" s="926"/>
      <c r="MFZ189" s="926"/>
      <c r="MGA189" s="926"/>
      <c r="MGB189" s="926"/>
      <c r="MGC189" s="926"/>
      <c r="MGD189" s="926"/>
      <c r="MGE189" s="926"/>
      <c r="MGF189" s="926"/>
      <c r="MGG189" s="926"/>
      <c r="MGH189" s="926"/>
      <c r="MGI189" s="926"/>
      <c r="MGJ189" s="926"/>
      <c r="MGK189" s="926"/>
      <c r="MGL189" s="926"/>
      <c r="MGM189" s="926"/>
      <c r="MGN189" s="926"/>
      <c r="MGO189" s="926"/>
      <c r="MGP189" s="926"/>
      <c r="MGQ189" s="926"/>
      <c r="MGR189" s="926"/>
      <c r="MGS189" s="926"/>
      <c r="MGT189" s="926"/>
      <c r="MGU189" s="926"/>
      <c r="MGV189" s="926"/>
      <c r="MGW189" s="926"/>
      <c r="MGX189" s="926"/>
      <c r="MGY189" s="926"/>
      <c r="MGZ189" s="926"/>
      <c r="MHA189" s="926"/>
      <c r="MHB189" s="926"/>
      <c r="MHC189" s="926"/>
      <c r="MHD189" s="926"/>
      <c r="MHE189" s="926"/>
      <c r="MHF189" s="926"/>
      <c r="MHG189" s="926"/>
      <c r="MHH189" s="926"/>
      <c r="MHI189" s="926"/>
      <c r="MHJ189" s="926"/>
      <c r="MHK189" s="926"/>
      <c r="MHL189" s="926"/>
      <c r="MHM189" s="926"/>
      <c r="MHN189" s="926"/>
      <c r="MHO189" s="926"/>
      <c r="MHP189" s="926"/>
      <c r="MHQ189" s="926"/>
      <c r="MHR189" s="926"/>
      <c r="MHS189" s="926"/>
      <c r="MHT189" s="926"/>
      <c r="MHU189" s="926"/>
      <c r="MHV189" s="926"/>
      <c r="MHW189" s="926"/>
      <c r="MHX189" s="926"/>
      <c r="MHY189" s="926"/>
      <c r="MHZ189" s="926"/>
      <c r="MIA189" s="926"/>
      <c r="MIB189" s="926"/>
      <c r="MIC189" s="926"/>
      <c r="MID189" s="926"/>
      <c r="MIE189" s="926"/>
      <c r="MIF189" s="926"/>
      <c r="MIG189" s="926"/>
      <c r="MIH189" s="926"/>
      <c r="MII189" s="926"/>
      <c r="MIJ189" s="926"/>
      <c r="MIK189" s="926"/>
      <c r="MIL189" s="926"/>
      <c r="MIM189" s="926"/>
      <c r="MIN189" s="926"/>
      <c r="MIO189" s="926"/>
      <c r="MIP189" s="926"/>
      <c r="MIQ189" s="926"/>
      <c r="MIR189" s="926"/>
      <c r="MIS189" s="926"/>
      <c r="MIT189" s="926"/>
      <c r="MIU189" s="926"/>
      <c r="MIV189" s="926"/>
      <c r="MIW189" s="926"/>
      <c r="MIX189" s="926"/>
      <c r="MIY189" s="926"/>
      <c r="MIZ189" s="926"/>
      <c r="MJA189" s="926"/>
      <c r="MJB189" s="926"/>
      <c r="MJC189" s="926"/>
      <c r="MJD189" s="926"/>
      <c r="MJE189" s="926"/>
      <c r="MJF189" s="926"/>
      <c r="MJG189" s="926"/>
      <c r="MJH189" s="926"/>
      <c r="MJI189" s="926"/>
      <c r="MJJ189" s="926"/>
      <c r="MJK189" s="926"/>
      <c r="MJL189" s="926"/>
      <c r="MJM189" s="926"/>
      <c r="MJN189" s="926"/>
      <c r="MJO189" s="926"/>
      <c r="MJP189" s="926"/>
      <c r="MJQ189" s="926"/>
      <c r="MJR189" s="926"/>
      <c r="MJS189" s="926"/>
      <c r="MJT189" s="926"/>
      <c r="MJU189" s="926"/>
      <c r="MJV189" s="926"/>
      <c r="MJW189" s="926"/>
      <c r="MJX189" s="926"/>
      <c r="MJY189" s="926"/>
      <c r="MJZ189" s="926"/>
      <c r="MKA189" s="926"/>
      <c r="MKB189" s="926"/>
      <c r="MKC189" s="926"/>
      <c r="MKD189" s="926"/>
      <c r="MKE189" s="926"/>
      <c r="MKF189" s="926"/>
      <c r="MKG189" s="926"/>
      <c r="MKH189" s="926"/>
      <c r="MKI189" s="926"/>
      <c r="MKJ189" s="926"/>
      <c r="MKK189" s="926"/>
      <c r="MKL189" s="926"/>
      <c r="MKM189" s="926"/>
      <c r="MKN189" s="926"/>
      <c r="MKO189" s="926"/>
      <c r="MKP189" s="926"/>
      <c r="MKQ189" s="926"/>
      <c r="MKR189" s="926"/>
      <c r="MKS189" s="926"/>
      <c r="MKT189" s="926"/>
      <c r="MKU189" s="926"/>
      <c r="MKV189" s="926"/>
      <c r="MKW189" s="926"/>
      <c r="MKX189" s="926"/>
      <c r="MKY189" s="926"/>
      <c r="MKZ189" s="926"/>
      <c r="MLA189" s="926"/>
      <c r="MLB189" s="926"/>
      <c r="MLC189" s="926"/>
      <c r="MLD189" s="926"/>
      <c r="MLE189" s="926"/>
      <c r="MLF189" s="926"/>
      <c r="MLG189" s="926"/>
      <c r="MLH189" s="926"/>
      <c r="MLI189" s="926"/>
      <c r="MLJ189" s="926"/>
      <c r="MLK189" s="926"/>
      <c r="MLL189" s="926"/>
      <c r="MLM189" s="926"/>
      <c r="MLN189" s="926"/>
      <c r="MLO189" s="926"/>
      <c r="MLP189" s="926"/>
      <c r="MLQ189" s="926"/>
      <c r="MLR189" s="926"/>
      <c r="MLS189" s="926"/>
      <c r="MLT189" s="926"/>
      <c r="MLU189" s="926"/>
      <c r="MLV189" s="926"/>
      <c r="MLW189" s="926"/>
      <c r="MLX189" s="926"/>
      <c r="MLY189" s="926"/>
      <c r="MLZ189" s="926"/>
      <c r="MMA189" s="926"/>
      <c r="MMB189" s="926"/>
      <c r="MMC189" s="926"/>
      <c r="MMD189" s="926"/>
      <c r="MME189" s="926"/>
      <c r="MMF189" s="926"/>
      <c r="MMG189" s="926"/>
      <c r="MMH189" s="926"/>
      <c r="MMI189" s="926"/>
      <c r="MMJ189" s="926"/>
      <c r="MMK189" s="926"/>
      <c r="MML189" s="926"/>
      <c r="MMM189" s="926"/>
      <c r="MMN189" s="926"/>
      <c r="MMO189" s="926"/>
      <c r="MMP189" s="926"/>
      <c r="MMQ189" s="926"/>
      <c r="MMR189" s="926"/>
      <c r="MMS189" s="926"/>
      <c r="MMT189" s="926"/>
      <c r="MMU189" s="926"/>
      <c r="MMV189" s="926"/>
      <c r="MMW189" s="926"/>
      <c r="MMX189" s="926"/>
      <c r="MMY189" s="926"/>
      <c r="MMZ189" s="926"/>
      <c r="MNA189" s="926"/>
      <c r="MNB189" s="926"/>
      <c r="MNC189" s="926"/>
      <c r="MND189" s="926"/>
      <c r="MNE189" s="926"/>
      <c r="MNF189" s="926"/>
      <c r="MNG189" s="926"/>
      <c r="MNH189" s="926"/>
      <c r="MNI189" s="926"/>
      <c r="MNJ189" s="926"/>
      <c r="MNK189" s="926"/>
      <c r="MNL189" s="926"/>
      <c r="MNM189" s="926"/>
      <c r="MNN189" s="926"/>
      <c r="MNO189" s="926"/>
      <c r="MNP189" s="926"/>
      <c r="MNQ189" s="926"/>
      <c r="MNR189" s="926"/>
      <c r="MNS189" s="926"/>
      <c r="MNT189" s="926"/>
      <c r="MNU189" s="926"/>
      <c r="MNV189" s="926"/>
      <c r="MNW189" s="926"/>
      <c r="MNX189" s="926"/>
      <c r="MNY189" s="926"/>
      <c r="MNZ189" s="926"/>
      <c r="MOA189" s="926"/>
      <c r="MOB189" s="926"/>
      <c r="MOC189" s="926"/>
      <c r="MOD189" s="926"/>
      <c r="MOE189" s="926"/>
      <c r="MOF189" s="926"/>
      <c r="MOG189" s="926"/>
      <c r="MOH189" s="926"/>
      <c r="MOI189" s="926"/>
      <c r="MOJ189" s="926"/>
      <c r="MOK189" s="926"/>
      <c r="MOL189" s="926"/>
      <c r="MOM189" s="926"/>
      <c r="MON189" s="926"/>
      <c r="MOO189" s="926"/>
      <c r="MOP189" s="926"/>
      <c r="MOQ189" s="926"/>
      <c r="MOR189" s="926"/>
      <c r="MOS189" s="926"/>
      <c r="MOT189" s="926"/>
      <c r="MOU189" s="926"/>
      <c r="MOV189" s="926"/>
      <c r="MOW189" s="926"/>
      <c r="MOX189" s="926"/>
      <c r="MOY189" s="926"/>
      <c r="MOZ189" s="926"/>
      <c r="MPA189" s="926"/>
      <c r="MPB189" s="926"/>
      <c r="MPC189" s="926"/>
      <c r="MPD189" s="926"/>
      <c r="MPE189" s="926"/>
      <c r="MPF189" s="926"/>
      <c r="MPG189" s="926"/>
      <c r="MPH189" s="926"/>
      <c r="MPI189" s="926"/>
      <c r="MPJ189" s="926"/>
      <c r="MPK189" s="926"/>
      <c r="MPL189" s="926"/>
      <c r="MPM189" s="926"/>
      <c r="MPN189" s="926"/>
      <c r="MPO189" s="926"/>
      <c r="MPP189" s="926"/>
      <c r="MPQ189" s="926"/>
      <c r="MPR189" s="926"/>
      <c r="MPS189" s="926"/>
      <c r="MPT189" s="926"/>
      <c r="MPU189" s="926"/>
      <c r="MPV189" s="926"/>
      <c r="MPW189" s="926"/>
      <c r="MPX189" s="926"/>
      <c r="MPY189" s="926"/>
      <c r="MPZ189" s="926"/>
      <c r="MQA189" s="926"/>
      <c r="MQB189" s="926"/>
      <c r="MQC189" s="926"/>
      <c r="MQD189" s="926"/>
      <c r="MQE189" s="926"/>
      <c r="MQF189" s="926"/>
      <c r="MQG189" s="926"/>
      <c r="MQH189" s="926"/>
      <c r="MQI189" s="926"/>
      <c r="MQJ189" s="926"/>
      <c r="MQK189" s="926"/>
      <c r="MQL189" s="926"/>
      <c r="MQM189" s="926"/>
      <c r="MQN189" s="926"/>
      <c r="MQO189" s="926"/>
      <c r="MQP189" s="926"/>
      <c r="MQQ189" s="926"/>
      <c r="MQR189" s="926"/>
      <c r="MQS189" s="926"/>
      <c r="MQT189" s="926"/>
      <c r="MQU189" s="926"/>
      <c r="MQV189" s="926"/>
      <c r="MQW189" s="926"/>
      <c r="MQX189" s="926"/>
      <c r="MQY189" s="926"/>
      <c r="MQZ189" s="926"/>
      <c r="MRA189" s="926"/>
      <c r="MRB189" s="926"/>
      <c r="MRC189" s="926"/>
      <c r="MRD189" s="926"/>
      <c r="MRE189" s="926"/>
      <c r="MRF189" s="926"/>
      <c r="MRG189" s="926"/>
      <c r="MRH189" s="926"/>
      <c r="MRI189" s="926"/>
      <c r="MRJ189" s="926"/>
      <c r="MRK189" s="926"/>
      <c r="MRL189" s="926"/>
      <c r="MRM189" s="926"/>
      <c r="MRN189" s="926"/>
      <c r="MRO189" s="926"/>
      <c r="MRP189" s="926"/>
      <c r="MRQ189" s="926"/>
      <c r="MRR189" s="926"/>
      <c r="MRS189" s="926"/>
      <c r="MRT189" s="926"/>
      <c r="MRU189" s="926"/>
      <c r="MRV189" s="926"/>
      <c r="MRW189" s="926"/>
      <c r="MRX189" s="926"/>
      <c r="MRY189" s="926"/>
      <c r="MRZ189" s="926"/>
      <c r="MSA189" s="926"/>
      <c r="MSB189" s="926"/>
      <c r="MSC189" s="926"/>
      <c r="MSD189" s="926"/>
      <c r="MSE189" s="926"/>
      <c r="MSF189" s="926"/>
      <c r="MSG189" s="926"/>
      <c r="MSH189" s="926"/>
      <c r="MSI189" s="926"/>
      <c r="MSJ189" s="926"/>
      <c r="MSK189" s="926"/>
      <c r="MSL189" s="926"/>
      <c r="MSM189" s="926"/>
      <c r="MSN189" s="926"/>
      <c r="MSO189" s="926"/>
      <c r="MSP189" s="926"/>
      <c r="MSQ189" s="926"/>
      <c r="MSR189" s="926"/>
      <c r="MSS189" s="926"/>
      <c r="MST189" s="926"/>
      <c r="MSU189" s="926"/>
      <c r="MSV189" s="926"/>
      <c r="MSW189" s="926"/>
      <c r="MSX189" s="926"/>
      <c r="MSY189" s="926"/>
      <c r="MSZ189" s="926"/>
      <c r="MTA189" s="926"/>
      <c r="MTB189" s="926"/>
      <c r="MTC189" s="926"/>
      <c r="MTD189" s="926"/>
      <c r="MTE189" s="926"/>
      <c r="MTF189" s="926"/>
      <c r="MTG189" s="926"/>
      <c r="MTH189" s="926"/>
      <c r="MTI189" s="926"/>
      <c r="MTJ189" s="926"/>
      <c r="MTK189" s="926"/>
      <c r="MTL189" s="926"/>
      <c r="MTM189" s="926"/>
      <c r="MTN189" s="926"/>
      <c r="MTO189" s="926"/>
      <c r="MTP189" s="926"/>
      <c r="MTQ189" s="926"/>
      <c r="MTR189" s="926"/>
      <c r="MTS189" s="926"/>
      <c r="MTT189" s="926"/>
      <c r="MTU189" s="926"/>
      <c r="MTV189" s="926"/>
      <c r="MTW189" s="926"/>
      <c r="MTX189" s="926"/>
      <c r="MTY189" s="926"/>
      <c r="MTZ189" s="926"/>
      <c r="MUA189" s="926"/>
      <c r="MUB189" s="926"/>
      <c r="MUC189" s="926"/>
      <c r="MUD189" s="926"/>
      <c r="MUE189" s="926"/>
      <c r="MUF189" s="926"/>
      <c r="MUG189" s="926"/>
      <c r="MUH189" s="926"/>
      <c r="MUI189" s="926"/>
      <c r="MUJ189" s="926"/>
      <c r="MUK189" s="926"/>
      <c r="MUL189" s="926"/>
      <c r="MUM189" s="926"/>
      <c r="MUN189" s="926"/>
      <c r="MUO189" s="926"/>
      <c r="MUP189" s="926"/>
      <c r="MUQ189" s="926"/>
      <c r="MUR189" s="926"/>
      <c r="MUS189" s="926"/>
      <c r="MUT189" s="926"/>
      <c r="MUU189" s="926"/>
      <c r="MUV189" s="926"/>
      <c r="MUW189" s="926"/>
      <c r="MUX189" s="926"/>
      <c r="MUY189" s="926"/>
      <c r="MUZ189" s="926"/>
      <c r="MVA189" s="926"/>
      <c r="MVB189" s="926"/>
      <c r="MVC189" s="926"/>
      <c r="MVD189" s="926"/>
      <c r="MVE189" s="926"/>
      <c r="MVF189" s="926"/>
      <c r="MVG189" s="926"/>
      <c r="MVH189" s="926"/>
      <c r="MVI189" s="926"/>
      <c r="MVJ189" s="926"/>
      <c r="MVK189" s="926"/>
      <c r="MVL189" s="926"/>
      <c r="MVM189" s="926"/>
      <c r="MVN189" s="926"/>
      <c r="MVO189" s="926"/>
      <c r="MVP189" s="926"/>
      <c r="MVQ189" s="926"/>
      <c r="MVR189" s="926"/>
      <c r="MVS189" s="926"/>
      <c r="MVT189" s="926"/>
      <c r="MVU189" s="926"/>
      <c r="MVV189" s="926"/>
      <c r="MVW189" s="926"/>
      <c r="MVX189" s="926"/>
      <c r="MVY189" s="926"/>
      <c r="MVZ189" s="926"/>
      <c r="MWA189" s="926"/>
      <c r="MWB189" s="926"/>
      <c r="MWC189" s="926"/>
      <c r="MWD189" s="926"/>
      <c r="MWE189" s="926"/>
      <c r="MWF189" s="926"/>
      <c r="MWG189" s="926"/>
      <c r="MWH189" s="926"/>
      <c r="MWI189" s="926"/>
      <c r="MWJ189" s="926"/>
      <c r="MWK189" s="926"/>
      <c r="MWL189" s="926"/>
      <c r="MWM189" s="926"/>
      <c r="MWN189" s="926"/>
      <c r="MWO189" s="926"/>
      <c r="MWP189" s="926"/>
      <c r="MWQ189" s="926"/>
      <c r="MWR189" s="926"/>
      <c r="MWS189" s="926"/>
      <c r="MWT189" s="926"/>
      <c r="MWU189" s="926"/>
      <c r="MWV189" s="926"/>
      <c r="MWW189" s="926"/>
      <c r="MWX189" s="926"/>
      <c r="MWY189" s="926"/>
      <c r="MWZ189" s="926"/>
      <c r="MXA189" s="926"/>
      <c r="MXB189" s="926"/>
      <c r="MXC189" s="926"/>
      <c r="MXD189" s="926"/>
      <c r="MXE189" s="926"/>
      <c r="MXF189" s="926"/>
      <c r="MXG189" s="926"/>
      <c r="MXH189" s="926"/>
      <c r="MXI189" s="926"/>
      <c r="MXJ189" s="926"/>
      <c r="MXK189" s="926"/>
      <c r="MXL189" s="926"/>
      <c r="MXM189" s="926"/>
      <c r="MXN189" s="926"/>
      <c r="MXO189" s="926"/>
      <c r="MXP189" s="926"/>
      <c r="MXQ189" s="926"/>
      <c r="MXR189" s="926"/>
      <c r="MXS189" s="926"/>
      <c r="MXT189" s="926"/>
      <c r="MXU189" s="926"/>
      <c r="MXV189" s="926"/>
      <c r="MXW189" s="926"/>
      <c r="MXX189" s="926"/>
      <c r="MXY189" s="926"/>
      <c r="MXZ189" s="926"/>
      <c r="MYA189" s="926"/>
      <c r="MYB189" s="926"/>
      <c r="MYC189" s="926"/>
      <c r="MYD189" s="926"/>
      <c r="MYE189" s="926"/>
      <c r="MYF189" s="926"/>
      <c r="MYG189" s="926"/>
      <c r="MYH189" s="926"/>
      <c r="MYI189" s="926"/>
      <c r="MYJ189" s="926"/>
      <c r="MYK189" s="926"/>
      <c r="MYL189" s="926"/>
      <c r="MYM189" s="926"/>
      <c r="MYN189" s="926"/>
      <c r="MYO189" s="926"/>
      <c r="MYP189" s="926"/>
      <c r="MYQ189" s="926"/>
      <c r="MYR189" s="926"/>
      <c r="MYS189" s="926"/>
      <c r="MYT189" s="926"/>
      <c r="MYU189" s="926"/>
      <c r="MYV189" s="926"/>
      <c r="MYW189" s="926"/>
      <c r="MYX189" s="926"/>
      <c r="MYY189" s="926"/>
      <c r="MYZ189" s="926"/>
      <c r="MZA189" s="926"/>
      <c r="MZB189" s="926"/>
      <c r="MZC189" s="926"/>
      <c r="MZD189" s="926"/>
      <c r="MZE189" s="926"/>
      <c r="MZF189" s="926"/>
      <c r="MZG189" s="926"/>
      <c r="MZH189" s="926"/>
      <c r="MZI189" s="926"/>
      <c r="MZJ189" s="926"/>
      <c r="MZK189" s="926"/>
      <c r="MZL189" s="926"/>
      <c r="MZM189" s="926"/>
      <c r="MZN189" s="926"/>
      <c r="MZO189" s="926"/>
      <c r="MZP189" s="926"/>
      <c r="MZQ189" s="926"/>
      <c r="MZR189" s="926"/>
      <c r="MZS189" s="926"/>
      <c r="MZT189" s="926"/>
      <c r="MZU189" s="926"/>
      <c r="MZV189" s="926"/>
      <c r="MZW189" s="926"/>
      <c r="MZX189" s="926"/>
      <c r="MZY189" s="926"/>
      <c r="MZZ189" s="926"/>
      <c r="NAA189" s="926"/>
      <c r="NAB189" s="926"/>
      <c r="NAC189" s="926"/>
      <c r="NAD189" s="926"/>
      <c r="NAE189" s="926"/>
      <c r="NAF189" s="926"/>
      <c r="NAG189" s="926"/>
      <c r="NAH189" s="926"/>
      <c r="NAI189" s="926"/>
      <c r="NAJ189" s="926"/>
      <c r="NAK189" s="926"/>
      <c r="NAL189" s="926"/>
      <c r="NAM189" s="926"/>
      <c r="NAN189" s="926"/>
      <c r="NAO189" s="926"/>
      <c r="NAP189" s="926"/>
      <c r="NAQ189" s="926"/>
      <c r="NAR189" s="926"/>
      <c r="NAS189" s="926"/>
      <c r="NAT189" s="926"/>
      <c r="NAU189" s="926"/>
      <c r="NAV189" s="926"/>
      <c r="NAW189" s="926"/>
      <c r="NAX189" s="926"/>
      <c r="NAY189" s="926"/>
      <c r="NAZ189" s="926"/>
      <c r="NBA189" s="926"/>
      <c r="NBB189" s="926"/>
      <c r="NBC189" s="926"/>
      <c r="NBD189" s="926"/>
      <c r="NBE189" s="926"/>
      <c r="NBF189" s="926"/>
      <c r="NBG189" s="926"/>
      <c r="NBH189" s="926"/>
      <c r="NBI189" s="926"/>
      <c r="NBJ189" s="926"/>
      <c r="NBK189" s="926"/>
      <c r="NBL189" s="926"/>
      <c r="NBM189" s="926"/>
      <c r="NBN189" s="926"/>
      <c r="NBO189" s="926"/>
      <c r="NBP189" s="926"/>
      <c r="NBQ189" s="926"/>
      <c r="NBR189" s="926"/>
      <c r="NBS189" s="926"/>
      <c r="NBT189" s="926"/>
      <c r="NBU189" s="926"/>
      <c r="NBV189" s="926"/>
      <c r="NBW189" s="926"/>
      <c r="NBX189" s="926"/>
      <c r="NBY189" s="926"/>
      <c r="NBZ189" s="926"/>
      <c r="NCA189" s="926"/>
      <c r="NCB189" s="926"/>
      <c r="NCC189" s="926"/>
      <c r="NCD189" s="926"/>
      <c r="NCE189" s="926"/>
      <c r="NCF189" s="926"/>
      <c r="NCG189" s="926"/>
      <c r="NCH189" s="926"/>
      <c r="NCI189" s="926"/>
      <c r="NCJ189" s="926"/>
      <c r="NCK189" s="926"/>
      <c r="NCL189" s="926"/>
      <c r="NCM189" s="926"/>
      <c r="NCN189" s="926"/>
      <c r="NCO189" s="926"/>
      <c r="NCP189" s="926"/>
      <c r="NCQ189" s="926"/>
      <c r="NCR189" s="926"/>
      <c r="NCS189" s="926"/>
      <c r="NCT189" s="926"/>
      <c r="NCU189" s="926"/>
      <c r="NCV189" s="926"/>
      <c r="NCW189" s="926"/>
      <c r="NCX189" s="926"/>
      <c r="NCY189" s="926"/>
      <c r="NCZ189" s="926"/>
      <c r="NDA189" s="926"/>
      <c r="NDB189" s="926"/>
      <c r="NDC189" s="926"/>
      <c r="NDD189" s="926"/>
      <c r="NDE189" s="926"/>
      <c r="NDF189" s="926"/>
      <c r="NDG189" s="926"/>
      <c r="NDH189" s="926"/>
      <c r="NDI189" s="926"/>
      <c r="NDJ189" s="926"/>
      <c r="NDK189" s="926"/>
      <c r="NDL189" s="926"/>
      <c r="NDM189" s="926"/>
      <c r="NDN189" s="926"/>
      <c r="NDO189" s="926"/>
      <c r="NDP189" s="926"/>
      <c r="NDQ189" s="926"/>
      <c r="NDR189" s="926"/>
      <c r="NDS189" s="926"/>
      <c r="NDT189" s="926"/>
      <c r="NDU189" s="926"/>
      <c r="NDV189" s="926"/>
      <c r="NDW189" s="926"/>
      <c r="NDX189" s="926"/>
      <c r="NDY189" s="926"/>
      <c r="NDZ189" s="926"/>
      <c r="NEA189" s="926"/>
      <c r="NEB189" s="926"/>
      <c r="NEC189" s="926"/>
      <c r="NED189" s="926"/>
      <c r="NEE189" s="926"/>
      <c r="NEF189" s="926"/>
      <c r="NEG189" s="926"/>
      <c r="NEH189" s="926"/>
      <c r="NEI189" s="926"/>
      <c r="NEJ189" s="926"/>
      <c r="NEK189" s="926"/>
      <c r="NEL189" s="926"/>
      <c r="NEM189" s="926"/>
      <c r="NEN189" s="926"/>
      <c r="NEO189" s="926"/>
      <c r="NEP189" s="926"/>
      <c r="NEQ189" s="926"/>
      <c r="NER189" s="926"/>
      <c r="NES189" s="926"/>
      <c r="NET189" s="926"/>
      <c r="NEU189" s="926"/>
      <c r="NEV189" s="926"/>
      <c r="NEW189" s="926"/>
      <c r="NEX189" s="926"/>
      <c r="NEY189" s="926"/>
      <c r="NEZ189" s="926"/>
      <c r="NFA189" s="926"/>
      <c r="NFB189" s="926"/>
      <c r="NFC189" s="926"/>
      <c r="NFD189" s="926"/>
      <c r="NFE189" s="926"/>
      <c r="NFF189" s="926"/>
      <c r="NFG189" s="926"/>
      <c r="NFH189" s="926"/>
      <c r="NFI189" s="926"/>
      <c r="NFJ189" s="926"/>
      <c r="NFK189" s="926"/>
      <c r="NFL189" s="926"/>
      <c r="NFM189" s="926"/>
      <c r="NFN189" s="926"/>
      <c r="NFO189" s="926"/>
      <c r="NFP189" s="926"/>
      <c r="NFQ189" s="926"/>
      <c r="NFR189" s="926"/>
      <c r="NFS189" s="926"/>
      <c r="NFT189" s="926"/>
      <c r="NFU189" s="926"/>
      <c r="NFV189" s="926"/>
      <c r="NFW189" s="926"/>
      <c r="NFX189" s="926"/>
      <c r="NFY189" s="926"/>
      <c r="NFZ189" s="926"/>
      <c r="NGA189" s="926"/>
      <c r="NGB189" s="926"/>
      <c r="NGC189" s="926"/>
      <c r="NGD189" s="926"/>
      <c r="NGE189" s="926"/>
      <c r="NGF189" s="926"/>
      <c r="NGG189" s="926"/>
      <c r="NGH189" s="926"/>
      <c r="NGI189" s="926"/>
      <c r="NGJ189" s="926"/>
      <c r="NGK189" s="926"/>
      <c r="NGL189" s="926"/>
      <c r="NGM189" s="926"/>
      <c r="NGN189" s="926"/>
      <c r="NGO189" s="926"/>
      <c r="NGP189" s="926"/>
      <c r="NGQ189" s="926"/>
      <c r="NGR189" s="926"/>
      <c r="NGS189" s="926"/>
      <c r="NGT189" s="926"/>
      <c r="NGU189" s="926"/>
      <c r="NGV189" s="926"/>
      <c r="NGW189" s="926"/>
      <c r="NGX189" s="926"/>
      <c r="NGY189" s="926"/>
      <c r="NGZ189" s="926"/>
      <c r="NHA189" s="926"/>
      <c r="NHB189" s="926"/>
      <c r="NHC189" s="926"/>
      <c r="NHD189" s="926"/>
      <c r="NHE189" s="926"/>
      <c r="NHF189" s="926"/>
      <c r="NHG189" s="926"/>
      <c r="NHH189" s="926"/>
      <c r="NHI189" s="926"/>
      <c r="NHJ189" s="926"/>
      <c r="NHK189" s="926"/>
      <c r="NHL189" s="926"/>
      <c r="NHM189" s="926"/>
      <c r="NHN189" s="926"/>
      <c r="NHO189" s="926"/>
      <c r="NHP189" s="926"/>
      <c r="NHQ189" s="926"/>
      <c r="NHR189" s="926"/>
      <c r="NHS189" s="926"/>
      <c r="NHT189" s="926"/>
      <c r="NHU189" s="926"/>
      <c r="NHV189" s="926"/>
      <c r="NHW189" s="926"/>
      <c r="NHX189" s="926"/>
      <c r="NHY189" s="926"/>
      <c r="NHZ189" s="926"/>
      <c r="NIA189" s="926"/>
      <c r="NIB189" s="926"/>
      <c r="NIC189" s="926"/>
      <c r="NID189" s="926"/>
      <c r="NIE189" s="926"/>
      <c r="NIF189" s="926"/>
      <c r="NIG189" s="926"/>
      <c r="NIH189" s="926"/>
      <c r="NII189" s="926"/>
      <c r="NIJ189" s="926"/>
      <c r="NIK189" s="926"/>
      <c r="NIL189" s="926"/>
      <c r="NIM189" s="926"/>
      <c r="NIN189" s="926"/>
      <c r="NIO189" s="926"/>
      <c r="NIP189" s="926"/>
      <c r="NIQ189" s="926"/>
      <c r="NIR189" s="926"/>
      <c r="NIS189" s="926"/>
      <c r="NIT189" s="926"/>
      <c r="NIU189" s="926"/>
      <c r="NIV189" s="926"/>
      <c r="NIW189" s="926"/>
      <c r="NIX189" s="926"/>
      <c r="NIY189" s="926"/>
      <c r="NIZ189" s="926"/>
      <c r="NJA189" s="926"/>
      <c r="NJB189" s="926"/>
      <c r="NJC189" s="926"/>
      <c r="NJD189" s="926"/>
      <c r="NJE189" s="926"/>
      <c r="NJF189" s="926"/>
      <c r="NJG189" s="926"/>
      <c r="NJH189" s="926"/>
      <c r="NJI189" s="926"/>
      <c r="NJJ189" s="926"/>
      <c r="NJK189" s="926"/>
      <c r="NJL189" s="926"/>
      <c r="NJM189" s="926"/>
      <c r="NJN189" s="926"/>
      <c r="NJO189" s="926"/>
      <c r="NJP189" s="926"/>
      <c r="NJQ189" s="926"/>
      <c r="NJR189" s="926"/>
      <c r="NJS189" s="926"/>
      <c r="NJT189" s="926"/>
      <c r="NJU189" s="926"/>
      <c r="NJV189" s="926"/>
      <c r="NJW189" s="926"/>
      <c r="NJX189" s="926"/>
      <c r="NJY189" s="926"/>
      <c r="NJZ189" s="926"/>
      <c r="NKA189" s="926"/>
      <c r="NKB189" s="926"/>
      <c r="NKC189" s="926"/>
      <c r="NKD189" s="926"/>
      <c r="NKE189" s="926"/>
      <c r="NKF189" s="926"/>
      <c r="NKG189" s="926"/>
      <c r="NKH189" s="926"/>
      <c r="NKI189" s="926"/>
      <c r="NKJ189" s="926"/>
      <c r="NKK189" s="926"/>
      <c r="NKL189" s="926"/>
      <c r="NKM189" s="926"/>
      <c r="NKN189" s="926"/>
      <c r="NKO189" s="926"/>
      <c r="NKP189" s="926"/>
      <c r="NKQ189" s="926"/>
      <c r="NKR189" s="926"/>
      <c r="NKS189" s="926"/>
      <c r="NKT189" s="926"/>
      <c r="NKU189" s="926"/>
      <c r="NKV189" s="926"/>
      <c r="NKW189" s="926"/>
      <c r="NKX189" s="926"/>
      <c r="NKY189" s="926"/>
      <c r="NKZ189" s="926"/>
      <c r="NLA189" s="926"/>
      <c r="NLB189" s="926"/>
      <c r="NLC189" s="926"/>
      <c r="NLD189" s="926"/>
      <c r="NLE189" s="926"/>
      <c r="NLF189" s="926"/>
      <c r="NLG189" s="926"/>
      <c r="NLH189" s="926"/>
      <c r="NLI189" s="926"/>
      <c r="NLJ189" s="926"/>
      <c r="NLK189" s="926"/>
      <c r="NLL189" s="926"/>
      <c r="NLM189" s="926"/>
      <c r="NLN189" s="926"/>
      <c r="NLO189" s="926"/>
      <c r="NLP189" s="926"/>
      <c r="NLQ189" s="926"/>
      <c r="NLR189" s="926"/>
      <c r="NLS189" s="926"/>
      <c r="NLT189" s="926"/>
      <c r="NLU189" s="926"/>
      <c r="NLV189" s="926"/>
      <c r="NLW189" s="926"/>
      <c r="NLX189" s="926"/>
      <c r="NLY189" s="926"/>
      <c r="NLZ189" s="926"/>
      <c r="NMA189" s="926"/>
      <c r="NMB189" s="926"/>
      <c r="NMC189" s="926"/>
      <c r="NMD189" s="926"/>
      <c r="NME189" s="926"/>
      <c r="NMF189" s="926"/>
      <c r="NMG189" s="926"/>
      <c r="NMH189" s="926"/>
      <c r="NMI189" s="926"/>
      <c r="NMJ189" s="926"/>
      <c r="NMK189" s="926"/>
      <c r="NML189" s="926"/>
      <c r="NMM189" s="926"/>
      <c r="NMN189" s="926"/>
      <c r="NMO189" s="926"/>
      <c r="NMP189" s="926"/>
      <c r="NMQ189" s="926"/>
      <c r="NMR189" s="926"/>
      <c r="NMS189" s="926"/>
      <c r="NMT189" s="926"/>
      <c r="NMU189" s="926"/>
      <c r="NMV189" s="926"/>
      <c r="NMW189" s="926"/>
      <c r="NMX189" s="926"/>
      <c r="NMY189" s="926"/>
      <c r="NMZ189" s="926"/>
      <c r="NNA189" s="926"/>
      <c r="NNB189" s="926"/>
      <c r="NNC189" s="926"/>
      <c r="NND189" s="926"/>
      <c r="NNE189" s="926"/>
      <c r="NNF189" s="926"/>
      <c r="NNG189" s="926"/>
      <c r="NNH189" s="926"/>
      <c r="NNI189" s="926"/>
      <c r="NNJ189" s="926"/>
      <c r="NNK189" s="926"/>
      <c r="NNL189" s="926"/>
      <c r="NNM189" s="926"/>
      <c r="NNN189" s="926"/>
      <c r="NNO189" s="926"/>
      <c r="NNP189" s="926"/>
      <c r="NNQ189" s="926"/>
      <c r="NNR189" s="926"/>
      <c r="NNS189" s="926"/>
      <c r="NNT189" s="926"/>
      <c r="NNU189" s="926"/>
      <c r="NNV189" s="926"/>
      <c r="NNW189" s="926"/>
      <c r="NNX189" s="926"/>
      <c r="NNY189" s="926"/>
      <c r="NNZ189" s="926"/>
      <c r="NOA189" s="926"/>
      <c r="NOB189" s="926"/>
      <c r="NOC189" s="926"/>
      <c r="NOD189" s="926"/>
      <c r="NOE189" s="926"/>
      <c r="NOF189" s="926"/>
      <c r="NOG189" s="926"/>
      <c r="NOH189" s="926"/>
      <c r="NOI189" s="926"/>
      <c r="NOJ189" s="926"/>
      <c r="NOK189" s="926"/>
      <c r="NOL189" s="926"/>
      <c r="NOM189" s="926"/>
      <c r="NON189" s="926"/>
      <c r="NOO189" s="926"/>
      <c r="NOP189" s="926"/>
      <c r="NOQ189" s="926"/>
      <c r="NOR189" s="926"/>
      <c r="NOS189" s="926"/>
      <c r="NOT189" s="926"/>
      <c r="NOU189" s="926"/>
      <c r="NOV189" s="926"/>
      <c r="NOW189" s="926"/>
      <c r="NOX189" s="926"/>
      <c r="NOY189" s="926"/>
      <c r="NOZ189" s="926"/>
      <c r="NPA189" s="926"/>
      <c r="NPB189" s="926"/>
      <c r="NPC189" s="926"/>
      <c r="NPD189" s="926"/>
      <c r="NPE189" s="926"/>
      <c r="NPF189" s="926"/>
      <c r="NPG189" s="926"/>
      <c r="NPH189" s="926"/>
      <c r="NPI189" s="926"/>
      <c r="NPJ189" s="926"/>
      <c r="NPK189" s="926"/>
      <c r="NPL189" s="926"/>
      <c r="NPM189" s="926"/>
      <c r="NPN189" s="926"/>
      <c r="NPO189" s="926"/>
      <c r="NPP189" s="926"/>
      <c r="NPQ189" s="926"/>
      <c r="NPR189" s="926"/>
      <c r="NPS189" s="926"/>
      <c r="NPT189" s="926"/>
      <c r="NPU189" s="926"/>
      <c r="NPV189" s="926"/>
      <c r="NPW189" s="926"/>
      <c r="NPX189" s="926"/>
      <c r="NPY189" s="926"/>
      <c r="NPZ189" s="926"/>
      <c r="NQA189" s="926"/>
      <c r="NQB189" s="926"/>
      <c r="NQC189" s="926"/>
      <c r="NQD189" s="926"/>
      <c r="NQE189" s="926"/>
      <c r="NQF189" s="926"/>
      <c r="NQG189" s="926"/>
      <c r="NQH189" s="926"/>
      <c r="NQI189" s="926"/>
      <c r="NQJ189" s="926"/>
      <c r="NQK189" s="926"/>
      <c r="NQL189" s="926"/>
      <c r="NQM189" s="926"/>
      <c r="NQN189" s="926"/>
      <c r="NQO189" s="926"/>
      <c r="NQP189" s="926"/>
      <c r="NQQ189" s="926"/>
      <c r="NQR189" s="926"/>
      <c r="NQS189" s="926"/>
      <c r="NQT189" s="926"/>
      <c r="NQU189" s="926"/>
      <c r="NQV189" s="926"/>
      <c r="NQW189" s="926"/>
      <c r="NQX189" s="926"/>
      <c r="NQY189" s="926"/>
      <c r="NQZ189" s="926"/>
      <c r="NRA189" s="926"/>
      <c r="NRB189" s="926"/>
      <c r="NRC189" s="926"/>
      <c r="NRD189" s="926"/>
      <c r="NRE189" s="926"/>
      <c r="NRF189" s="926"/>
      <c r="NRG189" s="926"/>
      <c r="NRH189" s="926"/>
      <c r="NRI189" s="926"/>
      <c r="NRJ189" s="926"/>
      <c r="NRK189" s="926"/>
      <c r="NRL189" s="926"/>
      <c r="NRM189" s="926"/>
      <c r="NRN189" s="926"/>
      <c r="NRO189" s="926"/>
      <c r="NRP189" s="926"/>
      <c r="NRQ189" s="926"/>
      <c r="NRR189" s="926"/>
      <c r="NRS189" s="926"/>
      <c r="NRT189" s="926"/>
      <c r="NRU189" s="926"/>
      <c r="NRV189" s="926"/>
      <c r="NRW189" s="926"/>
      <c r="NRX189" s="926"/>
      <c r="NRY189" s="926"/>
      <c r="NRZ189" s="926"/>
      <c r="NSA189" s="926"/>
      <c r="NSB189" s="926"/>
      <c r="NSC189" s="926"/>
      <c r="NSD189" s="926"/>
      <c r="NSE189" s="926"/>
      <c r="NSF189" s="926"/>
      <c r="NSG189" s="926"/>
      <c r="NSH189" s="926"/>
      <c r="NSI189" s="926"/>
      <c r="NSJ189" s="926"/>
      <c r="NSK189" s="926"/>
      <c r="NSL189" s="926"/>
      <c r="NSM189" s="926"/>
      <c r="NSN189" s="926"/>
      <c r="NSO189" s="926"/>
      <c r="NSP189" s="926"/>
      <c r="NSQ189" s="926"/>
      <c r="NSR189" s="926"/>
      <c r="NSS189" s="926"/>
      <c r="NST189" s="926"/>
      <c r="NSU189" s="926"/>
      <c r="NSV189" s="926"/>
      <c r="NSW189" s="926"/>
      <c r="NSX189" s="926"/>
      <c r="NSY189" s="926"/>
      <c r="NSZ189" s="926"/>
      <c r="NTA189" s="926"/>
      <c r="NTB189" s="926"/>
      <c r="NTC189" s="926"/>
      <c r="NTD189" s="926"/>
      <c r="NTE189" s="926"/>
      <c r="NTF189" s="926"/>
      <c r="NTG189" s="926"/>
      <c r="NTH189" s="926"/>
      <c r="NTI189" s="926"/>
      <c r="NTJ189" s="926"/>
      <c r="NTK189" s="926"/>
      <c r="NTL189" s="926"/>
      <c r="NTM189" s="926"/>
      <c r="NTN189" s="926"/>
      <c r="NTO189" s="926"/>
      <c r="NTP189" s="926"/>
      <c r="NTQ189" s="926"/>
      <c r="NTR189" s="926"/>
      <c r="NTS189" s="926"/>
      <c r="NTT189" s="926"/>
      <c r="NTU189" s="926"/>
      <c r="NTV189" s="926"/>
      <c r="NTW189" s="926"/>
      <c r="NTX189" s="926"/>
      <c r="NTY189" s="926"/>
      <c r="NTZ189" s="926"/>
      <c r="NUA189" s="926"/>
      <c r="NUB189" s="926"/>
      <c r="NUC189" s="926"/>
      <c r="NUD189" s="926"/>
      <c r="NUE189" s="926"/>
      <c r="NUF189" s="926"/>
      <c r="NUG189" s="926"/>
      <c r="NUH189" s="926"/>
      <c r="NUI189" s="926"/>
      <c r="NUJ189" s="926"/>
      <c r="NUK189" s="926"/>
      <c r="NUL189" s="926"/>
      <c r="NUM189" s="926"/>
      <c r="NUN189" s="926"/>
      <c r="NUO189" s="926"/>
      <c r="NUP189" s="926"/>
      <c r="NUQ189" s="926"/>
      <c r="NUR189" s="926"/>
      <c r="NUS189" s="926"/>
      <c r="NUT189" s="926"/>
      <c r="NUU189" s="926"/>
      <c r="NUV189" s="926"/>
      <c r="NUW189" s="926"/>
      <c r="NUX189" s="926"/>
      <c r="NUY189" s="926"/>
      <c r="NUZ189" s="926"/>
      <c r="NVA189" s="926"/>
      <c r="NVB189" s="926"/>
      <c r="NVC189" s="926"/>
      <c r="NVD189" s="926"/>
      <c r="NVE189" s="926"/>
      <c r="NVF189" s="926"/>
      <c r="NVG189" s="926"/>
      <c r="NVH189" s="926"/>
      <c r="NVI189" s="926"/>
      <c r="NVJ189" s="926"/>
      <c r="NVK189" s="926"/>
      <c r="NVL189" s="926"/>
      <c r="NVM189" s="926"/>
      <c r="NVN189" s="926"/>
      <c r="NVO189" s="926"/>
      <c r="NVP189" s="926"/>
      <c r="NVQ189" s="926"/>
      <c r="NVR189" s="926"/>
      <c r="NVS189" s="926"/>
      <c r="NVT189" s="926"/>
      <c r="NVU189" s="926"/>
      <c r="NVV189" s="926"/>
      <c r="NVW189" s="926"/>
      <c r="NVX189" s="926"/>
      <c r="NVY189" s="926"/>
      <c r="NVZ189" s="926"/>
      <c r="NWA189" s="926"/>
      <c r="NWB189" s="926"/>
      <c r="NWC189" s="926"/>
      <c r="NWD189" s="926"/>
      <c r="NWE189" s="926"/>
      <c r="NWF189" s="926"/>
      <c r="NWG189" s="926"/>
      <c r="NWH189" s="926"/>
      <c r="NWI189" s="926"/>
      <c r="NWJ189" s="926"/>
      <c r="NWK189" s="926"/>
      <c r="NWL189" s="926"/>
      <c r="NWM189" s="926"/>
      <c r="NWN189" s="926"/>
      <c r="NWO189" s="926"/>
      <c r="NWP189" s="926"/>
      <c r="NWQ189" s="926"/>
      <c r="NWR189" s="926"/>
      <c r="NWS189" s="926"/>
      <c r="NWT189" s="926"/>
      <c r="NWU189" s="926"/>
      <c r="NWV189" s="926"/>
      <c r="NWW189" s="926"/>
      <c r="NWX189" s="926"/>
      <c r="NWY189" s="926"/>
      <c r="NWZ189" s="926"/>
      <c r="NXA189" s="926"/>
      <c r="NXB189" s="926"/>
      <c r="NXC189" s="926"/>
      <c r="NXD189" s="926"/>
      <c r="NXE189" s="926"/>
      <c r="NXF189" s="926"/>
      <c r="NXG189" s="926"/>
      <c r="NXH189" s="926"/>
      <c r="NXI189" s="926"/>
      <c r="NXJ189" s="926"/>
      <c r="NXK189" s="926"/>
      <c r="NXL189" s="926"/>
      <c r="NXM189" s="926"/>
      <c r="NXN189" s="926"/>
      <c r="NXO189" s="926"/>
      <c r="NXP189" s="926"/>
      <c r="NXQ189" s="926"/>
      <c r="NXR189" s="926"/>
      <c r="NXS189" s="926"/>
      <c r="NXT189" s="926"/>
      <c r="NXU189" s="926"/>
      <c r="NXV189" s="926"/>
      <c r="NXW189" s="926"/>
      <c r="NXX189" s="926"/>
      <c r="NXY189" s="926"/>
      <c r="NXZ189" s="926"/>
      <c r="NYA189" s="926"/>
      <c r="NYB189" s="926"/>
      <c r="NYC189" s="926"/>
      <c r="NYD189" s="926"/>
      <c r="NYE189" s="926"/>
      <c r="NYF189" s="926"/>
      <c r="NYG189" s="926"/>
      <c r="NYH189" s="926"/>
      <c r="NYI189" s="926"/>
      <c r="NYJ189" s="926"/>
      <c r="NYK189" s="926"/>
      <c r="NYL189" s="926"/>
      <c r="NYM189" s="926"/>
      <c r="NYN189" s="926"/>
      <c r="NYO189" s="926"/>
      <c r="NYP189" s="926"/>
      <c r="NYQ189" s="926"/>
      <c r="NYR189" s="926"/>
      <c r="NYS189" s="926"/>
      <c r="NYT189" s="926"/>
      <c r="NYU189" s="926"/>
      <c r="NYV189" s="926"/>
      <c r="NYW189" s="926"/>
      <c r="NYX189" s="926"/>
      <c r="NYY189" s="926"/>
      <c r="NYZ189" s="926"/>
      <c r="NZA189" s="926"/>
      <c r="NZB189" s="926"/>
      <c r="NZC189" s="926"/>
      <c r="NZD189" s="926"/>
      <c r="NZE189" s="926"/>
      <c r="NZF189" s="926"/>
      <c r="NZG189" s="926"/>
      <c r="NZH189" s="926"/>
      <c r="NZI189" s="926"/>
      <c r="NZJ189" s="926"/>
      <c r="NZK189" s="926"/>
      <c r="NZL189" s="926"/>
      <c r="NZM189" s="926"/>
      <c r="NZN189" s="926"/>
      <c r="NZO189" s="926"/>
      <c r="NZP189" s="926"/>
      <c r="NZQ189" s="926"/>
      <c r="NZR189" s="926"/>
      <c r="NZS189" s="926"/>
      <c r="NZT189" s="926"/>
      <c r="NZU189" s="926"/>
      <c r="NZV189" s="926"/>
      <c r="NZW189" s="926"/>
      <c r="NZX189" s="926"/>
      <c r="NZY189" s="926"/>
      <c r="NZZ189" s="926"/>
      <c r="OAA189" s="926"/>
      <c r="OAB189" s="926"/>
      <c r="OAC189" s="926"/>
      <c r="OAD189" s="926"/>
      <c r="OAE189" s="926"/>
      <c r="OAF189" s="926"/>
      <c r="OAG189" s="926"/>
      <c r="OAH189" s="926"/>
      <c r="OAI189" s="926"/>
      <c r="OAJ189" s="926"/>
      <c r="OAK189" s="926"/>
      <c r="OAL189" s="926"/>
      <c r="OAM189" s="926"/>
      <c r="OAN189" s="926"/>
      <c r="OAO189" s="926"/>
      <c r="OAP189" s="926"/>
      <c r="OAQ189" s="926"/>
      <c r="OAR189" s="926"/>
      <c r="OAS189" s="926"/>
      <c r="OAT189" s="926"/>
      <c r="OAU189" s="926"/>
      <c r="OAV189" s="926"/>
      <c r="OAW189" s="926"/>
      <c r="OAX189" s="926"/>
      <c r="OAY189" s="926"/>
      <c r="OAZ189" s="926"/>
      <c r="OBA189" s="926"/>
      <c r="OBB189" s="926"/>
      <c r="OBC189" s="926"/>
      <c r="OBD189" s="926"/>
      <c r="OBE189" s="926"/>
      <c r="OBF189" s="926"/>
      <c r="OBG189" s="926"/>
      <c r="OBH189" s="926"/>
      <c r="OBI189" s="926"/>
      <c r="OBJ189" s="926"/>
      <c r="OBK189" s="926"/>
      <c r="OBL189" s="926"/>
      <c r="OBM189" s="926"/>
      <c r="OBN189" s="926"/>
      <c r="OBO189" s="926"/>
      <c r="OBP189" s="926"/>
      <c r="OBQ189" s="926"/>
      <c r="OBR189" s="926"/>
      <c r="OBS189" s="926"/>
      <c r="OBT189" s="926"/>
      <c r="OBU189" s="926"/>
      <c r="OBV189" s="926"/>
      <c r="OBW189" s="926"/>
      <c r="OBX189" s="926"/>
      <c r="OBY189" s="926"/>
      <c r="OBZ189" s="926"/>
      <c r="OCA189" s="926"/>
      <c r="OCB189" s="926"/>
      <c r="OCC189" s="926"/>
      <c r="OCD189" s="926"/>
      <c r="OCE189" s="926"/>
      <c r="OCF189" s="926"/>
      <c r="OCG189" s="926"/>
      <c r="OCH189" s="926"/>
      <c r="OCI189" s="926"/>
      <c r="OCJ189" s="926"/>
      <c r="OCK189" s="926"/>
      <c r="OCL189" s="926"/>
      <c r="OCM189" s="926"/>
      <c r="OCN189" s="926"/>
      <c r="OCO189" s="926"/>
      <c r="OCP189" s="926"/>
      <c r="OCQ189" s="926"/>
      <c r="OCR189" s="926"/>
      <c r="OCS189" s="926"/>
      <c r="OCT189" s="926"/>
      <c r="OCU189" s="926"/>
      <c r="OCV189" s="926"/>
      <c r="OCW189" s="926"/>
      <c r="OCX189" s="926"/>
      <c r="OCY189" s="926"/>
      <c r="OCZ189" s="926"/>
      <c r="ODA189" s="926"/>
      <c r="ODB189" s="926"/>
      <c r="ODC189" s="926"/>
      <c r="ODD189" s="926"/>
      <c r="ODE189" s="926"/>
      <c r="ODF189" s="926"/>
      <c r="ODG189" s="926"/>
      <c r="ODH189" s="926"/>
      <c r="ODI189" s="926"/>
      <c r="ODJ189" s="926"/>
      <c r="ODK189" s="926"/>
      <c r="ODL189" s="926"/>
      <c r="ODM189" s="926"/>
      <c r="ODN189" s="926"/>
      <c r="ODO189" s="926"/>
      <c r="ODP189" s="926"/>
      <c r="ODQ189" s="926"/>
      <c r="ODR189" s="926"/>
      <c r="ODS189" s="926"/>
      <c r="ODT189" s="926"/>
      <c r="ODU189" s="926"/>
      <c r="ODV189" s="926"/>
      <c r="ODW189" s="926"/>
      <c r="ODX189" s="926"/>
      <c r="ODY189" s="926"/>
      <c r="ODZ189" s="926"/>
      <c r="OEA189" s="926"/>
      <c r="OEB189" s="926"/>
      <c r="OEC189" s="926"/>
      <c r="OED189" s="926"/>
      <c r="OEE189" s="926"/>
      <c r="OEF189" s="926"/>
      <c r="OEG189" s="926"/>
      <c r="OEH189" s="926"/>
      <c r="OEI189" s="926"/>
      <c r="OEJ189" s="926"/>
      <c r="OEK189" s="926"/>
      <c r="OEL189" s="926"/>
      <c r="OEM189" s="926"/>
      <c r="OEN189" s="926"/>
      <c r="OEO189" s="926"/>
      <c r="OEP189" s="926"/>
      <c r="OEQ189" s="926"/>
      <c r="OER189" s="926"/>
      <c r="OES189" s="926"/>
      <c r="OET189" s="926"/>
      <c r="OEU189" s="926"/>
      <c r="OEV189" s="926"/>
      <c r="OEW189" s="926"/>
      <c r="OEX189" s="926"/>
      <c r="OEY189" s="926"/>
      <c r="OEZ189" s="926"/>
      <c r="OFA189" s="926"/>
      <c r="OFB189" s="926"/>
      <c r="OFC189" s="926"/>
      <c r="OFD189" s="926"/>
      <c r="OFE189" s="926"/>
      <c r="OFF189" s="926"/>
      <c r="OFG189" s="926"/>
      <c r="OFH189" s="926"/>
      <c r="OFI189" s="926"/>
      <c r="OFJ189" s="926"/>
      <c r="OFK189" s="926"/>
      <c r="OFL189" s="926"/>
      <c r="OFM189" s="926"/>
      <c r="OFN189" s="926"/>
      <c r="OFO189" s="926"/>
      <c r="OFP189" s="926"/>
      <c r="OFQ189" s="926"/>
      <c r="OFR189" s="926"/>
      <c r="OFS189" s="926"/>
      <c r="OFT189" s="926"/>
      <c r="OFU189" s="926"/>
      <c r="OFV189" s="926"/>
      <c r="OFW189" s="926"/>
      <c r="OFX189" s="926"/>
      <c r="OFY189" s="926"/>
      <c r="OFZ189" s="926"/>
      <c r="OGA189" s="926"/>
      <c r="OGB189" s="926"/>
      <c r="OGC189" s="926"/>
      <c r="OGD189" s="926"/>
      <c r="OGE189" s="926"/>
      <c r="OGF189" s="926"/>
      <c r="OGG189" s="926"/>
      <c r="OGH189" s="926"/>
      <c r="OGI189" s="926"/>
      <c r="OGJ189" s="926"/>
      <c r="OGK189" s="926"/>
      <c r="OGL189" s="926"/>
      <c r="OGM189" s="926"/>
      <c r="OGN189" s="926"/>
      <c r="OGO189" s="926"/>
      <c r="OGP189" s="926"/>
      <c r="OGQ189" s="926"/>
      <c r="OGR189" s="926"/>
      <c r="OGS189" s="926"/>
      <c r="OGT189" s="926"/>
      <c r="OGU189" s="926"/>
      <c r="OGV189" s="926"/>
      <c r="OGW189" s="926"/>
      <c r="OGX189" s="926"/>
      <c r="OGY189" s="926"/>
      <c r="OGZ189" s="926"/>
      <c r="OHA189" s="926"/>
      <c r="OHB189" s="926"/>
      <c r="OHC189" s="926"/>
      <c r="OHD189" s="926"/>
      <c r="OHE189" s="926"/>
      <c r="OHF189" s="926"/>
      <c r="OHG189" s="926"/>
      <c r="OHH189" s="926"/>
      <c r="OHI189" s="926"/>
      <c r="OHJ189" s="926"/>
      <c r="OHK189" s="926"/>
      <c r="OHL189" s="926"/>
      <c r="OHM189" s="926"/>
      <c r="OHN189" s="926"/>
      <c r="OHO189" s="926"/>
      <c r="OHP189" s="926"/>
      <c r="OHQ189" s="926"/>
      <c r="OHR189" s="926"/>
      <c r="OHS189" s="926"/>
      <c r="OHT189" s="926"/>
      <c r="OHU189" s="926"/>
      <c r="OHV189" s="926"/>
      <c r="OHW189" s="926"/>
      <c r="OHX189" s="926"/>
      <c r="OHY189" s="926"/>
      <c r="OHZ189" s="926"/>
      <c r="OIA189" s="926"/>
      <c r="OIB189" s="926"/>
      <c r="OIC189" s="926"/>
      <c r="OID189" s="926"/>
      <c r="OIE189" s="926"/>
      <c r="OIF189" s="926"/>
      <c r="OIG189" s="926"/>
      <c r="OIH189" s="926"/>
      <c r="OII189" s="926"/>
      <c r="OIJ189" s="926"/>
      <c r="OIK189" s="926"/>
      <c r="OIL189" s="926"/>
      <c r="OIM189" s="926"/>
      <c r="OIN189" s="926"/>
      <c r="OIO189" s="926"/>
      <c r="OIP189" s="926"/>
      <c r="OIQ189" s="926"/>
      <c r="OIR189" s="926"/>
      <c r="OIS189" s="926"/>
      <c r="OIT189" s="926"/>
      <c r="OIU189" s="926"/>
      <c r="OIV189" s="926"/>
      <c r="OIW189" s="926"/>
      <c r="OIX189" s="926"/>
      <c r="OIY189" s="926"/>
      <c r="OIZ189" s="926"/>
      <c r="OJA189" s="926"/>
      <c r="OJB189" s="926"/>
      <c r="OJC189" s="926"/>
      <c r="OJD189" s="926"/>
      <c r="OJE189" s="926"/>
      <c r="OJF189" s="926"/>
      <c r="OJG189" s="926"/>
      <c r="OJH189" s="926"/>
      <c r="OJI189" s="926"/>
      <c r="OJJ189" s="926"/>
      <c r="OJK189" s="926"/>
      <c r="OJL189" s="926"/>
      <c r="OJM189" s="926"/>
      <c r="OJN189" s="926"/>
      <c r="OJO189" s="926"/>
      <c r="OJP189" s="926"/>
      <c r="OJQ189" s="926"/>
      <c r="OJR189" s="926"/>
      <c r="OJS189" s="926"/>
      <c r="OJT189" s="926"/>
      <c r="OJU189" s="926"/>
      <c r="OJV189" s="926"/>
      <c r="OJW189" s="926"/>
      <c r="OJX189" s="926"/>
      <c r="OJY189" s="926"/>
      <c r="OJZ189" s="926"/>
      <c r="OKA189" s="926"/>
      <c r="OKB189" s="926"/>
      <c r="OKC189" s="926"/>
      <c r="OKD189" s="926"/>
      <c r="OKE189" s="926"/>
      <c r="OKF189" s="926"/>
      <c r="OKG189" s="926"/>
      <c r="OKH189" s="926"/>
      <c r="OKI189" s="926"/>
      <c r="OKJ189" s="926"/>
      <c r="OKK189" s="926"/>
      <c r="OKL189" s="926"/>
      <c r="OKM189" s="926"/>
      <c r="OKN189" s="926"/>
      <c r="OKO189" s="926"/>
      <c r="OKP189" s="926"/>
      <c r="OKQ189" s="926"/>
      <c r="OKR189" s="926"/>
      <c r="OKS189" s="926"/>
      <c r="OKT189" s="926"/>
      <c r="OKU189" s="926"/>
      <c r="OKV189" s="926"/>
      <c r="OKW189" s="926"/>
      <c r="OKX189" s="926"/>
      <c r="OKY189" s="926"/>
      <c r="OKZ189" s="926"/>
      <c r="OLA189" s="926"/>
      <c r="OLB189" s="926"/>
      <c r="OLC189" s="926"/>
      <c r="OLD189" s="926"/>
      <c r="OLE189" s="926"/>
      <c r="OLF189" s="926"/>
      <c r="OLG189" s="926"/>
      <c r="OLH189" s="926"/>
      <c r="OLI189" s="926"/>
      <c r="OLJ189" s="926"/>
      <c r="OLK189" s="926"/>
      <c r="OLL189" s="926"/>
      <c r="OLM189" s="926"/>
      <c r="OLN189" s="926"/>
      <c r="OLO189" s="926"/>
      <c r="OLP189" s="926"/>
      <c r="OLQ189" s="926"/>
      <c r="OLR189" s="926"/>
      <c r="OLS189" s="926"/>
      <c r="OLT189" s="926"/>
      <c r="OLU189" s="926"/>
      <c r="OLV189" s="926"/>
      <c r="OLW189" s="926"/>
      <c r="OLX189" s="926"/>
      <c r="OLY189" s="926"/>
      <c r="OLZ189" s="926"/>
      <c r="OMA189" s="926"/>
      <c r="OMB189" s="926"/>
      <c r="OMC189" s="926"/>
      <c r="OMD189" s="926"/>
      <c r="OME189" s="926"/>
      <c r="OMF189" s="926"/>
      <c r="OMG189" s="926"/>
      <c r="OMH189" s="926"/>
      <c r="OMI189" s="926"/>
      <c r="OMJ189" s="926"/>
      <c r="OMK189" s="926"/>
      <c r="OML189" s="926"/>
      <c r="OMM189" s="926"/>
      <c r="OMN189" s="926"/>
      <c r="OMO189" s="926"/>
      <c r="OMP189" s="926"/>
      <c r="OMQ189" s="926"/>
      <c r="OMR189" s="926"/>
      <c r="OMS189" s="926"/>
      <c r="OMT189" s="926"/>
      <c r="OMU189" s="926"/>
      <c r="OMV189" s="926"/>
      <c r="OMW189" s="926"/>
      <c r="OMX189" s="926"/>
      <c r="OMY189" s="926"/>
      <c r="OMZ189" s="926"/>
      <c r="ONA189" s="926"/>
      <c r="ONB189" s="926"/>
      <c r="ONC189" s="926"/>
      <c r="OND189" s="926"/>
      <c r="ONE189" s="926"/>
      <c r="ONF189" s="926"/>
      <c r="ONG189" s="926"/>
      <c r="ONH189" s="926"/>
      <c r="ONI189" s="926"/>
      <c r="ONJ189" s="926"/>
      <c r="ONK189" s="926"/>
      <c r="ONL189" s="926"/>
      <c r="ONM189" s="926"/>
      <c r="ONN189" s="926"/>
      <c r="ONO189" s="926"/>
      <c r="ONP189" s="926"/>
      <c r="ONQ189" s="926"/>
      <c r="ONR189" s="926"/>
      <c r="ONS189" s="926"/>
      <c r="ONT189" s="926"/>
      <c r="ONU189" s="926"/>
      <c r="ONV189" s="926"/>
      <c r="ONW189" s="926"/>
      <c r="ONX189" s="926"/>
      <c r="ONY189" s="926"/>
      <c r="ONZ189" s="926"/>
      <c r="OOA189" s="926"/>
      <c r="OOB189" s="926"/>
      <c r="OOC189" s="926"/>
      <c r="OOD189" s="926"/>
      <c r="OOE189" s="926"/>
      <c r="OOF189" s="926"/>
      <c r="OOG189" s="926"/>
      <c r="OOH189" s="926"/>
      <c r="OOI189" s="926"/>
      <c r="OOJ189" s="926"/>
      <c r="OOK189" s="926"/>
      <c r="OOL189" s="926"/>
      <c r="OOM189" s="926"/>
      <c r="OON189" s="926"/>
      <c r="OOO189" s="926"/>
      <c r="OOP189" s="926"/>
      <c r="OOQ189" s="926"/>
      <c r="OOR189" s="926"/>
      <c r="OOS189" s="926"/>
      <c r="OOT189" s="926"/>
      <c r="OOU189" s="926"/>
      <c r="OOV189" s="926"/>
      <c r="OOW189" s="926"/>
      <c r="OOX189" s="926"/>
      <c r="OOY189" s="926"/>
      <c r="OOZ189" s="926"/>
      <c r="OPA189" s="926"/>
      <c r="OPB189" s="926"/>
      <c r="OPC189" s="926"/>
      <c r="OPD189" s="926"/>
      <c r="OPE189" s="926"/>
      <c r="OPF189" s="926"/>
      <c r="OPG189" s="926"/>
      <c r="OPH189" s="926"/>
      <c r="OPI189" s="926"/>
      <c r="OPJ189" s="926"/>
      <c r="OPK189" s="926"/>
      <c r="OPL189" s="926"/>
      <c r="OPM189" s="926"/>
      <c r="OPN189" s="926"/>
      <c r="OPO189" s="926"/>
      <c r="OPP189" s="926"/>
      <c r="OPQ189" s="926"/>
      <c r="OPR189" s="926"/>
      <c r="OPS189" s="926"/>
      <c r="OPT189" s="926"/>
      <c r="OPU189" s="926"/>
      <c r="OPV189" s="926"/>
      <c r="OPW189" s="926"/>
      <c r="OPX189" s="926"/>
      <c r="OPY189" s="926"/>
      <c r="OPZ189" s="926"/>
      <c r="OQA189" s="926"/>
      <c r="OQB189" s="926"/>
      <c r="OQC189" s="926"/>
      <c r="OQD189" s="926"/>
      <c r="OQE189" s="926"/>
      <c r="OQF189" s="926"/>
      <c r="OQG189" s="926"/>
      <c r="OQH189" s="926"/>
      <c r="OQI189" s="926"/>
      <c r="OQJ189" s="926"/>
      <c r="OQK189" s="926"/>
      <c r="OQL189" s="926"/>
      <c r="OQM189" s="926"/>
      <c r="OQN189" s="926"/>
      <c r="OQO189" s="926"/>
      <c r="OQP189" s="926"/>
      <c r="OQQ189" s="926"/>
      <c r="OQR189" s="926"/>
      <c r="OQS189" s="926"/>
      <c r="OQT189" s="926"/>
      <c r="OQU189" s="926"/>
      <c r="OQV189" s="926"/>
      <c r="OQW189" s="926"/>
      <c r="OQX189" s="926"/>
      <c r="OQY189" s="926"/>
      <c r="OQZ189" s="926"/>
      <c r="ORA189" s="926"/>
      <c r="ORB189" s="926"/>
      <c r="ORC189" s="926"/>
      <c r="ORD189" s="926"/>
      <c r="ORE189" s="926"/>
      <c r="ORF189" s="926"/>
      <c r="ORG189" s="926"/>
      <c r="ORH189" s="926"/>
      <c r="ORI189" s="926"/>
      <c r="ORJ189" s="926"/>
      <c r="ORK189" s="926"/>
      <c r="ORL189" s="926"/>
      <c r="ORM189" s="926"/>
      <c r="ORN189" s="926"/>
      <c r="ORO189" s="926"/>
      <c r="ORP189" s="926"/>
      <c r="ORQ189" s="926"/>
      <c r="ORR189" s="926"/>
      <c r="ORS189" s="926"/>
      <c r="ORT189" s="926"/>
      <c r="ORU189" s="926"/>
      <c r="ORV189" s="926"/>
      <c r="ORW189" s="926"/>
      <c r="ORX189" s="926"/>
      <c r="ORY189" s="926"/>
      <c r="ORZ189" s="926"/>
      <c r="OSA189" s="926"/>
      <c r="OSB189" s="926"/>
      <c r="OSC189" s="926"/>
      <c r="OSD189" s="926"/>
      <c r="OSE189" s="926"/>
      <c r="OSF189" s="926"/>
      <c r="OSG189" s="926"/>
      <c r="OSH189" s="926"/>
      <c r="OSI189" s="926"/>
      <c r="OSJ189" s="926"/>
      <c r="OSK189" s="926"/>
      <c r="OSL189" s="926"/>
      <c r="OSM189" s="926"/>
      <c r="OSN189" s="926"/>
      <c r="OSO189" s="926"/>
      <c r="OSP189" s="926"/>
      <c r="OSQ189" s="926"/>
      <c r="OSR189" s="926"/>
      <c r="OSS189" s="926"/>
      <c r="OST189" s="926"/>
      <c r="OSU189" s="926"/>
      <c r="OSV189" s="926"/>
      <c r="OSW189" s="926"/>
      <c r="OSX189" s="926"/>
      <c r="OSY189" s="926"/>
      <c r="OSZ189" s="926"/>
      <c r="OTA189" s="926"/>
      <c r="OTB189" s="926"/>
      <c r="OTC189" s="926"/>
      <c r="OTD189" s="926"/>
      <c r="OTE189" s="926"/>
      <c r="OTF189" s="926"/>
      <c r="OTG189" s="926"/>
      <c r="OTH189" s="926"/>
      <c r="OTI189" s="926"/>
      <c r="OTJ189" s="926"/>
      <c r="OTK189" s="926"/>
      <c r="OTL189" s="926"/>
      <c r="OTM189" s="926"/>
      <c r="OTN189" s="926"/>
      <c r="OTO189" s="926"/>
      <c r="OTP189" s="926"/>
      <c r="OTQ189" s="926"/>
      <c r="OTR189" s="926"/>
      <c r="OTS189" s="926"/>
      <c r="OTT189" s="926"/>
      <c r="OTU189" s="926"/>
      <c r="OTV189" s="926"/>
      <c r="OTW189" s="926"/>
      <c r="OTX189" s="926"/>
      <c r="OTY189" s="926"/>
      <c r="OTZ189" s="926"/>
      <c r="OUA189" s="926"/>
      <c r="OUB189" s="926"/>
      <c r="OUC189" s="926"/>
      <c r="OUD189" s="926"/>
      <c r="OUE189" s="926"/>
      <c r="OUF189" s="926"/>
      <c r="OUG189" s="926"/>
      <c r="OUH189" s="926"/>
      <c r="OUI189" s="926"/>
      <c r="OUJ189" s="926"/>
      <c r="OUK189" s="926"/>
      <c r="OUL189" s="926"/>
      <c r="OUM189" s="926"/>
      <c r="OUN189" s="926"/>
      <c r="OUO189" s="926"/>
      <c r="OUP189" s="926"/>
      <c r="OUQ189" s="926"/>
      <c r="OUR189" s="926"/>
      <c r="OUS189" s="926"/>
      <c r="OUT189" s="926"/>
      <c r="OUU189" s="926"/>
      <c r="OUV189" s="926"/>
      <c r="OUW189" s="926"/>
      <c r="OUX189" s="926"/>
      <c r="OUY189" s="926"/>
      <c r="OUZ189" s="926"/>
      <c r="OVA189" s="926"/>
      <c r="OVB189" s="926"/>
      <c r="OVC189" s="926"/>
      <c r="OVD189" s="926"/>
      <c r="OVE189" s="926"/>
      <c r="OVF189" s="926"/>
      <c r="OVG189" s="926"/>
      <c r="OVH189" s="926"/>
      <c r="OVI189" s="926"/>
      <c r="OVJ189" s="926"/>
      <c r="OVK189" s="926"/>
      <c r="OVL189" s="926"/>
      <c r="OVM189" s="926"/>
      <c r="OVN189" s="926"/>
      <c r="OVO189" s="926"/>
      <c r="OVP189" s="926"/>
      <c r="OVQ189" s="926"/>
      <c r="OVR189" s="926"/>
      <c r="OVS189" s="926"/>
      <c r="OVT189" s="926"/>
      <c r="OVU189" s="926"/>
      <c r="OVV189" s="926"/>
      <c r="OVW189" s="926"/>
      <c r="OVX189" s="926"/>
      <c r="OVY189" s="926"/>
      <c r="OVZ189" s="926"/>
      <c r="OWA189" s="926"/>
      <c r="OWB189" s="926"/>
      <c r="OWC189" s="926"/>
      <c r="OWD189" s="926"/>
      <c r="OWE189" s="926"/>
      <c r="OWF189" s="926"/>
      <c r="OWG189" s="926"/>
      <c r="OWH189" s="926"/>
      <c r="OWI189" s="926"/>
      <c r="OWJ189" s="926"/>
      <c r="OWK189" s="926"/>
      <c r="OWL189" s="926"/>
      <c r="OWM189" s="926"/>
      <c r="OWN189" s="926"/>
      <c r="OWO189" s="926"/>
      <c r="OWP189" s="926"/>
      <c r="OWQ189" s="926"/>
      <c r="OWR189" s="926"/>
      <c r="OWS189" s="926"/>
      <c r="OWT189" s="926"/>
      <c r="OWU189" s="926"/>
      <c r="OWV189" s="926"/>
      <c r="OWW189" s="926"/>
      <c r="OWX189" s="926"/>
      <c r="OWY189" s="926"/>
      <c r="OWZ189" s="926"/>
      <c r="OXA189" s="926"/>
      <c r="OXB189" s="926"/>
      <c r="OXC189" s="926"/>
      <c r="OXD189" s="926"/>
      <c r="OXE189" s="926"/>
      <c r="OXF189" s="926"/>
      <c r="OXG189" s="926"/>
      <c r="OXH189" s="926"/>
      <c r="OXI189" s="926"/>
      <c r="OXJ189" s="926"/>
      <c r="OXK189" s="926"/>
      <c r="OXL189" s="926"/>
      <c r="OXM189" s="926"/>
      <c r="OXN189" s="926"/>
      <c r="OXO189" s="926"/>
      <c r="OXP189" s="926"/>
      <c r="OXQ189" s="926"/>
      <c r="OXR189" s="926"/>
      <c r="OXS189" s="926"/>
      <c r="OXT189" s="926"/>
      <c r="OXU189" s="926"/>
      <c r="OXV189" s="926"/>
      <c r="OXW189" s="926"/>
      <c r="OXX189" s="926"/>
      <c r="OXY189" s="926"/>
      <c r="OXZ189" s="926"/>
      <c r="OYA189" s="926"/>
      <c r="OYB189" s="926"/>
      <c r="OYC189" s="926"/>
      <c r="OYD189" s="926"/>
      <c r="OYE189" s="926"/>
      <c r="OYF189" s="926"/>
      <c r="OYG189" s="926"/>
      <c r="OYH189" s="926"/>
      <c r="OYI189" s="926"/>
      <c r="OYJ189" s="926"/>
      <c r="OYK189" s="926"/>
      <c r="OYL189" s="926"/>
      <c r="OYM189" s="926"/>
      <c r="OYN189" s="926"/>
      <c r="OYO189" s="926"/>
      <c r="OYP189" s="926"/>
      <c r="OYQ189" s="926"/>
      <c r="OYR189" s="926"/>
      <c r="OYS189" s="926"/>
      <c r="OYT189" s="926"/>
      <c r="OYU189" s="926"/>
      <c r="OYV189" s="926"/>
      <c r="OYW189" s="926"/>
      <c r="OYX189" s="926"/>
      <c r="OYY189" s="926"/>
      <c r="OYZ189" s="926"/>
      <c r="OZA189" s="926"/>
      <c r="OZB189" s="926"/>
      <c r="OZC189" s="926"/>
      <c r="OZD189" s="926"/>
      <c r="OZE189" s="926"/>
      <c r="OZF189" s="926"/>
      <c r="OZG189" s="926"/>
      <c r="OZH189" s="926"/>
      <c r="OZI189" s="926"/>
      <c r="OZJ189" s="926"/>
      <c r="OZK189" s="926"/>
      <c r="OZL189" s="926"/>
      <c r="OZM189" s="926"/>
      <c r="OZN189" s="926"/>
      <c r="OZO189" s="926"/>
      <c r="OZP189" s="926"/>
      <c r="OZQ189" s="926"/>
      <c r="OZR189" s="926"/>
      <c r="OZS189" s="926"/>
      <c r="OZT189" s="926"/>
      <c r="OZU189" s="926"/>
      <c r="OZV189" s="926"/>
      <c r="OZW189" s="926"/>
      <c r="OZX189" s="926"/>
      <c r="OZY189" s="926"/>
      <c r="OZZ189" s="926"/>
      <c r="PAA189" s="926"/>
      <c r="PAB189" s="926"/>
      <c r="PAC189" s="926"/>
      <c r="PAD189" s="926"/>
      <c r="PAE189" s="926"/>
      <c r="PAF189" s="926"/>
      <c r="PAG189" s="926"/>
      <c r="PAH189" s="926"/>
      <c r="PAI189" s="926"/>
      <c r="PAJ189" s="926"/>
      <c r="PAK189" s="926"/>
      <c r="PAL189" s="926"/>
      <c r="PAM189" s="926"/>
      <c r="PAN189" s="926"/>
      <c r="PAO189" s="926"/>
      <c r="PAP189" s="926"/>
      <c r="PAQ189" s="926"/>
      <c r="PAR189" s="926"/>
      <c r="PAS189" s="926"/>
      <c r="PAT189" s="926"/>
      <c r="PAU189" s="926"/>
      <c r="PAV189" s="926"/>
      <c r="PAW189" s="926"/>
      <c r="PAX189" s="926"/>
      <c r="PAY189" s="926"/>
      <c r="PAZ189" s="926"/>
      <c r="PBA189" s="926"/>
      <c r="PBB189" s="926"/>
      <c r="PBC189" s="926"/>
      <c r="PBD189" s="926"/>
      <c r="PBE189" s="926"/>
      <c r="PBF189" s="926"/>
      <c r="PBG189" s="926"/>
      <c r="PBH189" s="926"/>
      <c r="PBI189" s="926"/>
      <c r="PBJ189" s="926"/>
      <c r="PBK189" s="926"/>
      <c r="PBL189" s="926"/>
      <c r="PBM189" s="926"/>
      <c r="PBN189" s="926"/>
      <c r="PBO189" s="926"/>
      <c r="PBP189" s="926"/>
      <c r="PBQ189" s="926"/>
      <c r="PBR189" s="926"/>
      <c r="PBS189" s="926"/>
      <c r="PBT189" s="926"/>
      <c r="PBU189" s="926"/>
      <c r="PBV189" s="926"/>
      <c r="PBW189" s="926"/>
      <c r="PBX189" s="926"/>
      <c r="PBY189" s="926"/>
      <c r="PBZ189" s="926"/>
      <c r="PCA189" s="926"/>
      <c r="PCB189" s="926"/>
      <c r="PCC189" s="926"/>
      <c r="PCD189" s="926"/>
      <c r="PCE189" s="926"/>
      <c r="PCF189" s="926"/>
      <c r="PCG189" s="926"/>
      <c r="PCH189" s="926"/>
      <c r="PCI189" s="926"/>
      <c r="PCJ189" s="926"/>
      <c r="PCK189" s="926"/>
      <c r="PCL189" s="926"/>
      <c r="PCM189" s="926"/>
      <c r="PCN189" s="926"/>
      <c r="PCO189" s="926"/>
      <c r="PCP189" s="926"/>
      <c r="PCQ189" s="926"/>
      <c r="PCR189" s="926"/>
      <c r="PCS189" s="926"/>
      <c r="PCT189" s="926"/>
      <c r="PCU189" s="926"/>
      <c r="PCV189" s="926"/>
      <c r="PCW189" s="926"/>
      <c r="PCX189" s="926"/>
      <c r="PCY189" s="926"/>
      <c r="PCZ189" s="926"/>
      <c r="PDA189" s="926"/>
      <c r="PDB189" s="926"/>
      <c r="PDC189" s="926"/>
      <c r="PDD189" s="926"/>
      <c r="PDE189" s="926"/>
      <c r="PDF189" s="926"/>
      <c r="PDG189" s="926"/>
      <c r="PDH189" s="926"/>
      <c r="PDI189" s="926"/>
      <c r="PDJ189" s="926"/>
      <c r="PDK189" s="926"/>
      <c r="PDL189" s="926"/>
      <c r="PDM189" s="926"/>
      <c r="PDN189" s="926"/>
      <c r="PDO189" s="926"/>
      <c r="PDP189" s="926"/>
      <c r="PDQ189" s="926"/>
      <c r="PDR189" s="926"/>
      <c r="PDS189" s="926"/>
      <c r="PDT189" s="926"/>
      <c r="PDU189" s="926"/>
      <c r="PDV189" s="926"/>
      <c r="PDW189" s="926"/>
      <c r="PDX189" s="926"/>
      <c r="PDY189" s="926"/>
      <c r="PDZ189" s="926"/>
      <c r="PEA189" s="926"/>
      <c r="PEB189" s="926"/>
      <c r="PEC189" s="926"/>
      <c r="PED189" s="926"/>
      <c r="PEE189" s="926"/>
      <c r="PEF189" s="926"/>
      <c r="PEG189" s="926"/>
      <c r="PEH189" s="926"/>
      <c r="PEI189" s="926"/>
      <c r="PEJ189" s="926"/>
      <c r="PEK189" s="926"/>
      <c r="PEL189" s="926"/>
      <c r="PEM189" s="926"/>
      <c r="PEN189" s="926"/>
      <c r="PEO189" s="926"/>
      <c r="PEP189" s="926"/>
      <c r="PEQ189" s="926"/>
      <c r="PER189" s="926"/>
      <c r="PES189" s="926"/>
      <c r="PET189" s="926"/>
      <c r="PEU189" s="926"/>
      <c r="PEV189" s="926"/>
      <c r="PEW189" s="926"/>
      <c r="PEX189" s="926"/>
      <c r="PEY189" s="926"/>
      <c r="PEZ189" s="926"/>
      <c r="PFA189" s="926"/>
      <c r="PFB189" s="926"/>
      <c r="PFC189" s="926"/>
      <c r="PFD189" s="926"/>
      <c r="PFE189" s="926"/>
      <c r="PFF189" s="926"/>
      <c r="PFG189" s="926"/>
      <c r="PFH189" s="926"/>
      <c r="PFI189" s="926"/>
      <c r="PFJ189" s="926"/>
      <c r="PFK189" s="926"/>
      <c r="PFL189" s="926"/>
      <c r="PFM189" s="926"/>
      <c r="PFN189" s="926"/>
      <c r="PFO189" s="926"/>
      <c r="PFP189" s="926"/>
      <c r="PFQ189" s="926"/>
      <c r="PFR189" s="926"/>
      <c r="PFS189" s="926"/>
      <c r="PFT189" s="926"/>
      <c r="PFU189" s="926"/>
      <c r="PFV189" s="926"/>
      <c r="PFW189" s="926"/>
      <c r="PFX189" s="926"/>
      <c r="PFY189" s="926"/>
      <c r="PFZ189" s="926"/>
      <c r="PGA189" s="926"/>
      <c r="PGB189" s="926"/>
      <c r="PGC189" s="926"/>
      <c r="PGD189" s="926"/>
      <c r="PGE189" s="926"/>
      <c r="PGF189" s="926"/>
      <c r="PGG189" s="926"/>
      <c r="PGH189" s="926"/>
      <c r="PGI189" s="926"/>
      <c r="PGJ189" s="926"/>
      <c r="PGK189" s="926"/>
      <c r="PGL189" s="926"/>
      <c r="PGM189" s="926"/>
      <c r="PGN189" s="926"/>
      <c r="PGO189" s="926"/>
      <c r="PGP189" s="926"/>
      <c r="PGQ189" s="926"/>
      <c r="PGR189" s="926"/>
      <c r="PGS189" s="926"/>
      <c r="PGT189" s="926"/>
      <c r="PGU189" s="926"/>
      <c r="PGV189" s="926"/>
      <c r="PGW189" s="926"/>
      <c r="PGX189" s="926"/>
      <c r="PGY189" s="926"/>
      <c r="PGZ189" s="926"/>
      <c r="PHA189" s="926"/>
      <c r="PHB189" s="926"/>
      <c r="PHC189" s="926"/>
      <c r="PHD189" s="926"/>
      <c r="PHE189" s="926"/>
      <c r="PHF189" s="926"/>
      <c r="PHG189" s="926"/>
      <c r="PHH189" s="926"/>
      <c r="PHI189" s="926"/>
      <c r="PHJ189" s="926"/>
      <c r="PHK189" s="926"/>
      <c r="PHL189" s="926"/>
      <c r="PHM189" s="926"/>
      <c r="PHN189" s="926"/>
      <c r="PHO189" s="926"/>
      <c r="PHP189" s="926"/>
      <c r="PHQ189" s="926"/>
      <c r="PHR189" s="926"/>
      <c r="PHS189" s="926"/>
      <c r="PHT189" s="926"/>
      <c r="PHU189" s="926"/>
      <c r="PHV189" s="926"/>
      <c r="PHW189" s="926"/>
      <c r="PHX189" s="926"/>
      <c r="PHY189" s="926"/>
      <c r="PHZ189" s="926"/>
      <c r="PIA189" s="926"/>
      <c r="PIB189" s="926"/>
      <c r="PIC189" s="926"/>
      <c r="PID189" s="926"/>
      <c r="PIE189" s="926"/>
      <c r="PIF189" s="926"/>
      <c r="PIG189" s="926"/>
      <c r="PIH189" s="926"/>
      <c r="PII189" s="926"/>
      <c r="PIJ189" s="926"/>
      <c r="PIK189" s="926"/>
      <c r="PIL189" s="926"/>
      <c r="PIM189" s="926"/>
      <c r="PIN189" s="926"/>
      <c r="PIO189" s="926"/>
      <c r="PIP189" s="926"/>
      <c r="PIQ189" s="926"/>
      <c r="PIR189" s="926"/>
      <c r="PIS189" s="926"/>
      <c r="PIT189" s="926"/>
      <c r="PIU189" s="926"/>
      <c r="PIV189" s="926"/>
      <c r="PIW189" s="926"/>
      <c r="PIX189" s="926"/>
      <c r="PIY189" s="926"/>
      <c r="PIZ189" s="926"/>
      <c r="PJA189" s="926"/>
      <c r="PJB189" s="926"/>
      <c r="PJC189" s="926"/>
      <c r="PJD189" s="926"/>
      <c r="PJE189" s="926"/>
      <c r="PJF189" s="926"/>
      <c r="PJG189" s="926"/>
      <c r="PJH189" s="926"/>
      <c r="PJI189" s="926"/>
      <c r="PJJ189" s="926"/>
      <c r="PJK189" s="926"/>
      <c r="PJL189" s="926"/>
      <c r="PJM189" s="926"/>
      <c r="PJN189" s="926"/>
      <c r="PJO189" s="926"/>
      <c r="PJP189" s="926"/>
      <c r="PJQ189" s="926"/>
      <c r="PJR189" s="926"/>
      <c r="PJS189" s="926"/>
      <c r="PJT189" s="926"/>
      <c r="PJU189" s="926"/>
      <c r="PJV189" s="926"/>
      <c r="PJW189" s="926"/>
      <c r="PJX189" s="926"/>
      <c r="PJY189" s="926"/>
      <c r="PJZ189" s="926"/>
      <c r="PKA189" s="926"/>
      <c r="PKB189" s="926"/>
      <c r="PKC189" s="926"/>
      <c r="PKD189" s="926"/>
      <c r="PKE189" s="926"/>
      <c r="PKF189" s="926"/>
      <c r="PKG189" s="926"/>
      <c r="PKH189" s="926"/>
      <c r="PKI189" s="926"/>
      <c r="PKJ189" s="926"/>
      <c r="PKK189" s="926"/>
      <c r="PKL189" s="926"/>
      <c r="PKM189" s="926"/>
      <c r="PKN189" s="926"/>
      <c r="PKO189" s="926"/>
      <c r="PKP189" s="926"/>
      <c r="PKQ189" s="926"/>
      <c r="PKR189" s="926"/>
      <c r="PKS189" s="926"/>
      <c r="PKT189" s="926"/>
      <c r="PKU189" s="926"/>
      <c r="PKV189" s="926"/>
      <c r="PKW189" s="926"/>
      <c r="PKX189" s="926"/>
      <c r="PKY189" s="926"/>
      <c r="PKZ189" s="926"/>
      <c r="PLA189" s="926"/>
      <c r="PLB189" s="926"/>
      <c r="PLC189" s="926"/>
      <c r="PLD189" s="926"/>
      <c r="PLE189" s="926"/>
      <c r="PLF189" s="926"/>
      <c r="PLG189" s="926"/>
      <c r="PLH189" s="926"/>
      <c r="PLI189" s="926"/>
      <c r="PLJ189" s="926"/>
      <c r="PLK189" s="926"/>
      <c r="PLL189" s="926"/>
      <c r="PLM189" s="926"/>
      <c r="PLN189" s="926"/>
      <c r="PLO189" s="926"/>
      <c r="PLP189" s="926"/>
      <c r="PLQ189" s="926"/>
      <c r="PLR189" s="926"/>
      <c r="PLS189" s="926"/>
      <c r="PLT189" s="926"/>
      <c r="PLU189" s="926"/>
      <c r="PLV189" s="926"/>
      <c r="PLW189" s="926"/>
      <c r="PLX189" s="926"/>
      <c r="PLY189" s="926"/>
      <c r="PLZ189" s="926"/>
      <c r="PMA189" s="926"/>
      <c r="PMB189" s="926"/>
      <c r="PMC189" s="926"/>
      <c r="PMD189" s="926"/>
      <c r="PME189" s="926"/>
      <c r="PMF189" s="926"/>
      <c r="PMG189" s="926"/>
      <c r="PMH189" s="926"/>
      <c r="PMI189" s="926"/>
      <c r="PMJ189" s="926"/>
      <c r="PMK189" s="926"/>
      <c r="PML189" s="926"/>
      <c r="PMM189" s="926"/>
      <c r="PMN189" s="926"/>
      <c r="PMO189" s="926"/>
      <c r="PMP189" s="926"/>
      <c r="PMQ189" s="926"/>
      <c r="PMR189" s="926"/>
      <c r="PMS189" s="926"/>
      <c r="PMT189" s="926"/>
      <c r="PMU189" s="926"/>
      <c r="PMV189" s="926"/>
      <c r="PMW189" s="926"/>
      <c r="PMX189" s="926"/>
      <c r="PMY189" s="926"/>
      <c r="PMZ189" s="926"/>
      <c r="PNA189" s="926"/>
      <c r="PNB189" s="926"/>
      <c r="PNC189" s="926"/>
      <c r="PND189" s="926"/>
      <c r="PNE189" s="926"/>
      <c r="PNF189" s="926"/>
      <c r="PNG189" s="926"/>
      <c r="PNH189" s="926"/>
      <c r="PNI189" s="926"/>
      <c r="PNJ189" s="926"/>
      <c r="PNK189" s="926"/>
      <c r="PNL189" s="926"/>
      <c r="PNM189" s="926"/>
      <c r="PNN189" s="926"/>
      <c r="PNO189" s="926"/>
      <c r="PNP189" s="926"/>
      <c r="PNQ189" s="926"/>
      <c r="PNR189" s="926"/>
      <c r="PNS189" s="926"/>
      <c r="PNT189" s="926"/>
      <c r="PNU189" s="926"/>
      <c r="PNV189" s="926"/>
      <c r="PNW189" s="926"/>
      <c r="PNX189" s="926"/>
      <c r="PNY189" s="926"/>
      <c r="PNZ189" s="926"/>
      <c r="POA189" s="926"/>
      <c r="POB189" s="926"/>
      <c r="POC189" s="926"/>
      <c r="POD189" s="926"/>
      <c r="POE189" s="926"/>
      <c r="POF189" s="926"/>
      <c r="POG189" s="926"/>
      <c r="POH189" s="926"/>
      <c r="POI189" s="926"/>
      <c r="POJ189" s="926"/>
      <c r="POK189" s="926"/>
      <c r="POL189" s="926"/>
      <c r="POM189" s="926"/>
      <c r="PON189" s="926"/>
      <c r="POO189" s="926"/>
      <c r="POP189" s="926"/>
      <c r="POQ189" s="926"/>
      <c r="POR189" s="926"/>
      <c r="POS189" s="926"/>
      <c r="POT189" s="926"/>
      <c r="POU189" s="926"/>
      <c r="POV189" s="926"/>
      <c r="POW189" s="926"/>
      <c r="POX189" s="926"/>
      <c r="POY189" s="926"/>
      <c r="POZ189" s="926"/>
      <c r="PPA189" s="926"/>
      <c r="PPB189" s="926"/>
      <c r="PPC189" s="926"/>
      <c r="PPD189" s="926"/>
      <c r="PPE189" s="926"/>
      <c r="PPF189" s="926"/>
      <c r="PPG189" s="926"/>
      <c r="PPH189" s="926"/>
      <c r="PPI189" s="926"/>
      <c r="PPJ189" s="926"/>
      <c r="PPK189" s="926"/>
      <c r="PPL189" s="926"/>
      <c r="PPM189" s="926"/>
      <c r="PPN189" s="926"/>
      <c r="PPO189" s="926"/>
      <c r="PPP189" s="926"/>
      <c r="PPQ189" s="926"/>
      <c r="PPR189" s="926"/>
      <c r="PPS189" s="926"/>
      <c r="PPT189" s="926"/>
      <c r="PPU189" s="926"/>
      <c r="PPV189" s="926"/>
      <c r="PPW189" s="926"/>
      <c r="PPX189" s="926"/>
      <c r="PPY189" s="926"/>
      <c r="PPZ189" s="926"/>
      <c r="PQA189" s="926"/>
      <c r="PQB189" s="926"/>
      <c r="PQC189" s="926"/>
      <c r="PQD189" s="926"/>
      <c r="PQE189" s="926"/>
      <c r="PQF189" s="926"/>
      <c r="PQG189" s="926"/>
      <c r="PQH189" s="926"/>
      <c r="PQI189" s="926"/>
      <c r="PQJ189" s="926"/>
      <c r="PQK189" s="926"/>
      <c r="PQL189" s="926"/>
      <c r="PQM189" s="926"/>
      <c r="PQN189" s="926"/>
      <c r="PQO189" s="926"/>
      <c r="PQP189" s="926"/>
      <c r="PQQ189" s="926"/>
      <c r="PQR189" s="926"/>
      <c r="PQS189" s="926"/>
      <c r="PQT189" s="926"/>
      <c r="PQU189" s="926"/>
      <c r="PQV189" s="926"/>
      <c r="PQW189" s="926"/>
      <c r="PQX189" s="926"/>
      <c r="PQY189" s="926"/>
      <c r="PQZ189" s="926"/>
      <c r="PRA189" s="926"/>
      <c r="PRB189" s="926"/>
      <c r="PRC189" s="926"/>
      <c r="PRD189" s="926"/>
      <c r="PRE189" s="926"/>
      <c r="PRF189" s="926"/>
      <c r="PRG189" s="926"/>
      <c r="PRH189" s="926"/>
      <c r="PRI189" s="926"/>
      <c r="PRJ189" s="926"/>
      <c r="PRK189" s="926"/>
      <c r="PRL189" s="926"/>
      <c r="PRM189" s="926"/>
      <c r="PRN189" s="926"/>
      <c r="PRO189" s="926"/>
      <c r="PRP189" s="926"/>
      <c r="PRQ189" s="926"/>
      <c r="PRR189" s="926"/>
      <c r="PRS189" s="926"/>
      <c r="PRT189" s="926"/>
      <c r="PRU189" s="926"/>
      <c r="PRV189" s="926"/>
      <c r="PRW189" s="926"/>
      <c r="PRX189" s="926"/>
      <c r="PRY189" s="926"/>
      <c r="PRZ189" s="926"/>
      <c r="PSA189" s="926"/>
      <c r="PSB189" s="926"/>
      <c r="PSC189" s="926"/>
      <c r="PSD189" s="926"/>
      <c r="PSE189" s="926"/>
      <c r="PSF189" s="926"/>
      <c r="PSG189" s="926"/>
      <c r="PSH189" s="926"/>
      <c r="PSI189" s="926"/>
      <c r="PSJ189" s="926"/>
      <c r="PSK189" s="926"/>
      <c r="PSL189" s="926"/>
      <c r="PSM189" s="926"/>
      <c r="PSN189" s="926"/>
      <c r="PSO189" s="926"/>
      <c r="PSP189" s="926"/>
      <c r="PSQ189" s="926"/>
      <c r="PSR189" s="926"/>
      <c r="PSS189" s="926"/>
      <c r="PST189" s="926"/>
      <c r="PSU189" s="926"/>
      <c r="PSV189" s="926"/>
      <c r="PSW189" s="926"/>
      <c r="PSX189" s="926"/>
      <c r="PSY189" s="926"/>
      <c r="PSZ189" s="926"/>
      <c r="PTA189" s="926"/>
      <c r="PTB189" s="926"/>
      <c r="PTC189" s="926"/>
      <c r="PTD189" s="926"/>
      <c r="PTE189" s="926"/>
      <c r="PTF189" s="926"/>
      <c r="PTG189" s="926"/>
      <c r="PTH189" s="926"/>
      <c r="PTI189" s="926"/>
      <c r="PTJ189" s="926"/>
      <c r="PTK189" s="926"/>
      <c r="PTL189" s="926"/>
      <c r="PTM189" s="926"/>
      <c r="PTN189" s="926"/>
      <c r="PTO189" s="926"/>
      <c r="PTP189" s="926"/>
      <c r="PTQ189" s="926"/>
      <c r="PTR189" s="926"/>
      <c r="PTS189" s="926"/>
      <c r="PTT189" s="926"/>
      <c r="PTU189" s="926"/>
      <c r="PTV189" s="926"/>
      <c r="PTW189" s="926"/>
      <c r="PTX189" s="926"/>
      <c r="PTY189" s="926"/>
      <c r="PTZ189" s="926"/>
      <c r="PUA189" s="926"/>
      <c r="PUB189" s="926"/>
      <c r="PUC189" s="926"/>
      <c r="PUD189" s="926"/>
      <c r="PUE189" s="926"/>
      <c r="PUF189" s="926"/>
      <c r="PUG189" s="926"/>
      <c r="PUH189" s="926"/>
      <c r="PUI189" s="926"/>
      <c r="PUJ189" s="926"/>
      <c r="PUK189" s="926"/>
      <c r="PUL189" s="926"/>
      <c r="PUM189" s="926"/>
      <c r="PUN189" s="926"/>
      <c r="PUO189" s="926"/>
      <c r="PUP189" s="926"/>
      <c r="PUQ189" s="926"/>
      <c r="PUR189" s="926"/>
      <c r="PUS189" s="926"/>
      <c r="PUT189" s="926"/>
      <c r="PUU189" s="926"/>
      <c r="PUV189" s="926"/>
      <c r="PUW189" s="926"/>
      <c r="PUX189" s="926"/>
      <c r="PUY189" s="926"/>
      <c r="PUZ189" s="926"/>
      <c r="PVA189" s="926"/>
      <c r="PVB189" s="926"/>
      <c r="PVC189" s="926"/>
      <c r="PVD189" s="926"/>
      <c r="PVE189" s="926"/>
      <c r="PVF189" s="926"/>
      <c r="PVG189" s="926"/>
      <c r="PVH189" s="926"/>
      <c r="PVI189" s="926"/>
      <c r="PVJ189" s="926"/>
      <c r="PVK189" s="926"/>
      <c r="PVL189" s="926"/>
      <c r="PVM189" s="926"/>
      <c r="PVN189" s="926"/>
      <c r="PVO189" s="926"/>
      <c r="PVP189" s="926"/>
      <c r="PVQ189" s="926"/>
      <c r="PVR189" s="926"/>
      <c r="PVS189" s="926"/>
      <c r="PVT189" s="926"/>
      <c r="PVU189" s="926"/>
      <c r="PVV189" s="926"/>
      <c r="PVW189" s="926"/>
      <c r="PVX189" s="926"/>
      <c r="PVY189" s="926"/>
      <c r="PVZ189" s="926"/>
      <c r="PWA189" s="926"/>
      <c r="PWB189" s="926"/>
      <c r="PWC189" s="926"/>
      <c r="PWD189" s="926"/>
      <c r="PWE189" s="926"/>
      <c r="PWF189" s="926"/>
      <c r="PWG189" s="926"/>
      <c r="PWH189" s="926"/>
      <c r="PWI189" s="926"/>
      <c r="PWJ189" s="926"/>
      <c r="PWK189" s="926"/>
      <c r="PWL189" s="926"/>
      <c r="PWM189" s="926"/>
      <c r="PWN189" s="926"/>
      <c r="PWO189" s="926"/>
      <c r="PWP189" s="926"/>
      <c r="PWQ189" s="926"/>
      <c r="PWR189" s="926"/>
      <c r="PWS189" s="926"/>
      <c r="PWT189" s="926"/>
      <c r="PWU189" s="926"/>
      <c r="PWV189" s="926"/>
      <c r="PWW189" s="926"/>
      <c r="PWX189" s="926"/>
      <c r="PWY189" s="926"/>
      <c r="PWZ189" s="926"/>
      <c r="PXA189" s="926"/>
      <c r="PXB189" s="926"/>
      <c r="PXC189" s="926"/>
      <c r="PXD189" s="926"/>
      <c r="PXE189" s="926"/>
      <c r="PXF189" s="926"/>
      <c r="PXG189" s="926"/>
      <c r="PXH189" s="926"/>
      <c r="PXI189" s="926"/>
      <c r="PXJ189" s="926"/>
      <c r="PXK189" s="926"/>
      <c r="PXL189" s="926"/>
      <c r="PXM189" s="926"/>
      <c r="PXN189" s="926"/>
      <c r="PXO189" s="926"/>
      <c r="PXP189" s="926"/>
      <c r="PXQ189" s="926"/>
      <c r="PXR189" s="926"/>
      <c r="PXS189" s="926"/>
      <c r="PXT189" s="926"/>
      <c r="PXU189" s="926"/>
      <c r="PXV189" s="926"/>
      <c r="PXW189" s="926"/>
      <c r="PXX189" s="926"/>
      <c r="PXY189" s="926"/>
      <c r="PXZ189" s="926"/>
      <c r="PYA189" s="926"/>
      <c r="PYB189" s="926"/>
      <c r="PYC189" s="926"/>
      <c r="PYD189" s="926"/>
      <c r="PYE189" s="926"/>
      <c r="PYF189" s="926"/>
      <c r="PYG189" s="926"/>
      <c r="PYH189" s="926"/>
      <c r="PYI189" s="926"/>
      <c r="PYJ189" s="926"/>
      <c r="PYK189" s="926"/>
      <c r="PYL189" s="926"/>
      <c r="PYM189" s="926"/>
      <c r="PYN189" s="926"/>
      <c r="PYO189" s="926"/>
      <c r="PYP189" s="926"/>
      <c r="PYQ189" s="926"/>
      <c r="PYR189" s="926"/>
      <c r="PYS189" s="926"/>
      <c r="PYT189" s="926"/>
      <c r="PYU189" s="926"/>
      <c r="PYV189" s="926"/>
      <c r="PYW189" s="926"/>
      <c r="PYX189" s="926"/>
      <c r="PYY189" s="926"/>
      <c r="PYZ189" s="926"/>
      <c r="PZA189" s="926"/>
      <c r="PZB189" s="926"/>
      <c r="PZC189" s="926"/>
      <c r="PZD189" s="926"/>
      <c r="PZE189" s="926"/>
      <c r="PZF189" s="926"/>
      <c r="PZG189" s="926"/>
      <c r="PZH189" s="926"/>
      <c r="PZI189" s="926"/>
      <c r="PZJ189" s="926"/>
      <c r="PZK189" s="926"/>
      <c r="PZL189" s="926"/>
      <c r="PZM189" s="926"/>
      <c r="PZN189" s="926"/>
      <c r="PZO189" s="926"/>
      <c r="PZP189" s="926"/>
      <c r="PZQ189" s="926"/>
      <c r="PZR189" s="926"/>
      <c r="PZS189" s="926"/>
      <c r="PZT189" s="926"/>
      <c r="PZU189" s="926"/>
      <c r="PZV189" s="926"/>
      <c r="PZW189" s="926"/>
      <c r="PZX189" s="926"/>
      <c r="PZY189" s="926"/>
      <c r="PZZ189" s="926"/>
      <c r="QAA189" s="926"/>
      <c r="QAB189" s="926"/>
      <c r="QAC189" s="926"/>
      <c r="QAD189" s="926"/>
      <c r="QAE189" s="926"/>
      <c r="QAF189" s="926"/>
      <c r="QAG189" s="926"/>
      <c r="QAH189" s="926"/>
      <c r="QAI189" s="926"/>
      <c r="QAJ189" s="926"/>
      <c r="QAK189" s="926"/>
      <c r="QAL189" s="926"/>
      <c r="QAM189" s="926"/>
      <c r="QAN189" s="926"/>
      <c r="QAO189" s="926"/>
      <c r="QAP189" s="926"/>
      <c r="QAQ189" s="926"/>
      <c r="QAR189" s="926"/>
      <c r="QAS189" s="926"/>
      <c r="QAT189" s="926"/>
      <c r="QAU189" s="926"/>
      <c r="QAV189" s="926"/>
      <c r="QAW189" s="926"/>
      <c r="QAX189" s="926"/>
      <c r="QAY189" s="926"/>
      <c r="QAZ189" s="926"/>
      <c r="QBA189" s="926"/>
      <c r="QBB189" s="926"/>
      <c r="QBC189" s="926"/>
      <c r="QBD189" s="926"/>
      <c r="QBE189" s="926"/>
      <c r="QBF189" s="926"/>
      <c r="QBG189" s="926"/>
      <c r="QBH189" s="926"/>
      <c r="QBI189" s="926"/>
      <c r="QBJ189" s="926"/>
      <c r="QBK189" s="926"/>
      <c r="QBL189" s="926"/>
      <c r="QBM189" s="926"/>
      <c r="QBN189" s="926"/>
      <c r="QBO189" s="926"/>
      <c r="QBP189" s="926"/>
      <c r="QBQ189" s="926"/>
      <c r="QBR189" s="926"/>
      <c r="QBS189" s="926"/>
      <c r="QBT189" s="926"/>
      <c r="QBU189" s="926"/>
      <c r="QBV189" s="926"/>
      <c r="QBW189" s="926"/>
      <c r="QBX189" s="926"/>
      <c r="QBY189" s="926"/>
      <c r="QBZ189" s="926"/>
      <c r="QCA189" s="926"/>
      <c r="QCB189" s="926"/>
      <c r="QCC189" s="926"/>
      <c r="QCD189" s="926"/>
      <c r="QCE189" s="926"/>
      <c r="QCF189" s="926"/>
      <c r="QCG189" s="926"/>
      <c r="QCH189" s="926"/>
      <c r="QCI189" s="926"/>
      <c r="QCJ189" s="926"/>
      <c r="QCK189" s="926"/>
      <c r="QCL189" s="926"/>
      <c r="QCM189" s="926"/>
      <c r="QCN189" s="926"/>
      <c r="QCO189" s="926"/>
      <c r="QCP189" s="926"/>
      <c r="QCQ189" s="926"/>
      <c r="QCR189" s="926"/>
      <c r="QCS189" s="926"/>
      <c r="QCT189" s="926"/>
      <c r="QCU189" s="926"/>
      <c r="QCV189" s="926"/>
      <c r="QCW189" s="926"/>
      <c r="QCX189" s="926"/>
      <c r="QCY189" s="926"/>
      <c r="QCZ189" s="926"/>
      <c r="QDA189" s="926"/>
      <c r="QDB189" s="926"/>
      <c r="QDC189" s="926"/>
      <c r="QDD189" s="926"/>
      <c r="QDE189" s="926"/>
      <c r="QDF189" s="926"/>
      <c r="QDG189" s="926"/>
      <c r="QDH189" s="926"/>
      <c r="QDI189" s="926"/>
      <c r="QDJ189" s="926"/>
      <c r="QDK189" s="926"/>
      <c r="QDL189" s="926"/>
      <c r="QDM189" s="926"/>
      <c r="QDN189" s="926"/>
      <c r="QDO189" s="926"/>
      <c r="QDP189" s="926"/>
      <c r="QDQ189" s="926"/>
      <c r="QDR189" s="926"/>
      <c r="QDS189" s="926"/>
      <c r="QDT189" s="926"/>
      <c r="QDU189" s="926"/>
      <c r="QDV189" s="926"/>
      <c r="QDW189" s="926"/>
      <c r="QDX189" s="926"/>
      <c r="QDY189" s="926"/>
      <c r="QDZ189" s="926"/>
      <c r="QEA189" s="926"/>
      <c r="QEB189" s="926"/>
      <c r="QEC189" s="926"/>
      <c r="QED189" s="926"/>
      <c r="QEE189" s="926"/>
      <c r="QEF189" s="926"/>
      <c r="QEG189" s="926"/>
      <c r="QEH189" s="926"/>
      <c r="QEI189" s="926"/>
      <c r="QEJ189" s="926"/>
      <c r="QEK189" s="926"/>
      <c r="QEL189" s="926"/>
      <c r="QEM189" s="926"/>
      <c r="QEN189" s="926"/>
      <c r="QEO189" s="926"/>
      <c r="QEP189" s="926"/>
      <c r="QEQ189" s="926"/>
      <c r="QER189" s="926"/>
      <c r="QES189" s="926"/>
      <c r="QET189" s="926"/>
      <c r="QEU189" s="926"/>
      <c r="QEV189" s="926"/>
      <c r="QEW189" s="926"/>
      <c r="QEX189" s="926"/>
      <c r="QEY189" s="926"/>
      <c r="QEZ189" s="926"/>
      <c r="QFA189" s="926"/>
      <c r="QFB189" s="926"/>
      <c r="QFC189" s="926"/>
      <c r="QFD189" s="926"/>
      <c r="QFE189" s="926"/>
      <c r="QFF189" s="926"/>
      <c r="QFG189" s="926"/>
      <c r="QFH189" s="926"/>
      <c r="QFI189" s="926"/>
      <c r="QFJ189" s="926"/>
      <c r="QFK189" s="926"/>
      <c r="QFL189" s="926"/>
      <c r="QFM189" s="926"/>
      <c r="QFN189" s="926"/>
      <c r="QFO189" s="926"/>
      <c r="QFP189" s="926"/>
      <c r="QFQ189" s="926"/>
      <c r="QFR189" s="926"/>
      <c r="QFS189" s="926"/>
      <c r="QFT189" s="926"/>
      <c r="QFU189" s="926"/>
      <c r="QFV189" s="926"/>
      <c r="QFW189" s="926"/>
      <c r="QFX189" s="926"/>
      <c r="QFY189" s="926"/>
      <c r="QFZ189" s="926"/>
      <c r="QGA189" s="926"/>
      <c r="QGB189" s="926"/>
      <c r="QGC189" s="926"/>
      <c r="QGD189" s="926"/>
      <c r="QGE189" s="926"/>
      <c r="QGF189" s="926"/>
      <c r="QGG189" s="926"/>
      <c r="QGH189" s="926"/>
      <c r="QGI189" s="926"/>
      <c r="QGJ189" s="926"/>
      <c r="QGK189" s="926"/>
      <c r="QGL189" s="926"/>
      <c r="QGM189" s="926"/>
      <c r="QGN189" s="926"/>
      <c r="QGO189" s="926"/>
      <c r="QGP189" s="926"/>
      <c r="QGQ189" s="926"/>
      <c r="QGR189" s="926"/>
      <c r="QGS189" s="926"/>
      <c r="QGT189" s="926"/>
      <c r="QGU189" s="926"/>
      <c r="QGV189" s="926"/>
      <c r="QGW189" s="926"/>
      <c r="QGX189" s="926"/>
      <c r="QGY189" s="926"/>
      <c r="QGZ189" s="926"/>
      <c r="QHA189" s="926"/>
      <c r="QHB189" s="926"/>
      <c r="QHC189" s="926"/>
      <c r="QHD189" s="926"/>
      <c r="QHE189" s="926"/>
      <c r="QHF189" s="926"/>
      <c r="QHG189" s="926"/>
      <c r="QHH189" s="926"/>
      <c r="QHI189" s="926"/>
      <c r="QHJ189" s="926"/>
      <c r="QHK189" s="926"/>
      <c r="QHL189" s="926"/>
      <c r="QHM189" s="926"/>
      <c r="QHN189" s="926"/>
      <c r="QHO189" s="926"/>
      <c r="QHP189" s="926"/>
      <c r="QHQ189" s="926"/>
      <c r="QHR189" s="926"/>
      <c r="QHS189" s="926"/>
      <c r="QHT189" s="926"/>
      <c r="QHU189" s="926"/>
      <c r="QHV189" s="926"/>
      <c r="QHW189" s="926"/>
      <c r="QHX189" s="926"/>
      <c r="QHY189" s="926"/>
      <c r="QHZ189" s="926"/>
      <c r="QIA189" s="926"/>
      <c r="QIB189" s="926"/>
      <c r="QIC189" s="926"/>
      <c r="QID189" s="926"/>
      <c r="QIE189" s="926"/>
      <c r="QIF189" s="926"/>
      <c r="QIG189" s="926"/>
      <c r="QIH189" s="926"/>
      <c r="QII189" s="926"/>
      <c r="QIJ189" s="926"/>
      <c r="QIK189" s="926"/>
      <c r="QIL189" s="926"/>
      <c r="QIM189" s="926"/>
      <c r="QIN189" s="926"/>
      <c r="QIO189" s="926"/>
      <c r="QIP189" s="926"/>
      <c r="QIQ189" s="926"/>
      <c r="QIR189" s="926"/>
      <c r="QIS189" s="926"/>
      <c r="QIT189" s="926"/>
      <c r="QIU189" s="926"/>
      <c r="QIV189" s="926"/>
      <c r="QIW189" s="926"/>
      <c r="QIX189" s="926"/>
      <c r="QIY189" s="926"/>
      <c r="QIZ189" s="926"/>
      <c r="QJA189" s="926"/>
      <c r="QJB189" s="926"/>
      <c r="QJC189" s="926"/>
      <c r="QJD189" s="926"/>
      <c r="QJE189" s="926"/>
      <c r="QJF189" s="926"/>
      <c r="QJG189" s="926"/>
      <c r="QJH189" s="926"/>
      <c r="QJI189" s="926"/>
      <c r="QJJ189" s="926"/>
      <c r="QJK189" s="926"/>
      <c r="QJL189" s="926"/>
      <c r="QJM189" s="926"/>
      <c r="QJN189" s="926"/>
      <c r="QJO189" s="926"/>
      <c r="QJP189" s="926"/>
      <c r="QJQ189" s="926"/>
      <c r="QJR189" s="926"/>
      <c r="QJS189" s="926"/>
      <c r="QJT189" s="926"/>
      <c r="QJU189" s="926"/>
      <c r="QJV189" s="926"/>
      <c r="QJW189" s="926"/>
      <c r="QJX189" s="926"/>
      <c r="QJY189" s="926"/>
      <c r="QJZ189" s="926"/>
      <c r="QKA189" s="926"/>
      <c r="QKB189" s="926"/>
      <c r="QKC189" s="926"/>
      <c r="QKD189" s="926"/>
      <c r="QKE189" s="926"/>
      <c r="QKF189" s="926"/>
      <c r="QKG189" s="926"/>
      <c r="QKH189" s="926"/>
      <c r="QKI189" s="926"/>
      <c r="QKJ189" s="926"/>
      <c r="QKK189" s="926"/>
      <c r="QKL189" s="926"/>
      <c r="QKM189" s="926"/>
      <c r="QKN189" s="926"/>
      <c r="QKO189" s="926"/>
      <c r="QKP189" s="926"/>
      <c r="QKQ189" s="926"/>
      <c r="QKR189" s="926"/>
      <c r="QKS189" s="926"/>
      <c r="QKT189" s="926"/>
      <c r="QKU189" s="926"/>
      <c r="QKV189" s="926"/>
      <c r="QKW189" s="926"/>
      <c r="QKX189" s="926"/>
      <c r="QKY189" s="926"/>
      <c r="QKZ189" s="926"/>
      <c r="QLA189" s="926"/>
      <c r="QLB189" s="926"/>
      <c r="QLC189" s="926"/>
      <c r="QLD189" s="926"/>
      <c r="QLE189" s="926"/>
      <c r="QLF189" s="926"/>
      <c r="QLG189" s="926"/>
      <c r="QLH189" s="926"/>
      <c r="QLI189" s="926"/>
      <c r="QLJ189" s="926"/>
      <c r="QLK189" s="926"/>
      <c r="QLL189" s="926"/>
      <c r="QLM189" s="926"/>
      <c r="QLN189" s="926"/>
      <c r="QLO189" s="926"/>
      <c r="QLP189" s="926"/>
      <c r="QLQ189" s="926"/>
      <c r="QLR189" s="926"/>
      <c r="QLS189" s="926"/>
      <c r="QLT189" s="926"/>
      <c r="QLU189" s="926"/>
      <c r="QLV189" s="926"/>
      <c r="QLW189" s="926"/>
      <c r="QLX189" s="926"/>
      <c r="QLY189" s="926"/>
      <c r="QLZ189" s="926"/>
      <c r="QMA189" s="926"/>
      <c r="QMB189" s="926"/>
      <c r="QMC189" s="926"/>
      <c r="QMD189" s="926"/>
      <c r="QME189" s="926"/>
      <c r="QMF189" s="926"/>
      <c r="QMG189" s="926"/>
      <c r="QMH189" s="926"/>
      <c r="QMI189" s="926"/>
      <c r="QMJ189" s="926"/>
      <c r="QMK189" s="926"/>
      <c r="QML189" s="926"/>
      <c r="QMM189" s="926"/>
      <c r="QMN189" s="926"/>
      <c r="QMO189" s="926"/>
      <c r="QMP189" s="926"/>
      <c r="QMQ189" s="926"/>
      <c r="QMR189" s="926"/>
      <c r="QMS189" s="926"/>
      <c r="QMT189" s="926"/>
      <c r="QMU189" s="926"/>
      <c r="QMV189" s="926"/>
      <c r="QMW189" s="926"/>
      <c r="QMX189" s="926"/>
      <c r="QMY189" s="926"/>
      <c r="QMZ189" s="926"/>
      <c r="QNA189" s="926"/>
      <c r="QNB189" s="926"/>
      <c r="QNC189" s="926"/>
      <c r="QND189" s="926"/>
      <c r="QNE189" s="926"/>
      <c r="QNF189" s="926"/>
      <c r="QNG189" s="926"/>
      <c r="QNH189" s="926"/>
      <c r="QNI189" s="926"/>
      <c r="QNJ189" s="926"/>
      <c r="QNK189" s="926"/>
      <c r="QNL189" s="926"/>
      <c r="QNM189" s="926"/>
      <c r="QNN189" s="926"/>
      <c r="QNO189" s="926"/>
      <c r="QNP189" s="926"/>
      <c r="QNQ189" s="926"/>
      <c r="QNR189" s="926"/>
      <c r="QNS189" s="926"/>
      <c r="QNT189" s="926"/>
      <c r="QNU189" s="926"/>
      <c r="QNV189" s="926"/>
      <c r="QNW189" s="926"/>
      <c r="QNX189" s="926"/>
      <c r="QNY189" s="926"/>
      <c r="QNZ189" s="926"/>
      <c r="QOA189" s="926"/>
      <c r="QOB189" s="926"/>
      <c r="QOC189" s="926"/>
      <c r="QOD189" s="926"/>
      <c r="QOE189" s="926"/>
      <c r="QOF189" s="926"/>
      <c r="QOG189" s="926"/>
      <c r="QOH189" s="926"/>
      <c r="QOI189" s="926"/>
      <c r="QOJ189" s="926"/>
      <c r="QOK189" s="926"/>
      <c r="QOL189" s="926"/>
      <c r="QOM189" s="926"/>
      <c r="QON189" s="926"/>
      <c r="QOO189" s="926"/>
      <c r="QOP189" s="926"/>
      <c r="QOQ189" s="926"/>
      <c r="QOR189" s="926"/>
      <c r="QOS189" s="926"/>
      <c r="QOT189" s="926"/>
      <c r="QOU189" s="926"/>
      <c r="QOV189" s="926"/>
      <c r="QOW189" s="926"/>
      <c r="QOX189" s="926"/>
      <c r="QOY189" s="926"/>
      <c r="QOZ189" s="926"/>
      <c r="QPA189" s="926"/>
      <c r="QPB189" s="926"/>
      <c r="QPC189" s="926"/>
      <c r="QPD189" s="926"/>
      <c r="QPE189" s="926"/>
      <c r="QPF189" s="926"/>
      <c r="QPG189" s="926"/>
      <c r="QPH189" s="926"/>
      <c r="QPI189" s="926"/>
      <c r="QPJ189" s="926"/>
      <c r="QPK189" s="926"/>
      <c r="QPL189" s="926"/>
      <c r="QPM189" s="926"/>
      <c r="QPN189" s="926"/>
      <c r="QPO189" s="926"/>
      <c r="QPP189" s="926"/>
      <c r="QPQ189" s="926"/>
      <c r="QPR189" s="926"/>
      <c r="QPS189" s="926"/>
      <c r="QPT189" s="926"/>
      <c r="QPU189" s="926"/>
      <c r="QPV189" s="926"/>
      <c r="QPW189" s="926"/>
      <c r="QPX189" s="926"/>
      <c r="QPY189" s="926"/>
      <c r="QPZ189" s="926"/>
      <c r="QQA189" s="926"/>
      <c r="QQB189" s="926"/>
      <c r="QQC189" s="926"/>
      <c r="QQD189" s="926"/>
      <c r="QQE189" s="926"/>
      <c r="QQF189" s="926"/>
      <c r="QQG189" s="926"/>
      <c r="QQH189" s="926"/>
      <c r="QQI189" s="926"/>
      <c r="QQJ189" s="926"/>
      <c r="QQK189" s="926"/>
      <c r="QQL189" s="926"/>
      <c r="QQM189" s="926"/>
      <c r="QQN189" s="926"/>
      <c r="QQO189" s="926"/>
      <c r="QQP189" s="926"/>
      <c r="QQQ189" s="926"/>
      <c r="QQR189" s="926"/>
      <c r="QQS189" s="926"/>
      <c r="QQT189" s="926"/>
      <c r="QQU189" s="926"/>
      <c r="QQV189" s="926"/>
      <c r="QQW189" s="926"/>
      <c r="QQX189" s="926"/>
      <c r="QQY189" s="926"/>
      <c r="QQZ189" s="926"/>
      <c r="QRA189" s="926"/>
      <c r="QRB189" s="926"/>
      <c r="QRC189" s="926"/>
      <c r="QRD189" s="926"/>
      <c r="QRE189" s="926"/>
      <c r="QRF189" s="926"/>
      <c r="QRG189" s="926"/>
      <c r="QRH189" s="926"/>
      <c r="QRI189" s="926"/>
      <c r="QRJ189" s="926"/>
      <c r="QRK189" s="926"/>
      <c r="QRL189" s="926"/>
      <c r="QRM189" s="926"/>
      <c r="QRN189" s="926"/>
      <c r="QRO189" s="926"/>
      <c r="QRP189" s="926"/>
      <c r="QRQ189" s="926"/>
      <c r="QRR189" s="926"/>
      <c r="QRS189" s="926"/>
      <c r="QRT189" s="926"/>
      <c r="QRU189" s="926"/>
      <c r="QRV189" s="926"/>
      <c r="QRW189" s="926"/>
      <c r="QRX189" s="926"/>
      <c r="QRY189" s="926"/>
      <c r="QRZ189" s="926"/>
      <c r="QSA189" s="926"/>
      <c r="QSB189" s="926"/>
      <c r="QSC189" s="926"/>
      <c r="QSD189" s="926"/>
      <c r="QSE189" s="926"/>
      <c r="QSF189" s="926"/>
      <c r="QSG189" s="926"/>
      <c r="QSH189" s="926"/>
      <c r="QSI189" s="926"/>
      <c r="QSJ189" s="926"/>
      <c r="QSK189" s="926"/>
      <c r="QSL189" s="926"/>
      <c r="QSM189" s="926"/>
      <c r="QSN189" s="926"/>
      <c r="QSO189" s="926"/>
      <c r="QSP189" s="926"/>
      <c r="QSQ189" s="926"/>
      <c r="QSR189" s="926"/>
      <c r="QSS189" s="926"/>
      <c r="QST189" s="926"/>
      <c r="QSU189" s="926"/>
      <c r="QSV189" s="926"/>
      <c r="QSW189" s="926"/>
      <c r="QSX189" s="926"/>
      <c r="QSY189" s="926"/>
      <c r="QSZ189" s="926"/>
      <c r="QTA189" s="926"/>
      <c r="QTB189" s="926"/>
      <c r="QTC189" s="926"/>
      <c r="QTD189" s="926"/>
      <c r="QTE189" s="926"/>
      <c r="QTF189" s="926"/>
      <c r="QTG189" s="926"/>
      <c r="QTH189" s="926"/>
      <c r="QTI189" s="926"/>
      <c r="QTJ189" s="926"/>
      <c r="QTK189" s="926"/>
      <c r="QTL189" s="926"/>
      <c r="QTM189" s="926"/>
      <c r="QTN189" s="926"/>
      <c r="QTO189" s="926"/>
      <c r="QTP189" s="926"/>
      <c r="QTQ189" s="926"/>
      <c r="QTR189" s="926"/>
      <c r="QTS189" s="926"/>
      <c r="QTT189" s="926"/>
      <c r="QTU189" s="926"/>
      <c r="QTV189" s="926"/>
      <c r="QTW189" s="926"/>
      <c r="QTX189" s="926"/>
      <c r="QTY189" s="926"/>
      <c r="QTZ189" s="926"/>
      <c r="QUA189" s="926"/>
      <c r="QUB189" s="926"/>
      <c r="QUC189" s="926"/>
      <c r="QUD189" s="926"/>
      <c r="QUE189" s="926"/>
      <c r="QUF189" s="926"/>
      <c r="QUG189" s="926"/>
      <c r="QUH189" s="926"/>
      <c r="QUI189" s="926"/>
      <c r="QUJ189" s="926"/>
      <c r="QUK189" s="926"/>
      <c r="QUL189" s="926"/>
      <c r="QUM189" s="926"/>
      <c r="QUN189" s="926"/>
      <c r="QUO189" s="926"/>
      <c r="QUP189" s="926"/>
      <c r="QUQ189" s="926"/>
      <c r="QUR189" s="926"/>
      <c r="QUS189" s="926"/>
      <c r="QUT189" s="926"/>
      <c r="QUU189" s="926"/>
      <c r="QUV189" s="926"/>
      <c r="QUW189" s="926"/>
      <c r="QUX189" s="926"/>
      <c r="QUY189" s="926"/>
      <c r="QUZ189" s="926"/>
      <c r="QVA189" s="926"/>
      <c r="QVB189" s="926"/>
      <c r="QVC189" s="926"/>
      <c r="QVD189" s="926"/>
      <c r="QVE189" s="926"/>
      <c r="QVF189" s="926"/>
      <c r="QVG189" s="926"/>
      <c r="QVH189" s="926"/>
      <c r="QVI189" s="926"/>
      <c r="QVJ189" s="926"/>
      <c r="QVK189" s="926"/>
      <c r="QVL189" s="926"/>
      <c r="QVM189" s="926"/>
      <c r="QVN189" s="926"/>
      <c r="QVO189" s="926"/>
      <c r="QVP189" s="926"/>
      <c r="QVQ189" s="926"/>
      <c r="QVR189" s="926"/>
      <c r="QVS189" s="926"/>
      <c r="QVT189" s="926"/>
      <c r="QVU189" s="926"/>
      <c r="QVV189" s="926"/>
      <c r="QVW189" s="926"/>
      <c r="QVX189" s="926"/>
      <c r="QVY189" s="926"/>
      <c r="QVZ189" s="926"/>
      <c r="QWA189" s="926"/>
      <c r="QWB189" s="926"/>
      <c r="QWC189" s="926"/>
      <c r="QWD189" s="926"/>
      <c r="QWE189" s="926"/>
      <c r="QWF189" s="926"/>
      <c r="QWG189" s="926"/>
      <c r="QWH189" s="926"/>
      <c r="QWI189" s="926"/>
      <c r="QWJ189" s="926"/>
      <c r="QWK189" s="926"/>
      <c r="QWL189" s="926"/>
      <c r="QWM189" s="926"/>
      <c r="QWN189" s="926"/>
      <c r="QWO189" s="926"/>
      <c r="QWP189" s="926"/>
      <c r="QWQ189" s="926"/>
      <c r="QWR189" s="926"/>
      <c r="QWS189" s="926"/>
      <c r="QWT189" s="926"/>
      <c r="QWU189" s="926"/>
      <c r="QWV189" s="926"/>
      <c r="QWW189" s="926"/>
      <c r="QWX189" s="926"/>
      <c r="QWY189" s="926"/>
      <c r="QWZ189" s="926"/>
      <c r="QXA189" s="926"/>
      <c r="QXB189" s="926"/>
      <c r="QXC189" s="926"/>
      <c r="QXD189" s="926"/>
      <c r="QXE189" s="926"/>
      <c r="QXF189" s="926"/>
      <c r="QXG189" s="926"/>
      <c r="QXH189" s="926"/>
      <c r="QXI189" s="926"/>
      <c r="QXJ189" s="926"/>
      <c r="QXK189" s="926"/>
      <c r="QXL189" s="926"/>
      <c r="QXM189" s="926"/>
      <c r="QXN189" s="926"/>
      <c r="QXO189" s="926"/>
      <c r="QXP189" s="926"/>
      <c r="QXQ189" s="926"/>
      <c r="QXR189" s="926"/>
      <c r="QXS189" s="926"/>
      <c r="QXT189" s="926"/>
      <c r="QXU189" s="926"/>
      <c r="QXV189" s="926"/>
      <c r="QXW189" s="926"/>
      <c r="QXX189" s="926"/>
      <c r="QXY189" s="926"/>
      <c r="QXZ189" s="926"/>
      <c r="QYA189" s="926"/>
      <c r="QYB189" s="926"/>
      <c r="QYC189" s="926"/>
      <c r="QYD189" s="926"/>
      <c r="QYE189" s="926"/>
      <c r="QYF189" s="926"/>
      <c r="QYG189" s="926"/>
      <c r="QYH189" s="926"/>
      <c r="QYI189" s="926"/>
      <c r="QYJ189" s="926"/>
      <c r="QYK189" s="926"/>
      <c r="QYL189" s="926"/>
      <c r="QYM189" s="926"/>
      <c r="QYN189" s="926"/>
      <c r="QYO189" s="926"/>
      <c r="QYP189" s="926"/>
      <c r="QYQ189" s="926"/>
      <c r="QYR189" s="926"/>
      <c r="QYS189" s="926"/>
      <c r="QYT189" s="926"/>
      <c r="QYU189" s="926"/>
      <c r="QYV189" s="926"/>
      <c r="QYW189" s="926"/>
      <c r="QYX189" s="926"/>
      <c r="QYY189" s="926"/>
      <c r="QYZ189" s="926"/>
      <c r="QZA189" s="926"/>
      <c r="QZB189" s="926"/>
      <c r="QZC189" s="926"/>
      <c r="QZD189" s="926"/>
      <c r="QZE189" s="926"/>
      <c r="QZF189" s="926"/>
      <c r="QZG189" s="926"/>
      <c r="QZH189" s="926"/>
      <c r="QZI189" s="926"/>
      <c r="QZJ189" s="926"/>
      <c r="QZK189" s="926"/>
      <c r="QZL189" s="926"/>
      <c r="QZM189" s="926"/>
      <c r="QZN189" s="926"/>
      <c r="QZO189" s="926"/>
      <c r="QZP189" s="926"/>
      <c r="QZQ189" s="926"/>
      <c r="QZR189" s="926"/>
      <c r="QZS189" s="926"/>
      <c r="QZT189" s="926"/>
      <c r="QZU189" s="926"/>
      <c r="QZV189" s="926"/>
      <c r="QZW189" s="926"/>
      <c r="QZX189" s="926"/>
      <c r="QZY189" s="926"/>
      <c r="QZZ189" s="926"/>
      <c r="RAA189" s="926"/>
      <c r="RAB189" s="926"/>
      <c r="RAC189" s="926"/>
      <c r="RAD189" s="926"/>
      <c r="RAE189" s="926"/>
      <c r="RAF189" s="926"/>
      <c r="RAG189" s="926"/>
      <c r="RAH189" s="926"/>
      <c r="RAI189" s="926"/>
      <c r="RAJ189" s="926"/>
      <c r="RAK189" s="926"/>
      <c r="RAL189" s="926"/>
      <c r="RAM189" s="926"/>
      <c r="RAN189" s="926"/>
      <c r="RAO189" s="926"/>
      <c r="RAP189" s="926"/>
      <c r="RAQ189" s="926"/>
      <c r="RAR189" s="926"/>
      <c r="RAS189" s="926"/>
      <c r="RAT189" s="926"/>
      <c r="RAU189" s="926"/>
      <c r="RAV189" s="926"/>
      <c r="RAW189" s="926"/>
      <c r="RAX189" s="926"/>
      <c r="RAY189" s="926"/>
      <c r="RAZ189" s="926"/>
      <c r="RBA189" s="926"/>
      <c r="RBB189" s="926"/>
      <c r="RBC189" s="926"/>
      <c r="RBD189" s="926"/>
      <c r="RBE189" s="926"/>
      <c r="RBF189" s="926"/>
      <c r="RBG189" s="926"/>
      <c r="RBH189" s="926"/>
      <c r="RBI189" s="926"/>
      <c r="RBJ189" s="926"/>
      <c r="RBK189" s="926"/>
      <c r="RBL189" s="926"/>
      <c r="RBM189" s="926"/>
      <c r="RBN189" s="926"/>
      <c r="RBO189" s="926"/>
      <c r="RBP189" s="926"/>
      <c r="RBQ189" s="926"/>
      <c r="RBR189" s="926"/>
      <c r="RBS189" s="926"/>
      <c r="RBT189" s="926"/>
      <c r="RBU189" s="926"/>
      <c r="RBV189" s="926"/>
      <c r="RBW189" s="926"/>
      <c r="RBX189" s="926"/>
      <c r="RBY189" s="926"/>
      <c r="RBZ189" s="926"/>
      <c r="RCA189" s="926"/>
      <c r="RCB189" s="926"/>
      <c r="RCC189" s="926"/>
      <c r="RCD189" s="926"/>
      <c r="RCE189" s="926"/>
      <c r="RCF189" s="926"/>
      <c r="RCG189" s="926"/>
      <c r="RCH189" s="926"/>
      <c r="RCI189" s="926"/>
      <c r="RCJ189" s="926"/>
      <c r="RCK189" s="926"/>
      <c r="RCL189" s="926"/>
      <c r="RCM189" s="926"/>
      <c r="RCN189" s="926"/>
      <c r="RCO189" s="926"/>
      <c r="RCP189" s="926"/>
      <c r="RCQ189" s="926"/>
      <c r="RCR189" s="926"/>
      <c r="RCS189" s="926"/>
      <c r="RCT189" s="926"/>
      <c r="RCU189" s="926"/>
      <c r="RCV189" s="926"/>
      <c r="RCW189" s="926"/>
      <c r="RCX189" s="926"/>
      <c r="RCY189" s="926"/>
      <c r="RCZ189" s="926"/>
      <c r="RDA189" s="926"/>
      <c r="RDB189" s="926"/>
      <c r="RDC189" s="926"/>
      <c r="RDD189" s="926"/>
      <c r="RDE189" s="926"/>
      <c r="RDF189" s="926"/>
      <c r="RDG189" s="926"/>
      <c r="RDH189" s="926"/>
      <c r="RDI189" s="926"/>
      <c r="RDJ189" s="926"/>
      <c r="RDK189" s="926"/>
      <c r="RDL189" s="926"/>
      <c r="RDM189" s="926"/>
      <c r="RDN189" s="926"/>
      <c r="RDO189" s="926"/>
      <c r="RDP189" s="926"/>
      <c r="RDQ189" s="926"/>
      <c r="RDR189" s="926"/>
      <c r="RDS189" s="926"/>
      <c r="RDT189" s="926"/>
      <c r="RDU189" s="926"/>
      <c r="RDV189" s="926"/>
      <c r="RDW189" s="926"/>
      <c r="RDX189" s="926"/>
      <c r="RDY189" s="926"/>
      <c r="RDZ189" s="926"/>
      <c r="REA189" s="926"/>
      <c r="REB189" s="926"/>
      <c r="REC189" s="926"/>
      <c r="RED189" s="926"/>
      <c r="REE189" s="926"/>
      <c r="REF189" s="926"/>
      <c r="REG189" s="926"/>
      <c r="REH189" s="926"/>
      <c r="REI189" s="926"/>
      <c r="REJ189" s="926"/>
      <c r="REK189" s="926"/>
      <c r="REL189" s="926"/>
      <c r="REM189" s="926"/>
      <c r="REN189" s="926"/>
      <c r="REO189" s="926"/>
      <c r="REP189" s="926"/>
      <c r="REQ189" s="926"/>
      <c r="RER189" s="926"/>
      <c r="RES189" s="926"/>
      <c r="RET189" s="926"/>
      <c r="REU189" s="926"/>
      <c r="REV189" s="926"/>
      <c r="REW189" s="926"/>
      <c r="REX189" s="926"/>
      <c r="REY189" s="926"/>
      <c r="REZ189" s="926"/>
      <c r="RFA189" s="926"/>
      <c r="RFB189" s="926"/>
      <c r="RFC189" s="926"/>
      <c r="RFD189" s="926"/>
      <c r="RFE189" s="926"/>
      <c r="RFF189" s="926"/>
      <c r="RFG189" s="926"/>
      <c r="RFH189" s="926"/>
      <c r="RFI189" s="926"/>
      <c r="RFJ189" s="926"/>
      <c r="RFK189" s="926"/>
      <c r="RFL189" s="926"/>
      <c r="RFM189" s="926"/>
      <c r="RFN189" s="926"/>
      <c r="RFO189" s="926"/>
      <c r="RFP189" s="926"/>
      <c r="RFQ189" s="926"/>
      <c r="RFR189" s="926"/>
      <c r="RFS189" s="926"/>
      <c r="RFT189" s="926"/>
      <c r="RFU189" s="926"/>
      <c r="RFV189" s="926"/>
      <c r="RFW189" s="926"/>
      <c r="RFX189" s="926"/>
      <c r="RFY189" s="926"/>
      <c r="RFZ189" s="926"/>
      <c r="RGA189" s="926"/>
      <c r="RGB189" s="926"/>
      <c r="RGC189" s="926"/>
      <c r="RGD189" s="926"/>
      <c r="RGE189" s="926"/>
      <c r="RGF189" s="926"/>
      <c r="RGG189" s="926"/>
      <c r="RGH189" s="926"/>
      <c r="RGI189" s="926"/>
      <c r="RGJ189" s="926"/>
      <c r="RGK189" s="926"/>
      <c r="RGL189" s="926"/>
      <c r="RGM189" s="926"/>
      <c r="RGN189" s="926"/>
      <c r="RGO189" s="926"/>
      <c r="RGP189" s="926"/>
      <c r="RGQ189" s="926"/>
      <c r="RGR189" s="926"/>
      <c r="RGS189" s="926"/>
      <c r="RGT189" s="926"/>
      <c r="RGU189" s="926"/>
      <c r="RGV189" s="926"/>
      <c r="RGW189" s="926"/>
      <c r="RGX189" s="926"/>
      <c r="RGY189" s="926"/>
      <c r="RGZ189" s="926"/>
      <c r="RHA189" s="926"/>
      <c r="RHB189" s="926"/>
      <c r="RHC189" s="926"/>
      <c r="RHD189" s="926"/>
      <c r="RHE189" s="926"/>
      <c r="RHF189" s="926"/>
      <c r="RHG189" s="926"/>
      <c r="RHH189" s="926"/>
      <c r="RHI189" s="926"/>
      <c r="RHJ189" s="926"/>
      <c r="RHK189" s="926"/>
      <c r="RHL189" s="926"/>
      <c r="RHM189" s="926"/>
      <c r="RHN189" s="926"/>
      <c r="RHO189" s="926"/>
      <c r="RHP189" s="926"/>
      <c r="RHQ189" s="926"/>
      <c r="RHR189" s="926"/>
      <c r="RHS189" s="926"/>
      <c r="RHT189" s="926"/>
      <c r="RHU189" s="926"/>
      <c r="RHV189" s="926"/>
      <c r="RHW189" s="926"/>
      <c r="RHX189" s="926"/>
      <c r="RHY189" s="926"/>
      <c r="RHZ189" s="926"/>
      <c r="RIA189" s="926"/>
      <c r="RIB189" s="926"/>
      <c r="RIC189" s="926"/>
      <c r="RID189" s="926"/>
      <c r="RIE189" s="926"/>
      <c r="RIF189" s="926"/>
      <c r="RIG189" s="926"/>
      <c r="RIH189" s="926"/>
      <c r="RII189" s="926"/>
      <c r="RIJ189" s="926"/>
      <c r="RIK189" s="926"/>
      <c r="RIL189" s="926"/>
      <c r="RIM189" s="926"/>
      <c r="RIN189" s="926"/>
      <c r="RIO189" s="926"/>
      <c r="RIP189" s="926"/>
      <c r="RIQ189" s="926"/>
      <c r="RIR189" s="926"/>
      <c r="RIS189" s="926"/>
      <c r="RIT189" s="926"/>
      <c r="RIU189" s="926"/>
      <c r="RIV189" s="926"/>
      <c r="RIW189" s="926"/>
      <c r="RIX189" s="926"/>
      <c r="RIY189" s="926"/>
      <c r="RIZ189" s="926"/>
      <c r="RJA189" s="926"/>
      <c r="RJB189" s="926"/>
      <c r="RJC189" s="926"/>
      <c r="RJD189" s="926"/>
      <c r="RJE189" s="926"/>
      <c r="RJF189" s="926"/>
      <c r="RJG189" s="926"/>
      <c r="RJH189" s="926"/>
      <c r="RJI189" s="926"/>
      <c r="RJJ189" s="926"/>
      <c r="RJK189" s="926"/>
      <c r="RJL189" s="926"/>
      <c r="RJM189" s="926"/>
      <c r="RJN189" s="926"/>
      <c r="RJO189" s="926"/>
      <c r="RJP189" s="926"/>
      <c r="RJQ189" s="926"/>
      <c r="RJR189" s="926"/>
      <c r="RJS189" s="926"/>
      <c r="RJT189" s="926"/>
      <c r="RJU189" s="926"/>
      <c r="RJV189" s="926"/>
      <c r="RJW189" s="926"/>
      <c r="RJX189" s="926"/>
      <c r="RJY189" s="926"/>
      <c r="RJZ189" s="926"/>
      <c r="RKA189" s="926"/>
      <c r="RKB189" s="926"/>
      <c r="RKC189" s="926"/>
      <c r="RKD189" s="926"/>
      <c r="RKE189" s="926"/>
      <c r="RKF189" s="926"/>
      <c r="RKG189" s="926"/>
      <c r="RKH189" s="926"/>
      <c r="RKI189" s="926"/>
      <c r="RKJ189" s="926"/>
      <c r="RKK189" s="926"/>
      <c r="RKL189" s="926"/>
      <c r="RKM189" s="926"/>
      <c r="RKN189" s="926"/>
      <c r="RKO189" s="926"/>
      <c r="RKP189" s="926"/>
      <c r="RKQ189" s="926"/>
      <c r="RKR189" s="926"/>
      <c r="RKS189" s="926"/>
      <c r="RKT189" s="926"/>
      <c r="RKU189" s="926"/>
      <c r="RKV189" s="926"/>
      <c r="RKW189" s="926"/>
      <c r="RKX189" s="926"/>
      <c r="RKY189" s="926"/>
      <c r="RKZ189" s="926"/>
      <c r="RLA189" s="926"/>
      <c r="RLB189" s="926"/>
      <c r="RLC189" s="926"/>
      <c r="RLD189" s="926"/>
      <c r="RLE189" s="926"/>
      <c r="RLF189" s="926"/>
      <c r="RLG189" s="926"/>
      <c r="RLH189" s="926"/>
      <c r="RLI189" s="926"/>
      <c r="RLJ189" s="926"/>
      <c r="RLK189" s="926"/>
      <c r="RLL189" s="926"/>
      <c r="RLM189" s="926"/>
      <c r="RLN189" s="926"/>
      <c r="RLO189" s="926"/>
      <c r="RLP189" s="926"/>
      <c r="RLQ189" s="926"/>
      <c r="RLR189" s="926"/>
      <c r="RLS189" s="926"/>
      <c r="RLT189" s="926"/>
      <c r="RLU189" s="926"/>
      <c r="RLV189" s="926"/>
      <c r="RLW189" s="926"/>
      <c r="RLX189" s="926"/>
      <c r="RLY189" s="926"/>
      <c r="RLZ189" s="926"/>
      <c r="RMA189" s="926"/>
      <c r="RMB189" s="926"/>
      <c r="RMC189" s="926"/>
      <c r="RMD189" s="926"/>
      <c r="RME189" s="926"/>
      <c r="RMF189" s="926"/>
      <c r="RMG189" s="926"/>
      <c r="RMH189" s="926"/>
      <c r="RMI189" s="926"/>
      <c r="RMJ189" s="926"/>
      <c r="RMK189" s="926"/>
      <c r="RML189" s="926"/>
      <c r="RMM189" s="926"/>
      <c r="RMN189" s="926"/>
      <c r="RMO189" s="926"/>
      <c r="RMP189" s="926"/>
      <c r="RMQ189" s="926"/>
      <c r="RMR189" s="926"/>
      <c r="RMS189" s="926"/>
      <c r="RMT189" s="926"/>
      <c r="RMU189" s="926"/>
      <c r="RMV189" s="926"/>
      <c r="RMW189" s="926"/>
      <c r="RMX189" s="926"/>
      <c r="RMY189" s="926"/>
      <c r="RMZ189" s="926"/>
      <c r="RNA189" s="926"/>
      <c r="RNB189" s="926"/>
      <c r="RNC189" s="926"/>
      <c r="RND189" s="926"/>
      <c r="RNE189" s="926"/>
      <c r="RNF189" s="926"/>
      <c r="RNG189" s="926"/>
      <c r="RNH189" s="926"/>
      <c r="RNI189" s="926"/>
      <c r="RNJ189" s="926"/>
      <c r="RNK189" s="926"/>
      <c r="RNL189" s="926"/>
      <c r="RNM189" s="926"/>
      <c r="RNN189" s="926"/>
      <c r="RNO189" s="926"/>
      <c r="RNP189" s="926"/>
      <c r="RNQ189" s="926"/>
      <c r="RNR189" s="926"/>
      <c r="RNS189" s="926"/>
      <c r="RNT189" s="926"/>
      <c r="RNU189" s="926"/>
      <c r="RNV189" s="926"/>
      <c r="RNW189" s="926"/>
      <c r="RNX189" s="926"/>
      <c r="RNY189" s="926"/>
      <c r="RNZ189" s="926"/>
      <c r="ROA189" s="926"/>
      <c r="ROB189" s="926"/>
      <c r="ROC189" s="926"/>
      <c r="ROD189" s="926"/>
      <c r="ROE189" s="926"/>
      <c r="ROF189" s="926"/>
      <c r="ROG189" s="926"/>
      <c r="ROH189" s="926"/>
      <c r="ROI189" s="926"/>
      <c r="ROJ189" s="926"/>
      <c r="ROK189" s="926"/>
      <c r="ROL189" s="926"/>
      <c r="ROM189" s="926"/>
      <c r="RON189" s="926"/>
      <c r="ROO189" s="926"/>
      <c r="ROP189" s="926"/>
      <c r="ROQ189" s="926"/>
      <c r="ROR189" s="926"/>
      <c r="ROS189" s="926"/>
      <c r="ROT189" s="926"/>
      <c r="ROU189" s="926"/>
      <c r="ROV189" s="926"/>
      <c r="ROW189" s="926"/>
      <c r="ROX189" s="926"/>
      <c r="ROY189" s="926"/>
      <c r="ROZ189" s="926"/>
      <c r="RPA189" s="926"/>
      <c r="RPB189" s="926"/>
      <c r="RPC189" s="926"/>
      <c r="RPD189" s="926"/>
      <c r="RPE189" s="926"/>
      <c r="RPF189" s="926"/>
      <c r="RPG189" s="926"/>
      <c r="RPH189" s="926"/>
      <c r="RPI189" s="926"/>
      <c r="RPJ189" s="926"/>
      <c r="RPK189" s="926"/>
      <c r="RPL189" s="926"/>
      <c r="RPM189" s="926"/>
      <c r="RPN189" s="926"/>
      <c r="RPO189" s="926"/>
      <c r="RPP189" s="926"/>
      <c r="RPQ189" s="926"/>
      <c r="RPR189" s="926"/>
      <c r="RPS189" s="926"/>
      <c r="RPT189" s="926"/>
      <c r="RPU189" s="926"/>
      <c r="RPV189" s="926"/>
      <c r="RPW189" s="926"/>
      <c r="RPX189" s="926"/>
      <c r="RPY189" s="926"/>
      <c r="RPZ189" s="926"/>
      <c r="RQA189" s="926"/>
      <c r="RQB189" s="926"/>
      <c r="RQC189" s="926"/>
      <c r="RQD189" s="926"/>
      <c r="RQE189" s="926"/>
      <c r="RQF189" s="926"/>
      <c r="RQG189" s="926"/>
      <c r="RQH189" s="926"/>
      <c r="RQI189" s="926"/>
      <c r="RQJ189" s="926"/>
      <c r="RQK189" s="926"/>
      <c r="RQL189" s="926"/>
      <c r="RQM189" s="926"/>
      <c r="RQN189" s="926"/>
      <c r="RQO189" s="926"/>
      <c r="RQP189" s="926"/>
      <c r="RQQ189" s="926"/>
      <c r="RQR189" s="926"/>
      <c r="RQS189" s="926"/>
      <c r="RQT189" s="926"/>
      <c r="RQU189" s="926"/>
      <c r="RQV189" s="926"/>
      <c r="RQW189" s="926"/>
      <c r="RQX189" s="926"/>
      <c r="RQY189" s="926"/>
      <c r="RQZ189" s="926"/>
      <c r="RRA189" s="926"/>
      <c r="RRB189" s="926"/>
      <c r="RRC189" s="926"/>
      <c r="RRD189" s="926"/>
      <c r="RRE189" s="926"/>
      <c r="RRF189" s="926"/>
      <c r="RRG189" s="926"/>
      <c r="RRH189" s="926"/>
      <c r="RRI189" s="926"/>
      <c r="RRJ189" s="926"/>
      <c r="RRK189" s="926"/>
      <c r="RRL189" s="926"/>
      <c r="RRM189" s="926"/>
      <c r="RRN189" s="926"/>
      <c r="RRO189" s="926"/>
      <c r="RRP189" s="926"/>
      <c r="RRQ189" s="926"/>
      <c r="RRR189" s="926"/>
      <c r="RRS189" s="926"/>
      <c r="RRT189" s="926"/>
      <c r="RRU189" s="926"/>
      <c r="RRV189" s="926"/>
      <c r="RRW189" s="926"/>
      <c r="RRX189" s="926"/>
      <c r="RRY189" s="926"/>
      <c r="RRZ189" s="926"/>
      <c r="RSA189" s="926"/>
      <c r="RSB189" s="926"/>
      <c r="RSC189" s="926"/>
      <c r="RSD189" s="926"/>
      <c r="RSE189" s="926"/>
      <c r="RSF189" s="926"/>
      <c r="RSG189" s="926"/>
      <c r="RSH189" s="926"/>
      <c r="RSI189" s="926"/>
      <c r="RSJ189" s="926"/>
      <c r="RSK189" s="926"/>
      <c r="RSL189" s="926"/>
      <c r="RSM189" s="926"/>
      <c r="RSN189" s="926"/>
      <c r="RSO189" s="926"/>
      <c r="RSP189" s="926"/>
      <c r="RSQ189" s="926"/>
      <c r="RSR189" s="926"/>
      <c r="RSS189" s="926"/>
      <c r="RST189" s="926"/>
      <c r="RSU189" s="926"/>
      <c r="RSV189" s="926"/>
      <c r="RSW189" s="926"/>
      <c r="RSX189" s="926"/>
      <c r="RSY189" s="926"/>
      <c r="RSZ189" s="926"/>
      <c r="RTA189" s="926"/>
      <c r="RTB189" s="926"/>
      <c r="RTC189" s="926"/>
      <c r="RTD189" s="926"/>
      <c r="RTE189" s="926"/>
      <c r="RTF189" s="926"/>
      <c r="RTG189" s="926"/>
      <c r="RTH189" s="926"/>
      <c r="RTI189" s="926"/>
      <c r="RTJ189" s="926"/>
      <c r="RTK189" s="926"/>
      <c r="RTL189" s="926"/>
      <c r="RTM189" s="926"/>
      <c r="RTN189" s="926"/>
      <c r="RTO189" s="926"/>
      <c r="RTP189" s="926"/>
      <c r="RTQ189" s="926"/>
      <c r="RTR189" s="926"/>
      <c r="RTS189" s="926"/>
      <c r="RTT189" s="926"/>
      <c r="RTU189" s="926"/>
      <c r="RTV189" s="926"/>
      <c r="RTW189" s="926"/>
      <c r="RTX189" s="926"/>
      <c r="RTY189" s="926"/>
      <c r="RTZ189" s="926"/>
      <c r="RUA189" s="926"/>
      <c r="RUB189" s="926"/>
      <c r="RUC189" s="926"/>
      <c r="RUD189" s="926"/>
      <c r="RUE189" s="926"/>
      <c r="RUF189" s="926"/>
      <c r="RUG189" s="926"/>
      <c r="RUH189" s="926"/>
      <c r="RUI189" s="926"/>
      <c r="RUJ189" s="926"/>
      <c r="RUK189" s="926"/>
      <c r="RUL189" s="926"/>
      <c r="RUM189" s="926"/>
      <c r="RUN189" s="926"/>
      <c r="RUO189" s="926"/>
      <c r="RUP189" s="926"/>
      <c r="RUQ189" s="926"/>
      <c r="RUR189" s="926"/>
      <c r="RUS189" s="926"/>
      <c r="RUT189" s="926"/>
      <c r="RUU189" s="926"/>
      <c r="RUV189" s="926"/>
      <c r="RUW189" s="926"/>
      <c r="RUX189" s="926"/>
      <c r="RUY189" s="926"/>
      <c r="RUZ189" s="926"/>
      <c r="RVA189" s="926"/>
      <c r="RVB189" s="926"/>
      <c r="RVC189" s="926"/>
      <c r="RVD189" s="926"/>
      <c r="RVE189" s="926"/>
      <c r="RVF189" s="926"/>
      <c r="RVG189" s="926"/>
      <c r="RVH189" s="926"/>
      <c r="RVI189" s="926"/>
      <c r="RVJ189" s="926"/>
      <c r="RVK189" s="926"/>
      <c r="RVL189" s="926"/>
      <c r="RVM189" s="926"/>
      <c r="RVN189" s="926"/>
      <c r="RVO189" s="926"/>
      <c r="RVP189" s="926"/>
      <c r="RVQ189" s="926"/>
      <c r="RVR189" s="926"/>
      <c r="RVS189" s="926"/>
      <c r="RVT189" s="926"/>
      <c r="RVU189" s="926"/>
      <c r="RVV189" s="926"/>
      <c r="RVW189" s="926"/>
      <c r="RVX189" s="926"/>
      <c r="RVY189" s="926"/>
      <c r="RVZ189" s="926"/>
      <c r="RWA189" s="926"/>
      <c r="RWB189" s="926"/>
      <c r="RWC189" s="926"/>
      <c r="RWD189" s="926"/>
      <c r="RWE189" s="926"/>
      <c r="RWF189" s="926"/>
      <c r="RWG189" s="926"/>
      <c r="RWH189" s="926"/>
      <c r="RWI189" s="926"/>
      <c r="RWJ189" s="926"/>
      <c r="RWK189" s="926"/>
      <c r="RWL189" s="926"/>
      <c r="RWM189" s="926"/>
      <c r="RWN189" s="926"/>
      <c r="RWO189" s="926"/>
      <c r="RWP189" s="926"/>
      <c r="RWQ189" s="926"/>
      <c r="RWR189" s="926"/>
      <c r="RWS189" s="926"/>
      <c r="RWT189" s="926"/>
      <c r="RWU189" s="926"/>
      <c r="RWV189" s="926"/>
      <c r="RWW189" s="926"/>
      <c r="RWX189" s="926"/>
      <c r="RWY189" s="926"/>
      <c r="RWZ189" s="926"/>
      <c r="RXA189" s="926"/>
      <c r="RXB189" s="926"/>
      <c r="RXC189" s="926"/>
      <c r="RXD189" s="926"/>
      <c r="RXE189" s="926"/>
      <c r="RXF189" s="926"/>
      <c r="RXG189" s="926"/>
      <c r="RXH189" s="926"/>
      <c r="RXI189" s="926"/>
      <c r="RXJ189" s="926"/>
      <c r="RXK189" s="926"/>
      <c r="RXL189" s="926"/>
      <c r="RXM189" s="926"/>
      <c r="RXN189" s="926"/>
      <c r="RXO189" s="926"/>
      <c r="RXP189" s="926"/>
      <c r="RXQ189" s="926"/>
      <c r="RXR189" s="926"/>
      <c r="RXS189" s="926"/>
      <c r="RXT189" s="926"/>
      <c r="RXU189" s="926"/>
      <c r="RXV189" s="926"/>
      <c r="RXW189" s="926"/>
      <c r="RXX189" s="926"/>
      <c r="RXY189" s="926"/>
      <c r="RXZ189" s="926"/>
      <c r="RYA189" s="926"/>
      <c r="RYB189" s="926"/>
      <c r="RYC189" s="926"/>
      <c r="RYD189" s="926"/>
      <c r="RYE189" s="926"/>
      <c r="RYF189" s="926"/>
      <c r="RYG189" s="926"/>
      <c r="RYH189" s="926"/>
      <c r="RYI189" s="926"/>
      <c r="RYJ189" s="926"/>
      <c r="RYK189" s="926"/>
      <c r="RYL189" s="926"/>
      <c r="RYM189" s="926"/>
      <c r="RYN189" s="926"/>
      <c r="RYO189" s="926"/>
      <c r="RYP189" s="926"/>
      <c r="RYQ189" s="926"/>
      <c r="RYR189" s="926"/>
      <c r="RYS189" s="926"/>
      <c r="RYT189" s="926"/>
      <c r="RYU189" s="926"/>
      <c r="RYV189" s="926"/>
      <c r="RYW189" s="926"/>
      <c r="RYX189" s="926"/>
      <c r="RYY189" s="926"/>
      <c r="RYZ189" s="926"/>
      <c r="RZA189" s="926"/>
      <c r="RZB189" s="926"/>
      <c r="RZC189" s="926"/>
      <c r="RZD189" s="926"/>
      <c r="RZE189" s="926"/>
      <c r="RZF189" s="926"/>
      <c r="RZG189" s="926"/>
      <c r="RZH189" s="926"/>
      <c r="RZI189" s="926"/>
      <c r="RZJ189" s="926"/>
      <c r="RZK189" s="926"/>
      <c r="RZL189" s="926"/>
      <c r="RZM189" s="926"/>
      <c r="RZN189" s="926"/>
      <c r="RZO189" s="926"/>
      <c r="RZP189" s="926"/>
      <c r="RZQ189" s="926"/>
      <c r="RZR189" s="926"/>
      <c r="RZS189" s="926"/>
      <c r="RZT189" s="926"/>
      <c r="RZU189" s="926"/>
      <c r="RZV189" s="926"/>
      <c r="RZW189" s="926"/>
      <c r="RZX189" s="926"/>
      <c r="RZY189" s="926"/>
      <c r="RZZ189" s="926"/>
      <c r="SAA189" s="926"/>
      <c r="SAB189" s="926"/>
      <c r="SAC189" s="926"/>
      <c r="SAD189" s="926"/>
      <c r="SAE189" s="926"/>
      <c r="SAF189" s="926"/>
      <c r="SAG189" s="926"/>
      <c r="SAH189" s="926"/>
      <c r="SAI189" s="926"/>
      <c r="SAJ189" s="926"/>
      <c r="SAK189" s="926"/>
      <c r="SAL189" s="926"/>
      <c r="SAM189" s="926"/>
      <c r="SAN189" s="926"/>
      <c r="SAO189" s="926"/>
      <c r="SAP189" s="926"/>
      <c r="SAQ189" s="926"/>
      <c r="SAR189" s="926"/>
      <c r="SAS189" s="926"/>
      <c r="SAT189" s="926"/>
      <c r="SAU189" s="926"/>
      <c r="SAV189" s="926"/>
      <c r="SAW189" s="926"/>
      <c r="SAX189" s="926"/>
      <c r="SAY189" s="926"/>
      <c r="SAZ189" s="926"/>
      <c r="SBA189" s="926"/>
      <c r="SBB189" s="926"/>
      <c r="SBC189" s="926"/>
      <c r="SBD189" s="926"/>
      <c r="SBE189" s="926"/>
      <c r="SBF189" s="926"/>
      <c r="SBG189" s="926"/>
      <c r="SBH189" s="926"/>
      <c r="SBI189" s="926"/>
      <c r="SBJ189" s="926"/>
      <c r="SBK189" s="926"/>
      <c r="SBL189" s="926"/>
      <c r="SBM189" s="926"/>
      <c r="SBN189" s="926"/>
      <c r="SBO189" s="926"/>
      <c r="SBP189" s="926"/>
      <c r="SBQ189" s="926"/>
      <c r="SBR189" s="926"/>
      <c r="SBS189" s="926"/>
      <c r="SBT189" s="926"/>
      <c r="SBU189" s="926"/>
      <c r="SBV189" s="926"/>
      <c r="SBW189" s="926"/>
      <c r="SBX189" s="926"/>
      <c r="SBY189" s="926"/>
      <c r="SBZ189" s="926"/>
      <c r="SCA189" s="926"/>
      <c r="SCB189" s="926"/>
      <c r="SCC189" s="926"/>
      <c r="SCD189" s="926"/>
      <c r="SCE189" s="926"/>
      <c r="SCF189" s="926"/>
      <c r="SCG189" s="926"/>
      <c r="SCH189" s="926"/>
      <c r="SCI189" s="926"/>
      <c r="SCJ189" s="926"/>
      <c r="SCK189" s="926"/>
      <c r="SCL189" s="926"/>
      <c r="SCM189" s="926"/>
      <c r="SCN189" s="926"/>
      <c r="SCO189" s="926"/>
      <c r="SCP189" s="926"/>
      <c r="SCQ189" s="926"/>
      <c r="SCR189" s="926"/>
      <c r="SCS189" s="926"/>
      <c r="SCT189" s="926"/>
      <c r="SCU189" s="926"/>
      <c r="SCV189" s="926"/>
      <c r="SCW189" s="926"/>
      <c r="SCX189" s="926"/>
      <c r="SCY189" s="926"/>
      <c r="SCZ189" s="926"/>
      <c r="SDA189" s="926"/>
      <c r="SDB189" s="926"/>
      <c r="SDC189" s="926"/>
      <c r="SDD189" s="926"/>
      <c r="SDE189" s="926"/>
      <c r="SDF189" s="926"/>
      <c r="SDG189" s="926"/>
      <c r="SDH189" s="926"/>
      <c r="SDI189" s="926"/>
      <c r="SDJ189" s="926"/>
      <c r="SDK189" s="926"/>
      <c r="SDL189" s="926"/>
      <c r="SDM189" s="926"/>
      <c r="SDN189" s="926"/>
      <c r="SDO189" s="926"/>
      <c r="SDP189" s="926"/>
      <c r="SDQ189" s="926"/>
      <c r="SDR189" s="926"/>
      <c r="SDS189" s="926"/>
      <c r="SDT189" s="926"/>
      <c r="SDU189" s="926"/>
      <c r="SDV189" s="926"/>
      <c r="SDW189" s="926"/>
      <c r="SDX189" s="926"/>
      <c r="SDY189" s="926"/>
      <c r="SDZ189" s="926"/>
      <c r="SEA189" s="926"/>
      <c r="SEB189" s="926"/>
      <c r="SEC189" s="926"/>
      <c r="SED189" s="926"/>
      <c r="SEE189" s="926"/>
      <c r="SEF189" s="926"/>
      <c r="SEG189" s="926"/>
      <c r="SEH189" s="926"/>
      <c r="SEI189" s="926"/>
      <c r="SEJ189" s="926"/>
      <c r="SEK189" s="926"/>
      <c r="SEL189" s="926"/>
      <c r="SEM189" s="926"/>
      <c r="SEN189" s="926"/>
      <c r="SEO189" s="926"/>
      <c r="SEP189" s="926"/>
      <c r="SEQ189" s="926"/>
      <c r="SER189" s="926"/>
      <c r="SES189" s="926"/>
      <c r="SET189" s="926"/>
      <c r="SEU189" s="926"/>
      <c r="SEV189" s="926"/>
      <c r="SEW189" s="926"/>
      <c r="SEX189" s="926"/>
      <c r="SEY189" s="926"/>
      <c r="SEZ189" s="926"/>
      <c r="SFA189" s="926"/>
      <c r="SFB189" s="926"/>
      <c r="SFC189" s="926"/>
      <c r="SFD189" s="926"/>
      <c r="SFE189" s="926"/>
      <c r="SFF189" s="926"/>
      <c r="SFG189" s="926"/>
      <c r="SFH189" s="926"/>
      <c r="SFI189" s="926"/>
      <c r="SFJ189" s="926"/>
      <c r="SFK189" s="926"/>
      <c r="SFL189" s="926"/>
      <c r="SFM189" s="926"/>
      <c r="SFN189" s="926"/>
      <c r="SFO189" s="926"/>
      <c r="SFP189" s="926"/>
      <c r="SFQ189" s="926"/>
      <c r="SFR189" s="926"/>
      <c r="SFS189" s="926"/>
      <c r="SFT189" s="926"/>
      <c r="SFU189" s="926"/>
      <c r="SFV189" s="926"/>
      <c r="SFW189" s="926"/>
      <c r="SFX189" s="926"/>
      <c r="SFY189" s="926"/>
      <c r="SFZ189" s="926"/>
      <c r="SGA189" s="926"/>
      <c r="SGB189" s="926"/>
      <c r="SGC189" s="926"/>
      <c r="SGD189" s="926"/>
      <c r="SGE189" s="926"/>
      <c r="SGF189" s="926"/>
      <c r="SGG189" s="926"/>
      <c r="SGH189" s="926"/>
      <c r="SGI189" s="926"/>
      <c r="SGJ189" s="926"/>
      <c r="SGK189" s="926"/>
      <c r="SGL189" s="926"/>
      <c r="SGM189" s="926"/>
      <c r="SGN189" s="926"/>
      <c r="SGO189" s="926"/>
      <c r="SGP189" s="926"/>
      <c r="SGQ189" s="926"/>
      <c r="SGR189" s="926"/>
      <c r="SGS189" s="926"/>
      <c r="SGT189" s="926"/>
      <c r="SGU189" s="926"/>
      <c r="SGV189" s="926"/>
      <c r="SGW189" s="926"/>
      <c r="SGX189" s="926"/>
      <c r="SGY189" s="926"/>
      <c r="SGZ189" s="926"/>
      <c r="SHA189" s="926"/>
      <c r="SHB189" s="926"/>
      <c r="SHC189" s="926"/>
      <c r="SHD189" s="926"/>
      <c r="SHE189" s="926"/>
      <c r="SHF189" s="926"/>
      <c r="SHG189" s="926"/>
      <c r="SHH189" s="926"/>
      <c r="SHI189" s="926"/>
      <c r="SHJ189" s="926"/>
      <c r="SHK189" s="926"/>
      <c r="SHL189" s="926"/>
      <c r="SHM189" s="926"/>
      <c r="SHN189" s="926"/>
      <c r="SHO189" s="926"/>
      <c r="SHP189" s="926"/>
      <c r="SHQ189" s="926"/>
      <c r="SHR189" s="926"/>
      <c r="SHS189" s="926"/>
      <c r="SHT189" s="926"/>
      <c r="SHU189" s="926"/>
      <c r="SHV189" s="926"/>
      <c r="SHW189" s="926"/>
      <c r="SHX189" s="926"/>
      <c r="SHY189" s="926"/>
      <c r="SHZ189" s="926"/>
      <c r="SIA189" s="926"/>
      <c r="SIB189" s="926"/>
      <c r="SIC189" s="926"/>
      <c r="SID189" s="926"/>
      <c r="SIE189" s="926"/>
      <c r="SIF189" s="926"/>
      <c r="SIG189" s="926"/>
      <c r="SIH189" s="926"/>
      <c r="SII189" s="926"/>
      <c r="SIJ189" s="926"/>
      <c r="SIK189" s="926"/>
      <c r="SIL189" s="926"/>
      <c r="SIM189" s="926"/>
      <c r="SIN189" s="926"/>
      <c r="SIO189" s="926"/>
      <c r="SIP189" s="926"/>
      <c r="SIQ189" s="926"/>
      <c r="SIR189" s="926"/>
      <c r="SIS189" s="926"/>
      <c r="SIT189" s="926"/>
      <c r="SIU189" s="926"/>
      <c r="SIV189" s="926"/>
      <c r="SIW189" s="926"/>
      <c r="SIX189" s="926"/>
      <c r="SIY189" s="926"/>
      <c r="SIZ189" s="926"/>
      <c r="SJA189" s="926"/>
      <c r="SJB189" s="926"/>
      <c r="SJC189" s="926"/>
      <c r="SJD189" s="926"/>
      <c r="SJE189" s="926"/>
      <c r="SJF189" s="926"/>
      <c r="SJG189" s="926"/>
      <c r="SJH189" s="926"/>
      <c r="SJI189" s="926"/>
      <c r="SJJ189" s="926"/>
      <c r="SJK189" s="926"/>
      <c r="SJL189" s="926"/>
      <c r="SJM189" s="926"/>
      <c r="SJN189" s="926"/>
      <c r="SJO189" s="926"/>
      <c r="SJP189" s="926"/>
      <c r="SJQ189" s="926"/>
      <c r="SJR189" s="926"/>
      <c r="SJS189" s="926"/>
      <c r="SJT189" s="926"/>
      <c r="SJU189" s="926"/>
      <c r="SJV189" s="926"/>
      <c r="SJW189" s="926"/>
      <c r="SJX189" s="926"/>
      <c r="SJY189" s="926"/>
      <c r="SJZ189" s="926"/>
      <c r="SKA189" s="926"/>
      <c r="SKB189" s="926"/>
      <c r="SKC189" s="926"/>
      <c r="SKD189" s="926"/>
      <c r="SKE189" s="926"/>
      <c r="SKF189" s="926"/>
      <c r="SKG189" s="926"/>
      <c r="SKH189" s="926"/>
      <c r="SKI189" s="926"/>
      <c r="SKJ189" s="926"/>
      <c r="SKK189" s="926"/>
      <c r="SKL189" s="926"/>
      <c r="SKM189" s="926"/>
      <c r="SKN189" s="926"/>
      <c r="SKO189" s="926"/>
      <c r="SKP189" s="926"/>
      <c r="SKQ189" s="926"/>
      <c r="SKR189" s="926"/>
      <c r="SKS189" s="926"/>
      <c r="SKT189" s="926"/>
      <c r="SKU189" s="926"/>
      <c r="SKV189" s="926"/>
      <c r="SKW189" s="926"/>
      <c r="SKX189" s="926"/>
      <c r="SKY189" s="926"/>
      <c r="SKZ189" s="926"/>
      <c r="SLA189" s="926"/>
      <c r="SLB189" s="926"/>
      <c r="SLC189" s="926"/>
      <c r="SLD189" s="926"/>
      <c r="SLE189" s="926"/>
      <c r="SLF189" s="926"/>
      <c r="SLG189" s="926"/>
      <c r="SLH189" s="926"/>
      <c r="SLI189" s="926"/>
      <c r="SLJ189" s="926"/>
      <c r="SLK189" s="926"/>
      <c r="SLL189" s="926"/>
      <c r="SLM189" s="926"/>
      <c r="SLN189" s="926"/>
      <c r="SLO189" s="926"/>
      <c r="SLP189" s="926"/>
      <c r="SLQ189" s="926"/>
      <c r="SLR189" s="926"/>
      <c r="SLS189" s="926"/>
      <c r="SLT189" s="926"/>
      <c r="SLU189" s="926"/>
      <c r="SLV189" s="926"/>
      <c r="SLW189" s="926"/>
      <c r="SLX189" s="926"/>
      <c r="SLY189" s="926"/>
      <c r="SLZ189" s="926"/>
      <c r="SMA189" s="926"/>
      <c r="SMB189" s="926"/>
      <c r="SMC189" s="926"/>
      <c r="SMD189" s="926"/>
      <c r="SME189" s="926"/>
      <c r="SMF189" s="926"/>
      <c r="SMG189" s="926"/>
      <c r="SMH189" s="926"/>
      <c r="SMI189" s="926"/>
      <c r="SMJ189" s="926"/>
      <c r="SMK189" s="926"/>
      <c r="SML189" s="926"/>
      <c r="SMM189" s="926"/>
      <c r="SMN189" s="926"/>
      <c r="SMO189" s="926"/>
      <c r="SMP189" s="926"/>
      <c r="SMQ189" s="926"/>
      <c r="SMR189" s="926"/>
      <c r="SMS189" s="926"/>
      <c r="SMT189" s="926"/>
      <c r="SMU189" s="926"/>
      <c r="SMV189" s="926"/>
      <c r="SMW189" s="926"/>
      <c r="SMX189" s="926"/>
      <c r="SMY189" s="926"/>
      <c r="SMZ189" s="926"/>
      <c r="SNA189" s="926"/>
      <c r="SNB189" s="926"/>
      <c r="SNC189" s="926"/>
      <c r="SND189" s="926"/>
      <c r="SNE189" s="926"/>
      <c r="SNF189" s="926"/>
      <c r="SNG189" s="926"/>
      <c r="SNH189" s="926"/>
      <c r="SNI189" s="926"/>
      <c r="SNJ189" s="926"/>
      <c r="SNK189" s="926"/>
      <c r="SNL189" s="926"/>
      <c r="SNM189" s="926"/>
      <c r="SNN189" s="926"/>
      <c r="SNO189" s="926"/>
      <c r="SNP189" s="926"/>
      <c r="SNQ189" s="926"/>
      <c r="SNR189" s="926"/>
      <c r="SNS189" s="926"/>
      <c r="SNT189" s="926"/>
      <c r="SNU189" s="926"/>
      <c r="SNV189" s="926"/>
      <c r="SNW189" s="926"/>
      <c r="SNX189" s="926"/>
      <c r="SNY189" s="926"/>
      <c r="SNZ189" s="926"/>
      <c r="SOA189" s="926"/>
      <c r="SOB189" s="926"/>
      <c r="SOC189" s="926"/>
      <c r="SOD189" s="926"/>
      <c r="SOE189" s="926"/>
      <c r="SOF189" s="926"/>
      <c r="SOG189" s="926"/>
      <c r="SOH189" s="926"/>
      <c r="SOI189" s="926"/>
      <c r="SOJ189" s="926"/>
      <c r="SOK189" s="926"/>
      <c r="SOL189" s="926"/>
      <c r="SOM189" s="926"/>
      <c r="SON189" s="926"/>
      <c r="SOO189" s="926"/>
      <c r="SOP189" s="926"/>
      <c r="SOQ189" s="926"/>
      <c r="SOR189" s="926"/>
      <c r="SOS189" s="926"/>
      <c r="SOT189" s="926"/>
      <c r="SOU189" s="926"/>
      <c r="SOV189" s="926"/>
      <c r="SOW189" s="926"/>
      <c r="SOX189" s="926"/>
      <c r="SOY189" s="926"/>
      <c r="SOZ189" s="926"/>
      <c r="SPA189" s="926"/>
      <c r="SPB189" s="926"/>
      <c r="SPC189" s="926"/>
      <c r="SPD189" s="926"/>
      <c r="SPE189" s="926"/>
      <c r="SPF189" s="926"/>
      <c r="SPG189" s="926"/>
      <c r="SPH189" s="926"/>
      <c r="SPI189" s="926"/>
      <c r="SPJ189" s="926"/>
      <c r="SPK189" s="926"/>
      <c r="SPL189" s="926"/>
      <c r="SPM189" s="926"/>
      <c r="SPN189" s="926"/>
      <c r="SPO189" s="926"/>
      <c r="SPP189" s="926"/>
      <c r="SPQ189" s="926"/>
      <c r="SPR189" s="926"/>
      <c r="SPS189" s="926"/>
      <c r="SPT189" s="926"/>
      <c r="SPU189" s="926"/>
      <c r="SPV189" s="926"/>
      <c r="SPW189" s="926"/>
      <c r="SPX189" s="926"/>
      <c r="SPY189" s="926"/>
      <c r="SPZ189" s="926"/>
      <c r="SQA189" s="926"/>
      <c r="SQB189" s="926"/>
      <c r="SQC189" s="926"/>
      <c r="SQD189" s="926"/>
      <c r="SQE189" s="926"/>
      <c r="SQF189" s="926"/>
      <c r="SQG189" s="926"/>
      <c r="SQH189" s="926"/>
      <c r="SQI189" s="926"/>
      <c r="SQJ189" s="926"/>
      <c r="SQK189" s="926"/>
      <c r="SQL189" s="926"/>
      <c r="SQM189" s="926"/>
      <c r="SQN189" s="926"/>
      <c r="SQO189" s="926"/>
      <c r="SQP189" s="926"/>
      <c r="SQQ189" s="926"/>
      <c r="SQR189" s="926"/>
      <c r="SQS189" s="926"/>
      <c r="SQT189" s="926"/>
      <c r="SQU189" s="926"/>
      <c r="SQV189" s="926"/>
      <c r="SQW189" s="926"/>
      <c r="SQX189" s="926"/>
      <c r="SQY189" s="926"/>
      <c r="SQZ189" s="926"/>
      <c r="SRA189" s="926"/>
      <c r="SRB189" s="926"/>
      <c r="SRC189" s="926"/>
      <c r="SRD189" s="926"/>
      <c r="SRE189" s="926"/>
      <c r="SRF189" s="926"/>
      <c r="SRG189" s="926"/>
      <c r="SRH189" s="926"/>
      <c r="SRI189" s="926"/>
      <c r="SRJ189" s="926"/>
      <c r="SRK189" s="926"/>
      <c r="SRL189" s="926"/>
      <c r="SRM189" s="926"/>
      <c r="SRN189" s="926"/>
      <c r="SRO189" s="926"/>
      <c r="SRP189" s="926"/>
      <c r="SRQ189" s="926"/>
      <c r="SRR189" s="926"/>
      <c r="SRS189" s="926"/>
      <c r="SRT189" s="926"/>
      <c r="SRU189" s="926"/>
      <c r="SRV189" s="926"/>
      <c r="SRW189" s="926"/>
      <c r="SRX189" s="926"/>
      <c r="SRY189" s="926"/>
      <c r="SRZ189" s="926"/>
      <c r="SSA189" s="926"/>
      <c r="SSB189" s="926"/>
      <c r="SSC189" s="926"/>
      <c r="SSD189" s="926"/>
      <c r="SSE189" s="926"/>
      <c r="SSF189" s="926"/>
      <c r="SSG189" s="926"/>
      <c r="SSH189" s="926"/>
      <c r="SSI189" s="926"/>
      <c r="SSJ189" s="926"/>
      <c r="SSK189" s="926"/>
      <c r="SSL189" s="926"/>
      <c r="SSM189" s="926"/>
      <c r="SSN189" s="926"/>
      <c r="SSO189" s="926"/>
      <c r="SSP189" s="926"/>
      <c r="SSQ189" s="926"/>
      <c r="SSR189" s="926"/>
      <c r="SSS189" s="926"/>
      <c r="SST189" s="926"/>
      <c r="SSU189" s="926"/>
      <c r="SSV189" s="926"/>
      <c r="SSW189" s="926"/>
      <c r="SSX189" s="926"/>
      <c r="SSY189" s="926"/>
      <c r="SSZ189" s="926"/>
      <c r="STA189" s="926"/>
      <c r="STB189" s="926"/>
      <c r="STC189" s="926"/>
      <c r="STD189" s="926"/>
      <c r="STE189" s="926"/>
      <c r="STF189" s="926"/>
      <c r="STG189" s="926"/>
      <c r="STH189" s="926"/>
      <c r="STI189" s="926"/>
      <c r="STJ189" s="926"/>
      <c r="STK189" s="926"/>
      <c r="STL189" s="926"/>
      <c r="STM189" s="926"/>
      <c r="STN189" s="926"/>
      <c r="STO189" s="926"/>
      <c r="STP189" s="926"/>
      <c r="STQ189" s="926"/>
      <c r="STR189" s="926"/>
      <c r="STS189" s="926"/>
      <c r="STT189" s="926"/>
      <c r="STU189" s="926"/>
      <c r="STV189" s="926"/>
      <c r="STW189" s="926"/>
      <c r="STX189" s="926"/>
      <c r="STY189" s="926"/>
      <c r="STZ189" s="926"/>
      <c r="SUA189" s="926"/>
      <c r="SUB189" s="926"/>
      <c r="SUC189" s="926"/>
      <c r="SUD189" s="926"/>
      <c r="SUE189" s="926"/>
      <c r="SUF189" s="926"/>
      <c r="SUG189" s="926"/>
      <c r="SUH189" s="926"/>
      <c r="SUI189" s="926"/>
      <c r="SUJ189" s="926"/>
      <c r="SUK189" s="926"/>
      <c r="SUL189" s="926"/>
      <c r="SUM189" s="926"/>
      <c r="SUN189" s="926"/>
      <c r="SUO189" s="926"/>
      <c r="SUP189" s="926"/>
      <c r="SUQ189" s="926"/>
      <c r="SUR189" s="926"/>
      <c r="SUS189" s="926"/>
      <c r="SUT189" s="926"/>
      <c r="SUU189" s="926"/>
      <c r="SUV189" s="926"/>
      <c r="SUW189" s="926"/>
      <c r="SUX189" s="926"/>
      <c r="SUY189" s="926"/>
      <c r="SUZ189" s="926"/>
      <c r="SVA189" s="926"/>
      <c r="SVB189" s="926"/>
      <c r="SVC189" s="926"/>
      <c r="SVD189" s="926"/>
      <c r="SVE189" s="926"/>
      <c r="SVF189" s="926"/>
      <c r="SVG189" s="926"/>
      <c r="SVH189" s="926"/>
      <c r="SVI189" s="926"/>
      <c r="SVJ189" s="926"/>
      <c r="SVK189" s="926"/>
      <c r="SVL189" s="926"/>
      <c r="SVM189" s="926"/>
      <c r="SVN189" s="926"/>
      <c r="SVO189" s="926"/>
      <c r="SVP189" s="926"/>
      <c r="SVQ189" s="926"/>
      <c r="SVR189" s="926"/>
      <c r="SVS189" s="926"/>
      <c r="SVT189" s="926"/>
      <c r="SVU189" s="926"/>
      <c r="SVV189" s="926"/>
      <c r="SVW189" s="926"/>
      <c r="SVX189" s="926"/>
      <c r="SVY189" s="926"/>
      <c r="SVZ189" s="926"/>
      <c r="SWA189" s="926"/>
      <c r="SWB189" s="926"/>
      <c r="SWC189" s="926"/>
      <c r="SWD189" s="926"/>
      <c r="SWE189" s="926"/>
      <c r="SWF189" s="926"/>
      <c r="SWG189" s="926"/>
      <c r="SWH189" s="926"/>
      <c r="SWI189" s="926"/>
      <c r="SWJ189" s="926"/>
      <c r="SWK189" s="926"/>
      <c r="SWL189" s="926"/>
      <c r="SWM189" s="926"/>
      <c r="SWN189" s="926"/>
      <c r="SWO189" s="926"/>
      <c r="SWP189" s="926"/>
      <c r="SWQ189" s="926"/>
      <c r="SWR189" s="926"/>
      <c r="SWS189" s="926"/>
      <c r="SWT189" s="926"/>
      <c r="SWU189" s="926"/>
      <c r="SWV189" s="926"/>
      <c r="SWW189" s="926"/>
      <c r="SWX189" s="926"/>
      <c r="SWY189" s="926"/>
      <c r="SWZ189" s="926"/>
      <c r="SXA189" s="926"/>
      <c r="SXB189" s="926"/>
      <c r="SXC189" s="926"/>
      <c r="SXD189" s="926"/>
      <c r="SXE189" s="926"/>
      <c r="SXF189" s="926"/>
      <c r="SXG189" s="926"/>
      <c r="SXH189" s="926"/>
      <c r="SXI189" s="926"/>
      <c r="SXJ189" s="926"/>
      <c r="SXK189" s="926"/>
      <c r="SXL189" s="926"/>
      <c r="SXM189" s="926"/>
      <c r="SXN189" s="926"/>
      <c r="SXO189" s="926"/>
      <c r="SXP189" s="926"/>
      <c r="SXQ189" s="926"/>
      <c r="SXR189" s="926"/>
      <c r="SXS189" s="926"/>
      <c r="SXT189" s="926"/>
      <c r="SXU189" s="926"/>
      <c r="SXV189" s="926"/>
      <c r="SXW189" s="926"/>
      <c r="SXX189" s="926"/>
      <c r="SXY189" s="926"/>
      <c r="SXZ189" s="926"/>
      <c r="SYA189" s="926"/>
      <c r="SYB189" s="926"/>
      <c r="SYC189" s="926"/>
      <c r="SYD189" s="926"/>
      <c r="SYE189" s="926"/>
      <c r="SYF189" s="926"/>
      <c r="SYG189" s="926"/>
      <c r="SYH189" s="926"/>
      <c r="SYI189" s="926"/>
      <c r="SYJ189" s="926"/>
      <c r="SYK189" s="926"/>
      <c r="SYL189" s="926"/>
      <c r="SYM189" s="926"/>
      <c r="SYN189" s="926"/>
      <c r="SYO189" s="926"/>
      <c r="SYP189" s="926"/>
      <c r="SYQ189" s="926"/>
      <c r="SYR189" s="926"/>
      <c r="SYS189" s="926"/>
      <c r="SYT189" s="926"/>
      <c r="SYU189" s="926"/>
      <c r="SYV189" s="926"/>
      <c r="SYW189" s="926"/>
      <c r="SYX189" s="926"/>
      <c r="SYY189" s="926"/>
      <c r="SYZ189" s="926"/>
      <c r="SZA189" s="926"/>
      <c r="SZB189" s="926"/>
      <c r="SZC189" s="926"/>
      <c r="SZD189" s="926"/>
      <c r="SZE189" s="926"/>
      <c r="SZF189" s="926"/>
      <c r="SZG189" s="926"/>
      <c r="SZH189" s="926"/>
      <c r="SZI189" s="926"/>
      <c r="SZJ189" s="926"/>
      <c r="SZK189" s="926"/>
      <c r="SZL189" s="926"/>
      <c r="SZM189" s="926"/>
      <c r="SZN189" s="926"/>
      <c r="SZO189" s="926"/>
      <c r="SZP189" s="926"/>
      <c r="SZQ189" s="926"/>
      <c r="SZR189" s="926"/>
      <c r="SZS189" s="926"/>
      <c r="SZT189" s="926"/>
      <c r="SZU189" s="926"/>
      <c r="SZV189" s="926"/>
      <c r="SZW189" s="926"/>
      <c r="SZX189" s="926"/>
      <c r="SZY189" s="926"/>
      <c r="SZZ189" s="926"/>
      <c r="TAA189" s="926"/>
      <c r="TAB189" s="926"/>
      <c r="TAC189" s="926"/>
      <c r="TAD189" s="926"/>
      <c r="TAE189" s="926"/>
      <c r="TAF189" s="926"/>
      <c r="TAG189" s="926"/>
      <c r="TAH189" s="926"/>
      <c r="TAI189" s="926"/>
      <c r="TAJ189" s="926"/>
      <c r="TAK189" s="926"/>
      <c r="TAL189" s="926"/>
      <c r="TAM189" s="926"/>
      <c r="TAN189" s="926"/>
      <c r="TAO189" s="926"/>
      <c r="TAP189" s="926"/>
      <c r="TAQ189" s="926"/>
      <c r="TAR189" s="926"/>
      <c r="TAS189" s="926"/>
      <c r="TAT189" s="926"/>
      <c r="TAU189" s="926"/>
      <c r="TAV189" s="926"/>
      <c r="TAW189" s="926"/>
      <c r="TAX189" s="926"/>
      <c r="TAY189" s="926"/>
      <c r="TAZ189" s="926"/>
      <c r="TBA189" s="926"/>
      <c r="TBB189" s="926"/>
      <c r="TBC189" s="926"/>
      <c r="TBD189" s="926"/>
      <c r="TBE189" s="926"/>
      <c r="TBF189" s="926"/>
      <c r="TBG189" s="926"/>
      <c r="TBH189" s="926"/>
      <c r="TBI189" s="926"/>
      <c r="TBJ189" s="926"/>
      <c r="TBK189" s="926"/>
      <c r="TBL189" s="926"/>
      <c r="TBM189" s="926"/>
      <c r="TBN189" s="926"/>
      <c r="TBO189" s="926"/>
      <c r="TBP189" s="926"/>
      <c r="TBQ189" s="926"/>
      <c r="TBR189" s="926"/>
      <c r="TBS189" s="926"/>
      <c r="TBT189" s="926"/>
      <c r="TBU189" s="926"/>
      <c r="TBV189" s="926"/>
      <c r="TBW189" s="926"/>
      <c r="TBX189" s="926"/>
      <c r="TBY189" s="926"/>
      <c r="TBZ189" s="926"/>
      <c r="TCA189" s="926"/>
      <c r="TCB189" s="926"/>
      <c r="TCC189" s="926"/>
      <c r="TCD189" s="926"/>
      <c r="TCE189" s="926"/>
      <c r="TCF189" s="926"/>
      <c r="TCG189" s="926"/>
      <c r="TCH189" s="926"/>
      <c r="TCI189" s="926"/>
      <c r="TCJ189" s="926"/>
      <c r="TCK189" s="926"/>
      <c r="TCL189" s="926"/>
      <c r="TCM189" s="926"/>
      <c r="TCN189" s="926"/>
      <c r="TCO189" s="926"/>
      <c r="TCP189" s="926"/>
      <c r="TCQ189" s="926"/>
      <c r="TCR189" s="926"/>
      <c r="TCS189" s="926"/>
      <c r="TCT189" s="926"/>
      <c r="TCU189" s="926"/>
      <c r="TCV189" s="926"/>
      <c r="TCW189" s="926"/>
      <c r="TCX189" s="926"/>
      <c r="TCY189" s="926"/>
      <c r="TCZ189" s="926"/>
      <c r="TDA189" s="926"/>
      <c r="TDB189" s="926"/>
      <c r="TDC189" s="926"/>
      <c r="TDD189" s="926"/>
      <c r="TDE189" s="926"/>
      <c r="TDF189" s="926"/>
      <c r="TDG189" s="926"/>
      <c r="TDH189" s="926"/>
      <c r="TDI189" s="926"/>
      <c r="TDJ189" s="926"/>
      <c r="TDK189" s="926"/>
      <c r="TDL189" s="926"/>
      <c r="TDM189" s="926"/>
      <c r="TDN189" s="926"/>
      <c r="TDO189" s="926"/>
      <c r="TDP189" s="926"/>
      <c r="TDQ189" s="926"/>
      <c r="TDR189" s="926"/>
      <c r="TDS189" s="926"/>
      <c r="TDT189" s="926"/>
      <c r="TDU189" s="926"/>
      <c r="TDV189" s="926"/>
      <c r="TDW189" s="926"/>
      <c r="TDX189" s="926"/>
      <c r="TDY189" s="926"/>
      <c r="TDZ189" s="926"/>
      <c r="TEA189" s="926"/>
      <c r="TEB189" s="926"/>
      <c r="TEC189" s="926"/>
      <c r="TED189" s="926"/>
      <c r="TEE189" s="926"/>
      <c r="TEF189" s="926"/>
      <c r="TEG189" s="926"/>
      <c r="TEH189" s="926"/>
      <c r="TEI189" s="926"/>
      <c r="TEJ189" s="926"/>
      <c r="TEK189" s="926"/>
      <c r="TEL189" s="926"/>
      <c r="TEM189" s="926"/>
      <c r="TEN189" s="926"/>
      <c r="TEO189" s="926"/>
      <c r="TEP189" s="926"/>
      <c r="TEQ189" s="926"/>
      <c r="TER189" s="926"/>
      <c r="TES189" s="926"/>
      <c r="TET189" s="926"/>
      <c r="TEU189" s="926"/>
      <c r="TEV189" s="926"/>
      <c r="TEW189" s="926"/>
      <c r="TEX189" s="926"/>
      <c r="TEY189" s="926"/>
      <c r="TEZ189" s="926"/>
      <c r="TFA189" s="926"/>
      <c r="TFB189" s="926"/>
      <c r="TFC189" s="926"/>
      <c r="TFD189" s="926"/>
      <c r="TFE189" s="926"/>
      <c r="TFF189" s="926"/>
      <c r="TFG189" s="926"/>
      <c r="TFH189" s="926"/>
      <c r="TFI189" s="926"/>
      <c r="TFJ189" s="926"/>
      <c r="TFK189" s="926"/>
      <c r="TFL189" s="926"/>
      <c r="TFM189" s="926"/>
      <c r="TFN189" s="926"/>
      <c r="TFO189" s="926"/>
      <c r="TFP189" s="926"/>
      <c r="TFQ189" s="926"/>
      <c r="TFR189" s="926"/>
      <c r="TFS189" s="926"/>
      <c r="TFT189" s="926"/>
      <c r="TFU189" s="926"/>
      <c r="TFV189" s="926"/>
      <c r="TFW189" s="926"/>
      <c r="TFX189" s="926"/>
      <c r="TFY189" s="926"/>
      <c r="TFZ189" s="926"/>
      <c r="TGA189" s="926"/>
      <c r="TGB189" s="926"/>
      <c r="TGC189" s="926"/>
      <c r="TGD189" s="926"/>
      <c r="TGE189" s="926"/>
      <c r="TGF189" s="926"/>
      <c r="TGG189" s="926"/>
      <c r="TGH189" s="926"/>
      <c r="TGI189" s="926"/>
      <c r="TGJ189" s="926"/>
      <c r="TGK189" s="926"/>
      <c r="TGL189" s="926"/>
      <c r="TGM189" s="926"/>
      <c r="TGN189" s="926"/>
      <c r="TGO189" s="926"/>
      <c r="TGP189" s="926"/>
      <c r="TGQ189" s="926"/>
      <c r="TGR189" s="926"/>
      <c r="TGS189" s="926"/>
      <c r="TGT189" s="926"/>
      <c r="TGU189" s="926"/>
      <c r="TGV189" s="926"/>
      <c r="TGW189" s="926"/>
      <c r="TGX189" s="926"/>
      <c r="TGY189" s="926"/>
      <c r="TGZ189" s="926"/>
      <c r="THA189" s="926"/>
      <c r="THB189" s="926"/>
      <c r="THC189" s="926"/>
      <c r="THD189" s="926"/>
      <c r="THE189" s="926"/>
      <c r="THF189" s="926"/>
      <c r="THG189" s="926"/>
      <c r="THH189" s="926"/>
      <c r="THI189" s="926"/>
      <c r="THJ189" s="926"/>
      <c r="THK189" s="926"/>
      <c r="THL189" s="926"/>
      <c r="THM189" s="926"/>
      <c r="THN189" s="926"/>
      <c r="THO189" s="926"/>
      <c r="THP189" s="926"/>
      <c r="THQ189" s="926"/>
      <c r="THR189" s="926"/>
      <c r="THS189" s="926"/>
      <c r="THT189" s="926"/>
      <c r="THU189" s="926"/>
      <c r="THV189" s="926"/>
      <c r="THW189" s="926"/>
      <c r="THX189" s="926"/>
      <c r="THY189" s="926"/>
      <c r="THZ189" s="926"/>
      <c r="TIA189" s="926"/>
      <c r="TIB189" s="926"/>
      <c r="TIC189" s="926"/>
      <c r="TID189" s="926"/>
      <c r="TIE189" s="926"/>
      <c r="TIF189" s="926"/>
      <c r="TIG189" s="926"/>
      <c r="TIH189" s="926"/>
      <c r="TII189" s="926"/>
      <c r="TIJ189" s="926"/>
      <c r="TIK189" s="926"/>
      <c r="TIL189" s="926"/>
      <c r="TIM189" s="926"/>
      <c r="TIN189" s="926"/>
      <c r="TIO189" s="926"/>
      <c r="TIP189" s="926"/>
      <c r="TIQ189" s="926"/>
      <c r="TIR189" s="926"/>
      <c r="TIS189" s="926"/>
      <c r="TIT189" s="926"/>
      <c r="TIU189" s="926"/>
      <c r="TIV189" s="926"/>
      <c r="TIW189" s="926"/>
      <c r="TIX189" s="926"/>
      <c r="TIY189" s="926"/>
      <c r="TIZ189" s="926"/>
      <c r="TJA189" s="926"/>
      <c r="TJB189" s="926"/>
      <c r="TJC189" s="926"/>
      <c r="TJD189" s="926"/>
      <c r="TJE189" s="926"/>
      <c r="TJF189" s="926"/>
      <c r="TJG189" s="926"/>
      <c r="TJH189" s="926"/>
      <c r="TJI189" s="926"/>
      <c r="TJJ189" s="926"/>
      <c r="TJK189" s="926"/>
      <c r="TJL189" s="926"/>
      <c r="TJM189" s="926"/>
      <c r="TJN189" s="926"/>
      <c r="TJO189" s="926"/>
      <c r="TJP189" s="926"/>
      <c r="TJQ189" s="926"/>
      <c r="TJR189" s="926"/>
      <c r="TJS189" s="926"/>
      <c r="TJT189" s="926"/>
      <c r="TJU189" s="926"/>
      <c r="TJV189" s="926"/>
      <c r="TJW189" s="926"/>
      <c r="TJX189" s="926"/>
      <c r="TJY189" s="926"/>
      <c r="TJZ189" s="926"/>
      <c r="TKA189" s="926"/>
      <c r="TKB189" s="926"/>
      <c r="TKC189" s="926"/>
      <c r="TKD189" s="926"/>
      <c r="TKE189" s="926"/>
      <c r="TKF189" s="926"/>
      <c r="TKG189" s="926"/>
      <c r="TKH189" s="926"/>
      <c r="TKI189" s="926"/>
      <c r="TKJ189" s="926"/>
      <c r="TKK189" s="926"/>
      <c r="TKL189" s="926"/>
      <c r="TKM189" s="926"/>
      <c r="TKN189" s="926"/>
      <c r="TKO189" s="926"/>
      <c r="TKP189" s="926"/>
      <c r="TKQ189" s="926"/>
      <c r="TKR189" s="926"/>
      <c r="TKS189" s="926"/>
      <c r="TKT189" s="926"/>
      <c r="TKU189" s="926"/>
      <c r="TKV189" s="926"/>
      <c r="TKW189" s="926"/>
      <c r="TKX189" s="926"/>
      <c r="TKY189" s="926"/>
      <c r="TKZ189" s="926"/>
      <c r="TLA189" s="926"/>
      <c r="TLB189" s="926"/>
      <c r="TLC189" s="926"/>
      <c r="TLD189" s="926"/>
      <c r="TLE189" s="926"/>
      <c r="TLF189" s="926"/>
      <c r="TLG189" s="926"/>
      <c r="TLH189" s="926"/>
      <c r="TLI189" s="926"/>
      <c r="TLJ189" s="926"/>
      <c r="TLK189" s="926"/>
      <c r="TLL189" s="926"/>
      <c r="TLM189" s="926"/>
      <c r="TLN189" s="926"/>
      <c r="TLO189" s="926"/>
      <c r="TLP189" s="926"/>
      <c r="TLQ189" s="926"/>
      <c r="TLR189" s="926"/>
      <c r="TLS189" s="926"/>
      <c r="TLT189" s="926"/>
      <c r="TLU189" s="926"/>
      <c r="TLV189" s="926"/>
      <c r="TLW189" s="926"/>
      <c r="TLX189" s="926"/>
      <c r="TLY189" s="926"/>
      <c r="TLZ189" s="926"/>
      <c r="TMA189" s="926"/>
      <c r="TMB189" s="926"/>
      <c r="TMC189" s="926"/>
      <c r="TMD189" s="926"/>
      <c r="TME189" s="926"/>
      <c r="TMF189" s="926"/>
      <c r="TMG189" s="926"/>
      <c r="TMH189" s="926"/>
      <c r="TMI189" s="926"/>
      <c r="TMJ189" s="926"/>
      <c r="TMK189" s="926"/>
      <c r="TML189" s="926"/>
      <c r="TMM189" s="926"/>
      <c r="TMN189" s="926"/>
      <c r="TMO189" s="926"/>
      <c r="TMP189" s="926"/>
      <c r="TMQ189" s="926"/>
      <c r="TMR189" s="926"/>
      <c r="TMS189" s="926"/>
      <c r="TMT189" s="926"/>
      <c r="TMU189" s="926"/>
      <c r="TMV189" s="926"/>
      <c r="TMW189" s="926"/>
      <c r="TMX189" s="926"/>
      <c r="TMY189" s="926"/>
      <c r="TMZ189" s="926"/>
      <c r="TNA189" s="926"/>
      <c r="TNB189" s="926"/>
      <c r="TNC189" s="926"/>
      <c r="TND189" s="926"/>
      <c r="TNE189" s="926"/>
      <c r="TNF189" s="926"/>
      <c r="TNG189" s="926"/>
      <c r="TNH189" s="926"/>
      <c r="TNI189" s="926"/>
      <c r="TNJ189" s="926"/>
      <c r="TNK189" s="926"/>
      <c r="TNL189" s="926"/>
      <c r="TNM189" s="926"/>
      <c r="TNN189" s="926"/>
      <c r="TNO189" s="926"/>
      <c r="TNP189" s="926"/>
      <c r="TNQ189" s="926"/>
      <c r="TNR189" s="926"/>
      <c r="TNS189" s="926"/>
      <c r="TNT189" s="926"/>
      <c r="TNU189" s="926"/>
      <c r="TNV189" s="926"/>
      <c r="TNW189" s="926"/>
      <c r="TNX189" s="926"/>
      <c r="TNY189" s="926"/>
      <c r="TNZ189" s="926"/>
      <c r="TOA189" s="926"/>
      <c r="TOB189" s="926"/>
      <c r="TOC189" s="926"/>
      <c r="TOD189" s="926"/>
      <c r="TOE189" s="926"/>
      <c r="TOF189" s="926"/>
      <c r="TOG189" s="926"/>
      <c r="TOH189" s="926"/>
      <c r="TOI189" s="926"/>
      <c r="TOJ189" s="926"/>
      <c r="TOK189" s="926"/>
      <c r="TOL189" s="926"/>
      <c r="TOM189" s="926"/>
      <c r="TON189" s="926"/>
      <c r="TOO189" s="926"/>
      <c r="TOP189" s="926"/>
      <c r="TOQ189" s="926"/>
      <c r="TOR189" s="926"/>
      <c r="TOS189" s="926"/>
      <c r="TOT189" s="926"/>
      <c r="TOU189" s="926"/>
      <c r="TOV189" s="926"/>
      <c r="TOW189" s="926"/>
      <c r="TOX189" s="926"/>
      <c r="TOY189" s="926"/>
      <c r="TOZ189" s="926"/>
      <c r="TPA189" s="926"/>
      <c r="TPB189" s="926"/>
      <c r="TPC189" s="926"/>
      <c r="TPD189" s="926"/>
      <c r="TPE189" s="926"/>
      <c r="TPF189" s="926"/>
      <c r="TPG189" s="926"/>
      <c r="TPH189" s="926"/>
      <c r="TPI189" s="926"/>
      <c r="TPJ189" s="926"/>
      <c r="TPK189" s="926"/>
      <c r="TPL189" s="926"/>
      <c r="TPM189" s="926"/>
      <c r="TPN189" s="926"/>
      <c r="TPO189" s="926"/>
      <c r="TPP189" s="926"/>
      <c r="TPQ189" s="926"/>
      <c r="TPR189" s="926"/>
      <c r="TPS189" s="926"/>
      <c r="TPT189" s="926"/>
      <c r="TPU189" s="926"/>
      <c r="TPV189" s="926"/>
      <c r="TPW189" s="926"/>
      <c r="TPX189" s="926"/>
      <c r="TPY189" s="926"/>
      <c r="TPZ189" s="926"/>
      <c r="TQA189" s="926"/>
      <c r="TQB189" s="926"/>
      <c r="TQC189" s="926"/>
      <c r="TQD189" s="926"/>
      <c r="TQE189" s="926"/>
      <c r="TQF189" s="926"/>
      <c r="TQG189" s="926"/>
      <c r="TQH189" s="926"/>
      <c r="TQI189" s="926"/>
      <c r="TQJ189" s="926"/>
      <c r="TQK189" s="926"/>
      <c r="TQL189" s="926"/>
      <c r="TQM189" s="926"/>
      <c r="TQN189" s="926"/>
      <c r="TQO189" s="926"/>
      <c r="TQP189" s="926"/>
      <c r="TQQ189" s="926"/>
      <c r="TQR189" s="926"/>
      <c r="TQS189" s="926"/>
      <c r="TQT189" s="926"/>
      <c r="TQU189" s="926"/>
      <c r="TQV189" s="926"/>
      <c r="TQW189" s="926"/>
      <c r="TQX189" s="926"/>
      <c r="TQY189" s="926"/>
      <c r="TQZ189" s="926"/>
      <c r="TRA189" s="926"/>
      <c r="TRB189" s="926"/>
      <c r="TRC189" s="926"/>
      <c r="TRD189" s="926"/>
      <c r="TRE189" s="926"/>
      <c r="TRF189" s="926"/>
      <c r="TRG189" s="926"/>
      <c r="TRH189" s="926"/>
      <c r="TRI189" s="926"/>
      <c r="TRJ189" s="926"/>
      <c r="TRK189" s="926"/>
      <c r="TRL189" s="926"/>
      <c r="TRM189" s="926"/>
      <c r="TRN189" s="926"/>
      <c r="TRO189" s="926"/>
      <c r="TRP189" s="926"/>
      <c r="TRQ189" s="926"/>
      <c r="TRR189" s="926"/>
      <c r="TRS189" s="926"/>
      <c r="TRT189" s="926"/>
      <c r="TRU189" s="926"/>
      <c r="TRV189" s="926"/>
      <c r="TRW189" s="926"/>
      <c r="TRX189" s="926"/>
      <c r="TRY189" s="926"/>
      <c r="TRZ189" s="926"/>
      <c r="TSA189" s="926"/>
      <c r="TSB189" s="926"/>
      <c r="TSC189" s="926"/>
      <c r="TSD189" s="926"/>
      <c r="TSE189" s="926"/>
      <c r="TSF189" s="926"/>
      <c r="TSG189" s="926"/>
      <c r="TSH189" s="926"/>
      <c r="TSI189" s="926"/>
      <c r="TSJ189" s="926"/>
      <c r="TSK189" s="926"/>
      <c r="TSL189" s="926"/>
      <c r="TSM189" s="926"/>
      <c r="TSN189" s="926"/>
      <c r="TSO189" s="926"/>
      <c r="TSP189" s="926"/>
      <c r="TSQ189" s="926"/>
      <c r="TSR189" s="926"/>
      <c r="TSS189" s="926"/>
      <c r="TST189" s="926"/>
      <c r="TSU189" s="926"/>
      <c r="TSV189" s="926"/>
      <c r="TSW189" s="926"/>
      <c r="TSX189" s="926"/>
      <c r="TSY189" s="926"/>
      <c r="TSZ189" s="926"/>
      <c r="TTA189" s="926"/>
      <c r="TTB189" s="926"/>
      <c r="TTC189" s="926"/>
      <c r="TTD189" s="926"/>
      <c r="TTE189" s="926"/>
      <c r="TTF189" s="926"/>
      <c r="TTG189" s="926"/>
      <c r="TTH189" s="926"/>
      <c r="TTI189" s="926"/>
      <c r="TTJ189" s="926"/>
      <c r="TTK189" s="926"/>
      <c r="TTL189" s="926"/>
      <c r="TTM189" s="926"/>
      <c r="TTN189" s="926"/>
      <c r="TTO189" s="926"/>
      <c r="TTP189" s="926"/>
      <c r="TTQ189" s="926"/>
      <c r="TTR189" s="926"/>
      <c r="TTS189" s="926"/>
      <c r="TTT189" s="926"/>
      <c r="TTU189" s="926"/>
      <c r="TTV189" s="926"/>
      <c r="TTW189" s="926"/>
      <c r="TTX189" s="926"/>
      <c r="TTY189" s="926"/>
      <c r="TTZ189" s="926"/>
      <c r="TUA189" s="926"/>
      <c r="TUB189" s="926"/>
      <c r="TUC189" s="926"/>
      <c r="TUD189" s="926"/>
      <c r="TUE189" s="926"/>
      <c r="TUF189" s="926"/>
      <c r="TUG189" s="926"/>
      <c r="TUH189" s="926"/>
      <c r="TUI189" s="926"/>
      <c r="TUJ189" s="926"/>
      <c r="TUK189" s="926"/>
      <c r="TUL189" s="926"/>
      <c r="TUM189" s="926"/>
      <c r="TUN189" s="926"/>
      <c r="TUO189" s="926"/>
      <c r="TUP189" s="926"/>
      <c r="TUQ189" s="926"/>
      <c r="TUR189" s="926"/>
      <c r="TUS189" s="926"/>
      <c r="TUT189" s="926"/>
      <c r="TUU189" s="926"/>
      <c r="TUV189" s="926"/>
      <c r="TUW189" s="926"/>
      <c r="TUX189" s="926"/>
      <c r="TUY189" s="926"/>
      <c r="TUZ189" s="926"/>
      <c r="TVA189" s="926"/>
      <c r="TVB189" s="926"/>
      <c r="TVC189" s="926"/>
      <c r="TVD189" s="926"/>
      <c r="TVE189" s="926"/>
      <c r="TVF189" s="926"/>
      <c r="TVG189" s="926"/>
      <c r="TVH189" s="926"/>
      <c r="TVI189" s="926"/>
      <c r="TVJ189" s="926"/>
      <c r="TVK189" s="926"/>
      <c r="TVL189" s="926"/>
      <c r="TVM189" s="926"/>
      <c r="TVN189" s="926"/>
      <c r="TVO189" s="926"/>
      <c r="TVP189" s="926"/>
      <c r="TVQ189" s="926"/>
      <c r="TVR189" s="926"/>
      <c r="TVS189" s="926"/>
      <c r="TVT189" s="926"/>
      <c r="TVU189" s="926"/>
      <c r="TVV189" s="926"/>
      <c r="TVW189" s="926"/>
      <c r="TVX189" s="926"/>
      <c r="TVY189" s="926"/>
      <c r="TVZ189" s="926"/>
      <c r="TWA189" s="926"/>
      <c r="TWB189" s="926"/>
      <c r="TWC189" s="926"/>
      <c r="TWD189" s="926"/>
      <c r="TWE189" s="926"/>
      <c r="TWF189" s="926"/>
      <c r="TWG189" s="926"/>
      <c r="TWH189" s="926"/>
      <c r="TWI189" s="926"/>
      <c r="TWJ189" s="926"/>
      <c r="TWK189" s="926"/>
      <c r="TWL189" s="926"/>
      <c r="TWM189" s="926"/>
      <c r="TWN189" s="926"/>
      <c r="TWO189" s="926"/>
      <c r="TWP189" s="926"/>
      <c r="TWQ189" s="926"/>
      <c r="TWR189" s="926"/>
      <c r="TWS189" s="926"/>
      <c r="TWT189" s="926"/>
      <c r="TWU189" s="926"/>
      <c r="TWV189" s="926"/>
      <c r="TWW189" s="926"/>
      <c r="TWX189" s="926"/>
      <c r="TWY189" s="926"/>
      <c r="TWZ189" s="926"/>
      <c r="TXA189" s="926"/>
      <c r="TXB189" s="926"/>
      <c r="TXC189" s="926"/>
      <c r="TXD189" s="926"/>
      <c r="TXE189" s="926"/>
      <c r="TXF189" s="926"/>
      <c r="TXG189" s="926"/>
      <c r="TXH189" s="926"/>
      <c r="TXI189" s="926"/>
      <c r="TXJ189" s="926"/>
      <c r="TXK189" s="926"/>
      <c r="TXL189" s="926"/>
      <c r="TXM189" s="926"/>
      <c r="TXN189" s="926"/>
      <c r="TXO189" s="926"/>
      <c r="TXP189" s="926"/>
      <c r="TXQ189" s="926"/>
      <c r="TXR189" s="926"/>
      <c r="TXS189" s="926"/>
      <c r="TXT189" s="926"/>
      <c r="TXU189" s="926"/>
      <c r="TXV189" s="926"/>
      <c r="TXW189" s="926"/>
      <c r="TXX189" s="926"/>
      <c r="TXY189" s="926"/>
      <c r="TXZ189" s="926"/>
      <c r="TYA189" s="926"/>
      <c r="TYB189" s="926"/>
      <c r="TYC189" s="926"/>
      <c r="TYD189" s="926"/>
      <c r="TYE189" s="926"/>
      <c r="TYF189" s="926"/>
      <c r="TYG189" s="926"/>
      <c r="TYH189" s="926"/>
      <c r="TYI189" s="926"/>
      <c r="TYJ189" s="926"/>
      <c r="TYK189" s="926"/>
      <c r="TYL189" s="926"/>
      <c r="TYM189" s="926"/>
      <c r="TYN189" s="926"/>
      <c r="TYO189" s="926"/>
      <c r="TYP189" s="926"/>
      <c r="TYQ189" s="926"/>
      <c r="TYR189" s="926"/>
      <c r="TYS189" s="926"/>
      <c r="TYT189" s="926"/>
      <c r="TYU189" s="926"/>
      <c r="TYV189" s="926"/>
      <c r="TYW189" s="926"/>
      <c r="TYX189" s="926"/>
      <c r="TYY189" s="926"/>
      <c r="TYZ189" s="926"/>
      <c r="TZA189" s="926"/>
      <c r="TZB189" s="926"/>
      <c r="TZC189" s="926"/>
      <c r="TZD189" s="926"/>
      <c r="TZE189" s="926"/>
      <c r="TZF189" s="926"/>
      <c r="TZG189" s="926"/>
      <c r="TZH189" s="926"/>
      <c r="TZI189" s="926"/>
      <c r="TZJ189" s="926"/>
      <c r="TZK189" s="926"/>
      <c r="TZL189" s="926"/>
      <c r="TZM189" s="926"/>
      <c r="TZN189" s="926"/>
      <c r="TZO189" s="926"/>
      <c r="TZP189" s="926"/>
      <c r="TZQ189" s="926"/>
      <c r="TZR189" s="926"/>
      <c r="TZS189" s="926"/>
      <c r="TZT189" s="926"/>
      <c r="TZU189" s="926"/>
      <c r="TZV189" s="926"/>
      <c r="TZW189" s="926"/>
      <c r="TZX189" s="926"/>
      <c r="TZY189" s="926"/>
      <c r="TZZ189" s="926"/>
      <c r="UAA189" s="926"/>
      <c r="UAB189" s="926"/>
      <c r="UAC189" s="926"/>
      <c r="UAD189" s="926"/>
      <c r="UAE189" s="926"/>
      <c r="UAF189" s="926"/>
      <c r="UAG189" s="926"/>
      <c r="UAH189" s="926"/>
      <c r="UAI189" s="926"/>
      <c r="UAJ189" s="926"/>
      <c r="UAK189" s="926"/>
      <c r="UAL189" s="926"/>
      <c r="UAM189" s="926"/>
      <c r="UAN189" s="926"/>
      <c r="UAO189" s="926"/>
      <c r="UAP189" s="926"/>
      <c r="UAQ189" s="926"/>
      <c r="UAR189" s="926"/>
      <c r="UAS189" s="926"/>
      <c r="UAT189" s="926"/>
      <c r="UAU189" s="926"/>
      <c r="UAV189" s="926"/>
      <c r="UAW189" s="926"/>
      <c r="UAX189" s="926"/>
      <c r="UAY189" s="926"/>
      <c r="UAZ189" s="926"/>
      <c r="UBA189" s="926"/>
      <c r="UBB189" s="926"/>
      <c r="UBC189" s="926"/>
      <c r="UBD189" s="926"/>
      <c r="UBE189" s="926"/>
      <c r="UBF189" s="926"/>
      <c r="UBG189" s="926"/>
      <c r="UBH189" s="926"/>
      <c r="UBI189" s="926"/>
      <c r="UBJ189" s="926"/>
      <c r="UBK189" s="926"/>
      <c r="UBL189" s="926"/>
      <c r="UBM189" s="926"/>
      <c r="UBN189" s="926"/>
      <c r="UBO189" s="926"/>
      <c r="UBP189" s="926"/>
      <c r="UBQ189" s="926"/>
      <c r="UBR189" s="926"/>
      <c r="UBS189" s="926"/>
      <c r="UBT189" s="926"/>
      <c r="UBU189" s="926"/>
      <c r="UBV189" s="926"/>
      <c r="UBW189" s="926"/>
      <c r="UBX189" s="926"/>
      <c r="UBY189" s="926"/>
      <c r="UBZ189" s="926"/>
      <c r="UCA189" s="926"/>
      <c r="UCB189" s="926"/>
      <c r="UCC189" s="926"/>
      <c r="UCD189" s="926"/>
      <c r="UCE189" s="926"/>
      <c r="UCF189" s="926"/>
      <c r="UCG189" s="926"/>
      <c r="UCH189" s="926"/>
      <c r="UCI189" s="926"/>
      <c r="UCJ189" s="926"/>
      <c r="UCK189" s="926"/>
      <c r="UCL189" s="926"/>
      <c r="UCM189" s="926"/>
      <c r="UCN189" s="926"/>
      <c r="UCO189" s="926"/>
      <c r="UCP189" s="926"/>
      <c r="UCQ189" s="926"/>
      <c r="UCR189" s="926"/>
      <c r="UCS189" s="926"/>
      <c r="UCT189" s="926"/>
      <c r="UCU189" s="926"/>
      <c r="UCV189" s="926"/>
      <c r="UCW189" s="926"/>
      <c r="UCX189" s="926"/>
      <c r="UCY189" s="926"/>
      <c r="UCZ189" s="926"/>
      <c r="UDA189" s="926"/>
      <c r="UDB189" s="926"/>
      <c r="UDC189" s="926"/>
      <c r="UDD189" s="926"/>
      <c r="UDE189" s="926"/>
      <c r="UDF189" s="926"/>
      <c r="UDG189" s="926"/>
      <c r="UDH189" s="926"/>
      <c r="UDI189" s="926"/>
      <c r="UDJ189" s="926"/>
      <c r="UDK189" s="926"/>
      <c r="UDL189" s="926"/>
      <c r="UDM189" s="926"/>
      <c r="UDN189" s="926"/>
      <c r="UDO189" s="926"/>
      <c r="UDP189" s="926"/>
      <c r="UDQ189" s="926"/>
      <c r="UDR189" s="926"/>
      <c r="UDS189" s="926"/>
      <c r="UDT189" s="926"/>
      <c r="UDU189" s="926"/>
      <c r="UDV189" s="926"/>
      <c r="UDW189" s="926"/>
      <c r="UDX189" s="926"/>
      <c r="UDY189" s="926"/>
      <c r="UDZ189" s="926"/>
      <c r="UEA189" s="926"/>
      <c r="UEB189" s="926"/>
      <c r="UEC189" s="926"/>
      <c r="UED189" s="926"/>
      <c r="UEE189" s="926"/>
      <c r="UEF189" s="926"/>
      <c r="UEG189" s="926"/>
      <c r="UEH189" s="926"/>
      <c r="UEI189" s="926"/>
      <c r="UEJ189" s="926"/>
      <c r="UEK189" s="926"/>
      <c r="UEL189" s="926"/>
      <c r="UEM189" s="926"/>
      <c r="UEN189" s="926"/>
      <c r="UEO189" s="926"/>
      <c r="UEP189" s="926"/>
      <c r="UEQ189" s="926"/>
      <c r="UER189" s="926"/>
      <c r="UES189" s="926"/>
      <c r="UET189" s="926"/>
      <c r="UEU189" s="926"/>
      <c r="UEV189" s="926"/>
      <c r="UEW189" s="926"/>
      <c r="UEX189" s="926"/>
      <c r="UEY189" s="926"/>
      <c r="UEZ189" s="926"/>
      <c r="UFA189" s="926"/>
      <c r="UFB189" s="926"/>
      <c r="UFC189" s="926"/>
      <c r="UFD189" s="926"/>
      <c r="UFE189" s="926"/>
      <c r="UFF189" s="926"/>
      <c r="UFG189" s="926"/>
      <c r="UFH189" s="926"/>
      <c r="UFI189" s="926"/>
      <c r="UFJ189" s="926"/>
      <c r="UFK189" s="926"/>
      <c r="UFL189" s="926"/>
      <c r="UFM189" s="926"/>
      <c r="UFN189" s="926"/>
      <c r="UFO189" s="926"/>
      <c r="UFP189" s="926"/>
      <c r="UFQ189" s="926"/>
      <c r="UFR189" s="926"/>
      <c r="UFS189" s="926"/>
      <c r="UFT189" s="926"/>
      <c r="UFU189" s="926"/>
      <c r="UFV189" s="926"/>
      <c r="UFW189" s="926"/>
      <c r="UFX189" s="926"/>
      <c r="UFY189" s="926"/>
      <c r="UFZ189" s="926"/>
      <c r="UGA189" s="926"/>
      <c r="UGB189" s="926"/>
      <c r="UGC189" s="926"/>
      <c r="UGD189" s="926"/>
      <c r="UGE189" s="926"/>
      <c r="UGF189" s="926"/>
      <c r="UGG189" s="926"/>
      <c r="UGH189" s="926"/>
      <c r="UGI189" s="926"/>
      <c r="UGJ189" s="926"/>
      <c r="UGK189" s="926"/>
      <c r="UGL189" s="926"/>
      <c r="UGM189" s="926"/>
      <c r="UGN189" s="926"/>
      <c r="UGO189" s="926"/>
      <c r="UGP189" s="926"/>
      <c r="UGQ189" s="926"/>
      <c r="UGR189" s="926"/>
      <c r="UGS189" s="926"/>
      <c r="UGT189" s="926"/>
      <c r="UGU189" s="926"/>
      <c r="UGV189" s="926"/>
      <c r="UGW189" s="926"/>
      <c r="UGX189" s="926"/>
      <c r="UGY189" s="926"/>
      <c r="UGZ189" s="926"/>
      <c r="UHA189" s="926"/>
      <c r="UHB189" s="926"/>
      <c r="UHC189" s="926"/>
      <c r="UHD189" s="926"/>
      <c r="UHE189" s="926"/>
      <c r="UHF189" s="926"/>
      <c r="UHG189" s="926"/>
      <c r="UHH189" s="926"/>
      <c r="UHI189" s="926"/>
      <c r="UHJ189" s="926"/>
      <c r="UHK189" s="926"/>
      <c r="UHL189" s="926"/>
      <c r="UHM189" s="926"/>
      <c r="UHN189" s="926"/>
      <c r="UHO189" s="926"/>
      <c r="UHP189" s="926"/>
      <c r="UHQ189" s="926"/>
      <c r="UHR189" s="926"/>
      <c r="UHS189" s="926"/>
      <c r="UHT189" s="926"/>
      <c r="UHU189" s="926"/>
      <c r="UHV189" s="926"/>
      <c r="UHW189" s="926"/>
      <c r="UHX189" s="926"/>
      <c r="UHY189" s="926"/>
      <c r="UHZ189" s="926"/>
      <c r="UIA189" s="926"/>
      <c r="UIB189" s="926"/>
      <c r="UIC189" s="926"/>
      <c r="UID189" s="926"/>
      <c r="UIE189" s="926"/>
      <c r="UIF189" s="926"/>
      <c r="UIG189" s="926"/>
      <c r="UIH189" s="926"/>
      <c r="UII189" s="926"/>
      <c r="UIJ189" s="926"/>
      <c r="UIK189" s="926"/>
      <c r="UIL189" s="926"/>
      <c r="UIM189" s="926"/>
      <c r="UIN189" s="926"/>
      <c r="UIO189" s="926"/>
      <c r="UIP189" s="926"/>
      <c r="UIQ189" s="926"/>
      <c r="UIR189" s="926"/>
      <c r="UIS189" s="926"/>
      <c r="UIT189" s="926"/>
      <c r="UIU189" s="926"/>
      <c r="UIV189" s="926"/>
      <c r="UIW189" s="926"/>
      <c r="UIX189" s="926"/>
      <c r="UIY189" s="926"/>
      <c r="UIZ189" s="926"/>
      <c r="UJA189" s="926"/>
      <c r="UJB189" s="926"/>
      <c r="UJC189" s="926"/>
      <c r="UJD189" s="926"/>
      <c r="UJE189" s="926"/>
      <c r="UJF189" s="926"/>
      <c r="UJG189" s="926"/>
      <c r="UJH189" s="926"/>
      <c r="UJI189" s="926"/>
      <c r="UJJ189" s="926"/>
      <c r="UJK189" s="926"/>
      <c r="UJL189" s="926"/>
      <c r="UJM189" s="926"/>
      <c r="UJN189" s="926"/>
      <c r="UJO189" s="926"/>
      <c r="UJP189" s="926"/>
      <c r="UJQ189" s="926"/>
      <c r="UJR189" s="926"/>
      <c r="UJS189" s="926"/>
      <c r="UJT189" s="926"/>
      <c r="UJU189" s="926"/>
      <c r="UJV189" s="926"/>
      <c r="UJW189" s="926"/>
      <c r="UJX189" s="926"/>
      <c r="UJY189" s="926"/>
      <c r="UJZ189" s="926"/>
      <c r="UKA189" s="926"/>
      <c r="UKB189" s="926"/>
      <c r="UKC189" s="926"/>
      <c r="UKD189" s="926"/>
      <c r="UKE189" s="926"/>
      <c r="UKF189" s="926"/>
      <c r="UKG189" s="926"/>
      <c r="UKH189" s="926"/>
      <c r="UKI189" s="926"/>
      <c r="UKJ189" s="926"/>
      <c r="UKK189" s="926"/>
      <c r="UKL189" s="926"/>
      <c r="UKM189" s="926"/>
      <c r="UKN189" s="926"/>
      <c r="UKO189" s="926"/>
      <c r="UKP189" s="926"/>
      <c r="UKQ189" s="926"/>
      <c r="UKR189" s="926"/>
      <c r="UKS189" s="926"/>
      <c r="UKT189" s="926"/>
      <c r="UKU189" s="926"/>
      <c r="UKV189" s="926"/>
      <c r="UKW189" s="926"/>
      <c r="UKX189" s="926"/>
      <c r="UKY189" s="926"/>
      <c r="UKZ189" s="926"/>
      <c r="ULA189" s="926"/>
      <c r="ULB189" s="926"/>
      <c r="ULC189" s="926"/>
      <c r="ULD189" s="926"/>
      <c r="ULE189" s="926"/>
      <c r="ULF189" s="926"/>
      <c r="ULG189" s="926"/>
      <c r="ULH189" s="926"/>
      <c r="ULI189" s="926"/>
      <c r="ULJ189" s="926"/>
      <c r="ULK189" s="926"/>
      <c r="ULL189" s="926"/>
      <c r="ULM189" s="926"/>
      <c r="ULN189" s="926"/>
      <c r="ULO189" s="926"/>
      <c r="ULP189" s="926"/>
      <c r="ULQ189" s="926"/>
      <c r="ULR189" s="926"/>
      <c r="ULS189" s="926"/>
      <c r="ULT189" s="926"/>
      <c r="ULU189" s="926"/>
      <c r="ULV189" s="926"/>
      <c r="ULW189" s="926"/>
      <c r="ULX189" s="926"/>
      <c r="ULY189" s="926"/>
      <c r="ULZ189" s="926"/>
      <c r="UMA189" s="926"/>
      <c r="UMB189" s="926"/>
      <c r="UMC189" s="926"/>
      <c r="UMD189" s="926"/>
      <c r="UME189" s="926"/>
      <c r="UMF189" s="926"/>
      <c r="UMG189" s="926"/>
      <c r="UMH189" s="926"/>
      <c r="UMI189" s="926"/>
      <c r="UMJ189" s="926"/>
      <c r="UMK189" s="926"/>
      <c r="UML189" s="926"/>
      <c r="UMM189" s="926"/>
      <c r="UMN189" s="926"/>
      <c r="UMO189" s="926"/>
      <c r="UMP189" s="926"/>
      <c r="UMQ189" s="926"/>
      <c r="UMR189" s="926"/>
      <c r="UMS189" s="926"/>
      <c r="UMT189" s="926"/>
      <c r="UMU189" s="926"/>
      <c r="UMV189" s="926"/>
      <c r="UMW189" s="926"/>
      <c r="UMX189" s="926"/>
      <c r="UMY189" s="926"/>
      <c r="UMZ189" s="926"/>
      <c r="UNA189" s="926"/>
      <c r="UNB189" s="926"/>
      <c r="UNC189" s="926"/>
      <c r="UND189" s="926"/>
      <c r="UNE189" s="926"/>
      <c r="UNF189" s="926"/>
      <c r="UNG189" s="926"/>
      <c r="UNH189" s="926"/>
      <c r="UNI189" s="926"/>
      <c r="UNJ189" s="926"/>
      <c r="UNK189" s="926"/>
      <c r="UNL189" s="926"/>
      <c r="UNM189" s="926"/>
      <c r="UNN189" s="926"/>
      <c r="UNO189" s="926"/>
      <c r="UNP189" s="926"/>
      <c r="UNQ189" s="926"/>
      <c r="UNR189" s="926"/>
      <c r="UNS189" s="926"/>
      <c r="UNT189" s="926"/>
      <c r="UNU189" s="926"/>
      <c r="UNV189" s="926"/>
      <c r="UNW189" s="926"/>
      <c r="UNX189" s="926"/>
      <c r="UNY189" s="926"/>
      <c r="UNZ189" s="926"/>
      <c r="UOA189" s="926"/>
      <c r="UOB189" s="926"/>
      <c r="UOC189" s="926"/>
      <c r="UOD189" s="926"/>
      <c r="UOE189" s="926"/>
      <c r="UOF189" s="926"/>
      <c r="UOG189" s="926"/>
      <c r="UOH189" s="926"/>
      <c r="UOI189" s="926"/>
      <c r="UOJ189" s="926"/>
      <c r="UOK189" s="926"/>
      <c r="UOL189" s="926"/>
      <c r="UOM189" s="926"/>
      <c r="UON189" s="926"/>
      <c r="UOO189" s="926"/>
      <c r="UOP189" s="926"/>
      <c r="UOQ189" s="926"/>
      <c r="UOR189" s="926"/>
      <c r="UOS189" s="926"/>
      <c r="UOT189" s="926"/>
      <c r="UOU189" s="926"/>
      <c r="UOV189" s="926"/>
      <c r="UOW189" s="926"/>
      <c r="UOX189" s="926"/>
      <c r="UOY189" s="926"/>
      <c r="UOZ189" s="926"/>
      <c r="UPA189" s="926"/>
      <c r="UPB189" s="926"/>
      <c r="UPC189" s="926"/>
      <c r="UPD189" s="926"/>
      <c r="UPE189" s="926"/>
      <c r="UPF189" s="926"/>
      <c r="UPG189" s="926"/>
      <c r="UPH189" s="926"/>
      <c r="UPI189" s="926"/>
      <c r="UPJ189" s="926"/>
      <c r="UPK189" s="926"/>
      <c r="UPL189" s="926"/>
      <c r="UPM189" s="926"/>
      <c r="UPN189" s="926"/>
      <c r="UPO189" s="926"/>
      <c r="UPP189" s="926"/>
      <c r="UPQ189" s="926"/>
      <c r="UPR189" s="926"/>
      <c r="UPS189" s="926"/>
      <c r="UPT189" s="926"/>
      <c r="UPU189" s="926"/>
      <c r="UPV189" s="926"/>
      <c r="UPW189" s="926"/>
      <c r="UPX189" s="926"/>
      <c r="UPY189" s="926"/>
      <c r="UPZ189" s="926"/>
      <c r="UQA189" s="926"/>
      <c r="UQB189" s="926"/>
      <c r="UQC189" s="926"/>
      <c r="UQD189" s="926"/>
      <c r="UQE189" s="926"/>
      <c r="UQF189" s="926"/>
      <c r="UQG189" s="926"/>
      <c r="UQH189" s="926"/>
      <c r="UQI189" s="926"/>
      <c r="UQJ189" s="926"/>
      <c r="UQK189" s="926"/>
      <c r="UQL189" s="926"/>
      <c r="UQM189" s="926"/>
      <c r="UQN189" s="926"/>
      <c r="UQO189" s="926"/>
      <c r="UQP189" s="926"/>
      <c r="UQQ189" s="926"/>
      <c r="UQR189" s="926"/>
      <c r="UQS189" s="926"/>
      <c r="UQT189" s="926"/>
      <c r="UQU189" s="926"/>
      <c r="UQV189" s="926"/>
      <c r="UQW189" s="926"/>
      <c r="UQX189" s="926"/>
      <c r="UQY189" s="926"/>
      <c r="UQZ189" s="926"/>
      <c r="URA189" s="926"/>
      <c r="URB189" s="926"/>
      <c r="URC189" s="926"/>
      <c r="URD189" s="926"/>
      <c r="URE189" s="926"/>
      <c r="URF189" s="926"/>
      <c r="URG189" s="926"/>
      <c r="URH189" s="926"/>
      <c r="URI189" s="926"/>
      <c r="URJ189" s="926"/>
      <c r="URK189" s="926"/>
      <c r="URL189" s="926"/>
      <c r="URM189" s="926"/>
      <c r="URN189" s="926"/>
      <c r="URO189" s="926"/>
      <c r="URP189" s="926"/>
      <c r="URQ189" s="926"/>
      <c r="URR189" s="926"/>
      <c r="URS189" s="926"/>
      <c r="URT189" s="926"/>
      <c r="URU189" s="926"/>
      <c r="URV189" s="926"/>
      <c r="URW189" s="926"/>
      <c r="URX189" s="926"/>
      <c r="URY189" s="926"/>
      <c r="URZ189" s="926"/>
      <c r="USA189" s="926"/>
      <c r="USB189" s="926"/>
      <c r="USC189" s="926"/>
      <c r="USD189" s="926"/>
      <c r="USE189" s="926"/>
      <c r="USF189" s="926"/>
      <c r="USG189" s="926"/>
      <c r="USH189" s="926"/>
      <c r="USI189" s="926"/>
      <c r="USJ189" s="926"/>
      <c r="USK189" s="926"/>
      <c r="USL189" s="926"/>
      <c r="USM189" s="926"/>
      <c r="USN189" s="926"/>
      <c r="USO189" s="926"/>
      <c r="USP189" s="926"/>
      <c r="USQ189" s="926"/>
      <c r="USR189" s="926"/>
      <c r="USS189" s="926"/>
      <c r="UST189" s="926"/>
      <c r="USU189" s="926"/>
      <c r="USV189" s="926"/>
      <c r="USW189" s="926"/>
      <c r="USX189" s="926"/>
      <c r="USY189" s="926"/>
      <c r="USZ189" s="926"/>
      <c r="UTA189" s="926"/>
      <c r="UTB189" s="926"/>
      <c r="UTC189" s="926"/>
      <c r="UTD189" s="926"/>
      <c r="UTE189" s="926"/>
      <c r="UTF189" s="926"/>
      <c r="UTG189" s="926"/>
      <c r="UTH189" s="926"/>
      <c r="UTI189" s="926"/>
      <c r="UTJ189" s="926"/>
      <c r="UTK189" s="926"/>
      <c r="UTL189" s="926"/>
      <c r="UTM189" s="926"/>
      <c r="UTN189" s="926"/>
      <c r="UTO189" s="926"/>
      <c r="UTP189" s="926"/>
      <c r="UTQ189" s="926"/>
      <c r="UTR189" s="926"/>
      <c r="UTS189" s="926"/>
      <c r="UTT189" s="926"/>
      <c r="UTU189" s="926"/>
      <c r="UTV189" s="926"/>
      <c r="UTW189" s="926"/>
      <c r="UTX189" s="926"/>
      <c r="UTY189" s="926"/>
      <c r="UTZ189" s="926"/>
      <c r="UUA189" s="926"/>
      <c r="UUB189" s="926"/>
      <c r="UUC189" s="926"/>
      <c r="UUD189" s="926"/>
      <c r="UUE189" s="926"/>
      <c r="UUF189" s="926"/>
      <c r="UUG189" s="926"/>
      <c r="UUH189" s="926"/>
      <c r="UUI189" s="926"/>
      <c r="UUJ189" s="926"/>
      <c r="UUK189" s="926"/>
      <c r="UUL189" s="926"/>
      <c r="UUM189" s="926"/>
      <c r="UUN189" s="926"/>
      <c r="UUO189" s="926"/>
      <c r="UUP189" s="926"/>
      <c r="UUQ189" s="926"/>
      <c r="UUR189" s="926"/>
      <c r="UUS189" s="926"/>
      <c r="UUT189" s="926"/>
      <c r="UUU189" s="926"/>
      <c r="UUV189" s="926"/>
      <c r="UUW189" s="926"/>
      <c r="UUX189" s="926"/>
      <c r="UUY189" s="926"/>
      <c r="UUZ189" s="926"/>
      <c r="UVA189" s="926"/>
      <c r="UVB189" s="926"/>
      <c r="UVC189" s="926"/>
      <c r="UVD189" s="926"/>
      <c r="UVE189" s="926"/>
      <c r="UVF189" s="926"/>
      <c r="UVG189" s="926"/>
      <c r="UVH189" s="926"/>
      <c r="UVI189" s="926"/>
      <c r="UVJ189" s="926"/>
      <c r="UVK189" s="926"/>
      <c r="UVL189" s="926"/>
      <c r="UVM189" s="926"/>
      <c r="UVN189" s="926"/>
      <c r="UVO189" s="926"/>
      <c r="UVP189" s="926"/>
      <c r="UVQ189" s="926"/>
      <c r="UVR189" s="926"/>
      <c r="UVS189" s="926"/>
      <c r="UVT189" s="926"/>
      <c r="UVU189" s="926"/>
      <c r="UVV189" s="926"/>
      <c r="UVW189" s="926"/>
      <c r="UVX189" s="926"/>
      <c r="UVY189" s="926"/>
      <c r="UVZ189" s="926"/>
      <c r="UWA189" s="926"/>
      <c r="UWB189" s="926"/>
      <c r="UWC189" s="926"/>
      <c r="UWD189" s="926"/>
      <c r="UWE189" s="926"/>
      <c r="UWF189" s="926"/>
      <c r="UWG189" s="926"/>
      <c r="UWH189" s="926"/>
      <c r="UWI189" s="926"/>
      <c r="UWJ189" s="926"/>
      <c r="UWK189" s="926"/>
      <c r="UWL189" s="926"/>
      <c r="UWM189" s="926"/>
      <c r="UWN189" s="926"/>
      <c r="UWO189" s="926"/>
      <c r="UWP189" s="926"/>
      <c r="UWQ189" s="926"/>
      <c r="UWR189" s="926"/>
      <c r="UWS189" s="926"/>
      <c r="UWT189" s="926"/>
      <c r="UWU189" s="926"/>
      <c r="UWV189" s="926"/>
      <c r="UWW189" s="926"/>
      <c r="UWX189" s="926"/>
      <c r="UWY189" s="926"/>
      <c r="UWZ189" s="926"/>
      <c r="UXA189" s="926"/>
      <c r="UXB189" s="926"/>
      <c r="UXC189" s="926"/>
      <c r="UXD189" s="926"/>
      <c r="UXE189" s="926"/>
      <c r="UXF189" s="926"/>
      <c r="UXG189" s="926"/>
      <c r="UXH189" s="926"/>
      <c r="UXI189" s="926"/>
      <c r="UXJ189" s="926"/>
      <c r="UXK189" s="926"/>
      <c r="UXL189" s="926"/>
      <c r="UXM189" s="926"/>
      <c r="UXN189" s="926"/>
      <c r="UXO189" s="926"/>
      <c r="UXP189" s="926"/>
      <c r="UXQ189" s="926"/>
      <c r="UXR189" s="926"/>
      <c r="UXS189" s="926"/>
      <c r="UXT189" s="926"/>
      <c r="UXU189" s="926"/>
      <c r="UXV189" s="926"/>
      <c r="UXW189" s="926"/>
      <c r="UXX189" s="926"/>
      <c r="UXY189" s="926"/>
      <c r="UXZ189" s="926"/>
      <c r="UYA189" s="926"/>
      <c r="UYB189" s="926"/>
      <c r="UYC189" s="926"/>
      <c r="UYD189" s="926"/>
      <c r="UYE189" s="926"/>
      <c r="UYF189" s="926"/>
      <c r="UYG189" s="926"/>
      <c r="UYH189" s="926"/>
      <c r="UYI189" s="926"/>
      <c r="UYJ189" s="926"/>
      <c r="UYK189" s="926"/>
      <c r="UYL189" s="926"/>
      <c r="UYM189" s="926"/>
      <c r="UYN189" s="926"/>
      <c r="UYO189" s="926"/>
      <c r="UYP189" s="926"/>
      <c r="UYQ189" s="926"/>
      <c r="UYR189" s="926"/>
      <c r="UYS189" s="926"/>
      <c r="UYT189" s="926"/>
      <c r="UYU189" s="926"/>
      <c r="UYV189" s="926"/>
      <c r="UYW189" s="926"/>
      <c r="UYX189" s="926"/>
      <c r="UYY189" s="926"/>
      <c r="UYZ189" s="926"/>
      <c r="UZA189" s="926"/>
      <c r="UZB189" s="926"/>
      <c r="UZC189" s="926"/>
      <c r="UZD189" s="926"/>
      <c r="UZE189" s="926"/>
      <c r="UZF189" s="926"/>
      <c r="UZG189" s="926"/>
      <c r="UZH189" s="926"/>
      <c r="UZI189" s="926"/>
      <c r="UZJ189" s="926"/>
      <c r="UZK189" s="926"/>
      <c r="UZL189" s="926"/>
      <c r="UZM189" s="926"/>
      <c r="UZN189" s="926"/>
      <c r="UZO189" s="926"/>
      <c r="UZP189" s="926"/>
      <c r="UZQ189" s="926"/>
      <c r="UZR189" s="926"/>
      <c r="UZS189" s="926"/>
      <c r="UZT189" s="926"/>
      <c r="UZU189" s="926"/>
      <c r="UZV189" s="926"/>
      <c r="UZW189" s="926"/>
      <c r="UZX189" s="926"/>
      <c r="UZY189" s="926"/>
      <c r="UZZ189" s="926"/>
      <c r="VAA189" s="926"/>
      <c r="VAB189" s="926"/>
      <c r="VAC189" s="926"/>
      <c r="VAD189" s="926"/>
      <c r="VAE189" s="926"/>
      <c r="VAF189" s="926"/>
      <c r="VAG189" s="926"/>
      <c r="VAH189" s="926"/>
      <c r="VAI189" s="926"/>
      <c r="VAJ189" s="926"/>
      <c r="VAK189" s="926"/>
      <c r="VAL189" s="926"/>
      <c r="VAM189" s="926"/>
      <c r="VAN189" s="926"/>
      <c r="VAO189" s="926"/>
      <c r="VAP189" s="926"/>
      <c r="VAQ189" s="926"/>
      <c r="VAR189" s="926"/>
      <c r="VAS189" s="926"/>
      <c r="VAT189" s="926"/>
      <c r="VAU189" s="926"/>
      <c r="VAV189" s="926"/>
      <c r="VAW189" s="926"/>
      <c r="VAX189" s="926"/>
      <c r="VAY189" s="926"/>
      <c r="VAZ189" s="926"/>
      <c r="VBA189" s="926"/>
      <c r="VBB189" s="926"/>
      <c r="VBC189" s="926"/>
      <c r="VBD189" s="926"/>
      <c r="VBE189" s="926"/>
      <c r="VBF189" s="926"/>
      <c r="VBG189" s="926"/>
      <c r="VBH189" s="926"/>
      <c r="VBI189" s="926"/>
      <c r="VBJ189" s="926"/>
      <c r="VBK189" s="926"/>
      <c r="VBL189" s="926"/>
      <c r="VBM189" s="926"/>
      <c r="VBN189" s="926"/>
      <c r="VBO189" s="926"/>
      <c r="VBP189" s="926"/>
      <c r="VBQ189" s="926"/>
      <c r="VBR189" s="926"/>
      <c r="VBS189" s="926"/>
      <c r="VBT189" s="926"/>
      <c r="VBU189" s="926"/>
      <c r="VBV189" s="926"/>
      <c r="VBW189" s="926"/>
      <c r="VBX189" s="926"/>
      <c r="VBY189" s="926"/>
      <c r="VBZ189" s="926"/>
      <c r="VCA189" s="926"/>
      <c r="VCB189" s="926"/>
      <c r="VCC189" s="926"/>
      <c r="VCD189" s="926"/>
      <c r="VCE189" s="926"/>
      <c r="VCF189" s="926"/>
      <c r="VCG189" s="926"/>
      <c r="VCH189" s="926"/>
      <c r="VCI189" s="926"/>
      <c r="VCJ189" s="926"/>
      <c r="VCK189" s="926"/>
      <c r="VCL189" s="926"/>
      <c r="VCM189" s="926"/>
      <c r="VCN189" s="926"/>
      <c r="VCO189" s="926"/>
      <c r="VCP189" s="926"/>
      <c r="VCQ189" s="926"/>
      <c r="VCR189" s="926"/>
      <c r="VCS189" s="926"/>
      <c r="VCT189" s="926"/>
      <c r="VCU189" s="926"/>
      <c r="VCV189" s="926"/>
      <c r="VCW189" s="926"/>
      <c r="VCX189" s="926"/>
      <c r="VCY189" s="926"/>
      <c r="VCZ189" s="926"/>
      <c r="VDA189" s="926"/>
      <c r="VDB189" s="926"/>
      <c r="VDC189" s="926"/>
      <c r="VDD189" s="926"/>
      <c r="VDE189" s="926"/>
      <c r="VDF189" s="926"/>
      <c r="VDG189" s="926"/>
      <c r="VDH189" s="926"/>
      <c r="VDI189" s="926"/>
      <c r="VDJ189" s="926"/>
      <c r="VDK189" s="926"/>
      <c r="VDL189" s="926"/>
      <c r="VDM189" s="926"/>
      <c r="VDN189" s="926"/>
      <c r="VDO189" s="926"/>
      <c r="VDP189" s="926"/>
      <c r="VDQ189" s="926"/>
      <c r="VDR189" s="926"/>
      <c r="VDS189" s="926"/>
      <c r="VDT189" s="926"/>
      <c r="VDU189" s="926"/>
      <c r="VDV189" s="926"/>
      <c r="VDW189" s="926"/>
      <c r="VDX189" s="926"/>
      <c r="VDY189" s="926"/>
      <c r="VDZ189" s="926"/>
      <c r="VEA189" s="926"/>
      <c r="VEB189" s="926"/>
      <c r="VEC189" s="926"/>
      <c r="VED189" s="926"/>
      <c r="VEE189" s="926"/>
      <c r="VEF189" s="926"/>
      <c r="VEG189" s="926"/>
      <c r="VEH189" s="926"/>
      <c r="VEI189" s="926"/>
      <c r="VEJ189" s="926"/>
      <c r="VEK189" s="926"/>
      <c r="VEL189" s="926"/>
      <c r="VEM189" s="926"/>
      <c r="VEN189" s="926"/>
      <c r="VEO189" s="926"/>
      <c r="VEP189" s="926"/>
      <c r="VEQ189" s="926"/>
      <c r="VER189" s="926"/>
      <c r="VES189" s="926"/>
      <c r="VET189" s="926"/>
      <c r="VEU189" s="926"/>
      <c r="VEV189" s="926"/>
      <c r="VEW189" s="926"/>
      <c r="VEX189" s="926"/>
      <c r="VEY189" s="926"/>
      <c r="VEZ189" s="926"/>
      <c r="VFA189" s="926"/>
      <c r="VFB189" s="926"/>
      <c r="VFC189" s="926"/>
      <c r="VFD189" s="926"/>
      <c r="VFE189" s="926"/>
      <c r="VFF189" s="926"/>
      <c r="VFG189" s="926"/>
      <c r="VFH189" s="926"/>
      <c r="VFI189" s="926"/>
      <c r="VFJ189" s="926"/>
      <c r="VFK189" s="926"/>
      <c r="VFL189" s="926"/>
      <c r="VFM189" s="926"/>
      <c r="VFN189" s="926"/>
      <c r="VFO189" s="926"/>
      <c r="VFP189" s="926"/>
      <c r="VFQ189" s="926"/>
      <c r="VFR189" s="926"/>
      <c r="VFS189" s="926"/>
      <c r="VFT189" s="926"/>
      <c r="VFU189" s="926"/>
      <c r="VFV189" s="926"/>
      <c r="VFW189" s="926"/>
      <c r="VFX189" s="926"/>
      <c r="VFY189" s="926"/>
      <c r="VFZ189" s="926"/>
      <c r="VGA189" s="926"/>
      <c r="VGB189" s="926"/>
      <c r="VGC189" s="926"/>
      <c r="VGD189" s="926"/>
      <c r="VGE189" s="926"/>
      <c r="VGF189" s="926"/>
      <c r="VGG189" s="926"/>
      <c r="VGH189" s="926"/>
      <c r="VGI189" s="926"/>
      <c r="VGJ189" s="926"/>
      <c r="VGK189" s="926"/>
      <c r="VGL189" s="926"/>
      <c r="VGM189" s="926"/>
      <c r="VGN189" s="926"/>
      <c r="VGO189" s="926"/>
      <c r="VGP189" s="926"/>
      <c r="VGQ189" s="926"/>
      <c r="VGR189" s="926"/>
      <c r="VGS189" s="926"/>
      <c r="VGT189" s="926"/>
      <c r="VGU189" s="926"/>
      <c r="VGV189" s="926"/>
      <c r="VGW189" s="926"/>
      <c r="VGX189" s="926"/>
      <c r="VGY189" s="926"/>
      <c r="VGZ189" s="926"/>
      <c r="VHA189" s="926"/>
      <c r="VHB189" s="926"/>
      <c r="VHC189" s="926"/>
      <c r="VHD189" s="926"/>
      <c r="VHE189" s="926"/>
      <c r="VHF189" s="926"/>
      <c r="VHG189" s="926"/>
      <c r="VHH189" s="926"/>
      <c r="VHI189" s="926"/>
      <c r="VHJ189" s="926"/>
      <c r="VHK189" s="926"/>
      <c r="VHL189" s="926"/>
      <c r="VHM189" s="926"/>
      <c r="VHN189" s="926"/>
      <c r="VHO189" s="926"/>
      <c r="VHP189" s="926"/>
      <c r="VHQ189" s="926"/>
      <c r="VHR189" s="926"/>
      <c r="VHS189" s="926"/>
      <c r="VHT189" s="926"/>
      <c r="VHU189" s="926"/>
      <c r="VHV189" s="926"/>
      <c r="VHW189" s="926"/>
      <c r="VHX189" s="926"/>
      <c r="VHY189" s="926"/>
      <c r="VHZ189" s="926"/>
      <c r="VIA189" s="926"/>
      <c r="VIB189" s="926"/>
      <c r="VIC189" s="926"/>
      <c r="VID189" s="926"/>
      <c r="VIE189" s="926"/>
      <c r="VIF189" s="926"/>
      <c r="VIG189" s="926"/>
      <c r="VIH189" s="926"/>
      <c r="VII189" s="926"/>
      <c r="VIJ189" s="926"/>
      <c r="VIK189" s="926"/>
      <c r="VIL189" s="926"/>
      <c r="VIM189" s="926"/>
      <c r="VIN189" s="926"/>
      <c r="VIO189" s="926"/>
      <c r="VIP189" s="926"/>
      <c r="VIQ189" s="926"/>
      <c r="VIR189" s="926"/>
      <c r="VIS189" s="926"/>
      <c r="VIT189" s="926"/>
      <c r="VIU189" s="926"/>
      <c r="VIV189" s="926"/>
      <c r="VIW189" s="926"/>
      <c r="VIX189" s="926"/>
      <c r="VIY189" s="926"/>
      <c r="VIZ189" s="926"/>
      <c r="VJA189" s="926"/>
      <c r="VJB189" s="926"/>
      <c r="VJC189" s="926"/>
      <c r="VJD189" s="926"/>
      <c r="VJE189" s="926"/>
      <c r="VJF189" s="926"/>
      <c r="VJG189" s="926"/>
      <c r="VJH189" s="926"/>
      <c r="VJI189" s="926"/>
      <c r="VJJ189" s="926"/>
      <c r="VJK189" s="926"/>
      <c r="VJL189" s="926"/>
      <c r="VJM189" s="926"/>
      <c r="VJN189" s="926"/>
      <c r="VJO189" s="926"/>
      <c r="VJP189" s="926"/>
      <c r="VJQ189" s="926"/>
      <c r="VJR189" s="926"/>
      <c r="VJS189" s="926"/>
      <c r="VJT189" s="926"/>
      <c r="VJU189" s="926"/>
      <c r="VJV189" s="926"/>
      <c r="VJW189" s="926"/>
      <c r="VJX189" s="926"/>
      <c r="VJY189" s="926"/>
      <c r="VJZ189" s="926"/>
      <c r="VKA189" s="926"/>
      <c r="VKB189" s="926"/>
      <c r="VKC189" s="926"/>
      <c r="VKD189" s="926"/>
      <c r="VKE189" s="926"/>
      <c r="VKF189" s="926"/>
      <c r="VKG189" s="926"/>
      <c r="VKH189" s="926"/>
      <c r="VKI189" s="926"/>
      <c r="VKJ189" s="926"/>
      <c r="VKK189" s="926"/>
      <c r="VKL189" s="926"/>
      <c r="VKM189" s="926"/>
      <c r="VKN189" s="926"/>
      <c r="VKO189" s="926"/>
      <c r="VKP189" s="926"/>
      <c r="VKQ189" s="926"/>
      <c r="VKR189" s="926"/>
      <c r="VKS189" s="926"/>
      <c r="VKT189" s="926"/>
      <c r="VKU189" s="926"/>
      <c r="VKV189" s="926"/>
      <c r="VKW189" s="926"/>
      <c r="VKX189" s="926"/>
      <c r="VKY189" s="926"/>
      <c r="VKZ189" s="926"/>
      <c r="VLA189" s="926"/>
      <c r="VLB189" s="926"/>
      <c r="VLC189" s="926"/>
      <c r="VLD189" s="926"/>
      <c r="VLE189" s="926"/>
      <c r="VLF189" s="926"/>
      <c r="VLG189" s="926"/>
      <c r="VLH189" s="926"/>
      <c r="VLI189" s="926"/>
      <c r="VLJ189" s="926"/>
      <c r="VLK189" s="926"/>
      <c r="VLL189" s="926"/>
      <c r="VLM189" s="926"/>
      <c r="VLN189" s="926"/>
      <c r="VLO189" s="926"/>
      <c r="VLP189" s="926"/>
      <c r="VLQ189" s="926"/>
      <c r="VLR189" s="926"/>
      <c r="VLS189" s="926"/>
      <c r="VLT189" s="926"/>
      <c r="VLU189" s="926"/>
      <c r="VLV189" s="926"/>
      <c r="VLW189" s="926"/>
      <c r="VLX189" s="926"/>
      <c r="VLY189" s="926"/>
      <c r="VLZ189" s="926"/>
      <c r="VMA189" s="926"/>
      <c r="VMB189" s="926"/>
      <c r="VMC189" s="926"/>
      <c r="VMD189" s="926"/>
      <c r="VME189" s="926"/>
      <c r="VMF189" s="926"/>
      <c r="VMG189" s="926"/>
      <c r="VMH189" s="926"/>
      <c r="VMI189" s="926"/>
      <c r="VMJ189" s="926"/>
      <c r="VMK189" s="926"/>
      <c r="VML189" s="926"/>
      <c r="VMM189" s="926"/>
      <c r="VMN189" s="926"/>
      <c r="VMO189" s="926"/>
      <c r="VMP189" s="926"/>
      <c r="VMQ189" s="926"/>
      <c r="VMR189" s="926"/>
      <c r="VMS189" s="926"/>
      <c r="VMT189" s="926"/>
      <c r="VMU189" s="926"/>
      <c r="VMV189" s="926"/>
      <c r="VMW189" s="926"/>
      <c r="VMX189" s="926"/>
      <c r="VMY189" s="926"/>
      <c r="VMZ189" s="926"/>
      <c r="VNA189" s="926"/>
      <c r="VNB189" s="926"/>
      <c r="VNC189" s="926"/>
      <c r="VND189" s="926"/>
      <c r="VNE189" s="926"/>
      <c r="VNF189" s="926"/>
      <c r="VNG189" s="926"/>
      <c r="VNH189" s="926"/>
      <c r="VNI189" s="926"/>
      <c r="VNJ189" s="926"/>
      <c r="VNK189" s="926"/>
      <c r="VNL189" s="926"/>
      <c r="VNM189" s="926"/>
      <c r="VNN189" s="926"/>
      <c r="VNO189" s="926"/>
      <c r="VNP189" s="926"/>
      <c r="VNQ189" s="926"/>
      <c r="VNR189" s="926"/>
      <c r="VNS189" s="926"/>
      <c r="VNT189" s="926"/>
      <c r="VNU189" s="926"/>
      <c r="VNV189" s="926"/>
      <c r="VNW189" s="926"/>
      <c r="VNX189" s="926"/>
      <c r="VNY189" s="926"/>
      <c r="VNZ189" s="926"/>
      <c r="VOA189" s="926"/>
      <c r="VOB189" s="926"/>
      <c r="VOC189" s="926"/>
      <c r="VOD189" s="926"/>
      <c r="VOE189" s="926"/>
      <c r="VOF189" s="926"/>
      <c r="VOG189" s="926"/>
      <c r="VOH189" s="926"/>
      <c r="VOI189" s="926"/>
      <c r="VOJ189" s="926"/>
      <c r="VOK189" s="926"/>
      <c r="VOL189" s="926"/>
      <c r="VOM189" s="926"/>
      <c r="VON189" s="926"/>
      <c r="VOO189" s="926"/>
      <c r="VOP189" s="926"/>
      <c r="VOQ189" s="926"/>
      <c r="VOR189" s="926"/>
      <c r="VOS189" s="926"/>
      <c r="VOT189" s="926"/>
      <c r="VOU189" s="926"/>
      <c r="VOV189" s="926"/>
      <c r="VOW189" s="926"/>
      <c r="VOX189" s="926"/>
      <c r="VOY189" s="926"/>
      <c r="VOZ189" s="926"/>
      <c r="VPA189" s="926"/>
      <c r="VPB189" s="926"/>
      <c r="VPC189" s="926"/>
      <c r="VPD189" s="926"/>
      <c r="VPE189" s="926"/>
      <c r="VPF189" s="926"/>
      <c r="VPG189" s="926"/>
      <c r="VPH189" s="926"/>
      <c r="VPI189" s="926"/>
      <c r="VPJ189" s="926"/>
      <c r="VPK189" s="926"/>
      <c r="VPL189" s="926"/>
      <c r="VPM189" s="926"/>
      <c r="VPN189" s="926"/>
      <c r="VPO189" s="926"/>
      <c r="VPP189" s="926"/>
      <c r="VPQ189" s="926"/>
      <c r="VPR189" s="926"/>
      <c r="VPS189" s="926"/>
      <c r="VPT189" s="926"/>
      <c r="VPU189" s="926"/>
      <c r="VPV189" s="926"/>
      <c r="VPW189" s="926"/>
      <c r="VPX189" s="926"/>
      <c r="VPY189" s="926"/>
      <c r="VPZ189" s="926"/>
      <c r="VQA189" s="926"/>
      <c r="VQB189" s="926"/>
      <c r="VQC189" s="926"/>
      <c r="VQD189" s="926"/>
      <c r="VQE189" s="926"/>
      <c r="VQF189" s="926"/>
      <c r="VQG189" s="926"/>
      <c r="VQH189" s="926"/>
      <c r="VQI189" s="926"/>
      <c r="VQJ189" s="926"/>
      <c r="VQK189" s="926"/>
      <c r="VQL189" s="926"/>
      <c r="VQM189" s="926"/>
      <c r="VQN189" s="926"/>
      <c r="VQO189" s="926"/>
      <c r="VQP189" s="926"/>
      <c r="VQQ189" s="926"/>
      <c r="VQR189" s="926"/>
      <c r="VQS189" s="926"/>
      <c r="VQT189" s="926"/>
      <c r="VQU189" s="926"/>
      <c r="VQV189" s="926"/>
      <c r="VQW189" s="926"/>
      <c r="VQX189" s="926"/>
      <c r="VQY189" s="926"/>
      <c r="VQZ189" s="926"/>
      <c r="VRA189" s="926"/>
      <c r="VRB189" s="926"/>
      <c r="VRC189" s="926"/>
      <c r="VRD189" s="926"/>
      <c r="VRE189" s="926"/>
      <c r="VRF189" s="926"/>
      <c r="VRG189" s="926"/>
      <c r="VRH189" s="926"/>
      <c r="VRI189" s="926"/>
      <c r="VRJ189" s="926"/>
      <c r="VRK189" s="926"/>
      <c r="VRL189" s="926"/>
      <c r="VRM189" s="926"/>
      <c r="VRN189" s="926"/>
      <c r="VRO189" s="926"/>
      <c r="VRP189" s="926"/>
      <c r="VRQ189" s="926"/>
      <c r="VRR189" s="926"/>
      <c r="VRS189" s="926"/>
      <c r="VRT189" s="926"/>
      <c r="VRU189" s="926"/>
      <c r="VRV189" s="926"/>
      <c r="VRW189" s="926"/>
      <c r="VRX189" s="926"/>
      <c r="VRY189" s="926"/>
      <c r="VRZ189" s="926"/>
      <c r="VSA189" s="926"/>
      <c r="VSB189" s="926"/>
      <c r="VSC189" s="926"/>
      <c r="VSD189" s="926"/>
      <c r="VSE189" s="926"/>
      <c r="VSF189" s="926"/>
      <c r="VSG189" s="926"/>
      <c r="VSH189" s="926"/>
      <c r="VSI189" s="926"/>
      <c r="VSJ189" s="926"/>
      <c r="VSK189" s="926"/>
      <c r="VSL189" s="926"/>
      <c r="VSM189" s="926"/>
      <c r="VSN189" s="926"/>
      <c r="VSO189" s="926"/>
      <c r="VSP189" s="926"/>
      <c r="VSQ189" s="926"/>
      <c r="VSR189" s="926"/>
      <c r="VSS189" s="926"/>
      <c r="VST189" s="926"/>
      <c r="VSU189" s="926"/>
      <c r="VSV189" s="926"/>
      <c r="VSW189" s="926"/>
      <c r="VSX189" s="926"/>
      <c r="VSY189" s="926"/>
      <c r="VSZ189" s="926"/>
      <c r="VTA189" s="926"/>
      <c r="VTB189" s="926"/>
      <c r="VTC189" s="926"/>
      <c r="VTD189" s="926"/>
      <c r="VTE189" s="926"/>
      <c r="VTF189" s="926"/>
      <c r="VTG189" s="926"/>
      <c r="VTH189" s="926"/>
      <c r="VTI189" s="926"/>
      <c r="VTJ189" s="926"/>
      <c r="VTK189" s="926"/>
      <c r="VTL189" s="926"/>
      <c r="VTM189" s="926"/>
      <c r="VTN189" s="926"/>
      <c r="VTO189" s="926"/>
      <c r="VTP189" s="926"/>
      <c r="VTQ189" s="926"/>
      <c r="VTR189" s="926"/>
      <c r="VTS189" s="926"/>
      <c r="VTT189" s="926"/>
      <c r="VTU189" s="926"/>
      <c r="VTV189" s="926"/>
      <c r="VTW189" s="926"/>
      <c r="VTX189" s="926"/>
      <c r="VTY189" s="926"/>
      <c r="VTZ189" s="926"/>
      <c r="VUA189" s="926"/>
      <c r="VUB189" s="926"/>
      <c r="VUC189" s="926"/>
      <c r="VUD189" s="926"/>
      <c r="VUE189" s="926"/>
      <c r="VUF189" s="926"/>
      <c r="VUG189" s="926"/>
      <c r="VUH189" s="926"/>
      <c r="VUI189" s="926"/>
      <c r="VUJ189" s="926"/>
      <c r="VUK189" s="926"/>
      <c r="VUL189" s="926"/>
      <c r="VUM189" s="926"/>
      <c r="VUN189" s="926"/>
      <c r="VUO189" s="926"/>
      <c r="VUP189" s="926"/>
      <c r="VUQ189" s="926"/>
      <c r="VUR189" s="926"/>
      <c r="VUS189" s="926"/>
      <c r="VUT189" s="926"/>
      <c r="VUU189" s="926"/>
      <c r="VUV189" s="926"/>
      <c r="VUW189" s="926"/>
      <c r="VUX189" s="926"/>
      <c r="VUY189" s="926"/>
      <c r="VUZ189" s="926"/>
      <c r="VVA189" s="926"/>
      <c r="VVB189" s="926"/>
      <c r="VVC189" s="926"/>
      <c r="VVD189" s="926"/>
      <c r="VVE189" s="926"/>
      <c r="VVF189" s="926"/>
      <c r="VVG189" s="926"/>
      <c r="VVH189" s="926"/>
      <c r="VVI189" s="926"/>
      <c r="VVJ189" s="926"/>
      <c r="VVK189" s="926"/>
      <c r="VVL189" s="926"/>
      <c r="VVM189" s="926"/>
      <c r="VVN189" s="926"/>
      <c r="VVO189" s="926"/>
      <c r="VVP189" s="926"/>
      <c r="VVQ189" s="926"/>
      <c r="VVR189" s="926"/>
      <c r="VVS189" s="926"/>
      <c r="VVT189" s="926"/>
      <c r="VVU189" s="926"/>
      <c r="VVV189" s="926"/>
      <c r="VVW189" s="926"/>
      <c r="VVX189" s="926"/>
      <c r="VVY189" s="926"/>
      <c r="VVZ189" s="926"/>
      <c r="VWA189" s="926"/>
      <c r="VWB189" s="926"/>
      <c r="VWC189" s="926"/>
      <c r="VWD189" s="926"/>
      <c r="VWE189" s="926"/>
      <c r="VWF189" s="926"/>
      <c r="VWG189" s="926"/>
      <c r="VWH189" s="926"/>
      <c r="VWI189" s="926"/>
      <c r="VWJ189" s="926"/>
      <c r="VWK189" s="926"/>
      <c r="VWL189" s="926"/>
      <c r="VWM189" s="926"/>
      <c r="VWN189" s="926"/>
      <c r="VWO189" s="926"/>
      <c r="VWP189" s="926"/>
      <c r="VWQ189" s="926"/>
      <c r="VWR189" s="926"/>
      <c r="VWS189" s="926"/>
      <c r="VWT189" s="926"/>
      <c r="VWU189" s="926"/>
      <c r="VWV189" s="926"/>
      <c r="VWW189" s="926"/>
      <c r="VWX189" s="926"/>
      <c r="VWY189" s="926"/>
      <c r="VWZ189" s="926"/>
      <c r="VXA189" s="926"/>
      <c r="VXB189" s="926"/>
      <c r="VXC189" s="926"/>
      <c r="VXD189" s="926"/>
      <c r="VXE189" s="926"/>
      <c r="VXF189" s="926"/>
      <c r="VXG189" s="926"/>
      <c r="VXH189" s="926"/>
      <c r="VXI189" s="926"/>
      <c r="VXJ189" s="926"/>
      <c r="VXK189" s="926"/>
      <c r="VXL189" s="926"/>
      <c r="VXM189" s="926"/>
      <c r="VXN189" s="926"/>
      <c r="VXO189" s="926"/>
      <c r="VXP189" s="926"/>
      <c r="VXQ189" s="926"/>
      <c r="VXR189" s="926"/>
      <c r="VXS189" s="926"/>
      <c r="VXT189" s="926"/>
      <c r="VXU189" s="926"/>
      <c r="VXV189" s="926"/>
      <c r="VXW189" s="926"/>
      <c r="VXX189" s="926"/>
      <c r="VXY189" s="926"/>
      <c r="VXZ189" s="926"/>
      <c r="VYA189" s="926"/>
      <c r="VYB189" s="926"/>
      <c r="VYC189" s="926"/>
      <c r="VYD189" s="926"/>
      <c r="VYE189" s="926"/>
      <c r="VYF189" s="926"/>
      <c r="VYG189" s="926"/>
      <c r="VYH189" s="926"/>
      <c r="VYI189" s="926"/>
      <c r="VYJ189" s="926"/>
      <c r="VYK189" s="926"/>
      <c r="VYL189" s="926"/>
      <c r="VYM189" s="926"/>
      <c r="VYN189" s="926"/>
      <c r="VYO189" s="926"/>
      <c r="VYP189" s="926"/>
      <c r="VYQ189" s="926"/>
      <c r="VYR189" s="926"/>
      <c r="VYS189" s="926"/>
      <c r="VYT189" s="926"/>
      <c r="VYU189" s="926"/>
      <c r="VYV189" s="926"/>
      <c r="VYW189" s="926"/>
      <c r="VYX189" s="926"/>
      <c r="VYY189" s="926"/>
      <c r="VYZ189" s="926"/>
      <c r="VZA189" s="926"/>
      <c r="VZB189" s="926"/>
      <c r="VZC189" s="926"/>
      <c r="VZD189" s="926"/>
      <c r="VZE189" s="926"/>
      <c r="VZF189" s="926"/>
      <c r="VZG189" s="926"/>
      <c r="VZH189" s="926"/>
      <c r="VZI189" s="926"/>
      <c r="VZJ189" s="926"/>
      <c r="VZK189" s="926"/>
      <c r="VZL189" s="926"/>
      <c r="VZM189" s="926"/>
      <c r="VZN189" s="926"/>
      <c r="VZO189" s="926"/>
      <c r="VZP189" s="926"/>
      <c r="VZQ189" s="926"/>
      <c r="VZR189" s="926"/>
      <c r="VZS189" s="926"/>
      <c r="VZT189" s="926"/>
      <c r="VZU189" s="926"/>
      <c r="VZV189" s="926"/>
      <c r="VZW189" s="926"/>
      <c r="VZX189" s="926"/>
      <c r="VZY189" s="926"/>
      <c r="VZZ189" s="926"/>
      <c r="WAA189" s="926"/>
      <c r="WAB189" s="926"/>
      <c r="WAC189" s="926"/>
      <c r="WAD189" s="926"/>
      <c r="WAE189" s="926"/>
      <c r="WAF189" s="926"/>
      <c r="WAG189" s="926"/>
      <c r="WAH189" s="926"/>
      <c r="WAI189" s="926"/>
      <c r="WAJ189" s="926"/>
      <c r="WAK189" s="926"/>
      <c r="WAL189" s="926"/>
      <c r="WAM189" s="926"/>
      <c r="WAN189" s="926"/>
      <c r="WAO189" s="926"/>
      <c r="WAP189" s="926"/>
      <c r="WAQ189" s="926"/>
      <c r="WAR189" s="926"/>
      <c r="WAS189" s="926"/>
      <c r="WAT189" s="926"/>
      <c r="WAU189" s="926"/>
      <c r="WAV189" s="926"/>
      <c r="WAW189" s="926"/>
      <c r="WAX189" s="926"/>
      <c r="WAY189" s="926"/>
      <c r="WAZ189" s="926"/>
      <c r="WBA189" s="926"/>
      <c r="WBB189" s="926"/>
      <c r="WBC189" s="926"/>
      <c r="WBD189" s="926"/>
      <c r="WBE189" s="926"/>
      <c r="WBF189" s="926"/>
      <c r="WBG189" s="926"/>
      <c r="WBH189" s="926"/>
      <c r="WBI189" s="926"/>
      <c r="WBJ189" s="926"/>
      <c r="WBK189" s="926"/>
      <c r="WBL189" s="926"/>
      <c r="WBM189" s="926"/>
      <c r="WBN189" s="926"/>
      <c r="WBO189" s="926"/>
      <c r="WBP189" s="926"/>
      <c r="WBQ189" s="926"/>
      <c r="WBR189" s="926"/>
      <c r="WBS189" s="926"/>
      <c r="WBT189" s="926"/>
      <c r="WBU189" s="926"/>
      <c r="WBV189" s="926"/>
      <c r="WBW189" s="926"/>
      <c r="WBX189" s="926"/>
      <c r="WBY189" s="926"/>
      <c r="WBZ189" s="926"/>
      <c r="WCA189" s="926"/>
      <c r="WCB189" s="926"/>
      <c r="WCC189" s="926"/>
      <c r="WCD189" s="926"/>
      <c r="WCE189" s="926"/>
      <c r="WCF189" s="926"/>
      <c r="WCG189" s="926"/>
      <c r="WCH189" s="926"/>
      <c r="WCI189" s="926"/>
      <c r="WCJ189" s="926"/>
      <c r="WCK189" s="926"/>
      <c r="WCL189" s="926"/>
      <c r="WCM189" s="926"/>
      <c r="WCN189" s="926"/>
      <c r="WCO189" s="926"/>
      <c r="WCP189" s="926"/>
      <c r="WCQ189" s="926"/>
      <c r="WCR189" s="926"/>
      <c r="WCS189" s="926"/>
      <c r="WCT189" s="926"/>
      <c r="WCU189" s="926"/>
      <c r="WCV189" s="926"/>
      <c r="WCW189" s="926"/>
      <c r="WCX189" s="926"/>
      <c r="WCY189" s="926"/>
      <c r="WCZ189" s="926"/>
      <c r="WDA189" s="926"/>
      <c r="WDB189" s="926"/>
      <c r="WDC189" s="926"/>
      <c r="WDD189" s="926"/>
      <c r="WDE189" s="926"/>
      <c r="WDF189" s="926"/>
      <c r="WDG189" s="926"/>
      <c r="WDH189" s="926"/>
      <c r="WDI189" s="926"/>
      <c r="WDJ189" s="926"/>
      <c r="WDK189" s="926"/>
      <c r="WDL189" s="926"/>
      <c r="WDM189" s="926"/>
      <c r="WDN189" s="926"/>
      <c r="WDO189" s="926"/>
      <c r="WDP189" s="926"/>
      <c r="WDQ189" s="926"/>
      <c r="WDR189" s="926"/>
      <c r="WDS189" s="926"/>
      <c r="WDT189" s="926"/>
      <c r="WDU189" s="926"/>
      <c r="WDV189" s="926"/>
      <c r="WDW189" s="926"/>
      <c r="WDX189" s="926"/>
      <c r="WDY189" s="926"/>
      <c r="WDZ189" s="926"/>
      <c r="WEA189" s="926"/>
      <c r="WEB189" s="926"/>
      <c r="WEC189" s="926"/>
      <c r="WED189" s="926"/>
      <c r="WEE189" s="926"/>
      <c r="WEF189" s="926"/>
      <c r="WEG189" s="926"/>
      <c r="WEH189" s="926"/>
      <c r="WEI189" s="926"/>
      <c r="WEJ189" s="926"/>
      <c r="WEK189" s="926"/>
      <c r="WEL189" s="926"/>
      <c r="WEM189" s="926"/>
      <c r="WEN189" s="926"/>
      <c r="WEO189" s="926"/>
      <c r="WEP189" s="926"/>
      <c r="WEQ189" s="926"/>
      <c r="WER189" s="926"/>
      <c r="WES189" s="926"/>
      <c r="WET189" s="926"/>
      <c r="WEU189" s="926"/>
      <c r="WEV189" s="926"/>
      <c r="WEW189" s="926"/>
      <c r="WEX189" s="926"/>
      <c r="WEY189" s="926"/>
      <c r="WEZ189" s="926"/>
      <c r="WFA189" s="926"/>
      <c r="WFB189" s="926"/>
      <c r="WFC189" s="926"/>
      <c r="WFD189" s="926"/>
      <c r="WFE189" s="926"/>
      <c r="WFF189" s="926"/>
      <c r="WFG189" s="926"/>
      <c r="WFH189" s="926"/>
      <c r="WFI189" s="926"/>
      <c r="WFJ189" s="926"/>
      <c r="WFK189" s="926"/>
      <c r="WFL189" s="926"/>
      <c r="WFM189" s="926"/>
      <c r="WFN189" s="926"/>
      <c r="WFO189" s="926"/>
      <c r="WFP189" s="926"/>
      <c r="WFQ189" s="926"/>
      <c r="WFR189" s="926"/>
      <c r="WFS189" s="926"/>
      <c r="WFT189" s="926"/>
      <c r="WFU189" s="926"/>
      <c r="WFV189" s="926"/>
      <c r="WFW189" s="926"/>
      <c r="WFX189" s="926"/>
      <c r="WFY189" s="926"/>
      <c r="WFZ189" s="926"/>
      <c r="WGA189" s="926"/>
      <c r="WGB189" s="926"/>
      <c r="WGC189" s="926"/>
      <c r="WGD189" s="926"/>
      <c r="WGE189" s="926"/>
      <c r="WGF189" s="926"/>
      <c r="WGG189" s="926"/>
      <c r="WGH189" s="926"/>
      <c r="WGI189" s="926"/>
      <c r="WGJ189" s="926"/>
      <c r="WGK189" s="926"/>
      <c r="WGL189" s="926"/>
      <c r="WGM189" s="926"/>
      <c r="WGN189" s="926"/>
      <c r="WGO189" s="926"/>
      <c r="WGP189" s="926"/>
      <c r="WGQ189" s="926"/>
      <c r="WGR189" s="926"/>
      <c r="WGS189" s="926"/>
      <c r="WGT189" s="926"/>
      <c r="WGU189" s="926"/>
      <c r="WGV189" s="926"/>
      <c r="WGW189" s="926"/>
      <c r="WGX189" s="926"/>
      <c r="WGY189" s="926"/>
      <c r="WGZ189" s="926"/>
      <c r="WHA189" s="926"/>
      <c r="WHB189" s="926"/>
      <c r="WHC189" s="926"/>
      <c r="WHD189" s="926"/>
      <c r="WHE189" s="926"/>
      <c r="WHF189" s="926"/>
      <c r="WHG189" s="926"/>
      <c r="WHH189" s="926"/>
      <c r="WHI189" s="926"/>
      <c r="WHJ189" s="926"/>
      <c r="WHK189" s="926"/>
      <c r="WHL189" s="926"/>
      <c r="WHM189" s="926"/>
      <c r="WHN189" s="926"/>
      <c r="WHO189" s="926"/>
      <c r="WHP189" s="926"/>
      <c r="WHQ189" s="926"/>
      <c r="WHR189" s="926"/>
      <c r="WHS189" s="926"/>
      <c r="WHT189" s="926"/>
      <c r="WHU189" s="926"/>
      <c r="WHV189" s="926"/>
      <c r="WHW189" s="926"/>
      <c r="WHX189" s="926"/>
      <c r="WHY189" s="926"/>
      <c r="WHZ189" s="926"/>
      <c r="WIA189" s="926"/>
      <c r="WIB189" s="926"/>
      <c r="WIC189" s="926"/>
      <c r="WID189" s="926"/>
      <c r="WIE189" s="926"/>
      <c r="WIF189" s="926"/>
      <c r="WIG189" s="926"/>
      <c r="WIH189" s="926"/>
      <c r="WII189" s="926"/>
      <c r="WIJ189" s="926"/>
      <c r="WIK189" s="926"/>
      <c r="WIL189" s="926"/>
      <c r="WIM189" s="926"/>
      <c r="WIN189" s="926"/>
      <c r="WIO189" s="926"/>
      <c r="WIP189" s="926"/>
      <c r="WIQ189" s="926"/>
      <c r="WIR189" s="926"/>
      <c r="WIS189" s="926"/>
      <c r="WIT189" s="926"/>
      <c r="WIU189" s="926"/>
      <c r="WIV189" s="926"/>
      <c r="WIW189" s="926"/>
      <c r="WIX189" s="926"/>
      <c r="WIY189" s="926"/>
      <c r="WIZ189" s="926"/>
      <c r="WJA189" s="926"/>
      <c r="WJB189" s="926"/>
      <c r="WJC189" s="926"/>
      <c r="WJD189" s="926"/>
      <c r="WJE189" s="926"/>
      <c r="WJF189" s="926"/>
      <c r="WJG189" s="926"/>
      <c r="WJH189" s="926"/>
      <c r="WJI189" s="926"/>
      <c r="WJJ189" s="926"/>
      <c r="WJK189" s="926"/>
      <c r="WJL189" s="926"/>
      <c r="WJM189" s="926"/>
      <c r="WJN189" s="926"/>
      <c r="WJO189" s="926"/>
      <c r="WJP189" s="926"/>
      <c r="WJQ189" s="926"/>
      <c r="WJR189" s="926"/>
      <c r="WJS189" s="926"/>
      <c r="WJT189" s="926"/>
      <c r="WJU189" s="926"/>
      <c r="WJV189" s="926"/>
      <c r="WJW189" s="926"/>
      <c r="WJX189" s="926"/>
      <c r="WJY189" s="926"/>
      <c r="WJZ189" s="926"/>
      <c r="WKA189" s="926"/>
      <c r="WKB189" s="926"/>
      <c r="WKC189" s="926"/>
      <c r="WKD189" s="926"/>
      <c r="WKE189" s="926"/>
      <c r="WKF189" s="926"/>
      <c r="WKG189" s="926"/>
      <c r="WKH189" s="926"/>
      <c r="WKI189" s="926"/>
      <c r="WKJ189" s="926"/>
      <c r="WKK189" s="926"/>
      <c r="WKL189" s="926"/>
      <c r="WKM189" s="926"/>
      <c r="WKN189" s="926"/>
      <c r="WKO189" s="926"/>
      <c r="WKP189" s="926"/>
      <c r="WKQ189" s="926"/>
      <c r="WKR189" s="926"/>
      <c r="WKS189" s="926"/>
      <c r="WKT189" s="926"/>
      <c r="WKU189" s="926"/>
      <c r="WKV189" s="926"/>
      <c r="WKW189" s="926"/>
      <c r="WKX189" s="926"/>
      <c r="WKY189" s="926"/>
      <c r="WKZ189" s="926"/>
      <c r="WLA189" s="926"/>
      <c r="WLB189" s="926"/>
      <c r="WLC189" s="926"/>
      <c r="WLD189" s="926"/>
      <c r="WLE189" s="926"/>
      <c r="WLF189" s="926"/>
      <c r="WLG189" s="926"/>
      <c r="WLH189" s="926"/>
      <c r="WLI189" s="926"/>
      <c r="WLJ189" s="926"/>
      <c r="WLK189" s="926"/>
      <c r="WLL189" s="926"/>
      <c r="WLM189" s="926"/>
      <c r="WLN189" s="926"/>
      <c r="WLO189" s="926"/>
      <c r="WLP189" s="926"/>
      <c r="WLQ189" s="926"/>
      <c r="WLR189" s="926"/>
      <c r="WLS189" s="926"/>
      <c r="WLT189" s="926"/>
      <c r="WLU189" s="926"/>
      <c r="WLV189" s="926"/>
      <c r="WLW189" s="926"/>
      <c r="WLX189" s="926"/>
      <c r="WLY189" s="926"/>
      <c r="WLZ189" s="926"/>
      <c r="WMA189" s="926"/>
      <c r="WMB189" s="926"/>
      <c r="WMC189" s="926"/>
      <c r="WMD189" s="926"/>
      <c r="WME189" s="926"/>
      <c r="WMF189" s="926"/>
      <c r="WMG189" s="926"/>
      <c r="WMH189" s="926"/>
      <c r="WMI189" s="926"/>
      <c r="WMJ189" s="926"/>
      <c r="WMK189" s="926"/>
      <c r="WML189" s="926"/>
      <c r="WMM189" s="926"/>
      <c r="WMN189" s="926"/>
      <c r="WMO189" s="926"/>
      <c r="WMP189" s="926"/>
      <c r="WMQ189" s="926"/>
      <c r="WMR189" s="926"/>
      <c r="WMS189" s="926"/>
      <c r="WMT189" s="926"/>
      <c r="WMU189" s="926"/>
      <c r="WMV189" s="926"/>
      <c r="WMW189" s="926"/>
      <c r="WMX189" s="926"/>
      <c r="WMY189" s="926"/>
      <c r="WMZ189" s="926"/>
      <c r="WNA189" s="926"/>
      <c r="WNB189" s="926"/>
      <c r="WNC189" s="926"/>
      <c r="WND189" s="926"/>
      <c r="WNE189" s="926"/>
      <c r="WNF189" s="926"/>
      <c r="WNG189" s="926"/>
      <c r="WNH189" s="926"/>
      <c r="WNI189" s="926"/>
      <c r="WNJ189" s="926"/>
      <c r="WNK189" s="926"/>
      <c r="WNL189" s="926"/>
      <c r="WNM189" s="926"/>
      <c r="WNN189" s="926"/>
      <c r="WNO189" s="926"/>
      <c r="WNP189" s="926"/>
      <c r="WNQ189" s="926"/>
      <c r="WNR189" s="926"/>
      <c r="WNS189" s="926"/>
      <c r="WNT189" s="926"/>
      <c r="WNU189" s="926"/>
      <c r="WNV189" s="926"/>
      <c r="WNW189" s="926"/>
      <c r="WNX189" s="926"/>
      <c r="WNY189" s="926"/>
      <c r="WNZ189" s="926"/>
      <c r="WOA189" s="926"/>
      <c r="WOB189" s="926"/>
      <c r="WOC189" s="926"/>
      <c r="WOD189" s="926"/>
      <c r="WOE189" s="926"/>
      <c r="WOF189" s="926"/>
      <c r="WOG189" s="926"/>
      <c r="WOH189" s="926"/>
      <c r="WOI189" s="926"/>
      <c r="WOJ189" s="926"/>
      <c r="WOK189" s="926"/>
      <c r="WOL189" s="926"/>
      <c r="WOM189" s="926"/>
      <c r="WON189" s="926"/>
      <c r="WOO189" s="926"/>
      <c r="WOP189" s="926"/>
      <c r="WOQ189" s="926"/>
      <c r="WOR189" s="926"/>
      <c r="WOS189" s="926"/>
      <c r="WOT189" s="926"/>
      <c r="WOU189" s="926"/>
      <c r="WOV189" s="926"/>
      <c r="WOW189" s="926"/>
      <c r="WOX189" s="926"/>
      <c r="WOY189" s="926"/>
      <c r="WOZ189" s="926"/>
      <c r="WPA189" s="926"/>
      <c r="WPB189" s="926"/>
      <c r="WPC189" s="926"/>
      <c r="WPD189" s="926"/>
      <c r="WPE189" s="926"/>
      <c r="WPF189" s="926"/>
      <c r="WPG189" s="926"/>
      <c r="WPH189" s="926"/>
      <c r="WPI189" s="926"/>
      <c r="WPJ189" s="926"/>
      <c r="WPK189" s="926"/>
      <c r="WPL189" s="926"/>
      <c r="WPM189" s="926"/>
      <c r="WPN189" s="926"/>
      <c r="WPO189" s="926"/>
      <c r="WPP189" s="926"/>
      <c r="WPQ189" s="926"/>
      <c r="WPR189" s="926"/>
      <c r="WPS189" s="926"/>
      <c r="WPT189" s="926"/>
      <c r="WPU189" s="926"/>
      <c r="WPV189" s="926"/>
      <c r="WPW189" s="926"/>
      <c r="WPX189" s="926"/>
      <c r="WPY189" s="926"/>
      <c r="WPZ189" s="926"/>
      <c r="WQA189" s="926"/>
      <c r="WQB189" s="926"/>
      <c r="WQC189" s="926"/>
      <c r="WQD189" s="926"/>
      <c r="WQE189" s="926"/>
      <c r="WQF189" s="926"/>
      <c r="WQG189" s="926"/>
      <c r="WQH189" s="926"/>
      <c r="WQI189" s="926"/>
      <c r="WQJ189" s="926"/>
      <c r="WQK189" s="926"/>
      <c r="WQL189" s="926"/>
      <c r="WQM189" s="926"/>
      <c r="WQN189" s="926"/>
      <c r="WQO189" s="926"/>
      <c r="WQP189" s="926"/>
      <c r="WQQ189" s="926"/>
      <c r="WQR189" s="926"/>
      <c r="WQS189" s="926"/>
      <c r="WQT189" s="926"/>
      <c r="WQU189" s="926"/>
      <c r="WQV189" s="926"/>
      <c r="WQW189" s="926"/>
      <c r="WQX189" s="926"/>
      <c r="WQY189" s="926"/>
      <c r="WQZ189" s="926"/>
      <c r="WRA189" s="926"/>
      <c r="WRB189" s="926"/>
      <c r="WRC189" s="926"/>
      <c r="WRD189" s="926"/>
      <c r="WRE189" s="926"/>
      <c r="WRF189" s="926"/>
      <c r="WRG189" s="926"/>
      <c r="WRH189" s="926"/>
      <c r="WRI189" s="926"/>
      <c r="WRJ189" s="926"/>
      <c r="WRK189" s="926"/>
      <c r="WRL189" s="926"/>
      <c r="WRM189" s="926"/>
      <c r="WRN189" s="926"/>
      <c r="WRO189" s="926"/>
      <c r="WRP189" s="926"/>
      <c r="WRQ189" s="926"/>
      <c r="WRR189" s="926"/>
      <c r="WRS189" s="926"/>
      <c r="WRT189" s="926"/>
      <c r="WRU189" s="926"/>
      <c r="WRV189" s="926"/>
      <c r="WRW189" s="926"/>
      <c r="WRX189" s="926"/>
      <c r="WRY189" s="926"/>
      <c r="WRZ189" s="926"/>
      <c r="WSA189" s="926"/>
      <c r="WSB189" s="926"/>
      <c r="WSC189" s="926"/>
      <c r="WSD189" s="926"/>
      <c r="WSE189" s="926"/>
      <c r="WSF189" s="926"/>
      <c r="WSG189" s="926"/>
      <c r="WSH189" s="926"/>
      <c r="WSI189" s="926"/>
      <c r="WSJ189" s="926"/>
      <c r="WSK189" s="926"/>
      <c r="WSL189" s="926"/>
      <c r="WSM189" s="926"/>
      <c r="WSN189" s="926"/>
      <c r="WSO189" s="926"/>
      <c r="WSP189" s="926"/>
      <c r="WSQ189" s="926"/>
      <c r="WSR189" s="926"/>
      <c r="WSS189" s="926"/>
      <c r="WST189" s="926"/>
      <c r="WSU189" s="926"/>
      <c r="WSV189" s="926"/>
      <c r="WSW189" s="926"/>
      <c r="WSX189" s="926"/>
      <c r="WSY189" s="926"/>
      <c r="WSZ189" s="926"/>
      <c r="WTA189" s="926"/>
      <c r="WTB189" s="926"/>
      <c r="WTC189" s="926"/>
      <c r="WTD189" s="926"/>
      <c r="WTE189" s="926"/>
      <c r="WTF189" s="926"/>
      <c r="WTG189" s="926"/>
      <c r="WTH189" s="926"/>
      <c r="WTI189" s="926"/>
      <c r="WTJ189" s="926"/>
      <c r="WTK189" s="926"/>
      <c r="WTL189" s="926"/>
      <c r="WTM189" s="926"/>
      <c r="WTN189" s="926"/>
      <c r="WTO189" s="926"/>
      <c r="WTP189" s="926"/>
      <c r="WTQ189" s="926"/>
      <c r="WTR189" s="926"/>
      <c r="WTS189" s="926"/>
      <c r="WTT189" s="926"/>
      <c r="WTU189" s="926"/>
      <c r="WTV189" s="926"/>
      <c r="WTW189" s="926"/>
      <c r="WTX189" s="926"/>
      <c r="WTY189" s="926"/>
      <c r="WTZ189" s="926"/>
      <c r="WUA189" s="926"/>
      <c r="WUB189" s="926"/>
      <c r="WUC189" s="926"/>
      <c r="WUD189" s="926"/>
      <c r="WUE189" s="926"/>
      <c r="WUF189" s="926"/>
      <c r="WUG189" s="926"/>
      <c r="WUH189" s="926"/>
      <c r="WUI189" s="926"/>
      <c r="WUJ189" s="926"/>
      <c r="WUK189" s="926"/>
      <c r="WUL189" s="926"/>
      <c r="WUM189" s="926"/>
      <c r="WUN189" s="926"/>
      <c r="WUO189" s="926"/>
      <c r="WUP189" s="926"/>
      <c r="WUQ189" s="926"/>
      <c r="WUR189" s="926"/>
      <c r="WUS189" s="926"/>
      <c r="WUT189" s="926"/>
      <c r="WUU189" s="926"/>
      <c r="WUV189" s="926"/>
      <c r="WUW189" s="926"/>
      <c r="WUX189" s="926"/>
      <c r="WUY189" s="926"/>
      <c r="WUZ189" s="926"/>
      <c r="WVA189" s="926"/>
      <c r="WVB189" s="926"/>
      <c r="WVC189" s="926"/>
      <c r="WVD189" s="926"/>
      <c r="WVE189" s="926"/>
      <c r="WVF189" s="926"/>
      <c r="WVG189" s="926"/>
      <c r="WVH189" s="926"/>
      <c r="WVI189" s="926"/>
      <c r="WVJ189" s="926"/>
      <c r="WVK189" s="926"/>
      <c r="WVL189" s="926"/>
      <c r="WVM189" s="926"/>
      <c r="WVN189" s="926"/>
      <c r="WVO189" s="926"/>
      <c r="WVP189" s="926"/>
      <c r="WVQ189" s="926"/>
      <c r="WVR189" s="926"/>
      <c r="WVS189" s="926"/>
      <c r="WVT189" s="926"/>
      <c r="WVU189" s="926"/>
      <c r="WVV189" s="926"/>
      <c r="WVW189" s="926"/>
      <c r="WVX189" s="926"/>
      <c r="WVY189" s="926"/>
      <c r="WVZ189" s="926"/>
      <c r="WWA189" s="926"/>
      <c r="WWB189" s="926"/>
      <c r="WWC189" s="926"/>
      <c r="WWD189" s="926"/>
      <c r="WWE189" s="926"/>
      <c r="WWF189" s="926"/>
      <c r="WWG189" s="926"/>
      <c r="WWH189" s="926"/>
      <c r="WWI189" s="926"/>
      <c r="WWJ189" s="926"/>
      <c r="WWK189" s="926"/>
      <c r="WWL189" s="926"/>
      <c r="WWM189" s="926"/>
      <c r="WWN189" s="926"/>
      <c r="WWO189" s="926"/>
      <c r="WWP189" s="926"/>
      <c r="WWQ189" s="926"/>
      <c r="WWR189" s="926"/>
      <c r="WWS189" s="926"/>
      <c r="WWT189" s="926"/>
      <c r="WWU189" s="926"/>
      <c r="WWV189" s="926"/>
      <c r="WWW189" s="926"/>
      <c r="WWX189" s="926"/>
      <c r="WWY189" s="926"/>
      <c r="WWZ189" s="926"/>
      <c r="WXA189" s="926"/>
      <c r="WXB189" s="926"/>
      <c r="WXC189" s="926"/>
      <c r="WXD189" s="926"/>
      <c r="WXE189" s="926"/>
      <c r="WXF189" s="926"/>
      <c r="WXG189" s="926"/>
      <c r="WXH189" s="926"/>
      <c r="WXI189" s="926"/>
      <c r="WXJ189" s="926"/>
      <c r="WXK189" s="926"/>
      <c r="WXL189" s="926"/>
      <c r="WXM189" s="926"/>
      <c r="WXN189" s="926"/>
      <c r="WXO189" s="926"/>
      <c r="WXP189" s="926"/>
      <c r="WXQ189" s="926"/>
      <c r="WXR189" s="926"/>
      <c r="WXS189" s="926"/>
      <c r="WXT189" s="926"/>
      <c r="WXU189" s="926"/>
      <c r="WXV189" s="926"/>
      <c r="WXW189" s="926"/>
      <c r="WXX189" s="926"/>
      <c r="WXY189" s="926"/>
      <c r="WXZ189" s="926"/>
      <c r="WYA189" s="926"/>
      <c r="WYB189" s="926"/>
      <c r="WYC189" s="926"/>
      <c r="WYD189" s="926"/>
      <c r="WYE189" s="926"/>
      <c r="WYF189" s="926"/>
      <c r="WYG189" s="926"/>
      <c r="WYH189" s="926"/>
      <c r="WYI189" s="926"/>
      <c r="WYJ189" s="926"/>
      <c r="WYK189" s="926"/>
      <c r="WYL189" s="926"/>
      <c r="WYM189" s="926"/>
      <c r="WYN189" s="926"/>
      <c r="WYO189" s="926"/>
      <c r="WYP189" s="926"/>
      <c r="WYQ189" s="926"/>
      <c r="WYR189" s="926"/>
      <c r="WYS189" s="926"/>
      <c r="WYT189" s="926"/>
      <c r="WYU189" s="926"/>
      <c r="WYV189" s="926"/>
      <c r="WYW189" s="926"/>
      <c r="WYX189" s="926"/>
      <c r="WYY189" s="926"/>
      <c r="WYZ189" s="926"/>
      <c r="WZA189" s="926"/>
      <c r="WZB189" s="926"/>
      <c r="WZC189" s="926"/>
      <c r="WZD189" s="926"/>
      <c r="WZE189" s="926"/>
      <c r="WZF189" s="926"/>
      <c r="WZG189" s="926"/>
      <c r="WZH189" s="926"/>
      <c r="WZI189" s="926"/>
      <c r="WZJ189" s="926"/>
      <c r="WZK189" s="926"/>
      <c r="WZL189" s="926"/>
      <c r="WZM189" s="926"/>
      <c r="WZN189" s="926"/>
      <c r="WZO189" s="926"/>
      <c r="WZP189" s="926"/>
      <c r="WZQ189" s="926"/>
      <c r="WZR189" s="926"/>
      <c r="WZS189" s="926"/>
      <c r="WZT189" s="926"/>
      <c r="WZU189" s="926"/>
      <c r="WZV189" s="926"/>
      <c r="WZW189" s="926"/>
      <c r="WZX189" s="926"/>
      <c r="WZY189" s="926"/>
      <c r="WZZ189" s="926"/>
      <c r="XAA189" s="926"/>
      <c r="XAB189" s="926"/>
      <c r="XAC189" s="926"/>
      <c r="XAD189" s="926"/>
      <c r="XAE189" s="926"/>
      <c r="XAF189" s="926"/>
      <c r="XAG189" s="926"/>
      <c r="XAH189" s="926"/>
      <c r="XAI189" s="926"/>
      <c r="XAJ189" s="926"/>
      <c r="XAK189" s="926"/>
      <c r="XAL189" s="926"/>
      <c r="XAM189" s="926"/>
      <c r="XAN189" s="926"/>
      <c r="XAO189" s="926"/>
      <c r="XAP189" s="926"/>
      <c r="XAQ189" s="926"/>
      <c r="XAR189" s="926"/>
      <c r="XAS189" s="926"/>
      <c r="XAT189" s="926"/>
      <c r="XAU189" s="926"/>
      <c r="XAV189" s="926"/>
      <c r="XAW189" s="926"/>
      <c r="XAX189" s="926"/>
      <c r="XAY189" s="926"/>
      <c r="XAZ189" s="926"/>
      <c r="XBA189" s="926"/>
      <c r="XBB189" s="926"/>
      <c r="XBC189" s="926"/>
      <c r="XBD189" s="926"/>
      <c r="XBE189" s="926"/>
      <c r="XBF189" s="926"/>
      <c r="XBG189" s="926"/>
      <c r="XBH189" s="926"/>
      <c r="XBI189" s="926"/>
      <c r="XBJ189" s="926"/>
      <c r="XBK189" s="926"/>
      <c r="XBL189" s="926"/>
      <c r="XBM189" s="926"/>
      <c r="XBN189" s="926"/>
      <c r="XBO189" s="926"/>
      <c r="XBP189" s="926"/>
      <c r="XBQ189" s="926"/>
      <c r="XBR189" s="926"/>
      <c r="XBS189" s="926"/>
      <c r="XBT189" s="926"/>
      <c r="XBU189" s="926"/>
      <c r="XBV189" s="926"/>
      <c r="XBW189" s="926"/>
      <c r="XBX189" s="926"/>
      <c r="XBY189" s="926"/>
      <c r="XBZ189" s="926"/>
      <c r="XCA189" s="926"/>
      <c r="XCB189" s="926"/>
      <c r="XCC189" s="926"/>
      <c r="XCD189" s="926"/>
      <c r="XCE189" s="926"/>
      <c r="XCF189" s="926"/>
      <c r="XCG189" s="926"/>
      <c r="XCH189" s="926"/>
      <c r="XCI189" s="926"/>
      <c r="XCJ189" s="926"/>
      <c r="XCK189" s="926"/>
      <c r="XCL189" s="926"/>
      <c r="XCM189" s="926"/>
      <c r="XCN189" s="926"/>
      <c r="XCO189" s="926"/>
      <c r="XCP189" s="926"/>
      <c r="XCQ189" s="926"/>
      <c r="XCR189" s="926"/>
      <c r="XCS189" s="926"/>
      <c r="XCT189" s="926"/>
      <c r="XCU189" s="926"/>
      <c r="XCV189" s="926"/>
      <c r="XCW189" s="926"/>
      <c r="XCX189" s="926"/>
      <c r="XCY189" s="926"/>
      <c r="XCZ189" s="926"/>
      <c r="XDA189" s="926"/>
      <c r="XDB189" s="926"/>
      <c r="XDC189" s="926"/>
      <c r="XDD189" s="926"/>
      <c r="XDE189" s="926"/>
      <c r="XDF189" s="926"/>
      <c r="XDG189" s="926"/>
      <c r="XDH189" s="926"/>
      <c r="XDI189" s="926"/>
      <c r="XDJ189" s="926"/>
      <c r="XDK189" s="926"/>
      <c r="XDL189" s="926"/>
      <c r="XDM189" s="926"/>
      <c r="XDN189" s="926"/>
      <c r="XDO189" s="926"/>
      <c r="XDP189" s="926"/>
      <c r="XDQ189" s="926"/>
      <c r="XDR189" s="926"/>
      <c r="XDS189" s="926"/>
      <c r="XDT189" s="926"/>
      <c r="XDU189" s="926"/>
      <c r="XDV189" s="926"/>
      <c r="XDW189" s="926"/>
      <c r="XDX189" s="926"/>
      <c r="XDY189" s="926"/>
      <c r="XDZ189" s="926"/>
      <c r="XEA189" s="926"/>
      <c r="XEB189" s="926"/>
      <c r="XEC189" s="926"/>
      <c r="XED189" s="926"/>
      <c r="XEE189" s="926"/>
      <c r="XEF189" s="926"/>
      <c r="XEG189" s="926"/>
      <c r="XEH189" s="926"/>
      <c r="XEI189" s="926"/>
      <c r="XEJ189" s="926"/>
      <c r="XEK189" s="926"/>
      <c r="XEL189" s="926"/>
      <c r="XEM189" s="926"/>
      <c r="XEN189" s="926"/>
      <c r="XEO189" s="926"/>
      <c r="XEP189" s="926"/>
      <c r="XEQ189" s="926"/>
      <c r="XER189" s="926"/>
      <c r="XES189" s="926"/>
      <c r="XET189" s="926"/>
      <c r="XEU189" s="926"/>
      <c r="XEV189" s="926"/>
      <c r="XEW189" s="926"/>
      <c r="XEX189" s="926"/>
      <c r="XEY189" s="926"/>
      <c r="XEZ189" s="926"/>
      <c r="XFA189" s="926"/>
      <c r="XFB189" s="926"/>
      <c r="XFC189" s="926"/>
    </row>
    <row r="190" spans="1:16383" s="33" customFormat="1" x14ac:dyDescent="0.25">
      <c r="A190" s="547" t="s">
        <v>7885</v>
      </c>
      <c r="B190" s="291" t="s">
        <v>614</v>
      </c>
      <c r="C190" s="1402" t="s">
        <v>13</v>
      </c>
      <c r="D190" s="548">
        <v>46111</v>
      </c>
      <c r="E190" s="306" t="s">
        <v>7972</v>
      </c>
      <c r="F190" s="306" t="s">
        <v>872</v>
      </c>
      <c r="H190" s="1286" t="s">
        <v>279</v>
      </c>
      <c r="I190" s="283"/>
      <c r="J190" s="1229"/>
      <c r="K190" s="1229"/>
      <c r="L190" s="1229"/>
      <c r="M190" s="1270">
        <v>37984.199999999997</v>
      </c>
      <c r="N190" s="1262"/>
      <c r="O190" s="279"/>
      <c r="P190"/>
      <c r="Q190"/>
      <c r="V190" s="33" t="s">
        <v>7552</v>
      </c>
      <c r="W190" s="550">
        <v>0.39444444444444443</v>
      </c>
      <c r="X190" s="550">
        <v>0.63680555555555551</v>
      </c>
    </row>
    <row r="191" spans="1:16383" s="33" customFormat="1" x14ac:dyDescent="0.25">
      <c r="A191" s="547" t="s">
        <v>7886</v>
      </c>
      <c r="B191" s="291" t="s">
        <v>7650</v>
      </c>
      <c r="C191" s="1402" t="s">
        <v>13</v>
      </c>
      <c r="D191" s="548">
        <v>46112</v>
      </c>
      <c r="E191" s="306" t="s">
        <v>7925</v>
      </c>
      <c r="F191" s="306" t="s">
        <v>285</v>
      </c>
      <c r="H191" s="1286" t="s">
        <v>279</v>
      </c>
      <c r="I191" s="283"/>
      <c r="J191" s="1229"/>
      <c r="K191" s="1229"/>
      <c r="L191" s="1229"/>
      <c r="M191" s="1270">
        <v>49520</v>
      </c>
      <c r="N191" s="1262"/>
      <c r="O191" s="279"/>
      <c r="P191"/>
      <c r="Q191"/>
      <c r="V191" s="33" t="s">
        <v>7833</v>
      </c>
      <c r="W191" s="550">
        <v>0.43472222222222223</v>
      </c>
      <c r="X191" s="550">
        <v>0.61319444444444449</v>
      </c>
    </row>
    <row r="192" spans="1:16383" s="33" customFormat="1" x14ac:dyDescent="0.25">
      <c r="A192" s="547" t="s">
        <v>7886</v>
      </c>
      <c r="B192" s="291" t="s">
        <v>614</v>
      </c>
      <c r="C192" s="1402" t="s">
        <v>410</v>
      </c>
      <c r="D192" s="548">
        <v>46112</v>
      </c>
      <c r="E192" s="306" t="s">
        <v>7972</v>
      </c>
      <c r="F192" s="306" t="s">
        <v>5326</v>
      </c>
      <c r="H192" s="1286" t="s">
        <v>279</v>
      </c>
      <c r="I192" s="283"/>
      <c r="J192" s="1229"/>
      <c r="K192" s="1229"/>
      <c r="L192" s="1229"/>
      <c r="M192" s="1270">
        <v>35364.6</v>
      </c>
      <c r="N192" s="1262"/>
      <c r="O192" s="279"/>
      <c r="P192"/>
      <c r="Q192"/>
      <c r="V192" s="33" t="s">
        <v>5131</v>
      </c>
      <c r="W192" s="550">
        <v>0.59861111111111109</v>
      </c>
      <c r="X192" s="550">
        <v>0.78055555555555556</v>
      </c>
    </row>
    <row r="193" spans="1:24" x14ac:dyDescent="0.25">
      <c r="A193" s="483"/>
      <c r="D193" s="233"/>
      <c r="H193" s="1175"/>
      <c r="I193" s="13"/>
      <c r="J193" s="1145"/>
      <c r="K193" s="1145"/>
      <c r="L193" s="1145"/>
      <c r="M193" s="915"/>
      <c r="N193" s="558"/>
      <c r="O193" s="88"/>
      <c r="W193" s="360"/>
      <c r="X193" s="360"/>
    </row>
    <row r="194" spans="1:24" x14ac:dyDescent="0.25">
      <c r="A194" s="483"/>
      <c r="D194" s="233"/>
      <c r="F194" s="61">
        <f>83750/1.18</f>
        <v>70974.576271186437</v>
      </c>
      <c r="H194" s="1175"/>
      <c r="I194" s="13"/>
      <c r="J194" s="1145"/>
      <c r="K194" s="1145"/>
      <c r="L194" s="1145"/>
      <c r="M194" s="915"/>
      <c r="N194" s="558"/>
      <c r="O194" s="88"/>
      <c r="W194" s="360"/>
      <c r="X194" s="360"/>
    </row>
    <row r="195" spans="1:24" ht="15.75" thickBot="1" x14ac:dyDescent="0.3">
      <c r="A195" s="483"/>
      <c r="D195" s="233"/>
      <c r="H195" s="1145"/>
      <c r="I195" s="13"/>
      <c r="J195" s="1145"/>
      <c r="K195" s="1145"/>
      <c r="L195" s="1145"/>
      <c r="M195" s="960">
        <f>SUM(M133:M194)</f>
        <v>2401749.2000000002</v>
      </c>
      <c r="N195" s="960">
        <f>SUM(N133:N194)</f>
        <v>17323.400000000001</v>
      </c>
      <c r="O195" s="88"/>
      <c r="W195" s="360"/>
      <c r="X195" s="360"/>
    </row>
    <row r="196" spans="1:24" x14ac:dyDescent="0.25">
      <c r="A196" s="483"/>
      <c r="H196" s="32"/>
      <c r="J196" s="32"/>
      <c r="K196" s="1145"/>
      <c r="L196" s="1145"/>
      <c r="O196" s="88"/>
      <c r="W196" s="360"/>
      <c r="X196" s="360"/>
    </row>
    <row r="197" spans="1:24" x14ac:dyDescent="0.25">
      <c r="A197" s="483"/>
      <c r="D197" s="233"/>
      <c r="G197" s="32"/>
      <c r="H197" s="1311"/>
      <c r="J197" s="1145"/>
      <c r="K197" s="1311"/>
      <c r="L197" s="1311"/>
      <c r="M197" s="915"/>
      <c r="N197" s="558"/>
      <c r="O197" s="88"/>
      <c r="W197" s="360"/>
      <c r="X197" s="360"/>
    </row>
    <row r="198" spans="1:24" s="926" customFormat="1" x14ac:dyDescent="0.25">
      <c r="A198" s="925" t="s">
        <v>7887</v>
      </c>
      <c r="B198" s="926" t="s">
        <v>5239</v>
      </c>
      <c r="C198" s="1400" t="s">
        <v>410</v>
      </c>
      <c r="D198" s="927">
        <v>46113</v>
      </c>
      <c r="E198" s="928" t="s">
        <v>8011</v>
      </c>
      <c r="F198" s="928" t="s">
        <v>207</v>
      </c>
      <c r="G198" s="930"/>
      <c r="H198" s="1288" t="s">
        <v>279</v>
      </c>
      <c r="J198" s="1140"/>
      <c r="K198" s="1333"/>
      <c r="L198" s="1333"/>
      <c r="M198" s="1272">
        <v>36350</v>
      </c>
      <c r="N198" s="1263"/>
      <c r="O198" s="930"/>
      <c r="V198" s="926" t="s">
        <v>7888</v>
      </c>
      <c r="W198" s="931">
        <v>0.27361111111111108</v>
      </c>
      <c r="X198" s="931">
        <v>0.47847222222222219</v>
      </c>
    </row>
    <row r="199" spans="1:24" s="926" customFormat="1" x14ac:dyDescent="0.25">
      <c r="A199" s="925" t="s">
        <v>7887</v>
      </c>
      <c r="B199" s="926" t="s">
        <v>1720</v>
      </c>
      <c r="C199" s="1400" t="s">
        <v>410</v>
      </c>
      <c r="D199" s="927">
        <v>46113</v>
      </c>
      <c r="E199" s="928" t="s">
        <v>7924</v>
      </c>
      <c r="F199" s="928" t="s">
        <v>545</v>
      </c>
      <c r="G199" s="930"/>
      <c r="H199" s="1316" t="s">
        <v>279</v>
      </c>
      <c r="J199" s="1075"/>
      <c r="K199" s="1316"/>
      <c r="L199" s="1316"/>
      <c r="M199" s="932">
        <v>36500</v>
      </c>
      <c r="N199" s="1263"/>
      <c r="O199" s="930"/>
      <c r="P199"/>
      <c r="Q199"/>
      <c r="V199" s="926" t="s">
        <v>5131</v>
      </c>
      <c r="W199" s="931">
        <v>0.87083333333333324</v>
      </c>
      <c r="X199" s="931">
        <v>3.3333333333333333E-2</v>
      </c>
    </row>
    <row r="200" spans="1:24" s="926" customFormat="1" x14ac:dyDescent="0.25">
      <c r="A200" s="925" t="s">
        <v>7887</v>
      </c>
      <c r="B200" s="926" t="s">
        <v>3880</v>
      </c>
      <c r="C200" s="1400" t="s">
        <v>13</v>
      </c>
      <c r="D200" s="927">
        <v>46113</v>
      </c>
      <c r="E200" s="928" t="s">
        <v>7922</v>
      </c>
      <c r="F200" s="928" t="s">
        <v>545</v>
      </c>
      <c r="G200" s="930"/>
      <c r="H200" s="1316" t="s">
        <v>279</v>
      </c>
      <c r="J200" s="1075"/>
      <c r="K200" s="1316"/>
      <c r="L200" s="1316"/>
      <c r="M200" s="932">
        <v>36500</v>
      </c>
      <c r="N200" s="1263"/>
      <c r="O200" s="930"/>
      <c r="P200"/>
      <c r="Q200"/>
      <c r="V200" s="926" t="s">
        <v>7914</v>
      </c>
      <c r="W200" s="931">
        <v>0.95694444444444438</v>
      </c>
      <c r="X200" s="931">
        <v>0.13680555555555554</v>
      </c>
    </row>
    <row r="201" spans="1:24" s="926" customFormat="1" x14ac:dyDescent="0.25">
      <c r="A201" s="925" t="s">
        <v>7915</v>
      </c>
      <c r="B201" s="926" t="s">
        <v>565</v>
      </c>
      <c r="C201" s="1400" t="s">
        <v>410</v>
      </c>
      <c r="D201" s="927">
        <v>46116</v>
      </c>
      <c r="E201" s="928" t="s">
        <v>7921</v>
      </c>
      <c r="F201" s="928" t="s">
        <v>545</v>
      </c>
      <c r="G201" s="930"/>
      <c r="H201" s="1316" t="s">
        <v>279</v>
      </c>
      <c r="J201" s="1075"/>
      <c r="K201" s="1316"/>
      <c r="L201" s="1316"/>
      <c r="M201" s="932">
        <v>36500</v>
      </c>
      <c r="N201" s="1263"/>
      <c r="O201" s="930"/>
      <c r="P201"/>
      <c r="Q201"/>
      <c r="V201" s="926" t="s">
        <v>7092</v>
      </c>
      <c r="W201" s="931">
        <v>0.90972222222222221</v>
      </c>
      <c r="X201" s="931">
        <v>9.375E-2</v>
      </c>
    </row>
    <row r="202" spans="1:24" s="926" customFormat="1" ht="15" customHeight="1" x14ac:dyDescent="0.25">
      <c r="A202" s="925" t="s">
        <v>7916</v>
      </c>
      <c r="B202" s="926" t="s">
        <v>572</v>
      </c>
      <c r="C202" s="1400" t="s">
        <v>13</v>
      </c>
      <c r="D202" s="927">
        <v>46117</v>
      </c>
      <c r="E202" s="928" t="s">
        <v>7923</v>
      </c>
      <c r="F202" s="928" t="s">
        <v>207</v>
      </c>
      <c r="G202" s="930"/>
      <c r="H202" s="1316" t="s">
        <v>279</v>
      </c>
      <c r="J202" s="1075"/>
      <c r="K202" s="1316"/>
      <c r="L202" s="1316"/>
      <c r="M202" s="932"/>
      <c r="N202" s="1272">
        <v>11052</v>
      </c>
      <c r="O202" s="930"/>
      <c r="P202"/>
      <c r="Q202"/>
      <c r="V202" s="926" t="s">
        <v>4867</v>
      </c>
      <c r="W202" s="931">
        <v>0.27291666666666664</v>
      </c>
      <c r="X202" s="931">
        <v>0.49236111111111108</v>
      </c>
    </row>
    <row r="203" spans="1:24" s="926" customFormat="1" x14ac:dyDescent="0.25">
      <c r="A203" s="925" t="s">
        <v>7916</v>
      </c>
      <c r="B203" s="926" t="s">
        <v>6269</v>
      </c>
      <c r="C203" s="1400" t="s">
        <v>410</v>
      </c>
      <c r="D203" s="927">
        <v>46117</v>
      </c>
      <c r="E203" s="928" t="s">
        <v>8019</v>
      </c>
      <c r="F203" s="928" t="s">
        <v>317</v>
      </c>
      <c r="G203" s="930"/>
      <c r="H203" s="1316" t="s">
        <v>279</v>
      </c>
      <c r="J203" s="1075"/>
      <c r="K203" s="1316"/>
      <c r="L203" s="1316"/>
      <c r="M203" s="932">
        <v>46634</v>
      </c>
      <c r="N203" s="1263"/>
      <c r="O203" s="930"/>
      <c r="V203" s="926" t="s">
        <v>4297</v>
      </c>
      <c r="W203" s="931">
        <v>0.4145833333333333</v>
      </c>
      <c r="X203" s="931">
        <v>0.74236111111111114</v>
      </c>
    </row>
    <row r="204" spans="1:24" s="33" customFormat="1" x14ac:dyDescent="0.25">
      <c r="A204" s="547" t="s">
        <v>7913</v>
      </c>
      <c r="B204" s="33" t="s">
        <v>614</v>
      </c>
      <c r="C204" s="1402" t="s">
        <v>13</v>
      </c>
      <c r="D204" s="548">
        <v>46118</v>
      </c>
      <c r="E204" s="306" t="s">
        <v>8072</v>
      </c>
      <c r="F204" s="306" t="s">
        <v>2036</v>
      </c>
      <c r="G204" s="279"/>
      <c r="H204" s="1317" t="s">
        <v>279</v>
      </c>
      <c r="J204" s="1229"/>
      <c r="K204" s="1318"/>
      <c r="L204" s="1318"/>
      <c r="M204" s="1270">
        <v>26632.6</v>
      </c>
      <c r="N204" s="1262"/>
      <c r="O204" s="279"/>
      <c r="P204"/>
      <c r="Q204"/>
      <c r="V204" s="33" t="s">
        <v>6150</v>
      </c>
      <c r="W204" s="550">
        <v>0.37013888888888885</v>
      </c>
      <c r="X204" s="550">
        <v>0.49861111111111112</v>
      </c>
    </row>
    <row r="205" spans="1:24" s="926" customFormat="1" x14ac:dyDescent="0.25">
      <c r="A205" s="925" t="s">
        <v>7941</v>
      </c>
      <c r="B205" s="926" t="s">
        <v>572</v>
      </c>
      <c r="C205" s="1400" t="s">
        <v>410</v>
      </c>
      <c r="D205" s="927">
        <v>46120</v>
      </c>
      <c r="E205" s="928" t="s">
        <v>7969</v>
      </c>
      <c r="F205" s="928" t="s">
        <v>2437</v>
      </c>
      <c r="G205" s="930"/>
      <c r="H205" s="1341" t="s">
        <v>279</v>
      </c>
      <c r="I205" s="930"/>
      <c r="J205" s="1140"/>
      <c r="K205" s="1333"/>
      <c r="L205" s="1333"/>
      <c r="M205" s="930"/>
      <c r="N205" s="1272">
        <v>7570</v>
      </c>
      <c r="O205" s="930"/>
      <c r="V205" s="926" t="s">
        <v>7942</v>
      </c>
      <c r="W205" s="931">
        <v>0.42083333333333334</v>
      </c>
      <c r="X205" s="931">
        <v>0.61458333333333337</v>
      </c>
    </row>
    <row r="206" spans="1:24" s="926" customFormat="1" x14ac:dyDescent="0.25">
      <c r="A206" s="925" t="s">
        <v>7941</v>
      </c>
      <c r="B206" s="926" t="s">
        <v>608</v>
      </c>
      <c r="C206" s="1400" t="s">
        <v>4218</v>
      </c>
      <c r="D206" s="927">
        <v>46120</v>
      </c>
      <c r="E206" s="928" t="s">
        <v>7944</v>
      </c>
      <c r="F206" s="928" t="s">
        <v>236</v>
      </c>
      <c r="G206" s="1334"/>
      <c r="H206" s="930" t="s">
        <v>279</v>
      </c>
      <c r="J206" s="1111"/>
      <c r="K206" s="1333"/>
      <c r="L206" s="1333"/>
      <c r="M206" s="1272">
        <v>61235</v>
      </c>
      <c r="N206" s="1263"/>
      <c r="O206" s="930"/>
      <c r="V206" s="926" t="s">
        <v>5131</v>
      </c>
      <c r="W206" s="931">
        <v>0.40277777777777773</v>
      </c>
      <c r="X206" s="931">
        <v>0.68402777777777779</v>
      </c>
    </row>
    <row r="207" spans="1:24" s="926" customFormat="1" x14ac:dyDescent="0.25">
      <c r="A207" s="925" t="s">
        <v>7941</v>
      </c>
      <c r="B207" s="926" t="s">
        <v>610</v>
      </c>
      <c r="C207" s="1400" t="s">
        <v>13</v>
      </c>
      <c r="D207" s="927">
        <v>46120</v>
      </c>
      <c r="E207" s="928" t="s">
        <v>7952</v>
      </c>
      <c r="F207" s="928" t="s">
        <v>106</v>
      </c>
      <c r="G207" s="930"/>
      <c r="H207" s="930" t="s">
        <v>279</v>
      </c>
      <c r="J207" s="1335"/>
      <c r="K207" s="1333"/>
      <c r="L207" s="1333"/>
      <c r="M207" s="932">
        <v>30850</v>
      </c>
      <c r="N207" s="932"/>
      <c r="O207" s="930"/>
      <c r="V207" s="926" t="s">
        <v>7417</v>
      </c>
      <c r="W207" s="931">
        <v>0.56319444444444444</v>
      </c>
      <c r="X207" s="931">
        <v>0.71180555555555547</v>
      </c>
    </row>
    <row r="208" spans="1:24" s="33" customFormat="1" x14ac:dyDescent="0.25">
      <c r="A208" s="547" t="s">
        <v>7941</v>
      </c>
      <c r="B208" s="33" t="s">
        <v>614</v>
      </c>
      <c r="C208" s="1402" t="s">
        <v>410</v>
      </c>
      <c r="D208" s="548">
        <v>46120</v>
      </c>
      <c r="E208" s="306" t="s">
        <v>8072</v>
      </c>
      <c r="F208" s="306" t="s">
        <v>425</v>
      </c>
      <c r="G208" s="279"/>
      <c r="H208" s="279" t="s">
        <v>279</v>
      </c>
      <c r="J208" s="1340"/>
      <c r="K208" s="1318"/>
      <c r="L208" s="1318"/>
      <c r="M208" s="933">
        <v>33618.199999999997</v>
      </c>
      <c r="N208" s="933"/>
      <c r="O208" s="279"/>
      <c r="V208" s="33" t="s">
        <v>4983</v>
      </c>
      <c r="W208" s="550">
        <v>0.93194444444444446</v>
      </c>
      <c r="X208" s="550">
        <v>0.125</v>
      </c>
    </row>
    <row r="209" spans="1:24" s="926" customFormat="1" x14ac:dyDescent="0.25">
      <c r="A209" s="925" t="s">
        <v>7943</v>
      </c>
      <c r="B209" s="926" t="s">
        <v>2129</v>
      </c>
      <c r="C209" s="1400" t="s">
        <v>4218</v>
      </c>
      <c r="D209" s="927">
        <v>46121</v>
      </c>
      <c r="E209" s="928" t="s">
        <v>8002</v>
      </c>
      <c r="F209" s="928" t="s">
        <v>236</v>
      </c>
      <c r="G209" s="1334"/>
      <c r="H209" s="930" t="s">
        <v>279</v>
      </c>
      <c r="J209" s="1111"/>
      <c r="K209" s="1333"/>
      <c r="L209" s="1333"/>
      <c r="M209" s="932">
        <v>66300</v>
      </c>
      <c r="N209" s="932"/>
      <c r="O209" s="930"/>
      <c r="V209" s="926" t="s">
        <v>7858</v>
      </c>
      <c r="W209" s="931">
        <v>0.29652777777777778</v>
      </c>
      <c r="X209" s="931">
        <v>0.57638888888888895</v>
      </c>
    </row>
    <row r="210" spans="1:24" s="926" customFormat="1" x14ac:dyDescent="0.25">
      <c r="A210" s="925" t="s">
        <v>7943</v>
      </c>
      <c r="B210" s="926" t="s">
        <v>3880</v>
      </c>
      <c r="C210" s="1400" t="s">
        <v>410</v>
      </c>
      <c r="D210" s="927">
        <v>46121</v>
      </c>
      <c r="E210" s="928" t="s">
        <v>7967</v>
      </c>
      <c r="F210" s="928" t="s">
        <v>545</v>
      </c>
      <c r="G210" s="930"/>
      <c r="H210" s="930" t="s">
        <v>279</v>
      </c>
      <c r="J210" s="1335"/>
      <c r="K210" s="1333"/>
      <c r="L210" s="1333"/>
      <c r="M210" s="932">
        <v>36500</v>
      </c>
      <c r="N210" s="932"/>
      <c r="O210" s="930"/>
      <c r="V210" s="926" t="s">
        <v>7335</v>
      </c>
      <c r="W210" s="931">
        <v>0.51666666666666672</v>
      </c>
      <c r="X210" s="931">
        <v>0.67291666666666661</v>
      </c>
    </row>
    <row r="211" spans="1:24" s="926" customFormat="1" x14ac:dyDescent="0.25">
      <c r="A211" s="925" t="s">
        <v>7943</v>
      </c>
      <c r="B211" s="926" t="s">
        <v>608</v>
      </c>
      <c r="C211" s="1400" t="s">
        <v>410</v>
      </c>
      <c r="D211" s="927">
        <v>46121</v>
      </c>
      <c r="E211" s="928" t="s">
        <v>7948</v>
      </c>
      <c r="F211" s="928" t="s">
        <v>236</v>
      </c>
      <c r="G211" s="1334"/>
      <c r="H211" s="930" t="s">
        <v>279</v>
      </c>
      <c r="J211" s="1111"/>
      <c r="K211" s="1333"/>
      <c r="L211" s="1333"/>
      <c r="M211" s="932">
        <v>61235</v>
      </c>
      <c r="N211" s="932"/>
      <c r="O211" s="930"/>
      <c r="V211" s="926" t="s">
        <v>4138</v>
      </c>
      <c r="W211" s="931">
        <v>0.83819444444444446</v>
      </c>
      <c r="X211" s="931">
        <v>0.92291666666666661</v>
      </c>
    </row>
    <row r="212" spans="1:24" s="926" customFormat="1" x14ac:dyDescent="0.25">
      <c r="A212" s="925" t="s">
        <v>7946</v>
      </c>
      <c r="B212" s="926" t="s">
        <v>7947</v>
      </c>
      <c r="C212" s="1400" t="s">
        <v>13</v>
      </c>
      <c r="D212" s="927">
        <v>46122</v>
      </c>
      <c r="E212" s="928" t="s">
        <v>7966</v>
      </c>
      <c r="F212" s="928" t="s">
        <v>294</v>
      </c>
      <c r="G212" s="1334"/>
      <c r="H212" s="930" t="s">
        <v>5224</v>
      </c>
      <c r="J212" s="1335"/>
      <c r="K212" s="1333"/>
      <c r="L212" s="1333"/>
      <c r="M212" s="932">
        <v>30800</v>
      </c>
      <c r="N212" s="932"/>
      <c r="O212" s="930"/>
      <c r="V212" s="926" t="s">
        <v>7335</v>
      </c>
      <c r="W212" s="931">
        <v>0.70138888888888884</v>
      </c>
      <c r="X212" s="931">
        <v>0.8652777777777777</v>
      </c>
    </row>
    <row r="213" spans="1:24" s="926" customFormat="1" x14ac:dyDescent="0.25">
      <c r="A213" s="925" t="s">
        <v>7946</v>
      </c>
      <c r="B213" s="926" t="s">
        <v>608</v>
      </c>
      <c r="C213" s="1400" t="s">
        <v>4218</v>
      </c>
      <c r="D213" s="927">
        <v>46122</v>
      </c>
      <c r="E213" s="928" t="s">
        <v>7971</v>
      </c>
      <c r="F213" s="928" t="s">
        <v>236</v>
      </c>
      <c r="G213" s="1334"/>
      <c r="H213" s="930" t="s">
        <v>279</v>
      </c>
      <c r="J213" s="1111"/>
      <c r="K213" s="1333"/>
      <c r="L213" s="1333"/>
      <c r="M213" s="932">
        <v>61235</v>
      </c>
      <c r="N213" s="932"/>
      <c r="O213" s="930"/>
      <c r="V213" s="926" t="s">
        <v>7858</v>
      </c>
      <c r="W213" s="931">
        <v>0.84652777777777777</v>
      </c>
      <c r="X213" s="931">
        <v>0.1111111111111111</v>
      </c>
    </row>
    <row r="214" spans="1:24" s="926" customFormat="1" x14ac:dyDescent="0.25">
      <c r="A214" s="925" t="s">
        <v>7965</v>
      </c>
      <c r="B214" s="926" t="s">
        <v>5093</v>
      </c>
      <c r="C214" s="1400" t="s">
        <v>13</v>
      </c>
      <c r="D214" s="927">
        <v>46123</v>
      </c>
      <c r="E214" s="928" t="s">
        <v>8013</v>
      </c>
      <c r="F214" s="928" t="s">
        <v>5326</v>
      </c>
      <c r="G214" s="1334"/>
      <c r="H214" s="930" t="s">
        <v>279</v>
      </c>
      <c r="J214" s="1335"/>
      <c r="K214" s="1333"/>
      <c r="L214" s="1333"/>
      <c r="M214" s="932">
        <v>38351</v>
      </c>
      <c r="N214" s="932"/>
      <c r="O214" s="930"/>
      <c r="V214" s="926" t="s">
        <v>4983</v>
      </c>
      <c r="W214" s="931">
        <v>0.28819444444444448</v>
      </c>
      <c r="X214" s="931">
        <v>0.49791666666666662</v>
      </c>
    </row>
    <row r="215" spans="1:24" s="926" customFormat="1" x14ac:dyDescent="0.25">
      <c r="A215" s="925" t="s">
        <v>7965</v>
      </c>
      <c r="B215" s="926" t="s">
        <v>2129</v>
      </c>
      <c r="C215" s="1400" t="s">
        <v>410</v>
      </c>
      <c r="D215" s="927">
        <v>46123</v>
      </c>
      <c r="E215" s="928" t="s">
        <v>8003</v>
      </c>
      <c r="F215" s="928" t="s">
        <v>236</v>
      </c>
      <c r="G215" s="1334"/>
      <c r="H215" s="930" t="s">
        <v>279</v>
      </c>
      <c r="J215" s="1111"/>
      <c r="K215" s="1333"/>
      <c r="L215" s="1333"/>
      <c r="M215" s="932">
        <v>66300</v>
      </c>
      <c r="N215" s="932"/>
      <c r="O215" s="930"/>
      <c r="V215" s="926" t="s">
        <v>4297</v>
      </c>
      <c r="W215" s="931">
        <v>0.44236111111111115</v>
      </c>
      <c r="X215" s="931">
        <v>0.72638888888888886</v>
      </c>
    </row>
    <row r="216" spans="1:24" s="33" customFormat="1" x14ac:dyDescent="0.25">
      <c r="A216" s="547" t="s">
        <v>7965</v>
      </c>
      <c r="B216" s="33" t="s">
        <v>614</v>
      </c>
      <c r="C216" s="1402" t="s">
        <v>13</v>
      </c>
      <c r="D216" s="548">
        <v>46123</v>
      </c>
      <c r="E216" s="306" t="s">
        <v>8072</v>
      </c>
      <c r="F216" s="306" t="s">
        <v>7824</v>
      </c>
      <c r="G216" s="319"/>
      <c r="H216" s="279" t="s">
        <v>279</v>
      </c>
      <c r="J216" s="1340"/>
      <c r="K216" s="1318"/>
      <c r="L216" s="1318"/>
      <c r="M216" s="933">
        <v>37984.199999999997</v>
      </c>
      <c r="N216" s="933"/>
      <c r="O216" s="279"/>
      <c r="V216" s="33" t="s">
        <v>4983</v>
      </c>
      <c r="W216" s="550">
        <v>0.52847222222222223</v>
      </c>
      <c r="X216" s="550">
        <v>0.67013888888888884</v>
      </c>
    </row>
    <row r="217" spans="1:24" s="926" customFormat="1" ht="15.75" customHeight="1" x14ac:dyDescent="0.25">
      <c r="A217" s="925" t="s">
        <v>7950</v>
      </c>
      <c r="B217" s="926" t="s">
        <v>3880</v>
      </c>
      <c r="C217" s="1400" t="s">
        <v>13</v>
      </c>
      <c r="D217" s="927">
        <v>46125</v>
      </c>
      <c r="E217" s="928" t="s">
        <v>7968</v>
      </c>
      <c r="F217" s="928" t="s">
        <v>545</v>
      </c>
      <c r="G217" s="1334"/>
      <c r="H217" s="930" t="s">
        <v>279</v>
      </c>
      <c r="J217" s="1335"/>
      <c r="K217" s="1333"/>
      <c r="L217" s="1333"/>
      <c r="M217" s="932">
        <v>36500</v>
      </c>
      <c r="N217" s="932"/>
      <c r="O217" s="930"/>
      <c r="V217" s="926" t="s">
        <v>4297</v>
      </c>
      <c r="W217" s="931">
        <v>0.84236111111111101</v>
      </c>
      <c r="X217" s="931">
        <v>1.3888888888888888E-2</v>
      </c>
    </row>
    <row r="218" spans="1:24" s="33" customFormat="1" ht="14.25" customHeight="1" x14ac:dyDescent="0.25">
      <c r="A218" s="547" t="s">
        <v>7976</v>
      </c>
      <c r="B218" s="33" t="s">
        <v>4870</v>
      </c>
      <c r="C218" s="1402" t="s">
        <v>4218</v>
      </c>
      <c r="D218" s="548">
        <v>46126</v>
      </c>
      <c r="E218" s="306" t="s">
        <v>8100</v>
      </c>
      <c r="F218" s="306" t="s">
        <v>285</v>
      </c>
      <c r="G218" s="319"/>
      <c r="H218" s="279" t="s">
        <v>279</v>
      </c>
      <c r="J218" s="1340"/>
      <c r="K218" s="1318"/>
      <c r="L218" s="1318"/>
      <c r="M218" s="933">
        <f>41622+9218</f>
        <v>50840</v>
      </c>
      <c r="N218" s="933"/>
      <c r="O218" s="279"/>
      <c r="P218" s="5"/>
      <c r="Q218" s="5"/>
      <c r="V218" s="33" t="s">
        <v>7833</v>
      </c>
      <c r="W218" s="550">
        <v>0.70833333333333337</v>
      </c>
      <c r="X218" s="550">
        <v>1.8749999999999999E-2</v>
      </c>
    </row>
    <row r="219" spans="1:24" s="926" customFormat="1" x14ac:dyDescent="0.25">
      <c r="A219" s="925" t="s">
        <v>7977</v>
      </c>
      <c r="B219" s="926" t="s">
        <v>7980</v>
      </c>
      <c r="C219" s="1400" t="s">
        <v>410</v>
      </c>
      <c r="D219" s="927">
        <v>46127</v>
      </c>
      <c r="E219" s="928" t="s">
        <v>7982</v>
      </c>
      <c r="F219" s="928" t="s">
        <v>236</v>
      </c>
      <c r="G219" s="1334"/>
      <c r="H219" s="930" t="s">
        <v>279</v>
      </c>
      <c r="J219" s="1111"/>
      <c r="K219" s="1333"/>
      <c r="L219" s="1333"/>
      <c r="M219" s="932">
        <v>66300</v>
      </c>
      <c r="N219" s="932"/>
      <c r="O219" s="930"/>
      <c r="V219" s="926" t="s">
        <v>7092</v>
      </c>
      <c r="W219" s="931">
        <v>0.26527777777777778</v>
      </c>
      <c r="X219" s="931">
        <v>0.55694444444444446</v>
      </c>
    </row>
    <row r="220" spans="1:24" s="926" customFormat="1" x14ac:dyDescent="0.25">
      <c r="A220" s="925" t="s">
        <v>7977</v>
      </c>
      <c r="B220" s="926" t="s">
        <v>610</v>
      </c>
      <c r="C220" s="1400" t="s">
        <v>4218</v>
      </c>
      <c r="D220" s="927">
        <v>46127</v>
      </c>
      <c r="E220" s="928" t="s">
        <v>7991</v>
      </c>
      <c r="F220" s="928" t="s">
        <v>106</v>
      </c>
      <c r="G220" s="1334"/>
      <c r="H220" s="930" t="s">
        <v>279</v>
      </c>
      <c r="J220" s="1335"/>
      <c r="K220" s="1333"/>
      <c r="L220" s="1333"/>
      <c r="M220" s="932">
        <v>30850</v>
      </c>
      <c r="N220" s="932"/>
      <c r="O220" s="930"/>
      <c r="V220" s="926" t="s">
        <v>7888</v>
      </c>
      <c r="W220" s="931">
        <v>0.57222222222222219</v>
      </c>
      <c r="X220" s="931">
        <v>0.71944444444444444</v>
      </c>
    </row>
    <row r="221" spans="1:24" s="926" customFormat="1" x14ac:dyDescent="0.25">
      <c r="A221" s="925" t="s">
        <v>7977</v>
      </c>
      <c r="B221" s="926" t="s">
        <v>3880</v>
      </c>
      <c r="C221" s="1400" t="s">
        <v>13</v>
      </c>
      <c r="D221" s="927">
        <v>46127</v>
      </c>
      <c r="E221" s="928" t="s">
        <v>7981</v>
      </c>
      <c r="F221" s="928" t="s">
        <v>545</v>
      </c>
      <c r="G221" s="1334"/>
      <c r="H221" s="930" t="s">
        <v>279</v>
      </c>
      <c r="J221" s="1335"/>
      <c r="K221" s="1333"/>
      <c r="L221" s="1333"/>
      <c r="M221" s="932">
        <v>36500</v>
      </c>
      <c r="N221" s="932"/>
      <c r="O221" s="930"/>
      <c r="V221" s="926" t="s">
        <v>7833</v>
      </c>
      <c r="W221" s="931">
        <v>0.61319444444444449</v>
      </c>
      <c r="X221" s="931">
        <v>0.81041666666666667</v>
      </c>
    </row>
    <row r="222" spans="1:24" s="33" customFormat="1" x14ac:dyDescent="0.25">
      <c r="A222" s="547" t="s">
        <v>7978</v>
      </c>
      <c r="B222" s="33" t="s">
        <v>614</v>
      </c>
      <c r="C222" s="1402" t="s">
        <v>13</v>
      </c>
      <c r="D222" s="548">
        <v>46128</v>
      </c>
      <c r="E222" s="306" t="s">
        <v>8072</v>
      </c>
      <c r="F222" s="306" t="s">
        <v>294</v>
      </c>
      <c r="G222" s="319"/>
      <c r="H222" s="279" t="s">
        <v>279</v>
      </c>
      <c r="J222" s="1340"/>
      <c r="K222" s="1318"/>
      <c r="L222" s="1318"/>
      <c r="M222" s="933">
        <v>37984.199999999997</v>
      </c>
      <c r="N222" s="933"/>
      <c r="O222" s="279"/>
      <c r="V222" s="33" t="s">
        <v>4297</v>
      </c>
      <c r="W222" s="550">
        <v>0.29583333333333334</v>
      </c>
      <c r="X222" s="550">
        <v>0.51041666666666663</v>
      </c>
    </row>
    <row r="223" spans="1:24" s="33" customFormat="1" x14ac:dyDescent="0.25">
      <c r="A223" s="547" t="s">
        <v>7978</v>
      </c>
      <c r="B223" s="33" t="s">
        <v>7979</v>
      </c>
      <c r="C223" s="1402" t="s">
        <v>4218</v>
      </c>
      <c r="D223" s="548">
        <v>46128</v>
      </c>
      <c r="E223" s="306" t="s">
        <v>8067</v>
      </c>
      <c r="F223" s="306" t="s">
        <v>2437</v>
      </c>
      <c r="G223" s="319"/>
      <c r="H223" s="279" t="s">
        <v>279</v>
      </c>
      <c r="J223" s="1340"/>
      <c r="K223" s="1318"/>
      <c r="L223" s="1318"/>
      <c r="M223" s="933">
        <v>27285</v>
      </c>
      <c r="N223" s="933"/>
      <c r="O223" s="279"/>
      <c r="P223" s="5"/>
      <c r="Q223" s="5"/>
      <c r="V223" s="33" t="s">
        <v>7078</v>
      </c>
      <c r="W223" s="550">
        <v>0.30277777777777776</v>
      </c>
      <c r="X223" s="550">
        <v>0.53749999999999998</v>
      </c>
    </row>
    <row r="224" spans="1:24" s="926" customFormat="1" x14ac:dyDescent="0.25">
      <c r="A224" s="925" t="s">
        <v>7978</v>
      </c>
      <c r="B224" s="926" t="s">
        <v>610</v>
      </c>
      <c r="C224" s="1400" t="s">
        <v>13</v>
      </c>
      <c r="D224" s="927">
        <v>46128</v>
      </c>
      <c r="E224" s="928" t="s">
        <v>7992</v>
      </c>
      <c r="F224" s="928" t="s">
        <v>106</v>
      </c>
      <c r="G224" s="1334"/>
      <c r="H224" s="930" t="s">
        <v>279</v>
      </c>
      <c r="J224" s="1335"/>
      <c r="K224" s="1333"/>
      <c r="L224" s="1333"/>
      <c r="M224" s="932">
        <v>30850</v>
      </c>
      <c r="N224" s="932"/>
      <c r="O224" s="930"/>
      <c r="V224" s="926" t="s">
        <v>4297</v>
      </c>
      <c r="W224" s="931">
        <v>0.54861111111111105</v>
      </c>
      <c r="X224" s="931">
        <v>0.71250000000000002</v>
      </c>
    </row>
    <row r="225" spans="1:24" s="926" customFormat="1" x14ac:dyDescent="0.25">
      <c r="A225" s="925" t="s">
        <v>7978</v>
      </c>
      <c r="B225" s="926" t="s">
        <v>7986</v>
      </c>
      <c r="C225" s="1400" t="s">
        <v>4218</v>
      </c>
      <c r="D225" s="927">
        <v>46128</v>
      </c>
      <c r="E225" s="928" t="s">
        <v>8020</v>
      </c>
      <c r="F225" s="928" t="s">
        <v>2253</v>
      </c>
      <c r="G225" s="1334"/>
      <c r="H225" s="930" t="s">
        <v>279</v>
      </c>
      <c r="J225" s="1111"/>
      <c r="K225" s="1333"/>
      <c r="L225" s="1333"/>
      <c r="M225" s="932"/>
      <c r="N225" s="932">
        <v>18534</v>
      </c>
      <c r="O225" s="930"/>
      <c r="V225" s="926" t="s">
        <v>7548</v>
      </c>
      <c r="W225" s="931">
        <v>0.66388888888888886</v>
      </c>
      <c r="X225" s="931">
        <v>0.98749999999999993</v>
      </c>
    </row>
    <row r="226" spans="1:24" s="926" customFormat="1" x14ac:dyDescent="0.25">
      <c r="A226" s="925" t="s">
        <v>7978</v>
      </c>
      <c r="B226" s="926" t="s">
        <v>3880</v>
      </c>
      <c r="C226" s="1400" t="s">
        <v>410</v>
      </c>
      <c r="D226" s="927">
        <v>46128</v>
      </c>
      <c r="E226" s="928" t="s">
        <v>8004</v>
      </c>
      <c r="F226" s="928" t="s">
        <v>545</v>
      </c>
      <c r="G226" s="930"/>
      <c r="H226" s="930" t="s">
        <v>279</v>
      </c>
      <c r="J226" s="1335"/>
      <c r="K226" s="1333"/>
      <c r="L226" s="1333"/>
      <c r="M226" s="932">
        <v>36500</v>
      </c>
      <c r="N226" s="932"/>
      <c r="O226" s="930"/>
      <c r="V226" s="926" t="s">
        <v>7914</v>
      </c>
      <c r="W226" s="931">
        <v>0.78333333333333333</v>
      </c>
      <c r="X226" s="931">
        <v>0.97013888888888899</v>
      </c>
    </row>
    <row r="227" spans="1:24" s="926" customFormat="1" x14ac:dyDescent="0.25">
      <c r="A227" s="925" t="s">
        <v>7994</v>
      </c>
      <c r="B227" s="926" t="s">
        <v>610</v>
      </c>
      <c r="C227" s="1400" t="s">
        <v>410</v>
      </c>
      <c r="D227" s="927">
        <v>46129</v>
      </c>
      <c r="E227" s="928" t="s">
        <v>8001</v>
      </c>
      <c r="F227" s="928" t="s">
        <v>106</v>
      </c>
      <c r="G227" s="1334"/>
      <c r="H227" s="930" t="s">
        <v>279</v>
      </c>
      <c r="J227" s="1335"/>
      <c r="K227" s="1333"/>
      <c r="L227" s="1333"/>
      <c r="M227" s="932">
        <v>30850</v>
      </c>
      <c r="N227" s="932"/>
      <c r="O227" s="930"/>
      <c r="V227" s="926" t="s">
        <v>4297</v>
      </c>
      <c r="W227" s="931">
        <v>0.56458333333333333</v>
      </c>
      <c r="X227" s="931">
        <v>0.72291666666666676</v>
      </c>
    </row>
    <row r="228" spans="1:24" s="926" customFormat="1" x14ac:dyDescent="0.25">
      <c r="A228" s="925" t="s">
        <v>7997</v>
      </c>
      <c r="B228" s="926" t="s">
        <v>1720</v>
      </c>
      <c r="C228" s="1400" t="s">
        <v>410</v>
      </c>
      <c r="D228" s="927">
        <v>46130</v>
      </c>
      <c r="E228" s="928" t="s">
        <v>8014</v>
      </c>
      <c r="F228" s="928" t="s">
        <v>545</v>
      </c>
      <c r="G228" s="1334"/>
      <c r="H228" s="930" t="s">
        <v>279</v>
      </c>
      <c r="J228" s="1335"/>
      <c r="K228" s="1333"/>
      <c r="L228" s="1333"/>
      <c r="M228" s="932">
        <v>37500</v>
      </c>
      <c r="N228" s="932"/>
      <c r="O228" s="930"/>
      <c r="V228" s="926" t="s">
        <v>7417</v>
      </c>
      <c r="W228" s="931">
        <v>0.67222222222222217</v>
      </c>
      <c r="X228" s="931">
        <v>0.84236111111111101</v>
      </c>
    </row>
    <row r="229" spans="1:24" s="33" customFormat="1" x14ac:dyDescent="0.25">
      <c r="A229" s="547" t="s">
        <v>7998</v>
      </c>
      <c r="B229" s="33" t="s">
        <v>7649</v>
      </c>
      <c r="C229" s="1402" t="s">
        <v>13</v>
      </c>
      <c r="D229" s="548">
        <v>46131</v>
      </c>
      <c r="E229" s="306" t="s">
        <v>8099</v>
      </c>
      <c r="F229" s="306" t="s">
        <v>294</v>
      </c>
      <c r="G229" s="319"/>
      <c r="H229" s="279" t="s">
        <v>279</v>
      </c>
      <c r="J229" s="1340"/>
      <c r="K229" s="1318"/>
      <c r="L229" s="1318"/>
      <c r="M229" s="933">
        <v>41600</v>
      </c>
      <c r="N229" s="933"/>
      <c r="O229" s="279"/>
      <c r="P229" s="5"/>
      <c r="Q229" s="5"/>
      <c r="V229" s="33" t="s">
        <v>4983</v>
      </c>
      <c r="W229" s="550">
        <v>0.40416666666666662</v>
      </c>
      <c r="X229" s="550">
        <v>0.61249999999999993</v>
      </c>
    </row>
    <row r="230" spans="1:24" s="926" customFormat="1" x14ac:dyDescent="0.25">
      <c r="A230" s="925" t="s">
        <v>7998</v>
      </c>
      <c r="B230" s="926" t="s">
        <v>7999</v>
      </c>
      <c r="C230" s="1400" t="s">
        <v>13</v>
      </c>
      <c r="D230" s="927">
        <v>46131</v>
      </c>
      <c r="E230" s="928" t="s">
        <v>8049</v>
      </c>
      <c r="F230" s="928" t="s">
        <v>68</v>
      </c>
      <c r="G230" s="1334"/>
      <c r="H230" s="930" t="s">
        <v>279</v>
      </c>
      <c r="J230" s="1111"/>
      <c r="K230" s="1333"/>
      <c r="L230" s="1333"/>
      <c r="M230" s="932"/>
      <c r="N230" s="932">
        <v>13950</v>
      </c>
      <c r="O230" s="930"/>
      <c r="V230" s="926" t="s">
        <v>4297</v>
      </c>
      <c r="W230" s="931">
        <v>0.65416666666666667</v>
      </c>
      <c r="X230" s="931">
        <v>0.90069444444444446</v>
      </c>
    </row>
    <row r="231" spans="1:24" s="33" customFormat="1" x14ac:dyDescent="0.25">
      <c r="A231" s="547" t="s">
        <v>8005</v>
      </c>
      <c r="B231" s="33" t="s">
        <v>4870</v>
      </c>
      <c r="C231" s="1402" t="s">
        <v>4218</v>
      </c>
      <c r="D231" s="548">
        <v>46133</v>
      </c>
      <c r="E231" s="306" t="s">
        <v>8101</v>
      </c>
      <c r="F231" s="306" t="s">
        <v>285</v>
      </c>
      <c r="G231" s="319"/>
      <c r="H231" s="279" t="s">
        <v>279</v>
      </c>
      <c r="J231" s="1340"/>
      <c r="K231" s="1318"/>
      <c r="L231" s="1318"/>
      <c r="M231" s="933">
        <f>43024+9346</f>
        <v>52370</v>
      </c>
      <c r="N231" s="933"/>
      <c r="O231" s="279"/>
      <c r="P231" s="5"/>
      <c r="Q231" s="5"/>
      <c r="V231" s="33" t="s">
        <v>4138</v>
      </c>
      <c r="W231" s="550">
        <v>0.29166666666666669</v>
      </c>
      <c r="X231" s="550">
        <v>0.59791666666666665</v>
      </c>
    </row>
    <row r="232" spans="1:24" s="926" customFormat="1" x14ac:dyDescent="0.25">
      <c r="A232" s="925" t="s">
        <v>8005</v>
      </c>
      <c r="B232" s="926" t="s">
        <v>7699</v>
      </c>
      <c r="C232" s="1400" t="s">
        <v>13</v>
      </c>
      <c r="D232" s="927">
        <v>46133</v>
      </c>
      <c r="E232" s="928" t="s">
        <v>8048</v>
      </c>
      <c r="F232" s="928" t="s">
        <v>207</v>
      </c>
      <c r="G232" s="1334"/>
      <c r="H232" s="930" t="s">
        <v>279</v>
      </c>
      <c r="J232" s="1335"/>
      <c r="K232" s="1333"/>
      <c r="L232" s="1333"/>
      <c r="M232" s="932"/>
      <c r="N232" s="932">
        <v>11560</v>
      </c>
      <c r="O232" s="930"/>
      <c r="V232" s="926" t="s">
        <v>7335</v>
      </c>
      <c r="W232" s="931">
        <v>0.44861111111111113</v>
      </c>
      <c r="X232" s="931">
        <v>0.64930555555555558</v>
      </c>
    </row>
    <row r="233" spans="1:24" s="33" customFormat="1" x14ac:dyDescent="0.25">
      <c r="A233" s="547" t="s">
        <v>8005</v>
      </c>
      <c r="B233" s="33" t="s">
        <v>614</v>
      </c>
      <c r="C233" s="1402" t="s">
        <v>410</v>
      </c>
      <c r="D233" s="548">
        <v>46133</v>
      </c>
      <c r="E233" s="306" t="s">
        <v>8072</v>
      </c>
      <c r="F233" s="306" t="s">
        <v>563</v>
      </c>
      <c r="G233" s="319"/>
      <c r="H233" s="279" t="s">
        <v>279</v>
      </c>
      <c r="J233" s="1340"/>
      <c r="K233" s="1318"/>
      <c r="L233" s="1318"/>
      <c r="M233" s="933">
        <v>28379</v>
      </c>
      <c r="N233" s="933"/>
      <c r="O233" s="279"/>
      <c r="V233" s="33" t="s">
        <v>4983</v>
      </c>
      <c r="W233" s="550">
        <v>0.4777777777777778</v>
      </c>
      <c r="X233" s="550">
        <v>0.67291666666666661</v>
      </c>
    </row>
    <row r="234" spans="1:24" s="33" customFormat="1" x14ac:dyDescent="0.25">
      <c r="A234" s="547" t="s">
        <v>8007</v>
      </c>
      <c r="B234" s="33" t="s">
        <v>2227</v>
      </c>
      <c r="C234" s="1402" t="s">
        <v>4218</v>
      </c>
      <c r="D234" s="548">
        <v>46136</v>
      </c>
      <c r="E234" s="306" t="s">
        <v>8123</v>
      </c>
      <c r="F234" s="306" t="s">
        <v>106</v>
      </c>
      <c r="G234" s="319"/>
      <c r="H234" s="279" t="s">
        <v>279</v>
      </c>
      <c r="J234" s="1340"/>
      <c r="K234" s="1318"/>
      <c r="L234" s="1318"/>
      <c r="M234" s="933">
        <v>28000</v>
      </c>
      <c r="N234" s="933"/>
      <c r="O234" s="279"/>
      <c r="V234" s="33" t="s">
        <v>7833</v>
      </c>
      <c r="W234" s="550">
        <v>0.4368055555555555</v>
      </c>
      <c r="X234" s="550">
        <v>0.60416666666666663</v>
      </c>
    </row>
    <row r="235" spans="1:24" s="1003" customFormat="1" x14ac:dyDescent="0.25">
      <c r="A235" s="1002" t="s">
        <v>8007</v>
      </c>
      <c r="B235" s="1003" t="s">
        <v>1720</v>
      </c>
      <c r="C235" s="1401" t="s">
        <v>809</v>
      </c>
      <c r="D235" s="1005">
        <v>46136</v>
      </c>
      <c r="E235" s="1004"/>
      <c r="F235" s="1004" t="s">
        <v>545</v>
      </c>
      <c r="G235" s="1350"/>
      <c r="H235" s="1189" t="s">
        <v>277</v>
      </c>
      <c r="J235" s="1351"/>
      <c r="K235" s="1352"/>
      <c r="L235" s="1352"/>
      <c r="M235" s="1103">
        <v>26000</v>
      </c>
      <c r="N235" s="1103"/>
      <c r="O235" s="1189"/>
      <c r="V235" s="1003" t="s">
        <v>7546</v>
      </c>
      <c r="W235" s="1009">
        <v>0.41180555555555554</v>
      </c>
      <c r="X235" s="1009">
        <v>0.4694444444444445</v>
      </c>
    </row>
    <row r="236" spans="1:24" s="926" customFormat="1" x14ac:dyDescent="0.25">
      <c r="A236" s="925" t="s">
        <v>8021</v>
      </c>
      <c r="B236" s="926" t="s">
        <v>8022</v>
      </c>
      <c r="C236" s="1400" t="s">
        <v>410</v>
      </c>
      <c r="D236" s="927">
        <v>46137</v>
      </c>
      <c r="E236" s="928" t="s">
        <v>8406</v>
      </c>
      <c r="F236" s="928" t="s">
        <v>68</v>
      </c>
      <c r="G236" s="1334"/>
      <c r="H236" s="930" t="s">
        <v>279</v>
      </c>
      <c r="J236" s="1111"/>
      <c r="K236" s="1333"/>
      <c r="L236" s="1333"/>
      <c r="M236" s="932">
        <v>47700</v>
      </c>
      <c r="N236" s="932"/>
      <c r="O236" s="930"/>
      <c r="V236" s="926" t="s">
        <v>7942</v>
      </c>
      <c r="W236" s="931">
        <v>0.42986111111111108</v>
      </c>
      <c r="X236" s="931">
        <v>0.74097222222222225</v>
      </c>
    </row>
    <row r="237" spans="1:24" s="926" customFormat="1" x14ac:dyDescent="0.25">
      <c r="A237" s="925" t="s">
        <v>8021</v>
      </c>
      <c r="B237" s="926" t="s">
        <v>608</v>
      </c>
      <c r="C237" s="1400" t="s">
        <v>4218</v>
      </c>
      <c r="D237" s="927">
        <v>46137</v>
      </c>
      <c r="E237" s="928" t="s">
        <v>8047</v>
      </c>
      <c r="F237" s="928" t="s">
        <v>236</v>
      </c>
      <c r="G237" s="1334"/>
      <c r="H237" s="930" t="s">
        <v>279</v>
      </c>
      <c r="J237" s="1111"/>
      <c r="K237" s="1333"/>
      <c r="L237" s="1333"/>
      <c r="M237" s="932">
        <v>63150</v>
      </c>
      <c r="N237" s="932"/>
      <c r="O237" s="930"/>
      <c r="V237" s="926" t="s">
        <v>4297</v>
      </c>
      <c r="W237" s="931">
        <v>0.42986111111111108</v>
      </c>
      <c r="X237" s="931">
        <v>0.70416666666666661</v>
      </c>
    </row>
    <row r="238" spans="1:24" s="926" customFormat="1" x14ac:dyDescent="0.25">
      <c r="A238" s="925" t="s">
        <v>8021</v>
      </c>
      <c r="B238" s="926" t="s">
        <v>610</v>
      </c>
      <c r="C238" s="1400" t="s">
        <v>13</v>
      </c>
      <c r="D238" s="927">
        <v>46137</v>
      </c>
      <c r="E238" s="928" t="s">
        <v>8029</v>
      </c>
      <c r="F238" s="928" t="s">
        <v>106</v>
      </c>
      <c r="G238" s="1334"/>
      <c r="H238" s="930" t="s">
        <v>279</v>
      </c>
      <c r="J238" s="1335"/>
      <c r="K238" s="1333"/>
      <c r="L238" s="1333"/>
      <c r="M238" s="932">
        <v>30850</v>
      </c>
      <c r="N238" s="932"/>
      <c r="O238" s="930"/>
      <c r="V238" s="926" t="s">
        <v>7548</v>
      </c>
      <c r="W238" s="931">
        <v>0.57708333333333328</v>
      </c>
      <c r="X238" s="931">
        <v>17.47</v>
      </c>
    </row>
    <row r="239" spans="1:24" s="33" customFormat="1" x14ac:dyDescent="0.25">
      <c r="A239" s="547" t="s">
        <v>8027</v>
      </c>
      <c r="B239" s="33" t="s">
        <v>5239</v>
      </c>
      <c r="C239" s="1402" t="s">
        <v>13</v>
      </c>
      <c r="D239" s="548">
        <v>46140</v>
      </c>
      <c r="E239" s="306" t="s">
        <v>8152</v>
      </c>
      <c r="F239" s="306" t="s">
        <v>207</v>
      </c>
      <c r="G239" s="319"/>
      <c r="H239" s="279" t="s">
        <v>279</v>
      </c>
      <c r="J239" s="1340"/>
      <c r="K239" s="1318"/>
      <c r="L239" s="1318"/>
      <c r="M239" s="933">
        <v>36350</v>
      </c>
      <c r="N239" s="933"/>
      <c r="O239" s="279"/>
      <c r="V239" s="33" t="s">
        <v>4867</v>
      </c>
      <c r="W239" s="550">
        <v>0.28472222222222221</v>
      </c>
      <c r="X239" s="550">
        <v>0.53125</v>
      </c>
    </row>
    <row r="240" spans="1:24" s="33" customFormat="1" x14ac:dyDescent="0.25">
      <c r="A240" s="547" t="s">
        <v>8027</v>
      </c>
      <c r="B240" s="33" t="s">
        <v>614</v>
      </c>
      <c r="C240" s="1402" t="s">
        <v>410</v>
      </c>
      <c r="D240" s="548">
        <v>46140</v>
      </c>
      <c r="E240" s="306" t="s">
        <v>8072</v>
      </c>
      <c r="F240" s="306" t="s">
        <v>2036</v>
      </c>
      <c r="G240" s="319"/>
      <c r="H240" s="279" t="s">
        <v>279</v>
      </c>
      <c r="J240" s="1340"/>
      <c r="K240" s="1318"/>
      <c r="L240" s="1318"/>
      <c r="M240" s="933">
        <v>26632.6</v>
      </c>
      <c r="N240" s="933"/>
      <c r="O240" s="279"/>
      <c r="V240" s="33" t="s">
        <v>4297</v>
      </c>
      <c r="W240" s="550">
        <v>0.37361111111111112</v>
      </c>
      <c r="X240" s="550">
        <v>0.50138888888888888</v>
      </c>
    </row>
    <row r="241" spans="1:24" s="926" customFormat="1" x14ac:dyDescent="0.25">
      <c r="A241" s="925" t="s">
        <v>8027</v>
      </c>
      <c r="B241" s="926" t="s">
        <v>1720</v>
      </c>
      <c r="C241" s="1400" t="s">
        <v>410</v>
      </c>
      <c r="D241" s="927">
        <v>46140</v>
      </c>
      <c r="E241" s="928" t="s">
        <v>8046</v>
      </c>
      <c r="F241" s="928" t="s">
        <v>545</v>
      </c>
      <c r="G241" s="1334"/>
      <c r="H241" s="930" t="s">
        <v>279</v>
      </c>
      <c r="J241" s="1335"/>
      <c r="K241" s="1333"/>
      <c r="L241" s="1333"/>
      <c r="M241" s="932">
        <v>37500</v>
      </c>
      <c r="N241" s="932"/>
      <c r="O241" s="930"/>
      <c r="V241" s="926" t="s">
        <v>4297</v>
      </c>
      <c r="W241" s="931">
        <v>13.51</v>
      </c>
      <c r="X241" s="931">
        <v>0.72916666666666663</v>
      </c>
    </row>
    <row r="242" spans="1:24" s="926" customFormat="1" x14ac:dyDescent="0.25">
      <c r="A242" s="925" t="s">
        <v>8043</v>
      </c>
      <c r="B242" s="926" t="s">
        <v>608</v>
      </c>
      <c r="C242" s="1400" t="s">
        <v>13</v>
      </c>
      <c r="D242" s="927">
        <v>46141</v>
      </c>
      <c r="E242" s="928" t="s">
        <v>8054</v>
      </c>
      <c r="F242" s="928" t="s">
        <v>236</v>
      </c>
      <c r="G242" s="1334"/>
      <c r="H242" s="930" t="s">
        <v>279</v>
      </c>
      <c r="J242" s="1111"/>
      <c r="K242" s="1333"/>
      <c r="L242" s="1333"/>
      <c r="M242" s="932">
        <v>63150</v>
      </c>
      <c r="N242" s="932"/>
      <c r="O242" s="930"/>
      <c r="V242" s="926" t="s">
        <v>7092</v>
      </c>
      <c r="W242" s="931">
        <v>0.60347222222222219</v>
      </c>
      <c r="X242" s="931">
        <v>0.89722222222222225</v>
      </c>
    </row>
    <row r="243" spans="1:24" s="33" customFormat="1" x14ac:dyDescent="0.25">
      <c r="A243" s="547" t="s">
        <v>8043</v>
      </c>
      <c r="B243" s="33" t="s">
        <v>614</v>
      </c>
      <c r="C243" s="1402" t="s">
        <v>410</v>
      </c>
      <c r="D243" s="548">
        <v>46141</v>
      </c>
      <c r="E243" s="306" t="s">
        <v>8072</v>
      </c>
      <c r="F243" s="306" t="s">
        <v>236</v>
      </c>
      <c r="G243" s="319"/>
      <c r="H243" s="279" t="s">
        <v>279</v>
      </c>
      <c r="J243" s="285"/>
      <c r="K243" s="1318"/>
      <c r="L243" s="1318"/>
      <c r="M243" s="933">
        <v>52828.6</v>
      </c>
      <c r="N243" s="933"/>
      <c r="O243" s="279"/>
      <c r="V243" s="33" t="s">
        <v>8044</v>
      </c>
      <c r="W243" s="550">
        <v>0.5493055555555556</v>
      </c>
      <c r="X243" s="550">
        <v>0.80833333333333324</v>
      </c>
    </row>
    <row r="244" spans="1:24" s="926" customFormat="1" x14ac:dyDescent="0.25">
      <c r="A244" s="925" t="s">
        <v>8043</v>
      </c>
      <c r="B244" s="926" t="s">
        <v>3880</v>
      </c>
      <c r="C244" s="1400" t="s">
        <v>410</v>
      </c>
      <c r="D244" s="927">
        <v>46141</v>
      </c>
      <c r="E244" s="928" t="s">
        <v>8050</v>
      </c>
      <c r="F244" s="928" t="s">
        <v>545</v>
      </c>
      <c r="G244" s="1334"/>
      <c r="H244" s="930" t="s">
        <v>279</v>
      </c>
      <c r="J244" s="1335"/>
      <c r="K244" s="1333"/>
      <c r="L244" s="1333"/>
      <c r="M244" s="932">
        <v>37500</v>
      </c>
      <c r="N244" s="932"/>
      <c r="O244" s="930"/>
      <c r="V244" s="926" t="s">
        <v>4297</v>
      </c>
      <c r="W244" s="931">
        <v>0.875</v>
      </c>
      <c r="X244" s="931">
        <v>3.7499999999999999E-2</v>
      </c>
    </row>
    <row r="245" spans="1:24" s="926" customFormat="1" x14ac:dyDescent="0.25">
      <c r="A245" s="925" t="s">
        <v>8045</v>
      </c>
      <c r="B245" s="926" t="s">
        <v>610</v>
      </c>
      <c r="C245" s="1400" t="s">
        <v>410</v>
      </c>
      <c r="D245" s="927">
        <v>46142</v>
      </c>
      <c r="E245" s="928" t="s">
        <v>8051</v>
      </c>
      <c r="F245" s="928" t="s">
        <v>106</v>
      </c>
      <c r="G245" s="1334"/>
      <c r="H245" s="930" t="s">
        <v>279</v>
      </c>
      <c r="J245" s="1335"/>
      <c r="K245" s="1333"/>
      <c r="L245" s="1333"/>
      <c r="M245" s="932">
        <v>30850</v>
      </c>
      <c r="N245" s="932"/>
      <c r="O245" s="930"/>
      <c r="V245" s="926" t="s">
        <v>8044</v>
      </c>
      <c r="W245" s="931">
        <v>0.27916666666666667</v>
      </c>
      <c r="X245" s="931">
        <v>0.42222222222222222</v>
      </c>
    </row>
    <row r="246" spans="1:24" s="33" customFormat="1" x14ac:dyDescent="0.25">
      <c r="A246" s="547" t="s">
        <v>8045</v>
      </c>
      <c r="B246" s="33" t="s">
        <v>614</v>
      </c>
      <c r="C246" s="1402" t="s">
        <v>410</v>
      </c>
      <c r="D246" s="548">
        <v>46142</v>
      </c>
      <c r="E246" s="306" t="s">
        <v>8072</v>
      </c>
      <c r="F246" s="306" t="s">
        <v>1931</v>
      </c>
      <c r="G246" s="319"/>
      <c r="H246" s="279" t="s">
        <v>279</v>
      </c>
      <c r="J246" s="285"/>
      <c r="K246" s="1318"/>
      <c r="L246" s="1318"/>
      <c r="M246" s="933">
        <v>52828.6</v>
      </c>
      <c r="N246" s="933"/>
      <c r="O246" s="279"/>
      <c r="V246" s="33" t="s">
        <v>7914</v>
      </c>
      <c r="W246" s="550">
        <v>0.67638888888888893</v>
      </c>
      <c r="X246" s="550">
        <v>6.9444444444444447E-4</v>
      </c>
    </row>
    <row r="247" spans="1:24" x14ac:dyDescent="0.25">
      <c r="D247" s="28"/>
      <c r="G247" s="88"/>
      <c r="H247" s="88"/>
      <c r="J247" s="1332"/>
      <c r="K247" s="1331"/>
      <c r="L247" s="1331"/>
      <c r="M247" s="313"/>
      <c r="N247" s="88"/>
      <c r="O247" s="88"/>
      <c r="W247" s="360"/>
      <c r="X247" s="360"/>
    </row>
    <row r="248" spans="1:24" ht="15.75" thickBot="1" x14ac:dyDescent="0.3">
      <c r="D248" s="28"/>
      <c r="G248" s="32"/>
      <c r="H248" s="32"/>
      <c r="J248" s="1309"/>
      <c r="K248" s="32"/>
      <c r="L248" s="32"/>
      <c r="M248" s="1144">
        <f>SUM(M198:M247)</f>
        <v>1821173.0000000002</v>
      </c>
      <c r="N248" s="1144">
        <f>SUM(N198:N247)</f>
        <v>62666</v>
      </c>
      <c r="W248" s="360"/>
      <c r="X248" s="360"/>
    </row>
    <row r="249" spans="1:24" x14ac:dyDescent="0.25">
      <c r="D249" s="28"/>
      <c r="G249" s="88"/>
      <c r="H249" s="88"/>
      <c r="J249" s="1332"/>
      <c r="K249" s="88"/>
      <c r="L249" s="88"/>
      <c r="M249" s="447"/>
      <c r="N249" s="447"/>
      <c r="O249" s="88"/>
      <c r="W249" s="360"/>
      <c r="X249" s="360"/>
    </row>
    <row r="250" spans="1:24" x14ac:dyDescent="0.25">
      <c r="D250" s="28"/>
      <c r="G250" s="88"/>
      <c r="H250" s="88"/>
      <c r="J250" s="1332"/>
      <c r="K250" s="88"/>
      <c r="L250" s="88"/>
      <c r="M250" s="447"/>
      <c r="N250" s="447"/>
      <c r="O250" s="88"/>
      <c r="W250" s="360"/>
      <c r="X250" s="360"/>
    </row>
    <row r="251" spans="1:24" x14ac:dyDescent="0.25">
      <c r="D251" s="28"/>
      <c r="G251" s="88"/>
      <c r="H251" s="88"/>
      <c r="J251" s="1332"/>
      <c r="K251" s="88"/>
      <c r="L251" s="88"/>
      <c r="M251" s="447"/>
      <c r="N251" s="447"/>
      <c r="O251" s="88"/>
      <c r="W251" s="360"/>
      <c r="X251" s="360"/>
    </row>
    <row r="252" spans="1:24" x14ac:dyDescent="0.25">
      <c r="D252" s="28"/>
      <c r="G252" s="88"/>
      <c r="H252" s="88"/>
      <c r="J252" s="1332"/>
      <c r="K252" s="88"/>
      <c r="L252" s="88"/>
      <c r="M252" s="447"/>
      <c r="N252" s="447"/>
      <c r="O252" s="88"/>
      <c r="W252" s="360"/>
      <c r="X252" s="360"/>
    </row>
    <row r="253" spans="1:24" s="926" customFormat="1" ht="13.5" customHeight="1" x14ac:dyDescent="0.25">
      <c r="A253" s="925" t="s">
        <v>8055</v>
      </c>
      <c r="B253" s="926" t="s">
        <v>1720</v>
      </c>
      <c r="C253" s="1400" t="s">
        <v>4218</v>
      </c>
      <c r="D253" s="927">
        <v>46143</v>
      </c>
      <c r="E253" s="928" t="s">
        <v>8074</v>
      </c>
      <c r="F253" s="928" t="s">
        <v>545</v>
      </c>
      <c r="G253" s="1334"/>
      <c r="H253" s="930" t="s">
        <v>279</v>
      </c>
      <c r="J253" s="1335"/>
      <c r="K253" s="1333"/>
      <c r="L253" s="1333"/>
      <c r="M253" s="932">
        <v>37500</v>
      </c>
      <c r="N253" s="932"/>
      <c r="O253" s="930"/>
      <c r="V253" s="926" t="s">
        <v>6067</v>
      </c>
      <c r="W253" s="931">
        <v>0.57430555555555551</v>
      </c>
      <c r="X253" s="931">
        <v>0.75347222222222221</v>
      </c>
    </row>
    <row r="254" spans="1:24" s="926" customFormat="1" x14ac:dyDescent="0.25">
      <c r="A254" s="925" t="s">
        <v>8055</v>
      </c>
      <c r="B254" s="926" t="s">
        <v>572</v>
      </c>
      <c r="C254" s="1400" t="s">
        <v>13</v>
      </c>
      <c r="D254" s="927">
        <v>46143</v>
      </c>
      <c r="E254" s="928" t="s">
        <v>8061</v>
      </c>
      <c r="F254" s="928" t="s">
        <v>207</v>
      </c>
      <c r="G254" s="1334"/>
      <c r="H254" s="930" t="s">
        <v>279</v>
      </c>
      <c r="J254" s="1335"/>
      <c r="K254" s="1333"/>
      <c r="L254" s="1333"/>
      <c r="M254" s="932"/>
      <c r="N254" s="930">
        <v>10880</v>
      </c>
      <c r="O254" s="932"/>
      <c r="V254" s="926" t="s">
        <v>7942</v>
      </c>
      <c r="W254" s="931">
        <v>0.60347222222222219</v>
      </c>
      <c r="X254" s="931">
        <v>0.76180555555555562</v>
      </c>
    </row>
    <row r="255" spans="1:24" s="926" customFormat="1" x14ac:dyDescent="0.25">
      <c r="A255" s="925" t="s">
        <v>8056</v>
      </c>
      <c r="B255" s="926" t="s">
        <v>572</v>
      </c>
      <c r="C255" s="1400" t="s">
        <v>13</v>
      </c>
      <c r="D255" s="927">
        <v>46144</v>
      </c>
      <c r="E255" s="928" t="s">
        <v>8062</v>
      </c>
      <c r="F255" s="928" t="s">
        <v>207</v>
      </c>
      <c r="G255" s="1334"/>
      <c r="H255" s="930" t="s">
        <v>279</v>
      </c>
      <c r="J255" s="1335"/>
      <c r="K255" s="1333"/>
      <c r="L255" s="1333"/>
      <c r="M255" s="932"/>
      <c r="N255" s="930">
        <v>10880</v>
      </c>
      <c r="O255" s="932"/>
      <c r="V255" s="926" t="s">
        <v>894</v>
      </c>
      <c r="W255" s="931">
        <v>0.28125</v>
      </c>
      <c r="X255" s="931">
        <v>0.52777777777777779</v>
      </c>
    </row>
    <row r="256" spans="1:24" s="926" customFormat="1" x14ac:dyDescent="0.25">
      <c r="A256" s="925" t="s">
        <v>8056</v>
      </c>
      <c r="B256" s="926" t="s">
        <v>1720</v>
      </c>
      <c r="C256" s="1400" t="s">
        <v>410</v>
      </c>
      <c r="D256" s="927">
        <v>46144</v>
      </c>
      <c r="E256" s="928" t="s">
        <v>8073</v>
      </c>
      <c r="F256" s="928" t="s">
        <v>545</v>
      </c>
      <c r="G256" s="1334"/>
      <c r="H256" s="930" t="s">
        <v>279</v>
      </c>
      <c r="J256" s="1335"/>
      <c r="K256" s="1333"/>
      <c r="L256" s="1333"/>
      <c r="M256" s="932">
        <v>37500</v>
      </c>
      <c r="N256" s="932"/>
      <c r="O256" s="930"/>
      <c r="V256" s="926" t="s">
        <v>4140</v>
      </c>
      <c r="W256" s="931">
        <v>0.70138888888888884</v>
      </c>
      <c r="X256" s="931">
        <v>0.96875</v>
      </c>
    </row>
    <row r="257" spans="1:24" s="33" customFormat="1" x14ac:dyDescent="0.25">
      <c r="A257" s="547" t="s">
        <v>8057</v>
      </c>
      <c r="B257" s="33" t="s">
        <v>2129</v>
      </c>
      <c r="C257" s="1402" t="s">
        <v>410</v>
      </c>
      <c r="D257" s="548">
        <v>46146</v>
      </c>
      <c r="E257" s="306" t="s">
        <v>8229</v>
      </c>
      <c r="F257" s="306" t="s">
        <v>236</v>
      </c>
      <c r="G257" s="319"/>
      <c r="H257" s="279" t="s">
        <v>279</v>
      </c>
      <c r="J257" s="1340"/>
      <c r="K257" s="1318"/>
      <c r="L257" s="1318"/>
      <c r="M257" s="933">
        <v>66300</v>
      </c>
      <c r="N257" s="933"/>
      <c r="O257" s="279"/>
      <c r="V257" s="33" t="s">
        <v>8044</v>
      </c>
      <c r="W257" s="550">
        <v>0.47986111111111113</v>
      </c>
      <c r="X257" s="550">
        <v>0.74513888888888891</v>
      </c>
    </row>
    <row r="258" spans="1:24" s="926" customFormat="1" x14ac:dyDescent="0.25">
      <c r="A258" s="925" t="s">
        <v>8064</v>
      </c>
      <c r="B258" s="926" t="s">
        <v>610</v>
      </c>
      <c r="C258" s="1400" t="s">
        <v>4218</v>
      </c>
      <c r="D258" s="927">
        <v>46148</v>
      </c>
      <c r="E258" s="928" t="s">
        <v>8069</v>
      </c>
      <c r="F258" s="928" t="s">
        <v>106</v>
      </c>
      <c r="G258" s="1334"/>
      <c r="H258" s="930" t="s">
        <v>279</v>
      </c>
      <c r="J258" s="1335"/>
      <c r="K258" s="1333"/>
      <c r="L258" s="1333"/>
      <c r="M258" s="932">
        <v>30850</v>
      </c>
      <c r="N258" s="932"/>
      <c r="O258" s="930"/>
      <c r="V258" s="926" t="s">
        <v>4983</v>
      </c>
      <c r="W258" s="931">
        <v>0.47916666666666669</v>
      </c>
      <c r="X258" s="931">
        <v>0.63611111111111118</v>
      </c>
    </row>
    <row r="259" spans="1:24" s="33" customFormat="1" x14ac:dyDescent="0.25">
      <c r="A259" s="547" t="s">
        <v>8063</v>
      </c>
      <c r="B259" s="33" t="s">
        <v>614</v>
      </c>
      <c r="C259" s="1402" t="s">
        <v>4218</v>
      </c>
      <c r="D259" s="548">
        <v>46149</v>
      </c>
      <c r="E259" s="306" t="s">
        <v>8250</v>
      </c>
      <c r="F259" s="306" t="s">
        <v>68</v>
      </c>
      <c r="G259" s="319"/>
      <c r="H259" s="279" t="s">
        <v>279</v>
      </c>
      <c r="J259" s="1340"/>
      <c r="K259" s="1318"/>
      <c r="L259" s="1318"/>
      <c r="M259" s="933">
        <v>44096.6</v>
      </c>
      <c r="N259" s="933"/>
      <c r="O259" s="279"/>
      <c r="V259" s="33" t="s">
        <v>8065</v>
      </c>
      <c r="W259" s="550">
        <v>0.29652777777777778</v>
      </c>
      <c r="X259" s="550">
        <v>0.59166666666666667</v>
      </c>
    </row>
    <row r="260" spans="1:24" s="1321" customFormat="1" x14ac:dyDescent="0.25">
      <c r="A260" s="1320" t="s">
        <v>8066</v>
      </c>
      <c r="B260" s="1321" t="s">
        <v>611</v>
      </c>
      <c r="C260" s="1403" t="s">
        <v>4218</v>
      </c>
      <c r="D260" s="1322">
        <v>46150</v>
      </c>
      <c r="E260" s="1323" t="s">
        <v>8495</v>
      </c>
      <c r="F260" s="1323" t="s">
        <v>143</v>
      </c>
      <c r="G260" s="1462"/>
      <c r="H260" s="1329" t="s">
        <v>279</v>
      </c>
      <c r="J260" s="1463"/>
      <c r="K260" s="1464"/>
      <c r="L260" s="1464"/>
      <c r="M260" s="1465">
        <v>43765</v>
      </c>
      <c r="N260" s="1465"/>
      <c r="O260" s="1329"/>
      <c r="V260" s="1321" t="s">
        <v>7078</v>
      </c>
      <c r="W260" s="1330">
        <v>0.92638888888888893</v>
      </c>
      <c r="X260" s="1330">
        <v>0.12152777777777778</v>
      </c>
    </row>
    <row r="261" spans="1:24" s="33" customFormat="1" x14ac:dyDescent="0.25">
      <c r="A261" s="547" t="s">
        <v>8066</v>
      </c>
      <c r="B261" s="33" t="s">
        <v>614</v>
      </c>
      <c r="C261" s="1402" t="s">
        <v>410</v>
      </c>
      <c r="D261" s="548">
        <v>46150</v>
      </c>
      <c r="E261" s="306" t="s">
        <v>8250</v>
      </c>
      <c r="F261" s="306" t="s">
        <v>207</v>
      </c>
      <c r="G261" s="319"/>
      <c r="H261" s="279" t="s">
        <v>279</v>
      </c>
      <c r="J261" s="1340"/>
      <c r="K261" s="1318"/>
      <c r="L261" s="1318"/>
      <c r="M261" s="933">
        <v>35364.6</v>
      </c>
      <c r="N261" s="933"/>
      <c r="O261" s="279"/>
      <c r="V261" s="33" t="s">
        <v>8044</v>
      </c>
      <c r="W261" s="550">
        <v>0.26527777777777778</v>
      </c>
      <c r="X261" s="550">
        <v>0.47569444444444442</v>
      </c>
    </row>
    <row r="262" spans="1:24" s="926" customFormat="1" x14ac:dyDescent="0.25">
      <c r="A262" s="925" t="s">
        <v>8070</v>
      </c>
      <c r="B262" s="926" t="s">
        <v>6109</v>
      </c>
      <c r="C262" s="1400" t="s">
        <v>4218</v>
      </c>
      <c r="D262" s="927">
        <v>46151</v>
      </c>
      <c r="E262" s="928" t="s">
        <v>8097</v>
      </c>
      <c r="F262" s="928" t="s">
        <v>207</v>
      </c>
      <c r="G262" s="1334"/>
      <c r="H262" s="930" t="s">
        <v>279</v>
      </c>
      <c r="J262" s="1335"/>
      <c r="K262" s="1333"/>
      <c r="L262" s="1333"/>
      <c r="M262" s="932"/>
      <c r="N262" s="932">
        <v>11600</v>
      </c>
      <c r="O262" s="930"/>
      <c r="V262" s="926" t="s">
        <v>7888</v>
      </c>
      <c r="W262" s="931">
        <v>0.26874999999999999</v>
      </c>
      <c r="X262" s="931">
        <v>0.5229166666666667</v>
      </c>
    </row>
    <row r="263" spans="1:24" s="33" customFormat="1" x14ac:dyDescent="0.25">
      <c r="A263" s="547" t="s">
        <v>8071</v>
      </c>
      <c r="B263" s="33" t="s">
        <v>614</v>
      </c>
      <c r="C263" s="1402" t="s">
        <v>4218</v>
      </c>
      <c r="D263" s="548">
        <v>46153</v>
      </c>
      <c r="E263" s="306" t="s">
        <v>8250</v>
      </c>
      <c r="F263" s="306" t="s">
        <v>317</v>
      </c>
      <c r="G263" s="319"/>
      <c r="H263" s="279" t="s">
        <v>279</v>
      </c>
      <c r="J263" s="1340"/>
      <c r="K263" s="1318"/>
      <c r="L263" s="1318"/>
      <c r="M263" s="933">
        <v>45843</v>
      </c>
      <c r="N263" s="933"/>
      <c r="O263" s="279"/>
      <c r="V263" s="33" t="s">
        <v>7842</v>
      </c>
      <c r="W263" s="550">
        <v>0.30624999999999997</v>
      </c>
      <c r="X263" s="550">
        <v>0.65208333333333335</v>
      </c>
    </row>
    <row r="264" spans="1:24" s="33" customFormat="1" x14ac:dyDescent="0.25">
      <c r="A264" s="547" t="s">
        <v>8105</v>
      </c>
      <c r="B264" s="33" t="s">
        <v>3388</v>
      </c>
      <c r="C264" s="1402" t="s">
        <v>4218</v>
      </c>
      <c r="D264" s="548">
        <v>46154</v>
      </c>
      <c r="E264" s="306" t="s">
        <v>8395</v>
      </c>
      <c r="F264" s="306" t="s">
        <v>1931</v>
      </c>
      <c r="G264" s="319"/>
      <c r="H264" s="279" t="s">
        <v>279</v>
      </c>
      <c r="J264" s="1340"/>
      <c r="K264" s="1318"/>
      <c r="L264" s="1318"/>
      <c r="M264" s="933">
        <v>62275</v>
      </c>
      <c r="N264" s="933"/>
      <c r="O264" s="279"/>
      <c r="V264" s="33" t="s">
        <v>7842</v>
      </c>
      <c r="W264" s="550">
        <v>0.66527777777777775</v>
      </c>
      <c r="X264" s="550">
        <v>0.98402777777777783</v>
      </c>
    </row>
    <row r="265" spans="1:24" s="926" customFormat="1" x14ac:dyDescent="0.25">
      <c r="A265" s="925" t="s">
        <v>8106</v>
      </c>
      <c r="B265" s="926" t="s">
        <v>3880</v>
      </c>
      <c r="C265" s="1400" t="s">
        <v>410</v>
      </c>
      <c r="D265" s="927">
        <v>46155</v>
      </c>
      <c r="E265" s="928" t="s">
        <v>8110</v>
      </c>
      <c r="F265" s="928" t="s">
        <v>545</v>
      </c>
      <c r="G265" s="1334"/>
      <c r="H265" s="930" t="s">
        <v>279</v>
      </c>
      <c r="J265" s="1335"/>
      <c r="K265" s="1333"/>
      <c r="L265" s="1333"/>
      <c r="M265" s="932">
        <v>37500</v>
      </c>
      <c r="N265" s="932"/>
      <c r="O265" s="930"/>
      <c r="V265" s="926" t="s">
        <v>5131</v>
      </c>
      <c r="W265" s="931">
        <v>0.51597222222222217</v>
      </c>
      <c r="X265" s="931">
        <v>0.68125000000000002</v>
      </c>
    </row>
    <row r="266" spans="1:24" s="926" customFormat="1" x14ac:dyDescent="0.25">
      <c r="A266" s="925" t="s">
        <v>8106</v>
      </c>
      <c r="B266" s="926" t="s">
        <v>4021</v>
      </c>
      <c r="C266" s="1400" t="s">
        <v>13</v>
      </c>
      <c r="D266" s="927">
        <v>46155</v>
      </c>
      <c r="E266" s="928" t="s">
        <v>8109</v>
      </c>
      <c r="F266" s="928" t="s">
        <v>425</v>
      </c>
      <c r="G266" s="1334"/>
      <c r="H266" s="930" t="s">
        <v>279</v>
      </c>
      <c r="J266" s="1335"/>
      <c r="K266" s="1333"/>
      <c r="L266" s="1333"/>
      <c r="M266" s="932">
        <v>35560</v>
      </c>
      <c r="N266" s="932"/>
      <c r="O266" s="930"/>
      <c r="V266" s="926" t="s">
        <v>4983</v>
      </c>
      <c r="W266" s="931">
        <v>0.58333333333333337</v>
      </c>
      <c r="X266" s="931">
        <v>0.77430555555555547</v>
      </c>
    </row>
    <row r="267" spans="1:24" s="33" customFormat="1" x14ac:dyDescent="0.25">
      <c r="A267" s="547" t="s">
        <v>8107</v>
      </c>
      <c r="B267" s="33" t="s">
        <v>614</v>
      </c>
      <c r="C267" s="1402" t="s">
        <v>4218</v>
      </c>
      <c r="D267" s="548">
        <v>46156</v>
      </c>
      <c r="E267" s="306" t="s">
        <v>8250</v>
      </c>
      <c r="F267" s="306" t="s">
        <v>2437</v>
      </c>
      <c r="G267" s="319"/>
      <c r="H267" s="279" t="s">
        <v>279</v>
      </c>
      <c r="J267" s="1340"/>
      <c r="K267" s="1318"/>
      <c r="L267" s="1318"/>
      <c r="M267" s="933">
        <v>24886.2</v>
      </c>
      <c r="N267" s="933"/>
      <c r="O267" s="279"/>
      <c r="V267" s="33" t="s">
        <v>7417</v>
      </c>
      <c r="W267" s="550">
        <v>0.26805555555555555</v>
      </c>
      <c r="X267" s="550">
        <v>0.47986111111111113</v>
      </c>
    </row>
    <row r="268" spans="1:24" s="926" customFormat="1" x14ac:dyDescent="0.25">
      <c r="A268" s="925" t="s">
        <v>8107</v>
      </c>
      <c r="B268" s="926" t="s">
        <v>572</v>
      </c>
      <c r="C268" s="1400" t="s">
        <v>13</v>
      </c>
      <c r="D268" s="927">
        <v>46156</v>
      </c>
      <c r="E268" s="928" t="s">
        <v>8111</v>
      </c>
      <c r="F268" s="928" t="s">
        <v>207</v>
      </c>
      <c r="G268" s="1334"/>
      <c r="H268" s="930" t="s">
        <v>279</v>
      </c>
      <c r="J268" s="1335"/>
      <c r="K268" s="1333"/>
      <c r="L268" s="1333"/>
      <c r="M268" s="932"/>
      <c r="N268" s="932">
        <v>10880</v>
      </c>
      <c r="O268" s="930"/>
      <c r="V268" s="926" t="s">
        <v>8065</v>
      </c>
      <c r="W268" s="931">
        <v>0.49374999999999997</v>
      </c>
      <c r="X268" s="931">
        <v>0.69166666666666676</v>
      </c>
    </row>
    <row r="269" spans="1:24" s="926" customFormat="1" x14ac:dyDescent="0.25">
      <c r="A269" s="925" t="s">
        <v>8108</v>
      </c>
      <c r="B269" s="926" t="s">
        <v>610</v>
      </c>
      <c r="C269" s="1400" t="s">
        <v>410</v>
      </c>
      <c r="D269" s="927">
        <v>46157</v>
      </c>
      <c r="E269" s="928" t="s">
        <v>8116</v>
      </c>
      <c r="F269" s="928" t="s">
        <v>106</v>
      </c>
      <c r="G269" s="1334"/>
      <c r="H269" s="930" t="s">
        <v>279</v>
      </c>
      <c r="J269" s="1335"/>
      <c r="K269" s="1333"/>
      <c r="L269" s="1333"/>
      <c r="M269" s="932">
        <v>30850</v>
      </c>
      <c r="N269" s="932"/>
      <c r="O269" s="930"/>
      <c r="V269" s="926" t="s">
        <v>7060</v>
      </c>
      <c r="W269" s="931">
        <v>0.26458333333333334</v>
      </c>
      <c r="X269" s="931">
        <v>0.46736111111111112</v>
      </c>
    </row>
    <row r="270" spans="1:24" s="926" customFormat="1" x14ac:dyDescent="0.25">
      <c r="A270" s="925" t="s">
        <v>8108</v>
      </c>
      <c r="B270" s="926" t="s">
        <v>610</v>
      </c>
      <c r="C270" s="1400" t="s">
        <v>4218</v>
      </c>
      <c r="D270" s="927">
        <v>46157</v>
      </c>
      <c r="E270" s="928" t="s">
        <v>8157</v>
      </c>
      <c r="F270" s="928" t="s">
        <v>106</v>
      </c>
      <c r="G270" s="1334"/>
      <c r="H270" s="930" t="s">
        <v>279</v>
      </c>
      <c r="J270" s="1335"/>
      <c r="K270" s="1333"/>
      <c r="L270" s="1333"/>
      <c r="M270" s="932">
        <v>30850</v>
      </c>
      <c r="N270" s="932"/>
      <c r="O270" s="930"/>
      <c r="V270" s="926" t="s">
        <v>4983</v>
      </c>
      <c r="W270" s="931">
        <v>0.34791666666666665</v>
      </c>
      <c r="X270" s="931">
        <v>0.49722222222222223</v>
      </c>
    </row>
    <row r="271" spans="1:24" s="33" customFormat="1" x14ac:dyDescent="0.25">
      <c r="A271" s="547" t="s">
        <v>8108</v>
      </c>
      <c r="B271" s="33" t="s">
        <v>614</v>
      </c>
      <c r="C271" s="1402" t="s">
        <v>13</v>
      </c>
      <c r="D271" s="548">
        <v>46157</v>
      </c>
      <c r="E271" s="306" t="s">
        <v>8250</v>
      </c>
      <c r="F271" s="306" t="s">
        <v>545</v>
      </c>
      <c r="G271" s="319"/>
      <c r="H271" s="279" t="s">
        <v>279</v>
      </c>
      <c r="J271" s="1340"/>
      <c r="K271" s="1318"/>
      <c r="L271" s="1318"/>
      <c r="M271" s="933">
        <v>31871.8</v>
      </c>
      <c r="N271" s="933"/>
      <c r="O271" s="279"/>
      <c r="V271" s="33" t="s">
        <v>8065</v>
      </c>
      <c r="W271" s="550">
        <v>0.4458333333333333</v>
      </c>
      <c r="X271" s="550">
        <v>0.62430555555555556</v>
      </c>
    </row>
    <row r="272" spans="1:24" s="926" customFormat="1" x14ac:dyDescent="0.25">
      <c r="A272" s="925" t="s">
        <v>8108</v>
      </c>
      <c r="B272" s="926" t="s">
        <v>2422</v>
      </c>
      <c r="C272" s="1400" t="s">
        <v>13</v>
      </c>
      <c r="D272" s="927">
        <v>46157</v>
      </c>
      <c r="E272" s="928" t="s">
        <v>8406</v>
      </c>
      <c r="F272" s="928" t="s">
        <v>68</v>
      </c>
      <c r="G272" s="1334"/>
      <c r="H272" s="930" t="s">
        <v>279</v>
      </c>
      <c r="J272" s="1335"/>
      <c r="K272" s="1333"/>
      <c r="L272" s="1333"/>
      <c r="M272" s="932">
        <v>47700</v>
      </c>
      <c r="N272" s="932"/>
      <c r="O272" s="930"/>
      <c r="V272" s="926" t="s">
        <v>7842</v>
      </c>
      <c r="W272" s="931">
        <v>0.66597222222222219</v>
      </c>
      <c r="X272" s="931">
        <v>0.95972222222222225</v>
      </c>
    </row>
    <row r="273" spans="1:24" s="926" customFormat="1" x14ac:dyDescent="0.25">
      <c r="A273" s="925" t="s">
        <v>8117</v>
      </c>
      <c r="B273" s="926" t="s">
        <v>610</v>
      </c>
      <c r="C273" s="1400" t="s">
        <v>410</v>
      </c>
      <c r="D273" s="927">
        <v>46158</v>
      </c>
      <c r="E273" s="928" t="s">
        <v>8136</v>
      </c>
      <c r="F273" s="928" t="s">
        <v>106</v>
      </c>
      <c r="G273" s="1334"/>
      <c r="H273" s="930" t="s">
        <v>279</v>
      </c>
      <c r="J273" s="1335"/>
      <c r="K273" s="1333"/>
      <c r="L273" s="1333"/>
      <c r="M273" s="932">
        <v>30850</v>
      </c>
      <c r="N273" s="932"/>
      <c r="O273" s="930"/>
      <c r="V273" s="926" t="s">
        <v>4867</v>
      </c>
      <c r="W273" s="931">
        <v>0.2673611111111111</v>
      </c>
      <c r="X273" s="931">
        <v>0.44930555555555557</v>
      </c>
    </row>
    <row r="274" spans="1:24" s="5" customFormat="1" x14ac:dyDescent="0.25">
      <c r="A274" s="495" t="s">
        <v>8117</v>
      </c>
      <c r="B274" s="5" t="s">
        <v>3204</v>
      </c>
      <c r="C274" s="1406" t="s">
        <v>4218</v>
      </c>
      <c r="D274" s="494">
        <v>46158</v>
      </c>
      <c r="E274" s="127"/>
      <c r="F274" s="127" t="s">
        <v>2253</v>
      </c>
      <c r="G274" s="1338"/>
      <c r="H274" s="89" t="s">
        <v>279</v>
      </c>
      <c r="J274" s="1339"/>
      <c r="K274" s="1319"/>
      <c r="L274" s="1319"/>
      <c r="M274" s="935">
        <f>17420+43990</f>
        <v>61410</v>
      </c>
      <c r="N274" s="935"/>
      <c r="O274" s="89"/>
      <c r="V274" s="5" t="s">
        <v>8118</v>
      </c>
      <c r="W274" s="496">
        <v>0.28472222222222221</v>
      </c>
      <c r="X274" s="496">
        <v>0.62013888888888891</v>
      </c>
    </row>
    <row r="275" spans="1:24" s="33" customFormat="1" ht="13.5" customHeight="1" x14ac:dyDescent="0.25">
      <c r="A275" s="547" t="s">
        <v>8117</v>
      </c>
      <c r="B275" s="33" t="s">
        <v>614</v>
      </c>
      <c r="C275" s="1402" t="s">
        <v>410</v>
      </c>
      <c r="D275" s="548">
        <v>46158</v>
      </c>
      <c r="E275" s="306" t="s">
        <v>8250</v>
      </c>
      <c r="F275" s="306" t="s">
        <v>2036</v>
      </c>
      <c r="G275" s="319"/>
      <c r="H275" s="279" t="s">
        <v>279</v>
      </c>
      <c r="J275" s="1340"/>
      <c r="K275" s="1318"/>
      <c r="L275" s="1318"/>
      <c r="M275" s="933">
        <v>26632.6</v>
      </c>
      <c r="N275" s="933"/>
      <c r="O275" s="279"/>
      <c r="V275" s="33" t="s">
        <v>4867</v>
      </c>
      <c r="W275" s="550">
        <v>0.4770833333333333</v>
      </c>
      <c r="X275" s="550">
        <v>0.61388888888888882</v>
      </c>
    </row>
    <row r="276" spans="1:24" s="33" customFormat="1" x14ac:dyDescent="0.25">
      <c r="A276" s="547" t="s">
        <v>8119</v>
      </c>
      <c r="B276" s="33" t="s">
        <v>614</v>
      </c>
      <c r="C276" s="1402" t="s">
        <v>410</v>
      </c>
      <c r="D276" s="548">
        <v>46159</v>
      </c>
      <c r="E276" s="306" t="s">
        <v>8250</v>
      </c>
      <c r="F276" s="306" t="s">
        <v>106</v>
      </c>
      <c r="G276" s="319"/>
      <c r="H276" s="279" t="s">
        <v>279</v>
      </c>
      <c r="J276" s="1340"/>
      <c r="K276" s="1318"/>
      <c r="L276" s="1318"/>
      <c r="M276" s="933">
        <v>26632.6</v>
      </c>
      <c r="N276" s="933"/>
      <c r="O276" s="279"/>
      <c r="V276" s="33" t="s">
        <v>4983</v>
      </c>
      <c r="W276" s="550">
        <v>0.26874999999999999</v>
      </c>
      <c r="X276" s="550">
        <v>0.43541666666666662</v>
      </c>
    </row>
    <row r="277" spans="1:24" s="33" customFormat="1" x14ac:dyDescent="0.25">
      <c r="A277" s="547" t="s">
        <v>8119</v>
      </c>
      <c r="B277" s="33" t="s">
        <v>5708</v>
      </c>
      <c r="C277" s="1402" t="s">
        <v>13</v>
      </c>
      <c r="D277" s="548">
        <v>46159</v>
      </c>
      <c r="E277" s="306" t="s">
        <v>8280</v>
      </c>
      <c r="F277" s="306" t="s">
        <v>2036</v>
      </c>
      <c r="G277" s="319"/>
      <c r="H277" s="279" t="s">
        <v>279</v>
      </c>
      <c r="J277" s="1340"/>
      <c r="K277" s="1318"/>
      <c r="L277" s="1318"/>
      <c r="M277" s="933">
        <v>30100</v>
      </c>
      <c r="N277" s="933"/>
      <c r="O277" s="279"/>
      <c r="V277" s="33" t="s">
        <v>4983</v>
      </c>
      <c r="W277" s="550">
        <v>0.54791666666666672</v>
      </c>
      <c r="X277" s="550">
        <v>0.6875</v>
      </c>
    </row>
    <row r="278" spans="1:24" s="926" customFormat="1" x14ac:dyDescent="0.25">
      <c r="A278" s="925">
        <v>18052026</v>
      </c>
      <c r="B278" s="926" t="s">
        <v>6109</v>
      </c>
      <c r="C278" s="1400" t="s">
        <v>13</v>
      </c>
      <c r="D278" s="927">
        <v>46160</v>
      </c>
      <c r="E278" s="928" t="s">
        <v>8120</v>
      </c>
      <c r="F278" s="928" t="s">
        <v>207</v>
      </c>
      <c r="G278" s="1334"/>
      <c r="H278" s="930" t="s">
        <v>279</v>
      </c>
      <c r="J278" s="1335"/>
      <c r="K278" s="1333"/>
      <c r="L278" s="1333"/>
      <c r="M278" s="932"/>
      <c r="N278" s="932">
        <v>11600</v>
      </c>
      <c r="O278" s="930"/>
      <c r="V278" s="926" t="s">
        <v>4297</v>
      </c>
      <c r="W278" s="931">
        <v>0.27708333333333335</v>
      </c>
      <c r="X278" s="931">
        <v>0.48541666666666666</v>
      </c>
    </row>
    <row r="279" spans="1:24" s="926" customFormat="1" x14ac:dyDescent="0.25">
      <c r="A279" s="925">
        <v>19052026</v>
      </c>
      <c r="B279" s="926" t="s">
        <v>8122</v>
      </c>
      <c r="C279" s="1400" t="s">
        <v>4218</v>
      </c>
      <c r="D279" s="927">
        <v>46161</v>
      </c>
      <c r="E279" s="928" t="s">
        <v>8406</v>
      </c>
      <c r="F279" s="928" t="s">
        <v>68</v>
      </c>
      <c r="G279" s="1334"/>
      <c r="H279" s="930" t="s">
        <v>279</v>
      </c>
      <c r="J279" s="1335"/>
      <c r="K279" s="1333"/>
      <c r="L279" s="1333"/>
      <c r="M279" s="930">
        <v>47700</v>
      </c>
      <c r="N279" s="932"/>
      <c r="O279" s="930"/>
      <c r="V279" s="926" t="s">
        <v>7858</v>
      </c>
      <c r="W279" s="931">
        <v>0.24305555555555555</v>
      </c>
      <c r="X279" s="931">
        <v>0.5</v>
      </c>
    </row>
    <row r="280" spans="1:24" s="33" customFormat="1" x14ac:dyDescent="0.25">
      <c r="A280" s="547">
        <v>19052026</v>
      </c>
      <c r="B280" s="33" t="s">
        <v>614</v>
      </c>
      <c r="C280" s="1402" t="s">
        <v>13</v>
      </c>
      <c r="D280" s="548">
        <v>46161</v>
      </c>
      <c r="E280" s="306" t="s">
        <v>8250</v>
      </c>
      <c r="F280" s="306" t="s">
        <v>236</v>
      </c>
      <c r="G280" s="319"/>
      <c r="H280" s="279" t="s">
        <v>279</v>
      </c>
      <c r="J280" s="1340"/>
      <c r="K280" s="1318"/>
      <c r="L280" s="1318"/>
      <c r="M280" s="933">
        <v>52828.6</v>
      </c>
      <c r="N280" s="933"/>
      <c r="O280" s="279"/>
      <c r="V280" s="33" t="s">
        <v>8121</v>
      </c>
      <c r="W280" s="550">
        <v>0.27152777777777776</v>
      </c>
      <c r="X280" s="550">
        <v>0.55972222222222223</v>
      </c>
    </row>
    <row r="281" spans="1:24" s="33" customFormat="1" x14ac:dyDescent="0.25">
      <c r="A281" s="547">
        <v>20052026</v>
      </c>
      <c r="B281" s="33" t="s">
        <v>5708</v>
      </c>
      <c r="C281" s="1402" t="s">
        <v>410</v>
      </c>
      <c r="D281" s="548">
        <v>46162</v>
      </c>
      <c r="E281" s="306" t="s">
        <v>8279</v>
      </c>
      <c r="F281" s="306" t="s">
        <v>2036</v>
      </c>
      <c r="G281" s="319"/>
      <c r="H281" s="279" t="s">
        <v>279</v>
      </c>
      <c r="J281" s="1340"/>
      <c r="K281" s="1318"/>
      <c r="L281" s="1318"/>
      <c r="M281" s="933">
        <v>30100</v>
      </c>
      <c r="N281" s="933"/>
      <c r="O281" s="279"/>
      <c r="V281" s="33" t="s">
        <v>6898</v>
      </c>
      <c r="W281" s="550">
        <v>0.39166666666666666</v>
      </c>
      <c r="X281" s="550">
        <v>12.57</v>
      </c>
    </row>
    <row r="282" spans="1:24" s="33" customFormat="1" x14ac:dyDescent="0.25">
      <c r="A282" s="547">
        <v>20052026</v>
      </c>
      <c r="B282" s="33" t="s">
        <v>5239</v>
      </c>
      <c r="C282" s="1402" t="s">
        <v>13</v>
      </c>
      <c r="D282" s="548">
        <v>46162</v>
      </c>
      <c r="E282" s="306" t="s">
        <v>8271</v>
      </c>
      <c r="F282" s="306" t="s">
        <v>207</v>
      </c>
      <c r="G282" s="319"/>
      <c r="H282" s="279" t="s">
        <v>279</v>
      </c>
      <c r="J282" s="1340"/>
      <c r="K282" s="1318"/>
      <c r="L282" s="1318"/>
      <c r="M282" s="933">
        <v>36350</v>
      </c>
      <c r="N282" s="933"/>
      <c r="O282" s="279"/>
      <c r="V282" s="33" t="s">
        <v>7858</v>
      </c>
      <c r="W282" s="550">
        <v>0.27430555555555552</v>
      </c>
      <c r="X282" s="550">
        <v>0.4861111111111111</v>
      </c>
    </row>
    <row r="283" spans="1:24" s="33" customFormat="1" x14ac:dyDescent="0.25">
      <c r="A283" s="547">
        <v>20052026</v>
      </c>
      <c r="B283" s="33" t="s">
        <v>614</v>
      </c>
      <c r="C283" s="1402" t="s">
        <v>4218</v>
      </c>
      <c r="D283" s="548">
        <v>46162</v>
      </c>
      <c r="E283" s="306" t="s">
        <v>8250</v>
      </c>
      <c r="F283" s="306" t="s">
        <v>1931</v>
      </c>
      <c r="G283" s="319"/>
      <c r="H283" s="279" t="s">
        <v>279</v>
      </c>
      <c r="J283" s="1340"/>
      <c r="K283" s="1318"/>
      <c r="L283" s="1318"/>
      <c r="M283" s="933">
        <v>52828.6</v>
      </c>
      <c r="N283" s="933"/>
      <c r="O283" s="279"/>
      <c r="V283" s="33" t="s">
        <v>7552</v>
      </c>
      <c r="W283" s="550">
        <v>0.36874999999999997</v>
      </c>
      <c r="X283" s="550">
        <v>0.68472222222222223</v>
      </c>
    </row>
    <row r="284" spans="1:24" s="33" customFormat="1" x14ac:dyDescent="0.25">
      <c r="A284" s="547">
        <v>21052026</v>
      </c>
      <c r="B284" s="33" t="s">
        <v>614</v>
      </c>
      <c r="C284" s="1402" t="s">
        <v>13</v>
      </c>
      <c r="D284" s="548">
        <v>46163</v>
      </c>
      <c r="E284" s="306" t="s">
        <v>8250</v>
      </c>
      <c r="F284" s="306" t="s">
        <v>207</v>
      </c>
      <c r="G284" s="319"/>
      <c r="H284" s="279" t="s">
        <v>279</v>
      </c>
      <c r="J284" s="1340"/>
      <c r="K284" s="1318"/>
      <c r="L284" s="1318"/>
      <c r="M284" s="933">
        <v>35364.6</v>
      </c>
      <c r="N284" s="933"/>
      <c r="O284" s="279"/>
      <c r="V284" s="33" t="s">
        <v>4297</v>
      </c>
      <c r="W284" s="550">
        <v>0.34097222222222223</v>
      </c>
      <c r="X284" s="550">
        <v>0.5625</v>
      </c>
    </row>
    <row r="285" spans="1:24" s="33" customFormat="1" x14ac:dyDescent="0.25">
      <c r="A285" s="547">
        <v>21052026</v>
      </c>
      <c r="B285" s="33" t="s">
        <v>614</v>
      </c>
      <c r="C285" s="1402" t="s">
        <v>410</v>
      </c>
      <c r="D285" s="548">
        <v>46163</v>
      </c>
      <c r="E285" s="306" t="s">
        <v>8250</v>
      </c>
      <c r="F285" s="306" t="s">
        <v>1931</v>
      </c>
      <c r="G285" s="319"/>
      <c r="H285" s="279" t="s">
        <v>279</v>
      </c>
      <c r="J285" s="1340"/>
      <c r="K285" s="1318"/>
      <c r="L285" s="1318"/>
      <c r="M285" s="933">
        <v>52828.6</v>
      </c>
      <c r="N285" s="933"/>
      <c r="O285" s="279"/>
      <c r="V285" s="33" t="s">
        <v>7858</v>
      </c>
      <c r="W285" s="550">
        <v>0.40902777777777777</v>
      </c>
      <c r="X285" s="550">
        <v>0.71597222222222223</v>
      </c>
    </row>
    <row r="286" spans="1:24" s="33" customFormat="1" x14ac:dyDescent="0.25">
      <c r="A286" s="547">
        <v>21052026</v>
      </c>
      <c r="B286" s="33" t="s">
        <v>8124</v>
      </c>
      <c r="C286" s="1402" t="s">
        <v>4218</v>
      </c>
      <c r="D286" s="548">
        <v>46163</v>
      </c>
      <c r="E286" s="306" t="s">
        <v>8226</v>
      </c>
      <c r="F286" s="306" t="s">
        <v>5326</v>
      </c>
      <c r="G286" s="319"/>
      <c r="H286" s="279" t="s">
        <v>279</v>
      </c>
      <c r="J286" s="1340"/>
      <c r="K286" s="1318"/>
      <c r="L286" s="1318"/>
      <c r="M286" s="933">
        <v>38351</v>
      </c>
      <c r="N286" s="933"/>
      <c r="O286" s="279"/>
      <c r="V286" s="33" t="s">
        <v>4983</v>
      </c>
      <c r="W286" s="550">
        <v>0.34930555555555554</v>
      </c>
      <c r="X286" s="550">
        <v>0.56458333333333333</v>
      </c>
    </row>
    <row r="287" spans="1:24" s="418" customFormat="1" x14ac:dyDescent="0.25">
      <c r="A287" s="624">
        <v>21052026</v>
      </c>
      <c r="B287" s="418" t="s">
        <v>4662</v>
      </c>
      <c r="C287" s="1408" t="s">
        <v>13</v>
      </c>
      <c r="D287" s="602">
        <v>46163</v>
      </c>
      <c r="E287" s="420"/>
      <c r="F287" s="420" t="s">
        <v>2008</v>
      </c>
      <c r="G287" s="632"/>
      <c r="H287" s="422" t="s">
        <v>279</v>
      </c>
      <c r="J287" s="1471"/>
      <c r="K287" s="1472"/>
      <c r="L287" s="1472"/>
      <c r="M287" s="1079">
        <v>54500</v>
      </c>
      <c r="N287" s="1079"/>
      <c r="O287" s="422"/>
      <c r="V287" s="418" t="s">
        <v>6952</v>
      </c>
      <c r="W287" s="604">
        <v>0.60486111111111118</v>
      </c>
      <c r="X287" s="604">
        <v>0.87777777777777777</v>
      </c>
    </row>
    <row r="288" spans="1:24" s="926" customFormat="1" x14ac:dyDescent="0.25">
      <c r="A288" s="925">
        <v>22052026</v>
      </c>
      <c r="B288" s="926" t="s">
        <v>7696</v>
      </c>
      <c r="C288" s="1400" t="s">
        <v>13</v>
      </c>
      <c r="D288" s="927">
        <v>46164</v>
      </c>
      <c r="E288" s="928" t="s">
        <v>8165</v>
      </c>
      <c r="F288" s="928" t="s">
        <v>563</v>
      </c>
      <c r="G288" s="1334"/>
      <c r="H288" s="930" t="s">
        <v>279</v>
      </c>
      <c r="J288" s="1335"/>
      <c r="K288" s="1333"/>
      <c r="L288" s="1333"/>
      <c r="M288" s="932">
        <v>27700</v>
      </c>
      <c r="N288" s="932"/>
      <c r="O288" s="930"/>
      <c r="V288" s="926" t="s">
        <v>4297</v>
      </c>
      <c r="W288" s="931">
        <v>0.46875</v>
      </c>
      <c r="X288" s="931">
        <v>0.65138888888888891</v>
      </c>
    </row>
    <row r="289" spans="1:24" s="33" customFormat="1" x14ac:dyDescent="0.25">
      <c r="A289" s="547">
        <v>22052026</v>
      </c>
      <c r="B289" s="33" t="s">
        <v>614</v>
      </c>
      <c r="C289" s="1402" t="s">
        <v>410</v>
      </c>
      <c r="D289" s="548">
        <v>46164</v>
      </c>
      <c r="E289" s="306" t="s">
        <v>8250</v>
      </c>
      <c r="F289" s="306" t="s">
        <v>2036</v>
      </c>
      <c r="G289" s="319"/>
      <c r="H289" s="279" t="s">
        <v>279</v>
      </c>
      <c r="J289" s="1340"/>
      <c r="K289" s="1318"/>
      <c r="L289" s="1318"/>
      <c r="M289" s="933">
        <v>26632.6</v>
      </c>
      <c r="N289" s="933"/>
      <c r="O289" s="279"/>
      <c r="V289" s="33" t="s">
        <v>8125</v>
      </c>
      <c r="W289" s="550">
        <v>0.49236111111111108</v>
      </c>
      <c r="X289" s="550">
        <v>0.62361111111111112</v>
      </c>
    </row>
    <row r="290" spans="1:24" s="926" customFormat="1" x14ac:dyDescent="0.25">
      <c r="A290" s="925">
        <v>22052026</v>
      </c>
      <c r="B290" s="926" t="s">
        <v>8139</v>
      </c>
      <c r="C290" s="1400" t="s">
        <v>13</v>
      </c>
      <c r="D290" s="927">
        <v>46164</v>
      </c>
      <c r="E290" s="928" t="s">
        <v>8140</v>
      </c>
      <c r="F290" s="928" t="s">
        <v>545</v>
      </c>
      <c r="G290" s="1334"/>
      <c r="H290" s="930" t="s">
        <v>279</v>
      </c>
      <c r="J290" s="1335"/>
      <c r="K290" s="1333"/>
      <c r="L290" s="1333"/>
      <c r="M290" s="932">
        <v>36500</v>
      </c>
      <c r="N290" s="932"/>
      <c r="O290" s="930"/>
      <c r="V290" s="926" t="s">
        <v>4297</v>
      </c>
      <c r="W290" s="931">
        <v>0.27430555555555552</v>
      </c>
      <c r="X290" s="931">
        <v>0.43333333333333335</v>
      </c>
    </row>
    <row r="291" spans="1:24" s="33" customFormat="1" x14ac:dyDescent="0.25">
      <c r="A291" s="547">
        <v>22052026</v>
      </c>
      <c r="B291" s="33" t="s">
        <v>614</v>
      </c>
      <c r="C291" s="1402" t="s">
        <v>4218</v>
      </c>
      <c r="D291" s="548">
        <v>46164</v>
      </c>
      <c r="E291" s="306" t="s">
        <v>8250</v>
      </c>
      <c r="F291" s="306" t="s">
        <v>1931</v>
      </c>
      <c r="G291" s="319"/>
      <c r="H291" s="279" t="s">
        <v>279</v>
      </c>
      <c r="J291" s="1340"/>
      <c r="K291" s="1318"/>
      <c r="L291" s="1318"/>
      <c r="M291" s="933">
        <v>52828.6</v>
      </c>
      <c r="N291" s="933"/>
      <c r="O291" s="279"/>
      <c r="V291" s="33" t="s">
        <v>4983</v>
      </c>
      <c r="W291" s="550">
        <v>0.33333333333333331</v>
      </c>
      <c r="X291" s="550">
        <v>0.64583333333333337</v>
      </c>
    </row>
    <row r="292" spans="1:24" s="926" customFormat="1" x14ac:dyDescent="0.25">
      <c r="A292" s="925">
        <v>22052026</v>
      </c>
      <c r="B292" s="926" t="s">
        <v>572</v>
      </c>
      <c r="C292" s="1400" t="s">
        <v>4218</v>
      </c>
      <c r="D292" s="927">
        <v>46164</v>
      </c>
      <c r="E292" s="928" t="s">
        <v>8155</v>
      </c>
      <c r="F292" s="928" t="s">
        <v>68</v>
      </c>
      <c r="G292" s="1334"/>
      <c r="H292" s="930" t="s">
        <v>279</v>
      </c>
      <c r="J292" s="1335"/>
      <c r="K292" s="1333"/>
      <c r="L292" s="1333"/>
      <c r="M292" s="932"/>
      <c r="N292" s="932">
        <v>13715</v>
      </c>
      <c r="O292" s="930"/>
      <c r="V292" s="926" t="s">
        <v>8121</v>
      </c>
      <c r="W292" s="931">
        <v>0.7055555555555556</v>
      </c>
      <c r="X292" s="931">
        <v>0.96736111111111101</v>
      </c>
    </row>
    <row r="293" spans="1:24" s="926" customFormat="1" x14ac:dyDescent="0.25">
      <c r="A293" s="925">
        <v>23052026</v>
      </c>
      <c r="B293" s="926" t="s">
        <v>572</v>
      </c>
      <c r="C293" s="1400" t="s">
        <v>13</v>
      </c>
      <c r="D293" s="927">
        <v>46165</v>
      </c>
      <c r="E293" s="928" t="s">
        <v>8156</v>
      </c>
      <c r="F293" s="928" t="s">
        <v>207</v>
      </c>
      <c r="G293" s="1334"/>
      <c r="H293" s="930" t="s">
        <v>279</v>
      </c>
      <c r="J293" s="1335"/>
      <c r="K293" s="1333"/>
      <c r="L293" s="1333"/>
      <c r="M293" s="932"/>
      <c r="N293" s="932">
        <v>10880</v>
      </c>
      <c r="O293" s="930"/>
      <c r="V293" s="926" t="s">
        <v>7060</v>
      </c>
      <c r="W293" s="931">
        <v>0.26527777777777778</v>
      </c>
      <c r="X293" s="931">
        <v>0.51180555555555551</v>
      </c>
    </row>
    <row r="294" spans="1:24" s="33" customFormat="1" x14ac:dyDescent="0.25">
      <c r="A294" s="547">
        <v>23052026</v>
      </c>
      <c r="B294" s="33" t="s">
        <v>614</v>
      </c>
      <c r="C294" s="1402" t="s">
        <v>410</v>
      </c>
      <c r="D294" s="548">
        <v>46165</v>
      </c>
      <c r="E294" s="306" t="s">
        <v>8250</v>
      </c>
      <c r="F294" s="306" t="s">
        <v>563</v>
      </c>
      <c r="G294" s="319"/>
      <c r="H294" s="279" t="s">
        <v>279</v>
      </c>
      <c r="J294" s="1340"/>
      <c r="K294" s="1318"/>
      <c r="L294" s="1318"/>
      <c r="M294" s="933">
        <v>28379</v>
      </c>
      <c r="N294" s="279"/>
      <c r="O294" s="279"/>
      <c r="V294" s="33" t="s">
        <v>4297</v>
      </c>
      <c r="W294" s="550">
        <v>0.40763888888888888</v>
      </c>
      <c r="X294" s="550">
        <v>0.5805555555555556</v>
      </c>
    </row>
    <row r="295" spans="1:24" s="33" customFormat="1" x14ac:dyDescent="0.25">
      <c r="A295" s="547">
        <v>24052026</v>
      </c>
      <c r="B295" s="33" t="s">
        <v>614</v>
      </c>
      <c r="C295" s="1402" t="s">
        <v>13</v>
      </c>
      <c r="D295" s="548">
        <v>46166</v>
      </c>
      <c r="E295" s="306" t="s">
        <v>8250</v>
      </c>
      <c r="F295" s="306" t="s">
        <v>1931</v>
      </c>
      <c r="G295" s="319"/>
      <c r="H295" s="279" t="s">
        <v>279</v>
      </c>
      <c r="J295" s="1340"/>
      <c r="K295" s="1318"/>
      <c r="L295" s="1318"/>
      <c r="M295" s="933">
        <v>52828.6</v>
      </c>
      <c r="N295" s="279"/>
      <c r="O295" s="279"/>
      <c r="V295" s="33" t="s">
        <v>4983</v>
      </c>
      <c r="W295" s="550">
        <v>0.43472222222222223</v>
      </c>
      <c r="X295" s="550">
        <v>0.74722222222222223</v>
      </c>
    </row>
    <row r="296" spans="1:24" s="33" customFormat="1" x14ac:dyDescent="0.25">
      <c r="A296" s="547">
        <v>24052026</v>
      </c>
      <c r="B296" s="33" t="s">
        <v>614</v>
      </c>
      <c r="C296" s="1402" t="s">
        <v>410</v>
      </c>
      <c r="D296" s="548">
        <v>46166</v>
      </c>
      <c r="E296" s="306" t="s">
        <v>8250</v>
      </c>
      <c r="F296" s="306" t="s">
        <v>294</v>
      </c>
      <c r="G296" s="319"/>
      <c r="H296" s="279" t="s">
        <v>279</v>
      </c>
      <c r="J296" s="1340"/>
      <c r="K296" s="1318"/>
      <c r="L296" s="1318"/>
      <c r="M296" s="933">
        <v>37984.199999999997</v>
      </c>
      <c r="N296" s="279"/>
      <c r="O296" s="279"/>
      <c r="V296" s="33" t="s">
        <v>8150</v>
      </c>
      <c r="W296" s="550">
        <v>0.4777777777777778</v>
      </c>
      <c r="X296" s="550">
        <v>0.63472222222222219</v>
      </c>
    </row>
    <row r="297" spans="1:24" s="33" customFormat="1" x14ac:dyDescent="0.25">
      <c r="A297" s="547">
        <v>24052026</v>
      </c>
      <c r="B297" s="33" t="s">
        <v>614</v>
      </c>
      <c r="C297" s="1402" t="s">
        <v>4218</v>
      </c>
      <c r="D297" s="548">
        <v>46166</v>
      </c>
      <c r="E297" s="306" t="s">
        <v>8250</v>
      </c>
      <c r="F297" s="306" t="s">
        <v>563</v>
      </c>
      <c r="G297" s="319"/>
      <c r="H297" s="279" t="s">
        <v>279</v>
      </c>
      <c r="J297" s="1340"/>
      <c r="K297" s="1318"/>
      <c r="L297" s="1318"/>
      <c r="M297" s="933">
        <v>28379</v>
      </c>
      <c r="N297" s="279"/>
      <c r="O297" s="279"/>
      <c r="V297" s="33" t="s">
        <v>7942</v>
      </c>
      <c r="W297" s="550">
        <v>0.31319444444444444</v>
      </c>
      <c r="X297" s="550">
        <v>0.50069444444444444</v>
      </c>
    </row>
    <row r="298" spans="1:24" s="33" customFormat="1" x14ac:dyDescent="0.25">
      <c r="A298" s="547">
        <v>25052026</v>
      </c>
      <c r="B298" s="33" t="s">
        <v>614</v>
      </c>
      <c r="C298" s="1402" t="s">
        <v>4218</v>
      </c>
      <c r="D298" s="548">
        <v>46167</v>
      </c>
      <c r="E298" s="306" t="s">
        <v>8250</v>
      </c>
      <c r="F298" s="306" t="s">
        <v>545</v>
      </c>
      <c r="G298" s="319"/>
      <c r="H298" s="279" t="s">
        <v>279</v>
      </c>
      <c r="J298" s="1340"/>
      <c r="K298" s="1318"/>
      <c r="L298" s="1318"/>
      <c r="M298" s="933">
        <v>31871.8</v>
      </c>
      <c r="N298" s="279"/>
      <c r="O298" s="279"/>
      <c r="V298" s="33" t="s">
        <v>894</v>
      </c>
      <c r="W298" s="550">
        <v>0.2673611111111111</v>
      </c>
      <c r="X298" s="550">
        <v>0.4375</v>
      </c>
    </row>
    <row r="299" spans="1:24" s="926" customFormat="1" x14ac:dyDescent="0.25">
      <c r="A299" s="925">
        <v>26052026</v>
      </c>
      <c r="B299" s="926" t="s">
        <v>8151</v>
      </c>
      <c r="C299" s="1400" t="s">
        <v>410</v>
      </c>
      <c r="D299" s="927">
        <v>46168</v>
      </c>
      <c r="E299" s="928" t="s">
        <v>8166</v>
      </c>
      <c r="F299" s="928" t="s">
        <v>207</v>
      </c>
      <c r="G299" s="1334"/>
      <c r="H299" s="930" t="s">
        <v>279</v>
      </c>
      <c r="J299" s="1335"/>
      <c r="K299" s="1333"/>
      <c r="L299" s="1333"/>
      <c r="M299" s="932"/>
      <c r="N299" s="932">
        <v>11400</v>
      </c>
      <c r="O299" s="930"/>
      <c r="V299" s="926" t="s">
        <v>5131</v>
      </c>
      <c r="W299" s="931">
        <v>0.27361111111111108</v>
      </c>
      <c r="X299" s="931">
        <v>0.52222222222222225</v>
      </c>
    </row>
    <row r="300" spans="1:24" s="926" customFormat="1" x14ac:dyDescent="0.25">
      <c r="A300" s="925">
        <v>26052026</v>
      </c>
      <c r="B300" s="926" t="s">
        <v>1491</v>
      </c>
      <c r="C300" s="1400" t="s">
        <v>4218</v>
      </c>
      <c r="D300" s="927">
        <v>46168</v>
      </c>
      <c r="E300" s="928" t="s">
        <v>8197</v>
      </c>
      <c r="F300" s="928" t="s">
        <v>563</v>
      </c>
      <c r="G300" s="1334"/>
      <c r="H300" s="930" t="s">
        <v>279</v>
      </c>
      <c r="J300" s="1335"/>
      <c r="K300" s="1333"/>
      <c r="L300" s="1333"/>
      <c r="M300" s="932">
        <v>27700</v>
      </c>
      <c r="N300" s="932"/>
      <c r="O300" s="930"/>
      <c r="V300" s="926" t="s">
        <v>8158</v>
      </c>
      <c r="W300" s="931">
        <v>0.55347222222222225</v>
      </c>
      <c r="X300" s="931">
        <v>0.75694444444444453</v>
      </c>
    </row>
    <row r="301" spans="1:24" s="926" customFormat="1" x14ac:dyDescent="0.25">
      <c r="A301" s="925">
        <v>28052026</v>
      </c>
      <c r="B301" s="926" t="s">
        <v>572</v>
      </c>
      <c r="C301" s="1400" t="s">
        <v>4218</v>
      </c>
      <c r="D301" s="927">
        <v>46170</v>
      </c>
      <c r="E301" s="928" t="s">
        <v>8168</v>
      </c>
      <c r="F301" s="928" t="s">
        <v>207</v>
      </c>
      <c r="G301" s="1334"/>
      <c r="H301" s="930" t="s">
        <v>279</v>
      </c>
      <c r="J301" s="1335"/>
      <c r="K301" s="1333"/>
      <c r="L301" s="1333"/>
      <c r="M301" s="932"/>
      <c r="N301" s="932">
        <v>10880</v>
      </c>
      <c r="O301" s="930"/>
      <c r="V301" s="926" t="s">
        <v>7060</v>
      </c>
      <c r="W301" s="931">
        <v>0.27847222222222223</v>
      </c>
      <c r="X301" s="931">
        <v>0.48819444444444443</v>
      </c>
    </row>
    <row r="302" spans="1:24" s="926" customFormat="1" x14ac:dyDescent="0.25">
      <c r="A302" s="925">
        <v>28052026</v>
      </c>
      <c r="B302" s="926" t="s">
        <v>1800</v>
      </c>
      <c r="C302" s="1400" t="s">
        <v>4218</v>
      </c>
      <c r="D302" s="927">
        <v>46170</v>
      </c>
      <c r="E302" s="928" t="s">
        <v>8167</v>
      </c>
      <c r="F302" s="928" t="s">
        <v>285</v>
      </c>
      <c r="G302" s="1334"/>
      <c r="H302" s="930" t="s">
        <v>279</v>
      </c>
      <c r="J302" s="1335"/>
      <c r="K302" s="1333"/>
      <c r="L302" s="1333"/>
      <c r="M302" s="932"/>
      <c r="N302" s="932">
        <v>14100</v>
      </c>
      <c r="O302" s="930"/>
      <c r="V302" s="926" t="s">
        <v>894</v>
      </c>
      <c r="W302" s="931">
        <v>0.58819444444444446</v>
      </c>
      <c r="X302" s="931">
        <v>0.87013888888888891</v>
      </c>
    </row>
    <row r="303" spans="1:24" s="926" customFormat="1" x14ac:dyDescent="0.25">
      <c r="A303" s="925">
        <v>29052026</v>
      </c>
      <c r="B303" s="926" t="s">
        <v>572</v>
      </c>
      <c r="C303" s="1400" t="s">
        <v>4218</v>
      </c>
      <c r="D303" s="927">
        <v>46171</v>
      </c>
      <c r="E303" s="928" t="s">
        <v>8169</v>
      </c>
      <c r="F303" s="928" t="s">
        <v>317</v>
      </c>
      <c r="G303" s="1334"/>
      <c r="H303" s="930" t="s">
        <v>279</v>
      </c>
      <c r="J303" s="1335"/>
      <c r="K303" s="1333"/>
      <c r="L303" s="1333"/>
      <c r="M303" s="932"/>
      <c r="N303" s="932">
        <v>14193.18181818182</v>
      </c>
      <c r="O303" s="930"/>
      <c r="V303" s="926" t="s">
        <v>8125</v>
      </c>
      <c r="W303" s="931">
        <v>0.26597222222222222</v>
      </c>
      <c r="X303" s="931">
        <v>0.50138888888888888</v>
      </c>
    </row>
    <row r="304" spans="1:24" s="33" customFormat="1" x14ac:dyDescent="0.25">
      <c r="A304" s="547">
        <v>29052026</v>
      </c>
      <c r="B304" s="33" t="s">
        <v>2497</v>
      </c>
      <c r="C304" s="1402" t="s">
        <v>410</v>
      </c>
      <c r="D304" s="548">
        <v>46171</v>
      </c>
      <c r="E304" s="306" t="s">
        <v>8223</v>
      </c>
      <c r="F304" s="306" t="s">
        <v>143</v>
      </c>
      <c r="G304" s="319"/>
      <c r="H304" s="279" t="s">
        <v>279</v>
      </c>
      <c r="J304" s="1340"/>
      <c r="K304" s="1318"/>
      <c r="L304" s="1318"/>
      <c r="M304" s="933">
        <v>37252</v>
      </c>
      <c r="N304" s="933"/>
      <c r="O304" s="279"/>
      <c r="V304" s="33" t="s">
        <v>4983</v>
      </c>
      <c r="W304" s="550" t="s">
        <v>8164</v>
      </c>
      <c r="X304" s="550">
        <v>0.50416666666666665</v>
      </c>
    </row>
    <row r="305" spans="1:24" s="33" customFormat="1" x14ac:dyDescent="0.25">
      <c r="A305" s="547">
        <v>29052026</v>
      </c>
      <c r="B305" s="33" t="s">
        <v>1800</v>
      </c>
      <c r="C305" s="1402" t="s">
        <v>410</v>
      </c>
      <c r="D305" s="548">
        <v>46171</v>
      </c>
      <c r="E305" s="306" t="s">
        <v>8262</v>
      </c>
      <c r="F305" s="306" t="s">
        <v>1931</v>
      </c>
      <c r="G305" s="319"/>
      <c r="H305" s="279" t="s">
        <v>279</v>
      </c>
      <c r="J305" s="1340"/>
      <c r="K305" s="1318"/>
      <c r="L305" s="1318"/>
      <c r="M305" s="933"/>
      <c r="N305" s="933">
        <v>17300</v>
      </c>
      <c r="O305" s="279"/>
      <c r="V305" s="33" t="s">
        <v>5131</v>
      </c>
      <c r="W305" s="550">
        <v>0.66875000000000007</v>
      </c>
      <c r="X305" s="550">
        <v>0.95347222222222217</v>
      </c>
    </row>
    <row r="306" spans="1:24" s="33" customFormat="1" ht="13.5" customHeight="1" x14ac:dyDescent="0.25">
      <c r="A306" s="547">
        <v>30052026</v>
      </c>
      <c r="B306" s="33" t="s">
        <v>4193</v>
      </c>
      <c r="C306" s="1402" t="s">
        <v>410</v>
      </c>
      <c r="D306" s="548">
        <v>46172</v>
      </c>
      <c r="E306" s="306" t="s">
        <v>8240</v>
      </c>
      <c r="F306" s="306" t="s">
        <v>545</v>
      </c>
      <c r="G306" s="319"/>
      <c r="H306" s="279" t="s">
        <v>279</v>
      </c>
      <c r="J306" s="1340"/>
      <c r="K306" s="1318"/>
      <c r="L306" s="1318"/>
      <c r="M306" s="933">
        <v>32500</v>
      </c>
      <c r="N306" s="933"/>
      <c r="O306" s="279"/>
      <c r="V306" s="33" t="s">
        <v>8125</v>
      </c>
      <c r="W306" s="550">
        <v>0.38541666666666669</v>
      </c>
      <c r="X306" s="550">
        <v>0.55555555555555558</v>
      </c>
    </row>
    <row r="307" spans="1:24" s="33" customFormat="1" x14ac:dyDescent="0.25">
      <c r="A307" s="547">
        <v>31052026</v>
      </c>
      <c r="B307" s="33" t="s">
        <v>572</v>
      </c>
      <c r="C307" s="1402" t="s">
        <v>410</v>
      </c>
      <c r="D307" s="548">
        <v>46173</v>
      </c>
      <c r="E307" s="306" t="s">
        <v>8181</v>
      </c>
      <c r="F307" s="306" t="s">
        <v>207</v>
      </c>
      <c r="G307" s="319"/>
      <c r="H307" s="279" t="s">
        <v>279</v>
      </c>
      <c r="J307" s="1340"/>
      <c r="K307" s="1318"/>
      <c r="L307" s="1318"/>
      <c r="M307" s="933"/>
      <c r="N307" s="933">
        <v>10766.363636363636</v>
      </c>
      <c r="O307" s="279"/>
      <c r="V307" s="33" t="s">
        <v>8118</v>
      </c>
      <c r="W307" s="550">
        <v>0.26874999999999999</v>
      </c>
      <c r="X307" s="550">
        <v>0.48194444444444445</v>
      </c>
    </row>
    <row r="308" spans="1:24" x14ac:dyDescent="0.25">
      <c r="A308" s="483"/>
      <c r="D308" s="233"/>
      <c r="G308" s="314"/>
      <c r="H308" s="88"/>
      <c r="J308" s="1332"/>
      <c r="K308" s="1331"/>
      <c r="L308" s="1331"/>
      <c r="M308" s="798"/>
      <c r="N308" s="798"/>
      <c r="O308" s="88"/>
      <c r="W308" s="360"/>
      <c r="X308" s="360"/>
    </row>
    <row r="309" spans="1:24" ht="15.75" thickBot="1" x14ac:dyDescent="0.3">
      <c r="A309" s="483"/>
      <c r="D309" s="233"/>
      <c r="G309" s="314"/>
      <c r="H309" s="88"/>
      <c r="J309" s="1332"/>
      <c r="K309" s="1331"/>
      <c r="L309" s="1331"/>
      <c r="M309" s="960">
        <f>SUM(M253:M308)</f>
        <v>1639744.6000000003</v>
      </c>
      <c r="N309" s="960">
        <f>SUM(N253:N308)</f>
        <v>159074.54545454547</v>
      </c>
      <c r="O309" s="88"/>
      <c r="W309" s="360"/>
      <c r="X309" s="360"/>
    </row>
    <row r="310" spans="1:24" ht="16.5" customHeight="1" x14ac:dyDescent="0.25">
      <c r="A310" s="483"/>
      <c r="D310" s="233"/>
      <c r="G310" s="314"/>
      <c r="J310" s="1332"/>
      <c r="K310" s="1331"/>
      <c r="L310" s="1331"/>
      <c r="M310" s="798"/>
      <c r="N310" s="798"/>
      <c r="O310" s="88"/>
      <c r="W310" s="360"/>
      <c r="X310" s="360"/>
    </row>
    <row r="311" spans="1:24" x14ac:dyDescent="0.25">
      <c r="A311" s="483"/>
      <c r="D311" s="233"/>
      <c r="G311" s="314"/>
      <c r="H311" s="88"/>
      <c r="J311" s="1332"/>
      <c r="K311" s="1331"/>
      <c r="L311" s="1331"/>
      <c r="M311" s="558"/>
      <c r="N311" s="558"/>
      <c r="O311" s="1454"/>
      <c r="W311" s="360"/>
      <c r="X311" s="360"/>
    </row>
    <row r="312" spans="1:24" x14ac:dyDescent="0.25">
      <c r="A312" s="483"/>
      <c r="D312" s="233"/>
      <c r="G312" s="314"/>
      <c r="H312" s="88"/>
      <c r="J312" s="1332"/>
      <c r="K312" s="1331"/>
      <c r="L312" s="1331"/>
      <c r="M312" s="798">
        <f>+M254*1.5%</f>
        <v>0</v>
      </c>
      <c r="N312" s="798"/>
      <c r="O312" s="88"/>
      <c r="W312" s="360"/>
      <c r="X312" s="360"/>
    </row>
    <row r="313" spans="1:24" x14ac:dyDescent="0.25">
      <c r="A313" s="483"/>
      <c r="D313" s="233"/>
      <c r="G313" s="314"/>
      <c r="H313" s="88"/>
      <c r="J313" s="1332"/>
      <c r="K313" s="1331"/>
      <c r="L313" s="1331"/>
      <c r="M313" s="798"/>
      <c r="N313" s="798"/>
      <c r="O313" s="88"/>
      <c r="W313" s="360"/>
      <c r="X313" s="360"/>
    </row>
    <row r="314" spans="1:24" s="1299" customFormat="1" x14ac:dyDescent="0.25">
      <c r="A314" s="1298" t="s">
        <v>8171</v>
      </c>
      <c r="B314" s="1299" t="s">
        <v>8172</v>
      </c>
      <c r="C314" s="1411" t="s">
        <v>4218</v>
      </c>
      <c r="D314" s="1303">
        <v>46174</v>
      </c>
      <c r="E314" s="1243"/>
      <c r="F314" s="1243" t="s">
        <v>8170</v>
      </c>
      <c r="G314" s="1389"/>
      <c r="H314" s="1344" t="s">
        <v>279</v>
      </c>
      <c r="J314" s="1390"/>
      <c r="K314" s="1391"/>
      <c r="L314" s="1391"/>
      <c r="M314" s="1300"/>
      <c r="N314" s="1300">
        <v>27500</v>
      </c>
      <c r="O314" s="1344"/>
      <c r="V314" s="1299" t="s">
        <v>6898</v>
      </c>
      <c r="W314" s="1301">
        <v>0.21180555555555555</v>
      </c>
      <c r="X314" s="1301">
        <v>0.68541666666666667</v>
      </c>
    </row>
    <row r="315" spans="1:24" s="926" customFormat="1" x14ac:dyDescent="0.25">
      <c r="A315" s="925" t="s">
        <v>8179</v>
      </c>
      <c r="B315" s="926" t="s">
        <v>572</v>
      </c>
      <c r="C315" s="1400" t="s">
        <v>4218</v>
      </c>
      <c r="D315" s="927">
        <v>46175</v>
      </c>
      <c r="E315" s="928" t="s">
        <v>8257</v>
      </c>
      <c r="F315" s="928" t="s">
        <v>207</v>
      </c>
      <c r="G315" s="1334"/>
      <c r="H315" s="930" t="s">
        <v>279</v>
      </c>
      <c r="J315" s="1335"/>
      <c r="K315" s="1333"/>
      <c r="L315" s="1333"/>
      <c r="M315" s="932"/>
      <c r="N315" s="932">
        <v>10880</v>
      </c>
      <c r="O315" s="930"/>
      <c r="V315" s="926" t="s">
        <v>6503</v>
      </c>
      <c r="W315" s="931">
        <v>0.28263888888888888</v>
      </c>
      <c r="X315" s="931">
        <v>0.53125</v>
      </c>
    </row>
    <row r="316" spans="1:24" s="33" customFormat="1" x14ac:dyDescent="0.25">
      <c r="A316" s="547" t="s">
        <v>8179</v>
      </c>
      <c r="B316" s="33" t="s">
        <v>8180</v>
      </c>
      <c r="C316" s="1402" t="s">
        <v>410</v>
      </c>
      <c r="D316" s="548">
        <v>46175</v>
      </c>
      <c r="E316" s="306"/>
      <c r="F316" s="306" t="s">
        <v>113</v>
      </c>
      <c r="G316" s="319"/>
      <c r="H316" s="279" t="s">
        <v>279</v>
      </c>
      <c r="J316" s="1340"/>
      <c r="K316" s="1318"/>
      <c r="L316" s="1318"/>
      <c r="M316" s="933">
        <v>35671</v>
      </c>
      <c r="N316" s="933"/>
      <c r="O316" s="279"/>
      <c r="V316" s="33" t="s">
        <v>7914</v>
      </c>
      <c r="W316" s="550">
        <v>0.3833333333333333</v>
      </c>
      <c r="X316" s="550">
        <v>0.65208333333333335</v>
      </c>
    </row>
    <row r="317" spans="1:24" s="33" customFormat="1" x14ac:dyDescent="0.25">
      <c r="A317" s="547" t="s">
        <v>8179</v>
      </c>
      <c r="B317" s="33" t="s">
        <v>614</v>
      </c>
      <c r="C317" s="1402" t="s">
        <v>4218</v>
      </c>
      <c r="D317" s="548">
        <v>46175</v>
      </c>
      <c r="E317" s="306" t="s">
        <v>8334</v>
      </c>
      <c r="F317" s="306" t="s">
        <v>285</v>
      </c>
      <c r="G317" s="319"/>
      <c r="H317" s="279" t="s">
        <v>279</v>
      </c>
      <c r="J317" s="1340"/>
      <c r="K317" s="1318"/>
      <c r="L317" s="1318"/>
      <c r="M317" s="933">
        <v>44096.6</v>
      </c>
      <c r="N317" s="933"/>
      <c r="O317" s="279"/>
      <c r="V317" s="33" t="s">
        <v>7888</v>
      </c>
      <c r="W317" s="550">
        <v>0.65347222222222223</v>
      </c>
      <c r="X317" s="550">
        <v>0.91388888888888886</v>
      </c>
    </row>
    <row r="318" spans="1:24" s="5" customFormat="1" x14ac:dyDescent="0.25">
      <c r="A318" s="495" t="s">
        <v>8179</v>
      </c>
      <c r="B318" s="5" t="s">
        <v>8183</v>
      </c>
      <c r="C318" s="1406" t="s">
        <v>13</v>
      </c>
      <c r="D318" s="494">
        <v>46175</v>
      </c>
      <c r="E318" s="127"/>
      <c r="F318" s="127" t="s">
        <v>143</v>
      </c>
      <c r="G318" s="1338"/>
      <c r="H318" s="89" t="s">
        <v>279</v>
      </c>
      <c r="J318" s="1339"/>
      <c r="K318" s="1319"/>
      <c r="L318" s="1319"/>
      <c r="M318" s="935"/>
      <c r="N318" s="935">
        <v>11100</v>
      </c>
      <c r="O318" s="89"/>
      <c r="V318" s="5" t="s">
        <v>6349</v>
      </c>
      <c r="W318" s="496">
        <v>0.48125000000000001</v>
      </c>
      <c r="X318" s="496">
        <v>0.67708333333333337</v>
      </c>
    </row>
    <row r="319" spans="1:24" s="926" customFormat="1" x14ac:dyDescent="0.25">
      <c r="A319" s="925" t="s">
        <v>8182</v>
      </c>
      <c r="B319" s="926" t="s">
        <v>572</v>
      </c>
      <c r="C319" s="1400" t="s">
        <v>4218</v>
      </c>
      <c r="D319" s="927">
        <v>46176</v>
      </c>
      <c r="E319" s="928" t="s">
        <v>8258</v>
      </c>
      <c r="F319" s="928" t="s">
        <v>207</v>
      </c>
      <c r="G319" s="1334"/>
      <c r="H319" s="930" t="s">
        <v>279</v>
      </c>
      <c r="J319" s="1335"/>
      <c r="K319" s="1333"/>
      <c r="L319" s="1333"/>
      <c r="M319" s="930"/>
      <c r="N319" s="932">
        <v>11100.000000000002</v>
      </c>
      <c r="O319" s="930"/>
      <c r="V319" s="926" t="s">
        <v>8150</v>
      </c>
      <c r="W319" s="931">
        <v>0.57291666666666663</v>
      </c>
      <c r="X319" s="931">
        <v>0.77361111111111114</v>
      </c>
    </row>
    <row r="320" spans="1:24" s="926" customFormat="1" x14ac:dyDescent="0.25">
      <c r="A320" s="925" t="s">
        <v>8182</v>
      </c>
      <c r="B320" s="926" t="s">
        <v>3880</v>
      </c>
      <c r="C320" s="1400" t="s">
        <v>410</v>
      </c>
      <c r="D320" s="927">
        <v>46176</v>
      </c>
      <c r="E320" s="928" t="s">
        <v>8264</v>
      </c>
      <c r="F320" s="928" t="s">
        <v>545</v>
      </c>
      <c r="G320" s="1334"/>
      <c r="H320" s="930" t="s">
        <v>279</v>
      </c>
      <c r="J320" s="1335"/>
      <c r="K320" s="1333"/>
      <c r="L320" s="1333"/>
      <c r="M320" s="932">
        <v>37500</v>
      </c>
      <c r="N320" s="932"/>
      <c r="O320" s="930"/>
      <c r="V320" s="926" t="s">
        <v>6678</v>
      </c>
      <c r="W320" s="931">
        <v>0.65069444444444446</v>
      </c>
      <c r="X320" s="931">
        <v>0.81319444444444444</v>
      </c>
    </row>
    <row r="321" spans="1:24" s="33" customFormat="1" x14ac:dyDescent="0.25">
      <c r="A321" s="547" t="s">
        <v>8182</v>
      </c>
      <c r="B321" s="33" t="s">
        <v>614</v>
      </c>
      <c r="C321" s="1402" t="s">
        <v>13</v>
      </c>
      <c r="D321" s="548">
        <v>46176</v>
      </c>
      <c r="E321" s="306" t="s">
        <v>8334</v>
      </c>
      <c r="F321" s="306" t="s">
        <v>68</v>
      </c>
      <c r="G321" s="319"/>
      <c r="H321" s="279" t="s">
        <v>279</v>
      </c>
      <c r="J321" s="1340"/>
      <c r="K321" s="1318"/>
      <c r="L321" s="1318"/>
      <c r="M321" s="933">
        <v>44096.6</v>
      </c>
      <c r="N321" s="279"/>
      <c r="O321" s="279"/>
      <c r="V321" s="33" t="s">
        <v>7078</v>
      </c>
      <c r="W321" s="550">
        <v>0.68888888888888899</v>
      </c>
      <c r="X321" s="550">
        <v>0.96319444444444446</v>
      </c>
    </row>
    <row r="322" spans="1:24" s="33" customFormat="1" x14ac:dyDescent="0.25">
      <c r="A322" s="547" t="s">
        <v>8184</v>
      </c>
      <c r="B322" s="33" t="s">
        <v>614</v>
      </c>
      <c r="C322" s="1402" t="s">
        <v>4218</v>
      </c>
      <c r="D322" s="548">
        <v>46177</v>
      </c>
      <c r="E322" s="306" t="s">
        <v>8334</v>
      </c>
      <c r="F322" s="306" t="s">
        <v>317</v>
      </c>
      <c r="G322" s="319"/>
      <c r="H322" s="279" t="s">
        <v>279</v>
      </c>
      <c r="J322" s="1340"/>
      <c r="K322" s="1318"/>
      <c r="L322" s="1318"/>
      <c r="M322" s="933">
        <v>45843</v>
      </c>
      <c r="N322" s="279"/>
      <c r="O322" s="279"/>
      <c r="V322" s="33" t="s">
        <v>8158</v>
      </c>
      <c r="W322" s="550">
        <v>0.31180555555555556</v>
      </c>
      <c r="X322" s="550">
        <v>0.6694444444444444</v>
      </c>
    </row>
    <row r="323" spans="1:24" s="926" customFormat="1" x14ac:dyDescent="0.25">
      <c r="A323" s="925" t="s">
        <v>8186</v>
      </c>
      <c r="B323" s="926" t="s">
        <v>1800</v>
      </c>
      <c r="C323" s="1400" t="s">
        <v>4218</v>
      </c>
      <c r="D323" s="927">
        <v>46178</v>
      </c>
      <c r="E323" s="928" t="s">
        <v>8263</v>
      </c>
      <c r="F323" s="928" t="s">
        <v>2437</v>
      </c>
      <c r="G323" s="929"/>
      <c r="H323" s="930" t="s">
        <v>279</v>
      </c>
      <c r="J323" s="1437"/>
      <c r="K323" s="1316"/>
      <c r="L323" s="1316"/>
      <c r="M323" s="932"/>
      <c r="N323" s="930">
        <v>7650</v>
      </c>
      <c r="O323" s="930"/>
      <c r="V323" s="926" t="s">
        <v>7138</v>
      </c>
      <c r="W323" s="931">
        <v>0.41250000000000003</v>
      </c>
      <c r="X323" s="931">
        <v>0.59722222222222221</v>
      </c>
    </row>
    <row r="324" spans="1:24" s="947" customFormat="1" x14ac:dyDescent="0.25">
      <c r="A324" s="925" t="s">
        <v>8187</v>
      </c>
      <c r="B324" s="947" t="s">
        <v>8188</v>
      </c>
      <c r="C324" s="1410" t="s">
        <v>4218</v>
      </c>
      <c r="D324" s="927">
        <v>46179</v>
      </c>
      <c r="E324" s="948" t="s">
        <v>8199</v>
      </c>
      <c r="F324" s="948" t="s">
        <v>563</v>
      </c>
      <c r="G324" s="1334"/>
      <c r="H324" s="1292" t="s">
        <v>279</v>
      </c>
      <c r="J324" s="1392"/>
      <c r="K324" s="1393"/>
      <c r="L324" s="1393"/>
      <c r="M324" s="950">
        <v>27700</v>
      </c>
      <c r="N324" s="1292"/>
      <c r="O324" s="1292"/>
      <c r="V324" s="947" t="s">
        <v>8125</v>
      </c>
      <c r="W324" s="951">
        <v>0.26250000000000001</v>
      </c>
      <c r="X324" s="951">
        <v>0.44930555555555557</v>
      </c>
    </row>
    <row r="325" spans="1:24" s="947" customFormat="1" x14ac:dyDescent="0.25">
      <c r="A325" s="925" t="s">
        <v>8187</v>
      </c>
      <c r="B325" s="947" t="s">
        <v>8139</v>
      </c>
      <c r="C325" s="1410" t="s">
        <v>4218</v>
      </c>
      <c r="D325" s="927">
        <v>46179</v>
      </c>
      <c r="E325" s="948" t="s">
        <v>8191</v>
      </c>
      <c r="F325" s="948" t="s">
        <v>545</v>
      </c>
      <c r="G325" s="1334"/>
      <c r="H325" s="1292" t="s">
        <v>279</v>
      </c>
      <c r="J325" s="1392"/>
      <c r="K325" s="1393"/>
      <c r="L325" s="1393"/>
      <c r="M325" s="950">
        <v>36500</v>
      </c>
      <c r="N325" s="1292"/>
      <c r="O325" s="1292"/>
      <c r="V325" s="947" t="s">
        <v>8125</v>
      </c>
      <c r="W325" s="951">
        <v>0.47291666666666665</v>
      </c>
      <c r="X325" s="951">
        <v>0.64166666666666672</v>
      </c>
    </row>
    <row r="326" spans="1:24" s="947" customFormat="1" x14ac:dyDescent="0.25">
      <c r="A326" s="925" t="s">
        <v>8190</v>
      </c>
      <c r="B326" s="947" t="s">
        <v>1800</v>
      </c>
      <c r="C326" s="1410" t="s">
        <v>410</v>
      </c>
      <c r="D326" s="949">
        <v>46180</v>
      </c>
      <c r="E326" s="948" t="s">
        <v>8261</v>
      </c>
      <c r="F326" s="948" t="s">
        <v>1931</v>
      </c>
      <c r="G326" s="1334"/>
      <c r="H326" s="1292" t="s">
        <v>279</v>
      </c>
      <c r="J326" s="1392"/>
      <c r="K326" s="1393"/>
      <c r="L326" s="1393"/>
      <c r="M326" s="950"/>
      <c r="N326" s="1292">
        <v>17300</v>
      </c>
      <c r="O326" s="1292"/>
      <c r="V326" s="947" t="s">
        <v>8065</v>
      </c>
      <c r="W326" s="951">
        <v>0.4826388888888889</v>
      </c>
      <c r="X326" s="951">
        <v>0.78194444444444444</v>
      </c>
    </row>
    <row r="327" spans="1:24" s="947" customFormat="1" x14ac:dyDescent="0.25">
      <c r="A327" s="925" t="s">
        <v>8189</v>
      </c>
      <c r="B327" s="947" t="s">
        <v>6871</v>
      </c>
      <c r="C327" s="1410" t="s">
        <v>410</v>
      </c>
      <c r="D327" s="949">
        <v>46181</v>
      </c>
      <c r="E327" s="948" t="s">
        <v>8225</v>
      </c>
      <c r="F327" s="948" t="s">
        <v>207</v>
      </c>
      <c r="G327" s="1334"/>
      <c r="H327" s="1292" t="s">
        <v>279</v>
      </c>
      <c r="J327" s="1392"/>
      <c r="K327" s="1393"/>
      <c r="L327" s="1393"/>
      <c r="M327" s="950">
        <v>36350</v>
      </c>
      <c r="N327" s="1292"/>
      <c r="O327" s="1292"/>
      <c r="V327" s="947" t="s">
        <v>8125</v>
      </c>
      <c r="W327" s="951">
        <v>0.25486111111111109</v>
      </c>
      <c r="X327" s="951">
        <v>0.47430555555555554</v>
      </c>
    </row>
    <row r="328" spans="1:24" s="291" customFormat="1" ht="14.1" customHeight="1" x14ac:dyDescent="0.25">
      <c r="A328" s="544">
        <v>10062026</v>
      </c>
      <c r="B328" s="291" t="s">
        <v>614</v>
      </c>
      <c r="C328" s="1409" t="s">
        <v>410</v>
      </c>
      <c r="D328" s="545">
        <v>46183</v>
      </c>
      <c r="E328" s="306" t="s">
        <v>8334</v>
      </c>
      <c r="F328" s="310" t="s">
        <v>143</v>
      </c>
      <c r="G328" s="319"/>
      <c r="H328" s="293" t="s">
        <v>279</v>
      </c>
      <c r="J328" s="1418"/>
      <c r="K328" s="1419"/>
      <c r="L328" s="1419"/>
      <c r="M328" s="945">
        <v>37111</v>
      </c>
      <c r="N328" s="293"/>
      <c r="O328" s="293"/>
      <c r="V328" s="291" t="s">
        <v>7942</v>
      </c>
      <c r="W328" s="546">
        <v>0.36805555555555558</v>
      </c>
      <c r="X328" s="546">
        <v>0.59375</v>
      </c>
    </row>
    <row r="329" spans="1:24" s="926" customFormat="1" x14ac:dyDescent="0.25">
      <c r="A329" s="946">
        <v>10062026</v>
      </c>
      <c r="B329" s="947" t="s">
        <v>4253</v>
      </c>
      <c r="C329" s="1400" t="s">
        <v>410</v>
      </c>
      <c r="D329" s="949">
        <v>46183</v>
      </c>
      <c r="E329" s="928" t="s">
        <v>8220</v>
      </c>
      <c r="F329" s="928" t="s">
        <v>143</v>
      </c>
      <c r="G329" s="1334"/>
      <c r="H329" s="930" t="s">
        <v>279</v>
      </c>
      <c r="J329" s="1335"/>
      <c r="K329" s="1333"/>
      <c r="L329" s="1333"/>
      <c r="M329" s="932">
        <v>42250</v>
      </c>
      <c r="N329" s="932"/>
      <c r="O329" s="930"/>
      <c r="V329" s="947" t="s">
        <v>4983</v>
      </c>
      <c r="W329" s="931">
        <v>0.75138888888888899</v>
      </c>
      <c r="X329" s="931">
        <v>0.96527777777777779</v>
      </c>
    </row>
    <row r="330" spans="1:24" s="33" customFormat="1" x14ac:dyDescent="0.25">
      <c r="A330" s="544">
        <v>10062026</v>
      </c>
      <c r="B330" s="291" t="s">
        <v>614</v>
      </c>
      <c r="C330" s="1402" t="s">
        <v>13</v>
      </c>
      <c r="D330" s="545">
        <v>46183</v>
      </c>
      <c r="E330" s="306" t="s">
        <v>8334</v>
      </c>
      <c r="F330" s="306" t="s">
        <v>545</v>
      </c>
      <c r="G330" s="319"/>
      <c r="H330" s="279" t="s">
        <v>279</v>
      </c>
      <c r="J330" s="1340"/>
      <c r="K330" s="1318"/>
      <c r="L330" s="1318"/>
      <c r="M330" s="933">
        <v>31871.8</v>
      </c>
      <c r="N330" s="933"/>
      <c r="O330" s="279"/>
      <c r="V330" s="291" t="s">
        <v>7138</v>
      </c>
      <c r="W330" s="550">
        <v>0.77708333333333324</v>
      </c>
      <c r="X330" s="550">
        <v>0.95833333333333337</v>
      </c>
    </row>
    <row r="331" spans="1:24" s="33" customFormat="1" x14ac:dyDescent="0.25">
      <c r="A331" s="547">
        <v>11062026</v>
      </c>
      <c r="B331" s="291" t="s">
        <v>614</v>
      </c>
      <c r="C331" s="1402" t="s">
        <v>13</v>
      </c>
      <c r="D331" s="548">
        <v>46184</v>
      </c>
      <c r="E331" s="306" t="s">
        <v>8334</v>
      </c>
      <c r="F331" s="306" t="s">
        <v>285</v>
      </c>
      <c r="G331" s="319"/>
      <c r="H331" s="279" t="s">
        <v>279</v>
      </c>
      <c r="J331" s="1340"/>
      <c r="K331" s="1318"/>
      <c r="L331" s="1318"/>
      <c r="M331" s="933">
        <v>44096.6</v>
      </c>
      <c r="N331" s="933"/>
      <c r="O331" s="279"/>
      <c r="V331" s="291" t="s">
        <v>7060</v>
      </c>
      <c r="W331" s="550">
        <v>0.28055555555555556</v>
      </c>
      <c r="X331" s="550">
        <v>0.52152777777777781</v>
      </c>
    </row>
    <row r="332" spans="1:24" s="926" customFormat="1" x14ac:dyDescent="0.25">
      <c r="A332" s="925">
        <v>11062026</v>
      </c>
      <c r="B332" s="947" t="s">
        <v>3383</v>
      </c>
      <c r="C332" s="1400" t="s">
        <v>410</v>
      </c>
      <c r="D332" s="927">
        <v>46184</v>
      </c>
      <c r="E332" s="928" t="s">
        <v>8276</v>
      </c>
      <c r="F332" s="928" t="s">
        <v>5326</v>
      </c>
      <c r="G332" s="1334"/>
      <c r="H332" s="930" t="s">
        <v>279</v>
      </c>
      <c r="J332" s="1335"/>
      <c r="K332" s="1333"/>
      <c r="L332" s="1333"/>
      <c r="M332" s="932">
        <v>38351</v>
      </c>
      <c r="N332" s="932"/>
      <c r="O332" s="930"/>
      <c r="V332" s="947" t="s">
        <v>7833</v>
      </c>
      <c r="W332" s="931">
        <v>0.55347222222222225</v>
      </c>
      <c r="X332" s="931">
        <v>0.77500000000000002</v>
      </c>
    </row>
    <row r="333" spans="1:24" s="926" customFormat="1" x14ac:dyDescent="0.25">
      <c r="A333" s="925">
        <v>11062026</v>
      </c>
      <c r="B333" s="947" t="s">
        <v>582</v>
      </c>
      <c r="C333" s="1400" t="s">
        <v>13</v>
      </c>
      <c r="D333" s="927">
        <v>46184</v>
      </c>
      <c r="E333" s="928" t="s">
        <v>8514</v>
      </c>
      <c r="F333" s="928" t="s">
        <v>872</v>
      </c>
      <c r="G333" s="1334"/>
      <c r="H333" s="930" t="s">
        <v>279</v>
      </c>
      <c r="J333" s="1335"/>
      <c r="K333" s="1333"/>
      <c r="L333" s="1333"/>
      <c r="M333" s="929">
        <v>43540</v>
      </c>
      <c r="N333" s="932"/>
      <c r="O333" s="930"/>
      <c r="V333" s="947" t="s">
        <v>6349</v>
      </c>
      <c r="W333" s="931">
        <v>0.63402777777777775</v>
      </c>
      <c r="X333" s="931">
        <v>0.80763888888888891</v>
      </c>
    </row>
    <row r="334" spans="1:24" s="926" customFormat="1" x14ac:dyDescent="0.25">
      <c r="A334" s="925">
        <v>12062026</v>
      </c>
      <c r="B334" s="947" t="s">
        <v>2769</v>
      </c>
      <c r="C334" s="1400" t="s">
        <v>4218</v>
      </c>
      <c r="D334" s="927">
        <v>46185</v>
      </c>
      <c r="E334" s="928" t="s">
        <v>8260</v>
      </c>
      <c r="F334" s="928" t="s">
        <v>236</v>
      </c>
      <c r="G334" s="1334"/>
      <c r="H334" s="930" t="s">
        <v>279</v>
      </c>
      <c r="J334" s="1335"/>
      <c r="K334" s="1333"/>
      <c r="L334" s="1333"/>
      <c r="M334" s="932">
        <v>66300</v>
      </c>
      <c r="N334" s="932"/>
      <c r="O334" s="930"/>
      <c r="V334" s="947" t="s">
        <v>6678</v>
      </c>
      <c r="W334" s="931">
        <v>0.39374999999999999</v>
      </c>
      <c r="X334" s="931">
        <v>0.65972222222222221</v>
      </c>
    </row>
    <row r="335" spans="1:24" s="431" customFormat="1" x14ac:dyDescent="0.25">
      <c r="A335" s="1232">
        <v>12062026</v>
      </c>
      <c r="B335" s="1458" t="s">
        <v>611</v>
      </c>
      <c r="C335" s="1446" t="s">
        <v>410</v>
      </c>
      <c r="D335" s="569">
        <v>46185</v>
      </c>
      <c r="E335" s="492" t="s">
        <v>8496</v>
      </c>
      <c r="F335" s="492" t="s">
        <v>143</v>
      </c>
      <c r="G335" s="1459"/>
      <c r="H335" s="526" t="s">
        <v>279</v>
      </c>
      <c r="J335" s="1460"/>
      <c r="K335" s="1461"/>
      <c r="L335" s="1461"/>
      <c r="M335" s="1234">
        <v>43100</v>
      </c>
      <c r="N335" s="1234"/>
      <c r="O335" s="526"/>
      <c r="V335" s="1458" t="s">
        <v>7833</v>
      </c>
      <c r="W335" s="570">
        <v>0.87291666666666667</v>
      </c>
      <c r="X335" s="570">
        <v>8.1944444444444445E-2</v>
      </c>
    </row>
    <row r="336" spans="1:24" s="33" customFormat="1" x14ac:dyDescent="0.25">
      <c r="A336" s="547">
        <v>13062026</v>
      </c>
      <c r="B336" s="291" t="s">
        <v>614</v>
      </c>
      <c r="C336" s="1402" t="s">
        <v>410</v>
      </c>
      <c r="D336" s="548">
        <v>46186</v>
      </c>
      <c r="E336" s="306" t="s">
        <v>8334</v>
      </c>
      <c r="F336" s="306" t="s">
        <v>285</v>
      </c>
      <c r="G336" s="319"/>
      <c r="H336" s="279" t="s">
        <v>279</v>
      </c>
      <c r="J336" s="1340"/>
      <c r="K336" s="1318"/>
      <c r="L336" s="1318"/>
      <c r="M336" s="933">
        <v>44096.6</v>
      </c>
      <c r="N336" s="933"/>
      <c r="O336" s="279"/>
      <c r="V336" s="291" t="s">
        <v>6678</v>
      </c>
      <c r="W336" s="550">
        <v>0.40138888888888885</v>
      </c>
      <c r="X336" s="550">
        <v>0.62152777777777779</v>
      </c>
    </row>
    <row r="337" spans="1:24" s="33" customFormat="1" x14ac:dyDescent="0.25">
      <c r="A337" s="547">
        <v>13062026</v>
      </c>
      <c r="B337" s="291" t="s">
        <v>1740</v>
      </c>
      <c r="C337" s="1402" t="s">
        <v>4218</v>
      </c>
      <c r="D337" s="548">
        <v>46186</v>
      </c>
      <c r="E337" s="306" t="s">
        <v>8317</v>
      </c>
      <c r="F337" s="306" t="s">
        <v>317</v>
      </c>
      <c r="G337" s="319"/>
      <c r="H337" s="279" t="s">
        <v>279</v>
      </c>
      <c r="J337" s="1340"/>
      <c r="K337" s="1318"/>
      <c r="L337" s="1318"/>
      <c r="M337" s="933">
        <v>50000</v>
      </c>
      <c r="N337" s="933"/>
      <c r="O337" s="279"/>
      <c r="V337" s="291" t="s">
        <v>8193</v>
      </c>
      <c r="W337" s="550">
        <v>0.28541666666666665</v>
      </c>
      <c r="X337" s="550">
        <v>0.6166666666666667</v>
      </c>
    </row>
    <row r="338" spans="1:24" s="33" customFormat="1" x14ac:dyDescent="0.25">
      <c r="A338" s="547">
        <v>13062026</v>
      </c>
      <c r="B338" s="291" t="s">
        <v>614</v>
      </c>
      <c r="C338" s="1402" t="s">
        <v>13</v>
      </c>
      <c r="D338" s="548">
        <v>46186</v>
      </c>
      <c r="E338" s="306" t="s">
        <v>8334</v>
      </c>
      <c r="F338" s="306" t="s">
        <v>2008</v>
      </c>
      <c r="G338" s="319"/>
      <c r="H338" s="279" t="s">
        <v>279</v>
      </c>
      <c r="J338" s="1340"/>
      <c r="K338" s="1318"/>
      <c r="L338" s="1318"/>
      <c r="M338" s="933">
        <v>46716.2</v>
      </c>
      <c r="N338" s="933"/>
      <c r="O338" s="279"/>
      <c r="V338" s="291" t="s">
        <v>7888</v>
      </c>
      <c r="W338" s="550">
        <v>0.30763888888888891</v>
      </c>
      <c r="X338" s="550">
        <v>0.60347222222222219</v>
      </c>
    </row>
    <row r="339" spans="1:24" s="926" customFormat="1" x14ac:dyDescent="0.25">
      <c r="A339" s="925">
        <v>14062026</v>
      </c>
      <c r="B339" s="947" t="s">
        <v>610</v>
      </c>
      <c r="C339" s="1400" t="s">
        <v>410</v>
      </c>
      <c r="D339" s="927">
        <v>46187</v>
      </c>
      <c r="E339" s="928" t="s">
        <v>8407</v>
      </c>
      <c r="F339" s="928" t="s">
        <v>106</v>
      </c>
      <c r="G339" s="1334"/>
      <c r="H339" s="930" t="s">
        <v>279</v>
      </c>
      <c r="J339" s="1335"/>
      <c r="K339" s="1333"/>
      <c r="L339" s="1333"/>
      <c r="M339" s="932">
        <v>28900</v>
      </c>
      <c r="N339" s="932"/>
      <c r="O339" s="930"/>
      <c r="V339" s="947" t="s">
        <v>6349</v>
      </c>
      <c r="W339" s="931">
        <v>0.30902777777777779</v>
      </c>
      <c r="X339" s="931">
        <v>0.4680555555555555</v>
      </c>
    </row>
    <row r="340" spans="1:24" s="431" customFormat="1" x14ac:dyDescent="0.25">
      <c r="A340" s="1232">
        <v>15062026</v>
      </c>
      <c r="B340" s="1458" t="s">
        <v>8536</v>
      </c>
      <c r="C340" s="1446" t="s">
        <v>4218</v>
      </c>
      <c r="D340" s="569">
        <v>46188</v>
      </c>
      <c r="E340" s="492" t="s">
        <v>8537</v>
      </c>
      <c r="F340" s="492" t="s">
        <v>294</v>
      </c>
      <c r="G340" s="1459"/>
      <c r="H340" s="526" t="s">
        <v>279</v>
      </c>
      <c r="J340" s="1460"/>
      <c r="K340" s="1461"/>
      <c r="L340" s="1461"/>
      <c r="M340" s="1234">
        <v>39050</v>
      </c>
      <c r="N340" s="1234"/>
      <c r="O340" s="526"/>
      <c r="V340" s="1458" t="s">
        <v>6678</v>
      </c>
      <c r="W340" s="570">
        <v>0.3756944444444445</v>
      </c>
      <c r="X340" s="570">
        <v>0.56805555555555554</v>
      </c>
    </row>
    <row r="341" spans="1:24" s="33" customFormat="1" x14ac:dyDescent="0.25">
      <c r="A341" s="547">
        <v>15062026</v>
      </c>
      <c r="B341" s="291" t="s">
        <v>3083</v>
      </c>
      <c r="C341" s="1402" t="s">
        <v>13</v>
      </c>
      <c r="D341" s="548">
        <v>46188</v>
      </c>
      <c r="E341" s="306" t="s">
        <v>8363</v>
      </c>
      <c r="F341" s="306" t="s">
        <v>2253</v>
      </c>
      <c r="G341" s="319"/>
      <c r="H341" s="279" t="s">
        <v>279</v>
      </c>
      <c r="J341" s="1340"/>
      <c r="K341" s="1318"/>
      <c r="L341" s="1318"/>
      <c r="M341" s="933">
        <v>60500</v>
      </c>
      <c r="N341" s="933"/>
      <c r="O341" s="279"/>
      <c r="V341" s="291" t="s">
        <v>4983</v>
      </c>
      <c r="W341" s="550">
        <v>0.29722222222222222</v>
      </c>
      <c r="X341" s="550">
        <v>0.66111111111111109</v>
      </c>
    </row>
    <row r="342" spans="1:24" s="33" customFormat="1" x14ac:dyDescent="0.25">
      <c r="A342" s="547">
        <v>16062026</v>
      </c>
      <c r="B342" s="291" t="s">
        <v>614</v>
      </c>
      <c r="C342" s="1402" t="s">
        <v>13</v>
      </c>
      <c r="D342" s="548">
        <v>46189</v>
      </c>
      <c r="E342" s="306" t="s">
        <v>8334</v>
      </c>
      <c r="F342" s="306" t="s">
        <v>8195</v>
      </c>
      <c r="G342" s="319"/>
      <c r="H342" s="279" t="s">
        <v>279</v>
      </c>
      <c r="J342" s="1340"/>
      <c r="K342" s="1318"/>
      <c r="L342" s="1318"/>
      <c r="M342" s="933">
        <v>26632.6</v>
      </c>
      <c r="N342" s="933"/>
      <c r="O342" s="279"/>
      <c r="V342" s="291" t="s">
        <v>7335</v>
      </c>
      <c r="W342" s="550">
        <v>0.33611111111111108</v>
      </c>
      <c r="X342" s="550">
        <v>0.53055555555555556</v>
      </c>
    </row>
    <row r="343" spans="1:24" s="926" customFormat="1" x14ac:dyDescent="0.25">
      <c r="A343" s="925">
        <v>16062026</v>
      </c>
      <c r="B343" s="947" t="s">
        <v>1720</v>
      </c>
      <c r="C343" s="1400" t="s">
        <v>13</v>
      </c>
      <c r="D343" s="927">
        <v>46189</v>
      </c>
      <c r="E343" s="928" t="s">
        <v>8235</v>
      </c>
      <c r="F343" s="928" t="s">
        <v>545</v>
      </c>
      <c r="G343" s="1334"/>
      <c r="H343" s="930" t="s">
        <v>279</v>
      </c>
      <c r="J343" s="1335"/>
      <c r="K343" s="1333"/>
      <c r="L343" s="1333"/>
      <c r="M343" s="932">
        <v>37500</v>
      </c>
      <c r="N343" s="932"/>
      <c r="O343" s="930"/>
      <c r="V343" s="947" t="s">
        <v>4983</v>
      </c>
      <c r="W343" s="931">
        <v>0.80902777777777779</v>
      </c>
      <c r="X343" s="931">
        <v>0.97916666666666663</v>
      </c>
    </row>
    <row r="344" spans="1:24" s="33" customFormat="1" x14ac:dyDescent="0.25">
      <c r="A344" s="547">
        <v>17062026</v>
      </c>
      <c r="B344" s="291" t="s">
        <v>614</v>
      </c>
      <c r="C344" s="1402" t="s">
        <v>13</v>
      </c>
      <c r="D344" s="548">
        <v>46190</v>
      </c>
      <c r="E344" s="306" t="s">
        <v>8525</v>
      </c>
      <c r="F344" s="306" t="s">
        <v>2036</v>
      </c>
      <c r="G344" s="319"/>
      <c r="H344" s="279" t="s">
        <v>279</v>
      </c>
      <c r="J344" s="1340"/>
      <c r="K344" s="1318"/>
      <c r="L344" s="1318"/>
      <c r="M344" s="933">
        <v>26632</v>
      </c>
      <c r="N344" s="933"/>
      <c r="O344" s="279"/>
      <c r="V344" s="291" t="s">
        <v>8196</v>
      </c>
      <c r="W344" s="550">
        <v>0.53541666666666665</v>
      </c>
      <c r="X344" s="550">
        <v>0.7090277777777777</v>
      </c>
    </row>
    <row r="345" spans="1:24" s="926" customFormat="1" ht="14.1" customHeight="1" x14ac:dyDescent="0.25">
      <c r="A345" s="925">
        <v>17062026</v>
      </c>
      <c r="B345" s="926" t="s">
        <v>7447</v>
      </c>
      <c r="C345" s="1400" t="s">
        <v>4218</v>
      </c>
      <c r="D345" s="927">
        <v>46190</v>
      </c>
      <c r="E345" s="928" t="s">
        <v>8237</v>
      </c>
      <c r="F345" s="928" t="s">
        <v>68</v>
      </c>
      <c r="G345" s="1334"/>
      <c r="H345" s="930" t="s">
        <v>279</v>
      </c>
      <c r="J345" s="1335"/>
      <c r="K345" s="1333"/>
      <c r="L345" s="1333"/>
      <c r="M345" s="932">
        <v>47700</v>
      </c>
      <c r="N345" s="932"/>
      <c r="O345" s="930"/>
      <c r="V345" s="947" t="s">
        <v>4983</v>
      </c>
      <c r="W345" s="931">
        <v>0.65069444444444446</v>
      </c>
      <c r="X345" s="931">
        <v>0.93125000000000002</v>
      </c>
    </row>
    <row r="346" spans="1:24" s="926" customFormat="1" x14ac:dyDescent="0.25">
      <c r="A346" s="925">
        <v>17062026</v>
      </c>
      <c r="B346" s="947" t="s">
        <v>1720</v>
      </c>
      <c r="C346" s="1400" t="s">
        <v>13</v>
      </c>
      <c r="D346" s="927">
        <v>46190</v>
      </c>
      <c r="E346" s="928" t="s">
        <v>8282</v>
      </c>
      <c r="F346" s="928" t="s">
        <v>545</v>
      </c>
      <c r="G346" s="1334"/>
      <c r="H346" s="930" t="s">
        <v>277</v>
      </c>
      <c r="J346" s="1335"/>
      <c r="K346" s="1333"/>
      <c r="L346" s="1333"/>
      <c r="M346" s="932">
        <v>27500</v>
      </c>
      <c r="N346" s="932"/>
      <c r="O346" s="930"/>
      <c r="V346" s="947" t="s">
        <v>8125</v>
      </c>
      <c r="W346" s="931">
        <v>0.86041666666666661</v>
      </c>
      <c r="X346" s="931">
        <v>0.98125000000000007</v>
      </c>
    </row>
    <row r="347" spans="1:24" s="431" customFormat="1" x14ac:dyDescent="0.25">
      <c r="A347" s="1232">
        <v>19062026</v>
      </c>
      <c r="B347" s="1458" t="s">
        <v>611</v>
      </c>
      <c r="C347" s="1446" t="s">
        <v>4218</v>
      </c>
      <c r="D347" s="569">
        <v>46192</v>
      </c>
      <c r="E347" s="492" t="s">
        <v>8494</v>
      </c>
      <c r="F347" s="492" t="s">
        <v>143</v>
      </c>
      <c r="G347" s="1459"/>
      <c r="H347" s="526" t="s">
        <v>279</v>
      </c>
      <c r="J347" s="1460"/>
      <c r="K347" s="1461"/>
      <c r="L347" s="1461"/>
      <c r="M347" s="1234">
        <v>43100</v>
      </c>
      <c r="N347" s="1234"/>
      <c r="O347" s="526"/>
      <c r="V347" s="1458" t="s">
        <v>5021</v>
      </c>
      <c r="W347" s="570">
        <v>0.28680555555555554</v>
      </c>
      <c r="X347" s="570">
        <v>0.50138888888888888</v>
      </c>
    </row>
    <row r="348" spans="1:24" s="926" customFormat="1" x14ac:dyDescent="0.25">
      <c r="A348" s="925">
        <v>20062026</v>
      </c>
      <c r="B348" s="926" t="s">
        <v>4870</v>
      </c>
      <c r="C348" s="1400" t="s">
        <v>4218</v>
      </c>
      <c r="D348" s="927">
        <v>46193</v>
      </c>
      <c r="E348" s="928" t="s">
        <v>8281</v>
      </c>
      <c r="F348" s="928" t="s">
        <v>285</v>
      </c>
      <c r="G348" s="1334"/>
      <c r="H348" s="930" t="s">
        <v>279</v>
      </c>
      <c r="J348" s="1335"/>
      <c r="K348" s="1333"/>
      <c r="L348" s="1333"/>
      <c r="M348" s="932">
        <f>41970+9996</f>
        <v>51966</v>
      </c>
      <c r="N348" s="932"/>
      <c r="O348" s="930"/>
      <c r="V348" s="947" t="s">
        <v>7060</v>
      </c>
      <c r="W348" s="931">
        <v>0.51736111111111105</v>
      </c>
      <c r="X348" s="931">
        <v>0.80347222222222225</v>
      </c>
    </row>
    <row r="349" spans="1:24" s="926" customFormat="1" x14ac:dyDescent="0.25">
      <c r="A349" s="925">
        <v>21062026</v>
      </c>
      <c r="B349" s="926" t="s">
        <v>3880</v>
      </c>
      <c r="C349" s="1400" t="s">
        <v>13</v>
      </c>
      <c r="D349" s="927">
        <v>46194</v>
      </c>
      <c r="E349" s="928" t="s">
        <v>8259</v>
      </c>
      <c r="F349" s="928" t="s">
        <v>545</v>
      </c>
      <c r="G349" s="1334"/>
      <c r="H349" s="930" t="s">
        <v>279</v>
      </c>
      <c r="J349" s="1335"/>
      <c r="K349" s="1333"/>
      <c r="L349" s="1333"/>
      <c r="M349" s="932">
        <v>37500</v>
      </c>
      <c r="N349" s="932"/>
      <c r="O349" s="930"/>
      <c r="V349" s="947" t="s">
        <v>8125</v>
      </c>
      <c r="W349" s="931">
        <v>0.28750000000000003</v>
      </c>
      <c r="X349" s="931">
        <v>0.47916666666666669</v>
      </c>
    </row>
    <row r="350" spans="1:24" s="926" customFormat="1" x14ac:dyDescent="0.25">
      <c r="A350" s="925">
        <v>22062026</v>
      </c>
      <c r="B350" s="926" t="s">
        <v>7650</v>
      </c>
      <c r="C350" s="1400" t="s">
        <v>13</v>
      </c>
      <c r="D350" s="927">
        <v>46195</v>
      </c>
      <c r="E350" s="928" t="s">
        <v>8275</v>
      </c>
      <c r="F350" s="928" t="s">
        <v>285</v>
      </c>
      <c r="G350" s="1334"/>
      <c r="H350" s="930" t="s">
        <v>279</v>
      </c>
      <c r="J350" s="1335"/>
      <c r="K350" s="1333"/>
      <c r="L350" s="1333"/>
      <c r="M350" s="932">
        <v>49520</v>
      </c>
      <c r="N350" s="932"/>
      <c r="O350" s="930"/>
      <c r="V350" s="947" t="s">
        <v>8251</v>
      </c>
      <c r="W350" s="931">
        <v>0.2902777777777778</v>
      </c>
      <c r="X350" s="931">
        <v>0.64652777777777781</v>
      </c>
    </row>
    <row r="351" spans="1:24" s="926" customFormat="1" x14ac:dyDescent="0.25">
      <c r="A351" s="925">
        <v>22062026</v>
      </c>
      <c r="B351" s="926" t="s">
        <v>572</v>
      </c>
      <c r="C351" s="1400" t="s">
        <v>410</v>
      </c>
      <c r="D351" s="927">
        <v>46195</v>
      </c>
      <c r="E351" s="928" t="s">
        <v>8267</v>
      </c>
      <c r="F351" s="928" t="s">
        <v>207</v>
      </c>
      <c r="G351" s="1334"/>
      <c r="H351" s="930" t="s">
        <v>279</v>
      </c>
      <c r="J351" s="1335"/>
      <c r="K351" s="1333"/>
      <c r="L351" s="1333"/>
      <c r="M351" s="932"/>
      <c r="N351" s="932">
        <v>11003.977272727274</v>
      </c>
      <c r="O351" s="930"/>
      <c r="V351" s="947" t="s">
        <v>4983</v>
      </c>
      <c r="W351" s="931">
        <v>0.59722222222222221</v>
      </c>
      <c r="X351" s="931">
        <v>0.75486111111111109</v>
      </c>
    </row>
    <row r="352" spans="1:24" s="926" customFormat="1" x14ac:dyDescent="0.25">
      <c r="A352" s="925">
        <v>23062026</v>
      </c>
      <c r="B352" s="926" t="s">
        <v>572</v>
      </c>
      <c r="C352" s="1400" t="s">
        <v>13</v>
      </c>
      <c r="D352" s="927">
        <v>46196</v>
      </c>
      <c r="E352" s="928" t="s">
        <v>8268</v>
      </c>
      <c r="F352" s="928" t="s">
        <v>207</v>
      </c>
      <c r="G352" s="1334"/>
      <c r="H352" s="930" t="s">
        <v>279</v>
      </c>
      <c r="J352" s="1335"/>
      <c r="K352" s="1333"/>
      <c r="L352" s="1333"/>
      <c r="M352" s="932"/>
      <c r="N352" s="932">
        <v>11003.977272727274</v>
      </c>
      <c r="O352" s="930"/>
      <c r="V352" s="947" t="s">
        <v>4297</v>
      </c>
      <c r="W352" s="931">
        <v>0.29305555555555557</v>
      </c>
      <c r="X352" s="931">
        <v>0.51874999999999993</v>
      </c>
    </row>
    <row r="353" spans="1:24" s="33" customFormat="1" x14ac:dyDescent="0.25">
      <c r="A353" s="547">
        <v>23062026</v>
      </c>
      <c r="B353" s="33" t="s">
        <v>614</v>
      </c>
      <c r="C353" s="1402" t="s">
        <v>410</v>
      </c>
      <c r="D353" s="548">
        <v>46196</v>
      </c>
      <c r="E353" s="306" t="s">
        <v>8334</v>
      </c>
      <c r="F353" s="306" t="s">
        <v>2008</v>
      </c>
      <c r="G353" s="319"/>
      <c r="H353" s="279" t="s">
        <v>279</v>
      </c>
      <c r="J353" s="1340"/>
      <c r="K353" s="1318"/>
      <c r="L353" s="1318"/>
      <c r="M353" s="933">
        <v>46716.2</v>
      </c>
      <c r="N353" s="933"/>
      <c r="O353" s="279"/>
      <c r="V353" s="291" t="s">
        <v>4983</v>
      </c>
      <c r="W353" s="550">
        <v>0.36944444444444446</v>
      </c>
      <c r="X353" s="550">
        <v>0.62847222222222221</v>
      </c>
    </row>
    <row r="354" spans="1:24" s="33" customFormat="1" x14ac:dyDescent="0.25">
      <c r="A354" s="547">
        <v>23062026</v>
      </c>
      <c r="B354" s="33" t="s">
        <v>614</v>
      </c>
      <c r="C354" s="1402" t="s">
        <v>13</v>
      </c>
      <c r="D354" s="548">
        <v>46196</v>
      </c>
      <c r="E354" s="306" t="s">
        <v>8334</v>
      </c>
      <c r="F354" s="306" t="s">
        <v>4622</v>
      </c>
      <c r="G354" s="319"/>
      <c r="H354" s="279" t="s">
        <v>279</v>
      </c>
      <c r="J354" s="1340"/>
      <c r="K354" s="1318"/>
      <c r="L354" s="1318"/>
      <c r="M354" s="933">
        <v>26632.6</v>
      </c>
      <c r="N354" s="933"/>
      <c r="O354" s="279"/>
      <c r="V354" s="291" t="s">
        <v>4297</v>
      </c>
      <c r="W354" s="550">
        <v>0.54513888888888895</v>
      </c>
      <c r="X354" s="550">
        <v>0.73125000000000007</v>
      </c>
    </row>
    <row r="355" spans="1:24" s="33" customFormat="1" x14ac:dyDescent="0.25">
      <c r="A355" s="547">
        <v>25062026</v>
      </c>
      <c r="B355" s="33" t="s">
        <v>614</v>
      </c>
      <c r="C355" s="1402" t="s">
        <v>410</v>
      </c>
      <c r="D355" s="548">
        <v>46198</v>
      </c>
      <c r="E355" s="306" t="s">
        <v>8334</v>
      </c>
      <c r="F355" s="306" t="s">
        <v>8195</v>
      </c>
      <c r="G355" s="319"/>
      <c r="H355" s="279" t="s">
        <v>279</v>
      </c>
      <c r="J355" s="1340"/>
      <c r="K355" s="1318"/>
      <c r="L355" s="1318"/>
      <c r="M355" s="933">
        <v>26632.6</v>
      </c>
      <c r="N355" s="933"/>
      <c r="O355" s="279"/>
      <c r="V355" s="291" t="s">
        <v>6503</v>
      </c>
      <c r="W355" s="550">
        <v>0.43055555555555558</v>
      </c>
      <c r="X355" s="550">
        <v>0.61388888888888882</v>
      </c>
    </row>
    <row r="356" spans="1:24" s="926" customFormat="1" x14ac:dyDescent="0.25">
      <c r="A356" s="925">
        <v>25062026</v>
      </c>
      <c r="B356" s="947" t="s">
        <v>1720</v>
      </c>
      <c r="C356" s="1400" t="s">
        <v>410</v>
      </c>
      <c r="D356" s="927">
        <v>46198</v>
      </c>
      <c r="E356" s="928" t="s">
        <v>8293</v>
      </c>
      <c r="F356" s="928" t="s">
        <v>545</v>
      </c>
      <c r="G356" s="1334"/>
      <c r="H356" s="930" t="s">
        <v>277</v>
      </c>
      <c r="J356" s="1335"/>
      <c r="K356" s="1333"/>
      <c r="L356" s="1333"/>
      <c r="M356" s="932">
        <v>27500</v>
      </c>
      <c r="N356" s="932"/>
      <c r="O356" s="930"/>
      <c r="V356" s="947" t="s">
        <v>6503</v>
      </c>
      <c r="W356" s="931">
        <v>0.64513888888888882</v>
      </c>
      <c r="X356" s="931">
        <v>0.7993055555555556</v>
      </c>
    </row>
    <row r="357" spans="1:24" s="926" customFormat="1" x14ac:dyDescent="0.25">
      <c r="A357" s="925">
        <v>25062026</v>
      </c>
      <c r="B357" s="947" t="s">
        <v>1720</v>
      </c>
      <c r="C357" s="1400" t="s">
        <v>13</v>
      </c>
      <c r="D357" s="927">
        <v>46198</v>
      </c>
      <c r="E357" s="928" t="s">
        <v>8292</v>
      </c>
      <c r="F357" s="928" t="s">
        <v>545</v>
      </c>
      <c r="G357" s="1334"/>
      <c r="H357" s="930" t="s">
        <v>279</v>
      </c>
      <c r="J357" s="1335"/>
      <c r="K357" s="1333"/>
      <c r="L357" s="1333"/>
      <c r="M357" s="932">
        <v>37500</v>
      </c>
      <c r="N357" s="932"/>
      <c r="O357" s="930"/>
      <c r="V357" s="947" t="s">
        <v>7833</v>
      </c>
      <c r="W357" s="931">
        <v>0.62152777777777779</v>
      </c>
      <c r="X357" s="931">
        <v>0.78819444444444453</v>
      </c>
    </row>
    <row r="358" spans="1:24" s="33" customFormat="1" x14ac:dyDescent="0.25">
      <c r="A358" s="547">
        <v>25062026</v>
      </c>
      <c r="B358" s="33" t="s">
        <v>4515</v>
      </c>
      <c r="C358" s="1402" t="s">
        <v>4218</v>
      </c>
      <c r="D358" s="548">
        <v>46198</v>
      </c>
      <c r="E358" s="306" t="s">
        <v>8305</v>
      </c>
      <c r="F358" s="312" t="s">
        <v>68</v>
      </c>
      <c r="H358" s="279" t="s">
        <v>279</v>
      </c>
      <c r="M358" s="312"/>
      <c r="N358" s="279">
        <v>13435</v>
      </c>
      <c r="O358" s="279"/>
      <c r="V358" s="33" t="s">
        <v>8193</v>
      </c>
      <c r="W358" s="550">
        <v>0.70694444444444438</v>
      </c>
      <c r="X358" s="550">
        <v>0.95972222222222225</v>
      </c>
    </row>
    <row r="359" spans="1:24" s="5" customFormat="1" x14ac:dyDescent="0.25">
      <c r="A359" s="495">
        <v>26062026</v>
      </c>
      <c r="B359" s="5" t="s">
        <v>582</v>
      </c>
      <c r="C359" s="1406" t="s">
        <v>13</v>
      </c>
      <c r="D359" s="494">
        <v>46199</v>
      </c>
      <c r="E359" s="127"/>
      <c r="F359" s="296" t="s">
        <v>317</v>
      </c>
      <c r="H359" s="89" t="s">
        <v>279</v>
      </c>
      <c r="M359" s="89">
        <v>51250</v>
      </c>
      <c r="N359" s="89"/>
      <c r="O359" s="89"/>
      <c r="V359" s="5" t="s">
        <v>8285</v>
      </c>
      <c r="W359" s="496">
        <v>0.30208333333333331</v>
      </c>
      <c r="X359" s="496">
        <v>0.58750000000000002</v>
      </c>
    </row>
    <row r="360" spans="1:24" s="5" customFormat="1" x14ac:dyDescent="0.25">
      <c r="A360" s="495">
        <v>26062026</v>
      </c>
      <c r="B360" s="5" t="s">
        <v>2739</v>
      </c>
      <c r="C360" s="1406" t="s">
        <v>410</v>
      </c>
      <c r="D360" s="494">
        <v>46199</v>
      </c>
      <c r="E360" s="127"/>
      <c r="F360" s="296" t="s">
        <v>8284</v>
      </c>
      <c r="H360" s="89" t="s">
        <v>279</v>
      </c>
      <c r="M360" s="296">
        <v>38863</v>
      </c>
      <c r="N360" s="89"/>
      <c r="O360" s="89"/>
      <c r="V360" s="5" t="s">
        <v>8118</v>
      </c>
      <c r="W360" s="496">
        <v>0.59861111111111109</v>
      </c>
      <c r="X360" s="496">
        <v>0.84930555555555554</v>
      </c>
    </row>
    <row r="361" spans="1:24" s="5" customFormat="1" x14ac:dyDescent="0.25">
      <c r="A361" s="495">
        <v>27062026</v>
      </c>
      <c r="B361" s="5" t="s">
        <v>611</v>
      </c>
      <c r="C361" s="1406" t="s">
        <v>13</v>
      </c>
      <c r="D361" s="494">
        <v>46200</v>
      </c>
      <c r="E361" s="127"/>
      <c r="F361" s="296" t="s">
        <v>143</v>
      </c>
      <c r="H361" s="89" t="s">
        <v>279</v>
      </c>
      <c r="M361" s="296">
        <v>40904</v>
      </c>
      <c r="N361" s="89"/>
      <c r="O361" s="89"/>
      <c r="V361" s="5" t="s">
        <v>7833</v>
      </c>
      <c r="W361" s="496">
        <v>0.41388888888888892</v>
      </c>
      <c r="X361" s="496">
        <v>0.62430555555555556</v>
      </c>
    </row>
    <row r="362" spans="1:24" s="33" customFormat="1" x14ac:dyDescent="0.25">
      <c r="A362" s="547">
        <v>28062026</v>
      </c>
      <c r="B362" s="33" t="s">
        <v>1907</v>
      </c>
      <c r="C362" s="1402" t="s">
        <v>13</v>
      </c>
      <c r="D362" s="548">
        <v>46201</v>
      </c>
      <c r="E362" s="306" t="s">
        <v>8300</v>
      </c>
      <c r="F362" s="312" t="s">
        <v>207</v>
      </c>
      <c r="H362" s="279" t="s">
        <v>279</v>
      </c>
      <c r="M362" s="312"/>
      <c r="N362" s="933">
        <v>18332.21</v>
      </c>
      <c r="O362" s="279"/>
      <c r="V362" s="33" t="s">
        <v>8285</v>
      </c>
      <c r="W362" s="550">
        <v>0.36805555555555558</v>
      </c>
      <c r="X362" s="550">
        <v>0.59652777777777777</v>
      </c>
    </row>
    <row r="363" spans="1:24" s="33" customFormat="1" x14ac:dyDescent="0.25">
      <c r="A363" s="547">
        <v>28062026</v>
      </c>
      <c r="B363" s="33" t="s">
        <v>610</v>
      </c>
      <c r="C363" s="1402" t="s">
        <v>410</v>
      </c>
      <c r="D363" s="548">
        <v>46201</v>
      </c>
      <c r="E363" s="306" t="s">
        <v>8356</v>
      </c>
      <c r="F363" s="312" t="s">
        <v>106</v>
      </c>
      <c r="H363" s="279" t="s">
        <v>279</v>
      </c>
      <c r="M363" s="312">
        <v>28900</v>
      </c>
      <c r="N363" s="279"/>
      <c r="O363" s="279"/>
      <c r="V363" s="33" t="s">
        <v>8286</v>
      </c>
      <c r="W363" s="550">
        <v>0.57986111111111105</v>
      </c>
      <c r="X363" s="550">
        <v>0.72291666666666676</v>
      </c>
    </row>
    <row r="364" spans="1:24" s="33" customFormat="1" x14ac:dyDescent="0.25">
      <c r="A364" s="547">
        <v>28062026</v>
      </c>
      <c r="B364" s="33" t="s">
        <v>610</v>
      </c>
      <c r="C364" s="1402" t="s">
        <v>4218</v>
      </c>
      <c r="D364" s="548">
        <v>46201</v>
      </c>
      <c r="E364" s="306" t="s">
        <v>8357</v>
      </c>
      <c r="F364" s="312" t="s">
        <v>106</v>
      </c>
      <c r="H364" s="279" t="s">
        <v>279</v>
      </c>
      <c r="M364" s="312">
        <v>28900</v>
      </c>
      <c r="N364" s="279"/>
      <c r="O364" s="279"/>
      <c r="V364" s="33" t="s">
        <v>8193</v>
      </c>
      <c r="W364" s="550">
        <v>0.59930555555555554</v>
      </c>
      <c r="X364" s="550">
        <v>0.73888888888888893</v>
      </c>
    </row>
    <row r="365" spans="1:24" s="926" customFormat="1" x14ac:dyDescent="0.25">
      <c r="A365" s="925">
        <v>29062026</v>
      </c>
      <c r="B365" s="926" t="s">
        <v>3880</v>
      </c>
      <c r="C365" s="1400" t="s">
        <v>13</v>
      </c>
      <c r="D365" s="927">
        <v>46202</v>
      </c>
      <c r="E365" s="928" t="s">
        <v>8299</v>
      </c>
      <c r="F365" s="929" t="s">
        <v>545</v>
      </c>
      <c r="H365" s="930" t="s">
        <v>279</v>
      </c>
      <c r="M365" s="929">
        <v>37500</v>
      </c>
      <c r="N365" s="930"/>
      <c r="O365" s="930"/>
      <c r="V365" s="926" t="s">
        <v>6503</v>
      </c>
      <c r="W365" s="931">
        <v>0.57777777777777783</v>
      </c>
      <c r="X365" s="931">
        <v>0.78888888888888886</v>
      </c>
    </row>
    <row r="366" spans="1:24" s="33" customFormat="1" x14ac:dyDescent="0.25">
      <c r="A366" s="547">
        <v>30062026</v>
      </c>
      <c r="B366" s="33" t="s">
        <v>8151</v>
      </c>
      <c r="C366" s="1402" t="s">
        <v>410</v>
      </c>
      <c r="D366" s="548">
        <v>46203</v>
      </c>
      <c r="E366" s="306" t="s">
        <v>8290</v>
      </c>
      <c r="F366" s="312" t="s">
        <v>317</v>
      </c>
      <c r="H366" s="279" t="s">
        <v>279</v>
      </c>
      <c r="M366" s="312"/>
      <c r="N366" s="279">
        <v>14900</v>
      </c>
      <c r="O366" s="279"/>
      <c r="V366" s="33" t="s">
        <v>8196</v>
      </c>
      <c r="W366" s="550">
        <v>0.48194444444444445</v>
      </c>
      <c r="X366" s="550">
        <v>0.7402777777777777</v>
      </c>
    </row>
    <row r="368" spans="1:24" s="28" customFormat="1" x14ac:dyDescent="0.25">
      <c r="A368" s="483"/>
      <c r="C368" s="31"/>
      <c r="D368" s="233"/>
      <c r="F368" s="313"/>
      <c r="H368" s="313"/>
      <c r="M368" s="313"/>
      <c r="N368" s="313"/>
      <c r="O368" s="313"/>
      <c r="V368" s="746"/>
      <c r="W368" s="276"/>
    </row>
    <row r="369" spans="1:24" x14ac:dyDescent="0.25">
      <c r="A369" s="483"/>
      <c r="D369" s="233"/>
      <c r="F369" s="313"/>
      <c r="G369" s="88"/>
      <c r="H369" s="88"/>
      <c r="M369" s="313"/>
      <c r="N369" s="160"/>
      <c r="O369" s="88"/>
      <c r="W369" s="360"/>
    </row>
    <row r="370" spans="1:24" x14ac:dyDescent="0.25">
      <c r="A370" s="483"/>
      <c r="B370" s="21"/>
      <c r="D370" s="233"/>
      <c r="F370" s="61"/>
      <c r="G370" s="314"/>
      <c r="J370" s="1332"/>
      <c r="K370" s="1331"/>
      <c r="L370" s="1331"/>
      <c r="M370" s="798"/>
      <c r="N370" s="798"/>
      <c r="V370" s="1443"/>
      <c r="W370" s="360"/>
      <c r="X370" s="360"/>
    </row>
    <row r="371" spans="1:24" x14ac:dyDescent="0.25">
      <c r="A371" s="483"/>
      <c r="B371" s="21"/>
      <c r="D371" s="233"/>
      <c r="G371" s="314"/>
      <c r="H371" s="88"/>
      <c r="J371" s="1332"/>
      <c r="K371" s="1331"/>
      <c r="L371" s="1331"/>
      <c r="M371" s="798"/>
      <c r="N371" s="798"/>
      <c r="V371" s="21"/>
      <c r="W371" s="360"/>
      <c r="X371" s="360"/>
    </row>
    <row r="372" spans="1:24" ht="15.75" thickBot="1" x14ac:dyDescent="0.3">
      <c r="A372" s="483"/>
      <c r="D372" s="233"/>
      <c r="G372" s="314"/>
      <c r="H372" s="88"/>
      <c r="J372" s="1332"/>
      <c r="K372" s="1331"/>
      <c r="L372" s="1331"/>
      <c r="M372" s="798"/>
      <c r="N372" s="798"/>
      <c r="O372" s="88"/>
      <c r="W372"/>
      <c r="X372" s="360"/>
    </row>
    <row r="373" spans="1:24" ht="15.75" thickBot="1" x14ac:dyDescent="0.3">
      <c r="A373" s="483"/>
      <c r="D373" s="233"/>
      <c r="G373" s="314"/>
      <c r="H373" s="88"/>
      <c r="J373" s="1332"/>
      <c r="K373" s="1331"/>
      <c r="L373" s="1331"/>
      <c r="M373" s="960">
        <f>SUM(M314:M372)</f>
        <v>1662989.4000000001</v>
      </c>
      <c r="N373" s="960">
        <f>SUM(N314:N372)</f>
        <v>154205.16454545455</v>
      </c>
      <c r="O373" s="88"/>
      <c r="W373"/>
      <c r="X373" s="360"/>
    </row>
    <row r="374" spans="1:24" x14ac:dyDescent="0.25">
      <c r="A374" s="483"/>
      <c r="D374" s="233"/>
      <c r="G374" s="314"/>
      <c r="H374" s="88"/>
      <c r="J374" s="1332"/>
      <c r="K374" s="1331"/>
      <c r="L374" s="1331"/>
      <c r="M374" s="558"/>
      <c r="N374" s="558"/>
      <c r="O374" s="88"/>
      <c r="W374"/>
      <c r="X374" s="360"/>
    </row>
    <row r="375" spans="1:24" x14ac:dyDescent="0.25">
      <c r="A375" s="483"/>
      <c r="D375" s="233"/>
      <c r="G375" s="314"/>
      <c r="H375" s="88"/>
      <c r="J375" s="1332"/>
      <c r="K375" s="1331"/>
      <c r="L375" s="1331"/>
      <c r="M375" s="558"/>
      <c r="N375" s="558"/>
      <c r="O375" s="88"/>
      <c r="W375"/>
      <c r="X375" s="360"/>
    </row>
    <row r="376" spans="1:24" x14ac:dyDescent="0.25">
      <c r="A376" s="483"/>
      <c r="D376" s="233"/>
      <c r="G376" s="314"/>
      <c r="H376" s="88"/>
      <c r="J376" s="1332"/>
      <c r="K376" s="1331"/>
      <c r="L376" s="1331"/>
      <c r="M376" s="558"/>
      <c r="N376" s="558"/>
      <c r="O376" s="88"/>
      <c r="W376"/>
      <c r="X376" s="360"/>
    </row>
    <row r="377" spans="1:24" x14ac:dyDescent="0.25">
      <c r="A377" s="483"/>
      <c r="D377" s="233"/>
      <c r="G377" s="314"/>
      <c r="H377" s="88"/>
      <c r="J377" s="1332"/>
      <c r="K377" s="1331"/>
      <c r="L377" s="1331"/>
      <c r="M377" s="558"/>
      <c r="N377" s="558"/>
      <c r="O377" s="88"/>
      <c r="W377"/>
      <c r="X377" s="360"/>
    </row>
    <row r="378" spans="1:24" s="926" customFormat="1" x14ac:dyDescent="0.25">
      <c r="A378" s="925" t="s">
        <v>8288</v>
      </c>
      <c r="B378" s="926" t="s">
        <v>1720</v>
      </c>
      <c r="C378" s="1400" t="s">
        <v>13</v>
      </c>
      <c r="D378" s="927">
        <v>46204</v>
      </c>
      <c r="E378" s="928" t="s">
        <v>8309</v>
      </c>
      <c r="F378" s="929" t="s">
        <v>545</v>
      </c>
      <c r="H378" s="930" t="s">
        <v>279</v>
      </c>
      <c r="M378" s="929">
        <v>37500</v>
      </c>
      <c r="N378" s="930"/>
      <c r="O378" s="930"/>
      <c r="V378" s="926" t="s">
        <v>8289</v>
      </c>
      <c r="W378" s="931">
        <v>0.63055555555555554</v>
      </c>
      <c r="X378" s="931">
        <v>0.81180555555555556</v>
      </c>
    </row>
    <row r="379" spans="1:24" s="926" customFormat="1" x14ac:dyDescent="0.25">
      <c r="A379" s="925" t="s">
        <v>8295</v>
      </c>
      <c r="B379" s="926" t="s">
        <v>572</v>
      </c>
      <c r="C379" s="1400" t="s">
        <v>13</v>
      </c>
      <c r="D379" s="927">
        <v>46205</v>
      </c>
      <c r="E379" s="928" t="s">
        <v>8298</v>
      </c>
      <c r="F379" s="929" t="s">
        <v>317</v>
      </c>
      <c r="H379" s="930" t="s">
        <v>279</v>
      </c>
      <c r="M379" s="929"/>
      <c r="N379" s="930">
        <v>14490.000000000002</v>
      </c>
      <c r="O379" s="930"/>
      <c r="V379" s="926" t="s">
        <v>8289</v>
      </c>
      <c r="W379" s="931">
        <v>0.59791666666666665</v>
      </c>
      <c r="X379" s="931">
        <v>0.86458333333333337</v>
      </c>
    </row>
    <row r="380" spans="1:24" s="33" customFormat="1" x14ac:dyDescent="0.25">
      <c r="A380" s="547" t="s">
        <v>8295</v>
      </c>
      <c r="B380" s="33" t="s">
        <v>3918</v>
      </c>
      <c r="C380" s="1402" t="s">
        <v>410</v>
      </c>
      <c r="D380" s="548">
        <v>46205</v>
      </c>
      <c r="E380" s="306" t="s">
        <v>8449</v>
      </c>
      <c r="F380" s="312" t="s">
        <v>2437</v>
      </c>
      <c r="H380" s="279" t="s">
        <v>279</v>
      </c>
      <c r="M380" s="312">
        <v>24250</v>
      </c>
      <c r="N380" s="279"/>
      <c r="O380" s="279"/>
      <c r="V380" s="33" t="s">
        <v>8193</v>
      </c>
      <c r="W380" s="550">
        <v>0.58472222222222225</v>
      </c>
      <c r="X380" s="550">
        <v>0.67013888888888884</v>
      </c>
    </row>
    <row r="381" spans="1:24" s="926" customFormat="1" x14ac:dyDescent="0.25">
      <c r="A381" s="925" t="s">
        <v>8295</v>
      </c>
      <c r="B381" s="926" t="s">
        <v>1720</v>
      </c>
      <c r="C381" s="1400" t="s">
        <v>410</v>
      </c>
      <c r="D381" s="927">
        <v>46205</v>
      </c>
      <c r="E381" s="928" t="s">
        <v>8310</v>
      </c>
      <c r="F381" s="929" t="s">
        <v>545</v>
      </c>
      <c r="H381" s="930" t="s">
        <v>277</v>
      </c>
      <c r="M381" s="929">
        <v>27500</v>
      </c>
      <c r="N381" s="930"/>
      <c r="O381" s="930"/>
      <c r="V381" s="926" t="s">
        <v>8193</v>
      </c>
      <c r="W381" s="931">
        <v>0.70624999999999993</v>
      </c>
      <c r="X381" s="931">
        <v>0.82361111111111107</v>
      </c>
    </row>
    <row r="382" spans="1:24" s="33" customFormat="1" x14ac:dyDescent="0.25">
      <c r="A382" s="547" t="s">
        <v>8297</v>
      </c>
      <c r="B382" s="33" t="s">
        <v>614</v>
      </c>
      <c r="C382" s="1402" t="s">
        <v>13</v>
      </c>
      <c r="D382" s="548">
        <v>46206</v>
      </c>
      <c r="E382" s="306" t="s">
        <v>8467</v>
      </c>
      <c r="F382" s="312" t="s">
        <v>285</v>
      </c>
      <c r="H382" s="279" t="s">
        <v>279</v>
      </c>
      <c r="M382" s="312">
        <v>44096.6</v>
      </c>
      <c r="N382" s="279"/>
      <c r="O382" s="279"/>
      <c r="V382" s="33" t="s">
        <v>8118</v>
      </c>
      <c r="W382" s="550">
        <v>0.56527777777777777</v>
      </c>
      <c r="X382" s="550">
        <v>0.80833333333333324</v>
      </c>
    </row>
    <row r="383" spans="1:24" s="33" customFormat="1" x14ac:dyDescent="0.25">
      <c r="A383" s="547" t="s">
        <v>8297</v>
      </c>
      <c r="B383" s="33" t="s">
        <v>614</v>
      </c>
      <c r="C383" s="1402" t="s">
        <v>410</v>
      </c>
      <c r="D383" s="548">
        <v>46206</v>
      </c>
      <c r="E383" s="306" t="s">
        <v>8467</v>
      </c>
      <c r="F383" s="312" t="s">
        <v>4622</v>
      </c>
      <c r="H383" s="279" t="s">
        <v>279</v>
      </c>
      <c r="M383" s="312">
        <v>26632.6</v>
      </c>
      <c r="N383" s="279"/>
      <c r="O383" s="279"/>
      <c r="V383" s="33" t="s">
        <v>7833</v>
      </c>
      <c r="W383" s="550">
        <v>0.52847222222222223</v>
      </c>
      <c r="X383" s="550">
        <v>0.69236111111111109</v>
      </c>
    </row>
    <row r="384" spans="1:24" s="926" customFormat="1" x14ac:dyDescent="0.25">
      <c r="A384" s="925" t="s">
        <v>8297</v>
      </c>
      <c r="B384" s="926" t="s">
        <v>1720</v>
      </c>
      <c r="C384" s="1400" t="s">
        <v>410</v>
      </c>
      <c r="D384" s="927">
        <v>46206</v>
      </c>
      <c r="E384" s="928" t="s">
        <v>8335</v>
      </c>
      <c r="F384" s="929" t="s">
        <v>545</v>
      </c>
      <c r="H384" s="930" t="s">
        <v>279</v>
      </c>
      <c r="M384" s="929">
        <v>37500</v>
      </c>
      <c r="N384" s="930"/>
      <c r="O384" s="930"/>
      <c r="V384" s="926" t="s">
        <v>7833</v>
      </c>
      <c r="W384" s="931">
        <v>0.75138888888888899</v>
      </c>
      <c r="X384" s="931">
        <v>0.96250000000000002</v>
      </c>
    </row>
    <row r="385" spans="1:24" s="926" customFormat="1" x14ac:dyDescent="0.25">
      <c r="A385" s="925" t="s">
        <v>8301</v>
      </c>
      <c r="B385" s="926" t="s">
        <v>2422</v>
      </c>
      <c r="C385" s="1400" t="s">
        <v>13</v>
      </c>
      <c r="D385" s="927">
        <v>46207</v>
      </c>
      <c r="E385" s="928"/>
      <c r="F385" s="929" t="s">
        <v>68</v>
      </c>
      <c r="H385" s="930" t="s">
        <v>279</v>
      </c>
      <c r="M385" s="929">
        <v>47700</v>
      </c>
      <c r="N385" s="930"/>
      <c r="O385" s="930"/>
      <c r="V385" s="926" t="s">
        <v>8121</v>
      </c>
      <c r="W385" s="931">
        <v>0.24374999999999999</v>
      </c>
      <c r="X385" s="931">
        <v>0.53472222222222221</v>
      </c>
    </row>
    <row r="386" spans="1:24" s="926" customFormat="1" x14ac:dyDescent="0.25">
      <c r="A386" s="925" t="s">
        <v>8301</v>
      </c>
      <c r="B386" s="926" t="s">
        <v>3236</v>
      </c>
      <c r="C386" s="1400" t="s">
        <v>410</v>
      </c>
      <c r="D386" s="927">
        <v>46207</v>
      </c>
      <c r="E386" s="928" t="s">
        <v>8404</v>
      </c>
      <c r="F386" s="929" t="s">
        <v>68</v>
      </c>
      <c r="H386" s="930" t="s">
        <v>279</v>
      </c>
      <c r="M386" s="929">
        <f>38403+8260</f>
        <v>46663</v>
      </c>
      <c r="N386" s="930"/>
      <c r="O386" s="930"/>
      <c r="V386" s="926" t="s">
        <v>8289</v>
      </c>
      <c r="W386" s="931">
        <v>0.34166666666666662</v>
      </c>
      <c r="X386" s="931">
        <v>0.64930555555555558</v>
      </c>
    </row>
    <row r="387" spans="1:24" s="926" customFormat="1" x14ac:dyDescent="0.25">
      <c r="A387" s="925" t="s">
        <v>8302</v>
      </c>
      <c r="B387" s="926" t="s">
        <v>8303</v>
      </c>
      <c r="C387" s="1400" t="s">
        <v>410</v>
      </c>
      <c r="D387" s="927">
        <v>46208</v>
      </c>
      <c r="E387" s="928" t="s">
        <v>8347</v>
      </c>
      <c r="F387" s="929" t="s">
        <v>563</v>
      </c>
      <c r="H387" s="930" t="s">
        <v>279</v>
      </c>
      <c r="M387" s="929">
        <v>27000</v>
      </c>
      <c r="N387" s="930"/>
      <c r="O387" s="930"/>
      <c r="V387" s="926" t="s">
        <v>7942</v>
      </c>
      <c r="W387" s="931">
        <v>0.52083333333333337</v>
      </c>
      <c r="X387" s="931">
        <v>0.74375000000000002</v>
      </c>
    </row>
    <row r="388" spans="1:24" s="33" customFormat="1" x14ac:dyDescent="0.25">
      <c r="A388" s="547" t="s">
        <v>8302</v>
      </c>
      <c r="B388" s="33" t="s">
        <v>614</v>
      </c>
      <c r="C388" s="1402" t="s">
        <v>13</v>
      </c>
      <c r="D388" s="548">
        <v>46208</v>
      </c>
      <c r="E388" s="306" t="s">
        <v>8467</v>
      </c>
      <c r="F388" s="312" t="s">
        <v>2008</v>
      </c>
      <c r="H388" s="279" t="s">
        <v>279</v>
      </c>
      <c r="M388" s="312">
        <v>46716.2</v>
      </c>
      <c r="N388" s="279"/>
      <c r="O388" s="279"/>
      <c r="V388" s="33" t="s">
        <v>8304</v>
      </c>
      <c r="W388" s="550">
        <v>0.62152777777777779</v>
      </c>
      <c r="X388" s="550">
        <v>0.90486111111111101</v>
      </c>
    </row>
    <row r="389" spans="1:24" s="926" customFormat="1" x14ac:dyDescent="0.25">
      <c r="A389" s="925" t="s">
        <v>8313</v>
      </c>
      <c r="B389" s="926" t="s">
        <v>4870</v>
      </c>
      <c r="C389" s="1400" t="s">
        <v>410</v>
      </c>
      <c r="D389" s="927">
        <v>46210</v>
      </c>
      <c r="E389" s="928" t="s">
        <v>8405</v>
      </c>
      <c r="F389" s="929" t="s">
        <v>285</v>
      </c>
      <c r="H389" s="930" t="s">
        <v>279</v>
      </c>
      <c r="M389" s="929">
        <f>41970+8496</f>
        <v>50466</v>
      </c>
      <c r="N389" s="930"/>
      <c r="O389" s="930"/>
      <c r="V389" s="926" t="s">
        <v>8314</v>
      </c>
      <c r="W389" s="931">
        <v>0.54652777777777783</v>
      </c>
      <c r="X389" s="931">
        <v>0.85277777777777775</v>
      </c>
    </row>
    <row r="390" spans="1:24" s="926" customFormat="1" x14ac:dyDescent="0.25">
      <c r="A390" s="925" t="s">
        <v>8315</v>
      </c>
      <c r="B390" s="926" t="s">
        <v>612</v>
      </c>
      <c r="C390" s="1400" t="s">
        <v>410</v>
      </c>
      <c r="D390" s="927">
        <v>46211</v>
      </c>
      <c r="E390" s="928" t="s">
        <v>8441</v>
      </c>
      <c r="F390" s="929" t="s">
        <v>113</v>
      </c>
      <c r="H390" s="930" t="s">
        <v>279</v>
      </c>
      <c r="M390" s="929">
        <v>35671</v>
      </c>
      <c r="N390" s="930"/>
      <c r="O390" s="930"/>
      <c r="V390" s="926" t="s">
        <v>7833</v>
      </c>
      <c r="W390" s="931">
        <v>0.3611111111111111</v>
      </c>
      <c r="X390" s="931">
        <v>0.62222222222222223</v>
      </c>
    </row>
    <row r="391" spans="1:24" s="926" customFormat="1" x14ac:dyDescent="0.25">
      <c r="A391" s="925" t="s">
        <v>8315</v>
      </c>
      <c r="B391" s="926" t="s">
        <v>610</v>
      </c>
      <c r="C391" s="1400" t="s">
        <v>13</v>
      </c>
      <c r="D391" s="927">
        <v>46211</v>
      </c>
      <c r="E391" s="928" t="s">
        <v>8358</v>
      </c>
      <c r="F391" s="929" t="s">
        <v>106</v>
      </c>
      <c r="H391" s="930" t="s">
        <v>279</v>
      </c>
      <c r="M391" s="929">
        <v>28900</v>
      </c>
      <c r="N391" s="930"/>
      <c r="O391" s="930"/>
      <c r="V391" s="926" t="s">
        <v>8316</v>
      </c>
      <c r="W391" s="931">
        <v>0.51666666666666672</v>
      </c>
      <c r="X391" s="944">
        <v>16.05</v>
      </c>
    </row>
    <row r="392" spans="1:24" s="926" customFormat="1" x14ac:dyDescent="0.25">
      <c r="A392" s="925" t="s">
        <v>8315</v>
      </c>
      <c r="B392" s="926" t="s">
        <v>2497</v>
      </c>
      <c r="C392" s="1400" t="s">
        <v>4218</v>
      </c>
      <c r="D392" s="927">
        <v>46211</v>
      </c>
      <c r="E392" s="928" t="s">
        <v>6732</v>
      </c>
      <c r="F392" s="929" t="s">
        <v>143</v>
      </c>
      <c r="H392" s="930" t="s">
        <v>279</v>
      </c>
      <c r="M392" s="929">
        <v>40380</v>
      </c>
      <c r="N392" s="930"/>
      <c r="O392" s="930"/>
      <c r="V392" s="926" t="s">
        <v>8318</v>
      </c>
      <c r="W392" s="931">
        <v>0.73958333333333337</v>
      </c>
      <c r="X392" s="931">
        <v>0.94444444444444453</v>
      </c>
    </row>
    <row r="393" spans="1:24" s="33" customFormat="1" x14ac:dyDescent="0.25">
      <c r="A393" s="547" t="s">
        <v>8319</v>
      </c>
      <c r="B393" s="33" t="s">
        <v>1740</v>
      </c>
      <c r="C393" s="1402" t="s">
        <v>4218</v>
      </c>
      <c r="D393" s="548">
        <v>46212</v>
      </c>
      <c r="E393" s="306" t="s">
        <v>8455</v>
      </c>
      <c r="F393" s="312" t="s">
        <v>317</v>
      </c>
      <c r="H393" s="279" t="s">
        <v>279</v>
      </c>
      <c r="M393" s="312">
        <v>50000</v>
      </c>
      <c r="N393" s="279"/>
      <c r="O393" s="279"/>
      <c r="V393" s="33" t="s">
        <v>7092</v>
      </c>
      <c r="W393" s="550">
        <v>0.51944444444444449</v>
      </c>
      <c r="X393" s="550">
        <v>0.87152777777777779</v>
      </c>
    </row>
    <row r="394" spans="1:24" s="33" customFormat="1" x14ac:dyDescent="0.25">
      <c r="A394" s="547" t="s">
        <v>8319</v>
      </c>
      <c r="B394" s="33" t="s">
        <v>614</v>
      </c>
      <c r="C394" s="1402" t="s">
        <v>410</v>
      </c>
      <c r="D394" s="548">
        <v>46212</v>
      </c>
      <c r="E394" s="306" t="s">
        <v>8467</v>
      </c>
      <c r="F394" s="312" t="s">
        <v>317</v>
      </c>
      <c r="H394" s="279" t="s">
        <v>279</v>
      </c>
      <c r="M394" s="312">
        <v>45843</v>
      </c>
      <c r="N394" s="279"/>
      <c r="O394" s="279"/>
      <c r="V394" s="33" t="s">
        <v>8304</v>
      </c>
      <c r="W394" s="550">
        <v>0.73749999999999993</v>
      </c>
      <c r="X394" s="550">
        <v>6.2499999999999995E-3</v>
      </c>
    </row>
    <row r="395" spans="1:24" s="926" customFormat="1" x14ac:dyDescent="0.25">
      <c r="A395" s="925" t="s">
        <v>8319</v>
      </c>
      <c r="B395" s="926" t="s">
        <v>1720</v>
      </c>
      <c r="C395" s="1400" t="s">
        <v>13</v>
      </c>
      <c r="D395" s="927">
        <v>46212</v>
      </c>
      <c r="E395" s="928"/>
      <c r="F395" s="929" t="s">
        <v>545</v>
      </c>
      <c r="H395" s="930" t="s">
        <v>279</v>
      </c>
      <c r="M395" s="929">
        <v>37500</v>
      </c>
      <c r="O395" s="930"/>
      <c r="V395" s="926" t="s">
        <v>4867</v>
      </c>
      <c r="W395" s="931">
        <v>0.78749999999999998</v>
      </c>
      <c r="X395" s="931">
        <v>0.97638888888888886</v>
      </c>
    </row>
    <row r="396" spans="1:24" s="926" customFormat="1" x14ac:dyDescent="0.25">
      <c r="A396" s="925" t="s">
        <v>8342</v>
      </c>
      <c r="B396" s="926" t="s">
        <v>2407</v>
      </c>
      <c r="C396" s="1400" t="s">
        <v>13</v>
      </c>
      <c r="D396" s="927">
        <v>46214</v>
      </c>
      <c r="E396" s="928" t="s">
        <v>8510</v>
      </c>
      <c r="F396" s="929" t="s">
        <v>675</v>
      </c>
      <c r="H396" s="930" t="s">
        <v>279</v>
      </c>
      <c r="M396" s="929"/>
      <c r="N396" s="930">
        <v>13435</v>
      </c>
      <c r="O396" s="930"/>
      <c r="V396" s="926" t="s">
        <v>7833</v>
      </c>
      <c r="W396" s="931">
        <v>0.36388888888888887</v>
      </c>
      <c r="X396" s="931">
        <v>0.61458333333333337</v>
      </c>
    </row>
    <row r="397" spans="1:24" s="33" customFormat="1" x14ac:dyDescent="0.25">
      <c r="A397" s="547" t="s">
        <v>8343</v>
      </c>
      <c r="B397" s="33" t="s">
        <v>611</v>
      </c>
      <c r="C397" s="1402" t="s">
        <v>13</v>
      </c>
      <c r="D397" s="548">
        <v>46216</v>
      </c>
      <c r="E397" s="306" t="s">
        <v>8497</v>
      </c>
      <c r="F397" s="312" t="s">
        <v>143</v>
      </c>
      <c r="H397" s="279" t="s">
        <v>279</v>
      </c>
      <c r="M397" s="312">
        <v>40020</v>
      </c>
      <c r="N397" s="279"/>
      <c r="O397" s="279"/>
      <c r="V397" s="33" t="s">
        <v>7078</v>
      </c>
      <c r="W397" s="550">
        <v>0.99097222222222225</v>
      </c>
      <c r="X397" s="550">
        <v>0.19375000000000001</v>
      </c>
    </row>
    <row r="398" spans="1:24" s="926" customFormat="1" x14ac:dyDescent="0.25">
      <c r="A398" s="925" t="s">
        <v>8344</v>
      </c>
      <c r="B398" s="926" t="s">
        <v>610</v>
      </c>
      <c r="C398" s="1400" t="s">
        <v>13</v>
      </c>
      <c r="D398" s="927">
        <v>46217</v>
      </c>
      <c r="E398" s="928" t="s">
        <v>8359</v>
      </c>
      <c r="F398" s="929" t="s">
        <v>106</v>
      </c>
      <c r="H398" s="930" t="s">
        <v>279</v>
      </c>
      <c r="M398" s="929">
        <v>28900</v>
      </c>
      <c r="N398" s="930"/>
      <c r="O398" s="930"/>
      <c r="V398" s="926" t="s">
        <v>8196</v>
      </c>
      <c r="W398" s="931">
        <v>0.28819444444444448</v>
      </c>
      <c r="X398" s="931">
        <v>0.45277777777777778</v>
      </c>
    </row>
    <row r="399" spans="1:24" s="5" customFormat="1" x14ac:dyDescent="0.25">
      <c r="A399" s="495" t="s">
        <v>8344</v>
      </c>
      <c r="B399" s="5" t="s">
        <v>2422</v>
      </c>
      <c r="C399" s="1406" t="s">
        <v>4218</v>
      </c>
      <c r="D399" s="494">
        <v>46217</v>
      </c>
      <c r="E399" s="127"/>
      <c r="F399" s="296" t="s">
        <v>68</v>
      </c>
      <c r="H399" s="89" t="s">
        <v>279</v>
      </c>
      <c r="M399" s="296">
        <v>47700</v>
      </c>
      <c r="N399" s="89"/>
      <c r="O399" s="89"/>
      <c r="V399" s="5" t="s">
        <v>8286</v>
      </c>
      <c r="W399" s="496">
        <v>0.27708333333333335</v>
      </c>
      <c r="X399" s="496">
        <v>0.56736111111111109</v>
      </c>
    </row>
    <row r="400" spans="1:24" s="926" customFormat="1" x14ac:dyDescent="0.25">
      <c r="A400" s="925" t="s">
        <v>8355</v>
      </c>
      <c r="B400" s="926" t="s">
        <v>572</v>
      </c>
      <c r="C400" s="1400" t="s">
        <v>13</v>
      </c>
      <c r="D400" s="927">
        <v>46218</v>
      </c>
      <c r="E400" s="928" t="s">
        <v>8417</v>
      </c>
      <c r="F400" s="929" t="s">
        <v>207</v>
      </c>
      <c r="H400" s="930" t="s">
        <v>279</v>
      </c>
      <c r="M400" s="929"/>
      <c r="N400" s="930">
        <v>11003.977272727272</v>
      </c>
      <c r="O400" s="930"/>
      <c r="V400" s="926" t="s">
        <v>8196</v>
      </c>
      <c r="W400" s="931">
        <v>0.20208333333333334</v>
      </c>
      <c r="X400" s="931"/>
    </row>
    <row r="401" spans="1:24" s="33" customFormat="1" x14ac:dyDescent="0.25">
      <c r="A401" s="547" t="s">
        <v>8355</v>
      </c>
      <c r="B401" s="33" t="s">
        <v>614</v>
      </c>
      <c r="C401" s="1402" t="s">
        <v>4218</v>
      </c>
      <c r="D401" s="548">
        <v>46218</v>
      </c>
      <c r="E401" s="306" t="s">
        <v>8467</v>
      </c>
      <c r="F401" s="312" t="s">
        <v>113</v>
      </c>
      <c r="H401" s="279" t="s">
        <v>279</v>
      </c>
      <c r="M401" s="312">
        <v>37984.199999999997</v>
      </c>
      <c r="N401" s="279"/>
      <c r="O401" s="279"/>
      <c r="V401" s="33" t="s">
        <v>8065</v>
      </c>
      <c r="W401" s="550">
        <v>0.3444444444444445</v>
      </c>
      <c r="X401" s="550"/>
    </row>
    <row r="402" spans="1:24" s="926" customFormat="1" x14ac:dyDescent="0.25">
      <c r="A402" s="925">
        <v>15072026</v>
      </c>
      <c r="B402" s="926" t="s">
        <v>3880</v>
      </c>
      <c r="C402" s="1400" t="s">
        <v>4218</v>
      </c>
      <c r="D402" s="927">
        <v>46218</v>
      </c>
      <c r="E402" s="928" t="s">
        <v>8400</v>
      </c>
      <c r="F402" s="929" t="s">
        <v>545</v>
      </c>
      <c r="H402" s="930" t="s">
        <v>279</v>
      </c>
      <c r="M402" s="929">
        <v>37500</v>
      </c>
      <c r="N402" s="930"/>
      <c r="O402" s="930"/>
      <c r="V402" s="926" t="s">
        <v>8065</v>
      </c>
      <c r="W402" s="931">
        <v>0.59375</v>
      </c>
      <c r="X402" s="931">
        <v>0.77083333333333337</v>
      </c>
    </row>
    <row r="403" spans="1:24" s="926" customFormat="1" x14ac:dyDescent="0.25">
      <c r="A403" s="925">
        <v>16072026</v>
      </c>
      <c r="B403" s="926" t="s">
        <v>8364</v>
      </c>
      <c r="C403" s="1400" t="s">
        <v>13</v>
      </c>
      <c r="D403" s="927">
        <v>46219</v>
      </c>
      <c r="E403" s="928" t="s">
        <v>8401</v>
      </c>
      <c r="F403" s="929" t="s">
        <v>8371</v>
      </c>
      <c r="H403" s="930" t="s">
        <v>279</v>
      </c>
      <c r="M403" s="929">
        <v>38370</v>
      </c>
      <c r="N403" s="930"/>
      <c r="O403" s="930"/>
      <c r="V403" s="926" t="s">
        <v>8193</v>
      </c>
      <c r="W403" s="931">
        <v>0.61944444444444446</v>
      </c>
      <c r="X403" s="931">
        <v>0.77569444444444446</v>
      </c>
    </row>
    <row r="404" spans="1:24" s="5" customFormat="1" x14ac:dyDescent="0.25">
      <c r="A404" s="495">
        <v>17072026</v>
      </c>
      <c r="B404" s="5" t="s">
        <v>3204</v>
      </c>
      <c r="C404" s="1406" t="s">
        <v>4218</v>
      </c>
      <c r="D404" s="494">
        <v>46220</v>
      </c>
      <c r="E404" s="127"/>
      <c r="F404" s="296" t="s">
        <v>2253</v>
      </c>
      <c r="H404" s="89" t="s">
        <v>279</v>
      </c>
      <c r="M404" s="296">
        <v>59620</v>
      </c>
      <c r="N404" s="89"/>
      <c r="O404" s="89"/>
      <c r="V404" s="5" t="s">
        <v>8286</v>
      </c>
      <c r="W404" s="496">
        <v>0.25833333333333336</v>
      </c>
      <c r="X404" s="496">
        <v>0.5854166666666667</v>
      </c>
    </row>
    <row r="405" spans="1:24" s="33" customFormat="1" x14ac:dyDescent="0.25">
      <c r="A405" s="547">
        <v>17072026</v>
      </c>
      <c r="B405" s="33" t="s">
        <v>614</v>
      </c>
      <c r="C405" s="1402" t="s">
        <v>13</v>
      </c>
      <c r="D405" s="548">
        <v>46220</v>
      </c>
      <c r="E405" s="306" t="s">
        <v>8467</v>
      </c>
      <c r="F405" s="306" t="s">
        <v>4622</v>
      </c>
      <c r="H405" s="279" t="s">
        <v>279</v>
      </c>
      <c r="M405" s="933">
        <v>26632.6</v>
      </c>
      <c r="N405" s="279"/>
      <c r="O405" s="279"/>
      <c r="V405" s="33" t="s">
        <v>8289</v>
      </c>
      <c r="W405" s="550">
        <v>0.36249999999999999</v>
      </c>
      <c r="X405" s="550">
        <v>0.50069444444444444</v>
      </c>
    </row>
    <row r="406" spans="1:24" s="926" customFormat="1" x14ac:dyDescent="0.25">
      <c r="A406" s="925">
        <v>17072026</v>
      </c>
      <c r="B406" s="947" t="s">
        <v>8139</v>
      </c>
      <c r="C406" s="1400" t="s">
        <v>13</v>
      </c>
      <c r="D406" s="927">
        <v>46220</v>
      </c>
      <c r="E406" s="928" t="s">
        <v>8402</v>
      </c>
      <c r="F406" s="929" t="s">
        <v>545</v>
      </c>
      <c r="H406" s="930" t="s">
        <v>279</v>
      </c>
      <c r="M406" s="929">
        <v>36500</v>
      </c>
      <c r="N406" s="930"/>
      <c r="O406" s="930"/>
      <c r="V406" s="926" t="s">
        <v>8289</v>
      </c>
      <c r="W406" s="931">
        <v>0.54722222222222228</v>
      </c>
      <c r="X406" s="931">
        <v>0.7416666666666667</v>
      </c>
    </row>
    <row r="407" spans="1:24" s="33" customFormat="1" x14ac:dyDescent="0.25">
      <c r="A407" s="547">
        <v>18072026</v>
      </c>
      <c r="B407" s="33" t="s">
        <v>8366</v>
      </c>
      <c r="C407" s="1402" t="s">
        <v>13</v>
      </c>
      <c r="D407" s="548">
        <v>46221</v>
      </c>
      <c r="E407" s="306" t="s">
        <v>8506</v>
      </c>
      <c r="F407" s="312" t="s">
        <v>563</v>
      </c>
      <c r="H407" s="279" t="s">
        <v>279</v>
      </c>
      <c r="M407" s="312">
        <v>27700</v>
      </c>
      <c r="N407" s="279"/>
      <c r="O407" s="279"/>
      <c r="V407" s="33" t="s">
        <v>6898</v>
      </c>
      <c r="W407" s="550">
        <v>0.33819444444444446</v>
      </c>
      <c r="X407" s="550">
        <v>0.54166666666666663</v>
      </c>
    </row>
    <row r="408" spans="1:24" s="926" customFormat="1" x14ac:dyDescent="0.25">
      <c r="A408" s="925">
        <v>18072026</v>
      </c>
      <c r="B408" s="926" t="s">
        <v>572</v>
      </c>
      <c r="C408" s="1400" t="s">
        <v>4218</v>
      </c>
      <c r="D408" s="927">
        <v>46221</v>
      </c>
      <c r="E408" s="928" t="s">
        <v>8418</v>
      </c>
      <c r="F408" s="929" t="s">
        <v>207</v>
      </c>
      <c r="H408" s="930" t="s">
        <v>279</v>
      </c>
      <c r="M408" s="929"/>
      <c r="N408" s="929">
        <v>11003.98</v>
      </c>
      <c r="O408" s="930"/>
      <c r="V408" s="926" t="s">
        <v>7914</v>
      </c>
      <c r="W408" s="931">
        <v>0.49375000000000002</v>
      </c>
      <c r="X408" s="931">
        <v>0.70347222222222228</v>
      </c>
    </row>
    <row r="409" spans="1:24" s="33" customFormat="1" x14ac:dyDescent="0.25">
      <c r="A409" s="547">
        <v>18072026</v>
      </c>
      <c r="B409" s="33" t="s">
        <v>610</v>
      </c>
      <c r="C409" s="1402" t="s">
        <v>13</v>
      </c>
      <c r="D409" s="548">
        <v>46221</v>
      </c>
      <c r="E409" s="306" t="s">
        <v>8453</v>
      </c>
      <c r="F409" s="312" t="s">
        <v>106</v>
      </c>
      <c r="H409" s="279" t="s">
        <v>279</v>
      </c>
      <c r="M409" s="312">
        <v>28900</v>
      </c>
      <c r="N409" s="279"/>
      <c r="O409" s="279"/>
      <c r="V409" s="33" t="s">
        <v>6898</v>
      </c>
      <c r="W409" s="550">
        <v>0.56458333333333333</v>
      </c>
      <c r="X409" s="550">
        <v>0.70486111111111116</v>
      </c>
    </row>
    <row r="410" spans="1:24" s="33" customFormat="1" x14ac:dyDescent="0.25">
      <c r="A410" s="547">
        <v>19072026</v>
      </c>
      <c r="B410" s="33" t="s">
        <v>8366</v>
      </c>
      <c r="C410" s="1402" t="s">
        <v>4218</v>
      </c>
      <c r="D410" s="548">
        <v>46222</v>
      </c>
      <c r="E410" s="306" t="s">
        <v>8505</v>
      </c>
      <c r="F410" s="312" t="s">
        <v>563</v>
      </c>
      <c r="H410" s="279" t="s">
        <v>279</v>
      </c>
      <c r="M410" s="312">
        <v>27700</v>
      </c>
      <c r="N410" s="279"/>
      <c r="O410" s="279"/>
      <c r="V410" s="33" t="s">
        <v>7060</v>
      </c>
      <c r="W410" s="550">
        <v>0.32777777777777778</v>
      </c>
      <c r="X410" s="550">
        <v>0.52152777777777781</v>
      </c>
    </row>
    <row r="411" spans="1:24" s="33" customFormat="1" x14ac:dyDescent="0.25">
      <c r="A411" s="547">
        <v>19072026</v>
      </c>
      <c r="B411" s="33" t="s">
        <v>614</v>
      </c>
      <c r="C411" s="1402" t="s">
        <v>13</v>
      </c>
      <c r="D411" s="548">
        <v>46222</v>
      </c>
      <c r="E411" s="306" t="s">
        <v>8467</v>
      </c>
      <c r="F411" s="312" t="s">
        <v>106</v>
      </c>
      <c r="H411" s="279" t="s">
        <v>279</v>
      </c>
      <c r="M411" s="312">
        <v>26632.6</v>
      </c>
      <c r="N411" s="279"/>
      <c r="O411" s="279"/>
      <c r="V411" s="33" t="s">
        <v>7092</v>
      </c>
      <c r="W411" s="550">
        <v>0.41875000000000001</v>
      </c>
      <c r="X411" s="550">
        <v>0.57152777777777775</v>
      </c>
    </row>
    <row r="412" spans="1:24" s="33" customFormat="1" x14ac:dyDescent="0.25">
      <c r="A412" s="547">
        <v>21072026</v>
      </c>
      <c r="B412" s="33" t="s">
        <v>614</v>
      </c>
      <c r="C412" s="1402" t="s">
        <v>4218</v>
      </c>
      <c r="D412" s="548">
        <v>46224</v>
      </c>
      <c r="E412" s="306" t="s">
        <v>8467</v>
      </c>
      <c r="F412" s="312" t="s">
        <v>545</v>
      </c>
      <c r="H412" s="279" t="s">
        <v>279</v>
      </c>
      <c r="M412" s="312">
        <v>31871.8</v>
      </c>
      <c r="N412" s="279"/>
      <c r="O412" s="279"/>
      <c r="V412" s="33" t="s">
        <v>7833</v>
      </c>
      <c r="W412" s="550">
        <v>0.28055555555555556</v>
      </c>
      <c r="X412" s="550">
        <v>0.64166666666666672</v>
      </c>
    </row>
    <row r="413" spans="1:24" s="16" customFormat="1" x14ac:dyDescent="0.25">
      <c r="A413" s="681">
        <v>21072026</v>
      </c>
      <c r="B413" s="16" t="s">
        <v>8383</v>
      </c>
      <c r="C413" s="1445" t="s">
        <v>13</v>
      </c>
      <c r="D413" s="682">
        <v>46224</v>
      </c>
      <c r="E413" s="355"/>
      <c r="F413" s="356"/>
      <c r="H413" s="254"/>
      <c r="M413" s="356"/>
      <c r="N413" s="254"/>
      <c r="O413" s="254"/>
      <c r="V413" s="16" t="s">
        <v>8118</v>
      </c>
      <c r="W413" s="683">
        <v>0.44513888888888886</v>
      </c>
      <c r="X413" s="683">
        <v>0.5708333333333333</v>
      </c>
    </row>
    <row r="414" spans="1:24" s="926" customFormat="1" x14ac:dyDescent="0.25">
      <c r="A414" s="925">
        <v>21072026</v>
      </c>
      <c r="B414" s="926" t="s">
        <v>572</v>
      </c>
      <c r="C414" s="1400" t="s">
        <v>13</v>
      </c>
      <c r="D414" s="927">
        <v>46224</v>
      </c>
      <c r="E414" s="928" t="s">
        <v>8372</v>
      </c>
      <c r="F414" s="929" t="s">
        <v>68</v>
      </c>
      <c r="H414" s="930" t="s">
        <v>279</v>
      </c>
      <c r="M414" s="929"/>
      <c r="N414" s="930">
        <v>13332</v>
      </c>
      <c r="O414" s="930"/>
      <c r="V414" s="926" t="s">
        <v>8118</v>
      </c>
      <c r="W414" s="931">
        <v>0.59722222222222221</v>
      </c>
      <c r="X414" s="931">
        <v>0.86388888888888893</v>
      </c>
    </row>
    <row r="415" spans="1:24" s="926" customFormat="1" x14ac:dyDescent="0.25">
      <c r="A415" s="925">
        <v>21072026</v>
      </c>
      <c r="B415" s="926" t="s">
        <v>572</v>
      </c>
      <c r="C415" s="1400" t="s">
        <v>4218</v>
      </c>
      <c r="D415" s="927">
        <v>46224</v>
      </c>
      <c r="E415" s="928" t="s">
        <v>8373</v>
      </c>
      <c r="F415" s="929" t="s">
        <v>68</v>
      </c>
      <c r="H415" s="930" t="s">
        <v>279</v>
      </c>
      <c r="M415" s="929"/>
      <c r="N415" s="930">
        <v>13332</v>
      </c>
      <c r="O415" s="930"/>
      <c r="V415" s="926" t="s">
        <v>8318</v>
      </c>
      <c r="W415" s="931">
        <v>0.69166666666666665</v>
      </c>
      <c r="X415" s="931">
        <v>0.96875</v>
      </c>
    </row>
    <row r="416" spans="1:24" s="926" customFormat="1" x14ac:dyDescent="0.25">
      <c r="A416" s="925">
        <v>22072026</v>
      </c>
      <c r="B416" s="926" t="s">
        <v>1720</v>
      </c>
      <c r="C416" s="1400" t="s">
        <v>4218</v>
      </c>
      <c r="D416" s="927">
        <v>46225</v>
      </c>
      <c r="E416" s="928" t="s">
        <v>8409</v>
      </c>
      <c r="F416" s="929" t="s">
        <v>545</v>
      </c>
      <c r="H416" s="930" t="s">
        <v>277</v>
      </c>
      <c r="M416" s="929">
        <v>27500</v>
      </c>
      <c r="N416" s="930"/>
      <c r="O416" s="930"/>
      <c r="V416" s="926" t="s">
        <v>7335</v>
      </c>
      <c r="W416" s="931">
        <v>0.61736111111111114</v>
      </c>
      <c r="X416" s="931">
        <v>0.71666666666666667</v>
      </c>
    </row>
    <row r="417" spans="1:24" s="33" customFormat="1" x14ac:dyDescent="0.25">
      <c r="A417" s="547">
        <v>23072026</v>
      </c>
      <c r="B417" s="33" t="s">
        <v>614</v>
      </c>
      <c r="C417" s="1402" t="s">
        <v>13</v>
      </c>
      <c r="D417" s="548">
        <v>46226</v>
      </c>
      <c r="E417" s="306" t="s">
        <v>8467</v>
      </c>
      <c r="F417" s="312" t="s">
        <v>68</v>
      </c>
      <c r="H417" s="279" t="s">
        <v>279</v>
      </c>
      <c r="M417" s="312">
        <v>44096.6</v>
      </c>
      <c r="N417" s="279"/>
      <c r="O417" s="279"/>
      <c r="V417" s="33" t="s">
        <v>8316</v>
      </c>
      <c r="W417" s="550">
        <v>0.31111111111111112</v>
      </c>
      <c r="X417" s="550">
        <v>0.5493055555555556</v>
      </c>
    </row>
    <row r="418" spans="1:24" s="5" customFormat="1" x14ac:dyDescent="0.25">
      <c r="A418" s="495">
        <v>23072026</v>
      </c>
      <c r="B418" s="5" t="s">
        <v>2422</v>
      </c>
      <c r="C418" s="1406" t="s">
        <v>4218</v>
      </c>
      <c r="D418" s="494">
        <v>46226</v>
      </c>
      <c r="E418" s="127"/>
      <c r="F418" s="296" t="s">
        <v>68</v>
      </c>
      <c r="H418" s="89" t="s">
        <v>279</v>
      </c>
      <c r="M418" s="296">
        <v>47700</v>
      </c>
      <c r="N418" s="89"/>
      <c r="O418" s="89"/>
      <c r="V418" s="5" t="s">
        <v>8387</v>
      </c>
      <c r="W418" s="496">
        <v>0.40069444444444446</v>
      </c>
      <c r="X418" s="496">
        <v>0.64930555555555558</v>
      </c>
    </row>
    <row r="419" spans="1:24" s="33" customFormat="1" x14ac:dyDescent="0.25">
      <c r="A419" s="547">
        <v>24072026</v>
      </c>
      <c r="B419" s="33" t="s">
        <v>614</v>
      </c>
      <c r="C419" s="1402" t="s">
        <v>13</v>
      </c>
      <c r="D419" s="548">
        <v>46227</v>
      </c>
      <c r="E419" s="306" t="s">
        <v>8467</v>
      </c>
      <c r="F419" s="312" t="s">
        <v>8195</v>
      </c>
      <c r="H419" s="279" t="s">
        <v>279</v>
      </c>
      <c r="M419" s="312">
        <v>26632.6</v>
      </c>
      <c r="N419" s="279"/>
      <c r="O419" s="279"/>
      <c r="V419" s="33" t="s">
        <v>6952</v>
      </c>
      <c r="W419" s="550">
        <v>0.36249999999999999</v>
      </c>
      <c r="X419" s="550">
        <v>0.55694444444444446</v>
      </c>
    </row>
    <row r="420" spans="1:24" s="33" customFormat="1" x14ac:dyDescent="0.25">
      <c r="A420" s="547">
        <v>24072026</v>
      </c>
      <c r="B420" s="33" t="s">
        <v>1740</v>
      </c>
      <c r="C420" s="1402" t="s">
        <v>4218</v>
      </c>
      <c r="D420" s="548">
        <v>46227</v>
      </c>
      <c r="E420" s="306" t="s">
        <v>8454</v>
      </c>
      <c r="F420" s="312" t="s">
        <v>317</v>
      </c>
      <c r="H420" s="279" t="s">
        <v>279</v>
      </c>
      <c r="M420" s="312">
        <v>50000</v>
      </c>
      <c r="N420" s="279"/>
      <c r="O420" s="279"/>
      <c r="V420" s="33" t="s">
        <v>7548</v>
      </c>
      <c r="W420" s="550">
        <v>0.50416666666666665</v>
      </c>
      <c r="X420" s="550">
        <v>0.83472222222222225</v>
      </c>
    </row>
    <row r="421" spans="1:24" s="926" customFormat="1" x14ac:dyDescent="0.25">
      <c r="A421" s="925">
        <v>24072026</v>
      </c>
      <c r="B421" s="947" t="s">
        <v>8139</v>
      </c>
      <c r="C421" s="1400" t="s">
        <v>13</v>
      </c>
      <c r="D421" s="927">
        <v>46227</v>
      </c>
      <c r="E421" s="928" t="s">
        <v>8386</v>
      </c>
      <c r="F421" s="929" t="s">
        <v>545</v>
      </c>
      <c r="H421" s="930" t="s">
        <v>279</v>
      </c>
      <c r="M421" s="929">
        <v>36500</v>
      </c>
      <c r="N421" s="930"/>
      <c r="O421" s="930"/>
      <c r="V421" s="926" t="s">
        <v>6952</v>
      </c>
      <c r="W421" s="931">
        <v>0.59375</v>
      </c>
      <c r="X421" s="931">
        <v>0.76527777777777772</v>
      </c>
    </row>
    <row r="422" spans="1:24" s="926" customFormat="1" x14ac:dyDescent="0.25">
      <c r="A422" s="925">
        <v>25072026</v>
      </c>
      <c r="B422" s="926" t="s">
        <v>2407</v>
      </c>
      <c r="C422" s="1400" t="s">
        <v>4218</v>
      </c>
      <c r="D422" s="927">
        <v>46228</v>
      </c>
      <c r="E422" s="928" t="s">
        <v>8408</v>
      </c>
      <c r="F422" s="929" t="s">
        <v>207</v>
      </c>
      <c r="G422" s="929"/>
      <c r="H422" s="930" t="s">
        <v>279</v>
      </c>
      <c r="M422" s="929"/>
      <c r="N422" s="930">
        <v>11400</v>
      </c>
      <c r="O422" s="930"/>
      <c r="V422" s="926" t="s">
        <v>8304</v>
      </c>
      <c r="W422" s="931">
        <v>0.41180555555555554</v>
      </c>
      <c r="X422" s="931">
        <v>0.62777777777777777</v>
      </c>
    </row>
    <row r="423" spans="1:24" s="33" customFormat="1" x14ac:dyDescent="0.25">
      <c r="A423" s="547">
        <v>25072026</v>
      </c>
      <c r="B423" s="33" t="s">
        <v>614</v>
      </c>
      <c r="C423" s="1402" t="s">
        <v>13</v>
      </c>
      <c r="D423" s="548">
        <v>46228</v>
      </c>
      <c r="E423" s="306" t="s">
        <v>8512</v>
      </c>
      <c r="F423" s="312" t="s">
        <v>6546</v>
      </c>
      <c r="H423" s="279" t="s">
        <v>279</v>
      </c>
      <c r="M423" s="312">
        <v>35364.6</v>
      </c>
      <c r="N423" s="279"/>
      <c r="O423" s="279"/>
      <c r="V423" s="33" t="s">
        <v>8118</v>
      </c>
      <c r="W423" s="550">
        <v>0.49166666666666664</v>
      </c>
      <c r="X423" s="550">
        <v>0.74513888888888891</v>
      </c>
    </row>
    <row r="424" spans="1:24" s="926" customFormat="1" x14ac:dyDescent="0.25">
      <c r="A424" s="925">
        <v>1</v>
      </c>
      <c r="B424" s="926" t="s">
        <v>572</v>
      </c>
      <c r="C424" s="1400" t="s">
        <v>4218</v>
      </c>
      <c r="D424" s="927">
        <v>46228</v>
      </c>
      <c r="E424" s="928" t="s">
        <v>8397</v>
      </c>
      <c r="F424" s="929" t="s">
        <v>68</v>
      </c>
      <c r="H424" s="930" t="s">
        <v>279</v>
      </c>
      <c r="M424" s="929"/>
      <c r="N424" s="930">
        <v>13332</v>
      </c>
      <c r="O424" s="930"/>
      <c r="V424" s="926" t="s">
        <v>7548</v>
      </c>
      <c r="W424" s="931">
        <v>0.72222222222222221</v>
      </c>
      <c r="X424" s="931">
        <v>0.97847222222222219</v>
      </c>
    </row>
    <row r="425" spans="1:24" s="33" customFormat="1" x14ac:dyDescent="0.25">
      <c r="A425" s="547">
        <v>28072026</v>
      </c>
      <c r="B425" s="33" t="s">
        <v>614</v>
      </c>
      <c r="C425" s="1402" t="s">
        <v>4218</v>
      </c>
      <c r="D425" s="548">
        <v>46231</v>
      </c>
      <c r="E425" s="306" t="s">
        <v>8467</v>
      </c>
      <c r="F425" s="312" t="s">
        <v>872</v>
      </c>
      <c r="H425" s="279" t="s">
        <v>279</v>
      </c>
      <c r="M425" s="312">
        <v>37984.199999999997</v>
      </c>
      <c r="N425" s="279"/>
      <c r="O425" s="279"/>
      <c r="V425" s="33" t="s">
        <v>8150</v>
      </c>
      <c r="W425" s="550">
        <v>0.33402777777777781</v>
      </c>
      <c r="X425" s="550">
        <v>0.54513888888888895</v>
      </c>
    </row>
    <row r="426" spans="1:24" s="926" customFormat="1" x14ac:dyDescent="0.25">
      <c r="A426" s="925">
        <v>28072026</v>
      </c>
      <c r="B426" s="947" t="s">
        <v>8139</v>
      </c>
      <c r="C426" s="1400" t="s">
        <v>13</v>
      </c>
      <c r="D426" s="927">
        <v>46231</v>
      </c>
      <c r="E426" s="928" t="s">
        <v>8398</v>
      </c>
      <c r="F426" s="929" t="s">
        <v>545</v>
      </c>
      <c r="H426" s="930" t="s">
        <v>279</v>
      </c>
      <c r="M426" s="929">
        <v>36500</v>
      </c>
      <c r="N426" s="930"/>
      <c r="O426" s="930"/>
      <c r="V426" s="926" t="s">
        <v>7942</v>
      </c>
      <c r="W426" s="931">
        <v>0.39374999999999999</v>
      </c>
      <c r="X426" s="931">
        <v>0.57916666666666672</v>
      </c>
    </row>
    <row r="427" spans="1:24" s="926" customFormat="1" x14ac:dyDescent="0.25">
      <c r="A427" s="925">
        <v>28072026</v>
      </c>
      <c r="B427" s="926" t="s">
        <v>572</v>
      </c>
      <c r="C427" s="1400" t="s">
        <v>4218</v>
      </c>
      <c r="D427" s="927">
        <v>46231</v>
      </c>
      <c r="E427" s="928" t="s">
        <v>8399</v>
      </c>
      <c r="F427" s="929" t="s">
        <v>317</v>
      </c>
      <c r="H427" s="930" t="s">
        <v>279</v>
      </c>
      <c r="M427" s="929"/>
      <c r="N427" s="930">
        <v>14689</v>
      </c>
      <c r="O427" s="930"/>
      <c r="V427" s="926" t="s">
        <v>4983</v>
      </c>
      <c r="W427" s="931">
        <v>0.64374999999999993</v>
      </c>
      <c r="X427" s="931">
        <v>6.2499999999999995E-3</v>
      </c>
    </row>
    <row r="428" spans="1:24" s="33" customFormat="1" x14ac:dyDescent="0.25">
      <c r="A428" s="547">
        <v>31072026</v>
      </c>
      <c r="B428" s="33" t="s">
        <v>8366</v>
      </c>
      <c r="C428" s="1402" t="s">
        <v>4218</v>
      </c>
      <c r="D428" s="548">
        <v>46234</v>
      </c>
      <c r="E428" s="306" t="s">
        <v>8504</v>
      </c>
      <c r="F428" s="312" t="s">
        <v>563</v>
      </c>
      <c r="H428" s="279" t="s">
        <v>279</v>
      </c>
      <c r="M428" s="279">
        <v>27700</v>
      </c>
      <c r="N428" s="279"/>
      <c r="O428" s="279"/>
      <c r="V428" s="33" t="s">
        <v>7942</v>
      </c>
      <c r="W428" s="550">
        <v>0.28680555555555554</v>
      </c>
      <c r="X428" s="550">
        <v>0.47986111111111113</v>
      </c>
    </row>
    <row r="429" spans="1:24" s="33" customFormat="1" x14ac:dyDescent="0.25">
      <c r="A429" s="547">
        <v>31072026</v>
      </c>
      <c r="B429" s="33" t="s">
        <v>4870</v>
      </c>
      <c r="C429" s="1402" t="s">
        <v>13</v>
      </c>
      <c r="D429" s="548">
        <v>46234</v>
      </c>
      <c r="E429" s="306" t="s">
        <v>8511</v>
      </c>
      <c r="F429" s="312" t="s">
        <v>285</v>
      </c>
      <c r="H429" s="279" t="s">
        <v>279</v>
      </c>
      <c r="M429" s="312">
        <f>9996+41970</f>
        <v>51966</v>
      </c>
      <c r="N429" s="279"/>
      <c r="O429" s="279"/>
      <c r="V429" s="33" t="s">
        <v>8304</v>
      </c>
      <c r="W429" s="550">
        <v>0.30069444444444443</v>
      </c>
      <c r="X429" s="550">
        <v>0.65902777777777777</v>
      </c>
    </row>
    <row r="430" spans="1:24" x14ac:dyDescent="0.25">
      <c r="A430" s="483"/>
      <c r="D430" s="233"/>
      <c r="F430" s="313"/>
      <c r="H430" s="88"/>
      <c r="M430" s="313"/>
      <c r="N430" s="88"/>
      <c r="O430" s="88"/>
      <c r="W430" s="360"/>
    </row>
    <row r="431" spans="1:24" ht="15.75" thickBot="1" x14ac:dyDescent="0.3">
      <c r="A431" s="483"/>
      <c r="D431" s="233"/>
      <c r="F431" s="313"/>
      <c r="H431" s="88"/>
      <c r="M431" s="313"/>
      <c r="N431" s="88"/>
      <c r="O431" s="88"/>
      <c r="W431" s="360"/>
    </row>
    <row r="432" spans="1:24" ht="15.75" thickBot="1" x14ac:dyDescent="0.3">
      <c r="A432" s="483"/>
      <c r="D432" s="233"/>
      <c r="F432" s="313"/>
      <c r="H432" s="88"/>
      <c r="M432" s="960">
        <f>SUM(M378:M431)</f>
        <v>1572293.6000000003</v>
      </c>
      <c r="N432" s="960">
        <f>SUM(N378:N431)</f>
        <v>116017.95727272728</v>
      </c>
      <c r="O432" s="88"/>
      <c r="W432" s="360"/>
    </row>
    <row r="433" spans="1:24" x14ac:dyDescent="0.25">
      <c r="A433" s="483"/>
      <c r="D433" s="233"/>
      <c r="F433" s="313"/>
      <c r="H433" s="88"/>
      <c r="M433" s="558"/>
      <c r="N433" s="558"/>
      <c r="O433" s="88"/>
      <c r="W433" s="360"/>
    </row>
    <row r="434" spans="1:24" x14ac:dyDescent="0.25">
      <c r="A434" s="483"/>
      <c r="D434" s="233"/>
      <c r="F434" s="313"/>
      <c r="H434" s="88"/>
      <c r="M434" s="558"/>
      <c r="N434" s="558"/>
      <c r="O434" s="88"/>
      <c r="W434" s="360"/>
    </row>
    <row r="435" spans="1:24" x14ac:dyDescent="0.25">
      <c r="A435" s="483"/>
      <c r="D435" s="233"/>
      <c r="F435" s="313"/>
      <c r="H435" s="88"/>
      <c r="M435" s="558"/>
      <c r="N435" s="558"/>
      <c r="O435" s="88"/>
      <c r="W435" s="360"/>
    </row>
    <row r="436" spans="1:24" ht="15" customHeight="1" x14ac:dyDescent="0.25">
      <c r="A436" s="483"/>
      <c r="D436" s="233"/>
      <c r="F436" s="313"/>
      <c r="H436" s="88"/>
      <c r="M436" s="558"/>
      <c r="N436" s="558"/>
      <c r="O436" s="88"/>
      <c r="W436" s="360"/>
    </row>
    <row r="437" spans="1:24" s="33" customFormat="1" x14ac:dyDescent="0.25">
      <c r="A437" s="1449" t="s">
        <v>8413</v>
      </c>
      <c r="B437" s="33" t="s">
        <v>614</v>
      </c>
      <c r="C437" s="1402" t="s">
        <v>4218</v>
      </c>
      <c r="D437" s="548">
        <v>46235</v>
      </c>
      <c r="E437" s="306"/>
      <c r="F437" s="312" t="s">
        <v>872</v>
      </c>
      <c r="H437" s="279" t="s">
        <v>279</v>
      </c>
      <c r="M437" s="1270">
        <v>37984.199999999997</v>
      </c>
      <c r="N437" s="1270"/>
      <c r="O437" s="279"/>
      <c r="V437" s="33" t="s">
        <v>8414</v>
      </c>
      <c r="W437" s="550">
        <v>0.33749999999999997</v>
      </c>
      <c r="X437" s="550">
        <v>0.59097222222222223</v>
      </c>
    </row>
    <row r="438" spans="1:24" s="33" customFormat="1" x14ac:dyDescent="0.25">
      <c r="A438" s="1449" t="s">
        <v>8413</v>
      </c>
      <c r="B438" s="33" t="s">
        <v>614</v>
      </c>
      <c r="C438" s="1402" t="s">
        <v>13</v>
      </c>
      <c r="D438" s="548">
        <v>46235</v>
      </c>
      <c r="E438" s="306"/>
      <c r="F438" s="312" t="s">
        <v>872</v>
      </c>
      <c r="H438" s="279" t="s">
        <v>279</v>
      </c>
      <c r="M438" s="1270">
        <v>37984.199999999997</v>
      </c>
      <c r="N438" s="1270"/>
      <c r="O438" s="279"/>
      <c r="V438" s="33" t="s">
        <v>7548</v>
      </c>
      <c r="W438" s="550">
        <v>0.34166666666666662</v>
      </c>
      <c r="X438" s="550">
        <v>0.57986111111111105</v>
      </c>
    </row>
    <row r="439" spans="1:24" s="5" customFormat="1" x14ac:dyDescent="0.25">
      <c r="A439" s="1447" t="s">
        <v>8415</v>
      </c>
      <c r="B439" s="5" t="s">
        <v>8151</v>
      </c>
      <c r="C439" s="1406" t="s">
        <v>13</v>
      </c>
      <c r="D439" s="494">
        <v>46236</v>
      </c>
      <c r="E439" s="127"/>
      <c r="F439" s="296" t="s">
        <v>2029</v>
      </c>
      <c r="H439" s="89" t="s">
        <v>279</v>
      </c>
      <c r="M439" s="1271"/>
      <c r="N439" s="1271">
        <v>9215</v>
      </c>
      <c r="O439" s="89"/>
      <c r="V439" s="5" t="s">
        <v>8459</v>
      </c>
      <c r="W439" s="496">
        <v>0.41111111111111115</v>
      </c>
      <c r="X439" s="496">
        <v>0.59930555555555554</v>
      </c>
    </row>
    <row r="440" spans="1:24" s="926" customFormat="1" x14ac:dyDescent="0.25">
      <c r="A440" s="1450" t="s">
        <v>8416</v>
      </c>
      <c r="B440" s="926" t="s">
        <v>572</v>
      </c>
      <c r="C440" s="1400" t="s">
        <v>4218</v>
      </c>
      <c r="D440" s="927">
        <v>46237</v>
      </c>
      <c r="E440" s="928" t="s">
        <v>8428</v>
      </c>
      <c r="F440" s="929" t="s">
        <v>425</v>
      </c>
      <c r="H440" s="930" t="s">
        <v>279</v>
      </c>
      <c r="M440" s="1272"/>
      <c r="N440" s="1272">
        <v>9826</v>
      </c>
      <c r="O440" s="930"/>
      <c r="V440" s="926" t="s">
        <v>4297</v>
      </c>
      <c r="W440" s="931">
        <v>0.29722222222222222</v>
      </c>
      <c r="X440" s="931">
        <v>0.47916666666666669</v>
      </c>
    </row>
    <row r="441" spans="1:24" s="926" customFormat="1" x14ac:dyDescent="0.25">
      <c r="A441" s="1450" t="s">
        <v>8416</v>
      </c>
      <c r="B441" s="926" t="s">
        <v>4193</v>
      </c>
      <c r="C441" s="1400" t="s">
        <v>4218</v>
      </c>
      <c r="D441" s="927">
        <v>46237</v>
      </c>
      <c r="E441" s="928" t="s">
        <v>8429</v>
      </c>
      <c r="F441" s="929" t="s">
        <v>1931</v>
      </c>
      <c r="H441" s="930" t="s">
        <v>279</v>
      </c>
      <c r="M441" s="1272">
        <v>60250</v>
      </c>
      <c r="N441" s="1272"/>
      <c r="O441" s="930"/>
      <c r="V441" s="926" t="s">
        <v>4983</v>
      </c>
      <c r="W441" s="931">
        <v>0.67499999999999993</v>
      </c>
      <c r="X441" s="931">
        <v>0.96736111111111101</v>
      </c>
    </row>
    <row r="442" spans="1:24" s="926" customFormat="1" x14ac:dyDescent="0.25">
      <c r="A442" s="1450" t="s">
        <v>8426</v>
      </c>
      <c r="B442" s="926" t="s">
        <v>1491</v>
      </c>
      <c r="C442" s="1400" t="s">
        <v>13</v>
      </c>
      <c r="D442" s="927">
        <v>46238</v>
      </c>
      <c r="E442" s="928" t="s">
        <v>8503</v>
      </c>
      <c r="F442" s="929" t="s">
        <v>563</v>
      </c>
      <c r="H442" s="930" t="s">
        <v>279</v>
      </c>
      <c r="M442" s="1272">
        <v>27700</v>
      </c>
      <c r="N442" s="1272"/>
      <c r="O442" s="930"/>
      <c r="V442" s="926" t="s">
        <v>7942</v>
      </c>
      <c r="W442" s="931">
        <v>0.29305555555555557</v>
      </c>
      <c r="X442" s="931">
        <v>0.50902777777777775</v>
      </c>
    </row>
    <row r="443" spans="1:24" s="926" customFormat="1" x14ac:dyDescent="0.25">
      <c r="A443" s="1450" t="s">
        <v>8426</v>
      </c>
      <c r="B443" s="926" t="s">
        <v>4193</v>
      </c>
      <c r="C443" s="1400" t="s">
        <v>13</v>
      </c>
      <c r="D443" s="927">
        <v>46238</v>
      </c>
      <c r="E443" s="928" t="s">
        <v>8535</v>
      </c>
      <c r="F443" s="929" t="s">
        <v>236</v>
      </c>
      <c r="H443" s="930" t="s">
        <v>279</v>
      </c>
      <c r="M443" s="1272">
        <v>61805.45</v>
      </c>
      <c r="N443" s="1272"/>
      <c r="O443" s="930"/>
      <c r="V443" s="926" t="s">
        <v>8289</v>
      </c>
      <c r="W443" s="931">
        <v>0.70416666666666661</v>
      </c>
      <c r="X443" s="931">
        <v>0.99861111111111101</v>
      </c>
    </row>
    <row r="444" spans="1:24" s="33" customFormat="1" x14ac:dyDescent="0.25">
      <c r="A444" s="1449" t="s">
        <v>8433</v>
      </c>
      <c r="B444" s="33" t="s">
        <v>614</v>
      </c>
      <c r="C444" s="1402" t="s">
        <v>4218</v>
      </c>
      <c r="D444" s="548">
        <v>46239</v>
      </c>
      <c r="E444" s="306"/>
      <c r="F444" s="312" t="s">
        <v>8432</v>
      </c>
      <c r="H444" s="279" t="s">
        <v>279</v>
      </c>
      <c r="I444" s="5"/>
      <c r="J444" s="5"/>
      <c r="K444" s="5"/>
      <c r="L444" s="5"/>
      <c r="M444" s="1270">
        <v>37984.199999999997</v>
      </c>
      <c r="N444" s="1270"/>
      <c r="O444" s="279"/>
      <c r="P444" s="5"/>
      <c r="Q444" s="5"/>
      <c r="V444" s="33" t="s">
        <v>8285</v>
      </c>
      <c r="W444" s="550">
        <v>0.34027777777777773</v>
      </c>
      <c r="X444" s="550">
        <v>0.6743055555555556</v>
      </c>
    </row>
    <row r="445" spans="1:24" s="33" customFormat="1" x14ac:dyDescent="0.25">
      <c r="A445" s="1449" t="s">
        <v>8433</v>
      </c>
      <c r="B445" s="33" t="s">
        <v>614</v>
      </c>
      <c r="C445" s="1402" t="s">
        <v>13</v>
      </c>
      <c r="D445" s="548">
        <v>46239</v>
      </c>
      <c r="E445" s="306"/>
      <c r="F445" s="312" t="s">
        <v>2253</v>
      </c>
      <c r="H445" s="279" t="s">
        <v>279</v>
      </c>
      <c r="I445" s="5"/>
      <c r="J445" s="5"/>
      <c r="K445" s="5"/>
      <c r="L445" s="5"/>
      <c r="M445" s="1270">
        <v>52828.6</v>
      </c>
      <c r="N445" s="1270"/>
      <c r="O445" s="279"/>
      <c r="P445" s="5"/>
      <c r="Q445" s="5"/>
      <c r="V445" s="33" t="s">
        <v>7833</v>
      </c>
      <c r="W445" s="550">
        <v>0.47500000000000003</v>
      </c>
      <c r="X445" s="550">
        <v>0.8041666666666667</v>
      </c>
    </row>
    <row r="446" spans="1:24" s="926" customFormat="1" x14ac:dyDescent="0.25">
      <c r="A446" s="1450" t="s">
        <v>8433</v>
      </c>
      <c r="B446" s="926" t="s">
        <v>8172</v>
      </c>
      <c r="C446" s="1400" t="s">
        <v>4218</v>
      </c>
      <c r="D446" s="927">
        <v>46239</v>
      </c>
      <c r="E446" s="928" t="s">
        <v>8533</v>
      </c>
      <c r="F446" s="929" t="s">
        <v>68</v>
      </c>
      <c r="H446" s="930" t="s">
        <v>279</v>
      </c>
      <c r="M446" s="1272"/>
      <c r="N446" s="1272">
        <v>13200</v>
      </c>
      <c r="O446" s="930"/>
      <c r="V446" s="926" t="s">
        <v>7060</v>
      </c>
      <c r="W446" s="931">
        <v>0.74930555555555556</v>
      </c>
      <c r="X446" s="931">
        <v>0.97430555555555554</v>
      </c>
    </row>
    <row r="447" spans="1:24" s="33" customFormat="1" x14ac:dyDescent="0.25">
      <c r="A447" s="1449" t="s">
        <v>8450</v>
      </c>
      <c r="B447" s="33" t="s">
        <v>614</v>
      </c>
      <c r="C447" s="1402" t="s">
        <v>13</v>
      </c>
      <c r="D447" s="548">
        <v>46240</v>
      </c>
      <c r="E447" s="306"/>
      <c r="F447" s="312" t="s">
        <v>2107</v>
      </c>
      <c r="H447" s="279" t="s">
        <v>279</v>
      </c>
      <c r="I447" s="5"/>
      <c r="J447" s="5"/>
      <c r="K447" s="5"/>
      <c r="L447" s="5"/>
      <c r="M447" s="1270">
        <v>37984.199999999997</v>
      </c>
      <c r="N447" s="1262"/>
      <c r="O447" s="279"/>
      <c r="P447" s="5"/>
      <c r="Q447" s="5"/>
      <c r="V447" s="33" t="s">
        <v>8304</v>
      </c>
      <c r="W447" s="550">
        <v>0.3263888888888889</v>
      </c>
      <c r="X447" s="550">
        <v>0.48958333333333331</v>
      </c>
    </row>
    <row r="448" spans="1:24" s="16" customFormat="1" x14ac:dyDescent="0.25">
      <c r="A448" s="1451" t="s">
        <v>8450</v>
      </c>
      <c r="B448" s="16" t="s">
        <v>8451</v>
      </c>
      <c r="C448" s="1445" t="s">
        <v>4218</v>
      </c>
      <c r="D448" s="682">
        <v>46240</v>
      </c>
      <c r="E448" s="355"/>
      <c r="F448" s="356" t="s">
        <v>207</v>
      </c>
      <c r="H448" s="254" t="s">
        <v>279</v>
      </c>
      <c r="M448" s="982"/>
      <c r="N448" s="1452"/>
      <c r="O448" s="254"/>
      <c r="V448" s="16" t="s">
        <v>7138</v>
      </c>
      <c r="W448" s="683">
        <v>0.53194444444444444</v>
      </c>
      <c r="X448" s="480">
        <v>11.43</v>
      </c>
    </row>
    <row r="449" spans="1:24" s="5" customFormat="1" x14ac:dyDescent="0.25">
      <c r="A449" s="1447" t="s">
        <v>8452</v>
      </c>
      <c r="B449" s="5" t="s">
        <v>8451</v>
      </c>
      <c r="C449" s="1406" t="s">
        <v>13</v>
      </c>
      <c r="D449" s="494">
        <v>46241</v>
      </c>
      <c r="E449" s="127"/>
      <c r="F449" s="296" t="s">
        <v>207</v>
      </c>
      <c r="H449" s="89" t="s">
        <v>279</v>
      </c>
      <c r="M449" s="1271"/>
      <c r="N449" s="1271">
        <v>11400</v>
      </c>
      <c r="O449" s="89"/>
      <c r="V449" s="5" t="s">
        <v>7842</v>
      </c>
      <c r="W449" s="496">
        <v>0.20972222222222223</v>
      </c>
      <c r="X449" s="496">
        <v>0.40486111111111112</v>
      </c>
    </row>
    <row r="450" spans="1:24" s="5" customFormat="1" x14ac:dyDescent="0.25">
      <c r="A450" s="1447" t="s">
        <v>8456</v>
      </c>
      <c r="B450" s="5" t="s">
        <v>611</v>
      </c>
      <c r="C450" s="1406" t="s">
        <v>13</v>
      </c>
      <c r="D450" s="494">
        <v>46242</v>
      </c>
      <c r="E450" s="127"/>
      <c r="F450" s="296" t="s">
        <v>143</v>
      </c>
      <c r="H450" s="89" t="s">
        <v>279</v>
      </c>
      <c r="M450" s="1271">
        <v>42830</v>
      </c>
      <c r="N450" s="1261"/>
      <c r="O450" s="89"/>
      <c r="V450" s="5" t="s">
        <v>8251</v>
      </c>
      <c r="W450" s="496">
        <v>0.26319444444444445</v>
      </c>
      <c r="X450" s="496">
        <v>0.47916666666666669</v>
      </c>
    </row>
    <row r="451" spans="1:24" s="926" customFormat="1" x14ac:dyDescent="0.25">
      <c r="A451" s="1450" t="s">
        <v>8456</v>
      </c>
      <c r="B451" s="926" t="s">
        <v>3812</v>
      </c>
      <c r="C451" s="1400" t="s">
        <v>13</v>
      </c>
      <c r="D451" s="927">
        <v>46242</v>
      </c>
      <c r="E451" s="928" t="s">
        <v>8462</v>
      </c>
      <c r="F451" s="929" t="s">
        <v>143</v>
      </c>
      <c r="H451" s="930" t="s">
        <v>279</v>
      </c>
      <c r="M451" s="1272">
        <v>42830</v>
      </c>
      <c r="O451" s="930"/>
      <c r="V451" s="926" t="s">
        <v>7552</v>
      </c>
      <c r="W451" s="931">
        <v>0.78402777777777777</v>
      </c>
      <c r="X451" s="931">
        <v>0.98611111111111116</v>
      </c>
    </row>
    <row r="452" spans="1:24" s="926" customFormat="1" x14ac:dyDescent="0.25">
      <c r="A452" s="1450" t="s">
        <v>8458</v>
      </c>
      <c r="B452" s="926" t="s">
        <v>572</v>
      </c>
      <c r="C452" s="1400" t="s">
        <v>13</v>
      </c>
      <c r="D452" s="927">
        <v>46243</v>
      </c>
      <c r="E452" s="928" t="s">
        <v>8473</v>
      </c>
      <c r="F452" s="929" t="s">
        <v>207</v>
      </c>
      <c r="H452" s="930" t="s">
        <v>279</v>
      </c>
      <c r="M452" s="1272"/>
      <c r="N452" s="1272">
        <v>11280</v>
      </c>
      <c r="O452" s="930"/>
      <c r="V452" s="926" t="s">
        <v>8457</v>
      </c>
      <c r="W452" s="931">
        <v>0.60138888888888886</v>
      </c>
      <c r="X452" s="931">
        <v>0.76944444444444438</v>
      </c>
    </row>
    <row r="453" spans="1:24" s="926" customFormat="1" x14ac:dyDescent="0.25">
      <c r="A453" s="1450" t="s">
        <v>8458</v>
      </c>
      <c r="B453" s="926" t="s">
        <v>572</v>
      </c>
      <c r="C453" s="1400" t="s">
        <v>4218</v>
      </c>
      <c r="D453" s="927">
        <v>46243</v>
      </c>
      <c r="E453" s="928" t="s">
        <v>8474</v>
      </c>
      <c r="F453" s="929" t="s">
        <v>317</v>
      </c>
      <c r="H453" s="930" t="s">
        <v>279</v>
      </c>
      <c r="M453" s="1272"/>
      <c r="N453" s="1272">
        <v>14895.000000000002</v>
      </c>
      <c r="O453" s="930"/>
      <c r="V453" s="926" t="s">
        <v>8459</v>
      </c>
      <c r="W453" s="931">
        <v>0.7284722222222223</v>
      </c>
      <c r="X453" s="931">
        <v>0.9243055555555556</v>
      </c>
    </row>
    <row r="454" spans="1:24" s="926" customFormat="1" x14ac:dyDescent="0.25">
      <c r="A454" s="1450" t="s">
        <v>8460</v>
      </c>
      <c r="B454" s="926" t="s">
        <v>1740</v>
      </c>
      <c r="C454" s="1400" t="s">
        <v>13</v>
      </c>
      <c r="D454" s="927">
        <v>46244</v>
      </c>
      <c r="E454" s="928" t="s">
        <v>8513</v>
      </c>
      <c r="F454" s="929" t="s">
        <v>317</v>
      </c>
      <c r="H454" s="930" t="s">
        <v>279</v>
      </c>
      <c r="M454" s="1272">
        <v>50000</v>
      </c>
      <c r="N454" s="1263"/>
      <c r="O454" s="930"/>
      <c r="V454" s="926" t="s">
        <v>7417</v>
      </c>
      <c r="W454" s="931">
        <v>0.62708333333333333</v>
      </c>
      <c r="X454" s="931">
        <v>0.99652777777777779</v>
      </c>
    </row>
    <row r="455" spans="1:24" s="926" customFormat="1" x14ac:dyDescent="0.25">
      <c r="A455" s="1450" t="s">
        <v>8461</v>
      </c>
      <c r="B455" s="926" t="s">
        <v>610</v>
      </c>
      <c r="C455" s="1400" t="s">
        <v>13</v>
      </c>
      <c r="D455" s="927">
        <v>46245</v>
      </c>
      <c r="E455" s="928" t="s">
        <v>8493</v>
      </c>
      <c r="F455" s="929" t="s">
        <v>106</v>
      </c>
      <c r="H455" s="930" t="s">
        <v>279</v>
      </c>
      <c r="M455" s="1272">
        <v>28900</v>
      </c>
      <c r="N455" s="1263"/>
      <c r="O455" s="930"/>
      <c r="V455" s="926" t="s">
        <v>8468</v>
      </c>
      <c r="W455" s="931">
        <v>0.26527777777777778</v>
      </c>
      <c r="X455" s="931">
        <v>0.41736111111111113</v>
      </c>
    </row>
    <row r="456" spans="1:24" s="926" customFormat="1" x14ac:dyDescent="0.25">
      <c r="A456" s="1450" t="s">
        <v>8469</v>
      </c>
      <c r="B456" s="926" t="s">
        <v>610</v>
      </c>
      <c r="C456" s="1400" t="s">
        <v>13</v>
      </c>
      <c r="D456" s="927">
        <v>46246</v>
      </c>
      <c r="E456" s="928" t="s">
        <v>8491</v>
      </c>
      <c r="F456" s="929" t="s">
        <v>106</v>
      </c>
      <c r="H456" s="930" t="s">
        <v>279</v>
      </c>
      <c r="M456" s="1272">
        <v>28900</v>
      </c>
      <c r="N456" s="1263"/>
      <c r="O456" s="930"/>
      <c r="V456" s="926" t="s">
        <v>8468</v>
      </c>
      <c r="W456" s="931">
        <v>0.49861111111111112</v>
      </c>
      <c r="X456" s="931">
        <v>0.6430555555555556</v>
      </c>
    </row>
    <row r="457" spans="1:24" s="33" customFormat="1" x14ac:dyDescent="0.25">
      <c r="A457" s="1449" t="s">
        <v>8469</v>
      </c>
      <c r="B457" s="33" t="s">
        <v>614</v>
      </c>
      <c r="C457" s="1402" t="s">
        <v>410</v>
      </c>
      <c r="D457" s="548">
        <v>46246</v>
      </c>
      <c r="E457" s="306"/>
      <c r="F457" s="312" t="s">
        <v>285</v>
      </c>
      <c r="H457" s="279" t="s">
        <v>279</v>
      </c>
      <c r="M457" s="1270">
        <v>44096.6</v>
      </c>
      <c r="N457" s="1270"/>
      <c r="O457" s="279"/>
      <c r="V457" s="33" t="s">
        <v>7942</v>
      </c>
      <c r="W457" s="550">
        <v>0.53541666666666665</v>
      </c>
      <c r="X457" s="550">
        <v>0.76250000000000007</v>
      </c>
    </row>
    <row r="458" spans="1:24" s="926" customFormat="1" x14ac:dyDescent="0.25">
      <c r="A458" s="1450" t="s">
        <v>8469</v>
      </c>
      <c r="B458" s="926" t="s">
        <v>1800</v>
      </c>
      <c r="C458" s="1400" t="s">
        <v>13</v>
      </c>
      <c r="D458" s="927">
        <v>46246</v>
      </c>
      <c r="E458" s="928" t="s">
        <v>8607</v>
      </c>
      <c r="F458" s="929" t="s">
        <v>285</v>
      </c>
      <c r="H458" s="930" t="s">
        <v>279</v>
      </c>
      <c r="M458" s="1272"/>
      <c r="N458" s="1272">
        <v>14476</v>
      </c>
      <c r="O458" s="930"/>
      <c r="V458" s="926" t="s">
        <v>8457</v>
      </c>
      <c r="W458" s="931">
        <v>0.71458333333333324</v>
      </c>
      <c r="X458" s="931">
        <v>0.93402777777777779</v>
      </c>
    </row>
    <row r="459" spans="1:24" s="926" customFormat="1" x14ac:dyDescent="0.25">
      <c r="A459" s="1450" t="s">
        <v>8470</v>
      </c>
      <c r="B459" s="926" t="s">
        <v>3083</v>
      </c>
      <c r="C459" s="1400" t="s">
        <v>410</v>
      </c>
      <c r="D459" s="927">
        <v>46247</v>
      </c>
      <c r="E459" s="928" t="s">
        <v>8532</v>
      </c>
      <c r="F459" s="929" t="s">
        <v>2253</v>
      </c>
      <c r="H459" s="930" t="s">
        <v>279</v>
      </c>
      <c r="M459" s="1272">
        <v>59265</v>
      </c>
      <c r="N459" s="1272"/>
      <c r="O459" s="930"/>
      <c r="V459" s="926" t="s">
        <v>8468</v>
      </c>
      <c r="W459" s="931">
        <v>0.30833333333333335</v>
      </c>
      <c r="X459" s="931">
        <v>0.63124999999999998</v>
      </c>
    </row>
    <row r="460" spans="1:24" s="33" customFormat="1" x14ac:dyDescent="0.25">
      <c r="A460" s="1449" t="s">
        <v>8480</v>
      </c>
      <c r="B460" s="33" t="s">
        <v>614</v>
      </c>
      <c r="C460" s="1402" t="s">
        <v>13</v>
      </c>
      <c r="D460" s="548">
        <v>46249</v>
      </c>
      <c r="E460" s="306"/>
      <c r="F460" s="312" t="s">
        <v>545</v>
      </c>
      <c r="H460" s="279" t="s">
        <v>279</v>
      </c>
      <c r="M460" s="1270">
        <v>31871.8</v>
      </c>
      <c r="N460" s="1270"/>
      <c r="O460" s="279"/>
      <c r="V460" s="33" t="s">
        <v>8478</v>
      </c>
      <c r="W460" s="550">
        <v>0.27430555555555552</v>
      </c>
      <c r="X460" s="550">
        <v>0.4458333333333333</v>
      </c>
    </row>
    <row r="461" spans="1:24" s="33" customFormat="1" x14ac:dyDescent="0.25">
      <c r="A461" s="1449" t="s">
        <v>8480</v>
      </c>
      <c r="B461" s="33" t="s">
        <v>614</v>
      </c>
      <c r="C461" s="1402" t="s">
        <v>410</v>
      </c>
      <c r="D461" s="548">
        <v>46249</v>
      </c>
      <c r="E461" s="306"/>
      <c r="F461" s="312" t="s">
        <v>2008</v>
      </c>
      <c r="H461" s="279" t="s">
        <v>279</v>
      </c>
      <c r="M461" s="1270">
        <v>46716.2</v>
      </c>
      <c r="N461" s="1270"/>
      <c r="O461" s="279"/>
      <c r="V461" s="33" t="s">
        <v>7942</v>
      </c>
      <c r="W461" s="550">
        <v>0.42291666666666666</v>
      </c>
      <c r="X461" s="550">
        <v>0.79999999999999993</v>
      </c>
    </row>
    <row r="462" spans="1:24" s="926" customFormat="1" x14ac:dyDescent="0.25">
      <c r="A462" s="1450" t="s">
        <v>8481</v>
      </c>
      <c r="B462" s="926" t="s">
        <v>8172</v>
      </c>
      <c r="C462" s="1400" t="s">
        <v>410</v>
      </c>
      <c r="D462" s="927">
        <v>46250</v>
      </c>
      <c r="E462" s="928" t="s">
        <v>8483</v>
      </c>
      <c r="F462" s="929" t="s">
        <v>8479</v>
      </c>
      <c r="H462" s="930" t="s">
        <v>279</v>
      </c>
      <c r="M462" s="1272"/>
      <c r="N462" s="1272">
        <v>8621</v>
      </c>
      <c r="O462" s="930"/>
      <c r="V462" s="926" t="s">
        <v>7552</v>
      </c>
      <c r="W462" s="931">
        <v>0.46319444444444446</v>
      </c>
      <c r="X462" s="931">
        <v>0.59861111111111109</v>
      </c>
    </row>
    <row r="463" spans="1:24" s="926" customFormat="1" x14ac:dyDescent="0.25">
      <c r="A463" s="1450" t="s">
        <v>8482</v>
      </c>
      <c r="B463" s="926" t="s">
        <v>8540</v>
      </c>
      <c r="C463" s="1400" t="s">
        <v>410</v>
      </c>
      <c r="D463" s="927">
        <v>46251</v>
      </c>
      <c r="E463" s="928" t="s">
        <v>8541</v>
      </c>
      <c r="F463" s="929" t="s">
        <v>425</v>
      </c>
      <c r="H463" s="930" t="s">
        <v>279</v>
      </c>
      <c r="M463" s="1272">
        <v>34391</v>
      </c>
      <c r="N463" s="1272"/>
      <c r="O463" s="930"/>
      <c r="V463" s="926" t="s">
        <v>4983</v>
      </c>
      <c r="W463" s="931">
        <v>0.41875000000000001</v>
      </c>
      <c r="X463" s="931">
        <v>0.64097222222222217</v>
      </c>
    </row>
    <row r="464" spans="1:24" s="5" customFormat="1" x14ac:dyDescent="0.25">
      <c r="A464" s="1447" t="s">
        <v>8482</v>
      </c>
      <c r="B464" s="5" t="s">
        <v>2938</v>
      </c>
      <c r="C464" s="1406" t="s">
        <v>13</v>
      </c>
      <c r="D464" s="494">
        <v>46251</v>
      </c>
      <c r="E464" s="127"/>
      <c r="F464" s="296" t="s">
        <v>113</v>
      </c>
      <c r="H464" s="89" t="s">
        <v>279</v>
      </c>
      <c r="M464" s="1271">
        <v>42610</v>
      </c>
      <c r="N464" s="1271"/>
      <c r="O464" s="89"/>
      <c r="V464" s="5" t="s">
        <v>8478</v>
      </c>
      <c r="W464" s="496">
        <v>0.43263888888888885</v>
      </c>
      <c r="X464" s="496">
        <v>0.61944444444444446</v>
      </c>
    </row>
    <row r="465" spans="1:24" s="5" customFormat="1" x14ac:dyDescent="0.25">
      <c r="A465" s="1447" t="s">
        <v>8482</v>
      </c>
      <c r="B465" s="5" t="s">
        <v>4736</v>
      </c>
      <c r="C465" s="1406" t="s">
        <v>13</v>
      </c>
      <c r="D465" s="494">
        <v>46251</v>
      </c>
      <c r="E465" s="127"/>
      <c r="F465" s="296" t="s">
        <v>2036</v>
      </c>
      <c r="H465" s="89" t="s">
        <v>279</v>
      </c>
      <c r="M465" s="1271">
        <v>30175</v>
      </c>
      <c r="N465" s="1271"/>
      <c r="O465" s="89"/>
      <c r="V465" s="5" t="s">
        <v>8478</v>
      </c>
      <c r="W465" s="496">
        <v>0.64374999999999993</v>
      </c>
      <c r="X465" s="496">
        <v>0.46736111111111112</v>
      </c>
    </row>
    <row r="466" spans="1:24" s="926" customFormat="1" x14ac:dyDescent="0.25">
      <c r="A466" s="1450" t="s">
        <v>8484</v>
      </c>
      <c r="B466" s="926" t="s">
        <v>8139</v>
      </c>
      <c r="C466" s="1400" t="s">
        <v>13</v>
      </c>
      <c r="D466" s="927">
        <v>46252</v>
      </c>
      <c r="E466" s="928" t="s">
        <v>8534</v>
      </c>
      <c r="F466" s="929" t="s">
        <v>545</v>
      </c>
      <c r="H466" s="930" t="s">
        <v>279</v>
      </c>
      <c r="M466" s="1272">
        <v>36500</v>
      </c>
      <c r="N466" s="1263"/>
      <c r="O466" s="930"/>
      <c r="V466" s="926" t="s">
        <v>8485</v>
      </c>
      <c r="W466" s="931">
        <v>0.54861111111111105</v>
      </c>
      <c r="X466" s="931">
        <v>0.7319444444444444</v>
      </c>
    </row>
    <row r="467" spans="1:24" s="926" customFormat="1" x14ac:dyDescent="0.25">
      <c r="A467" s="1450" t="s">
        <v>8484</v>
      </c>
      <c r="B467" s="947" t="s">
        <v>8486</v>
      </c>
      <c r="C467" s="1400" t="s">
        <v>410</v>
      </c>
      <c r="D467" s="927">
        <v>46252</v>
      </c>
      <c r="E467" s="928" t="s">
        <v>8523</v>
      </c>
      <c r="F467" s="929" t="s">
        <v>3924</v>
      </c>
      <c r="H467" s="930" t="s">
        <v>279</v>
      </c>
      <c r="M467" s="1272">
        <v>30200</v>
      </c>
      <c r="N467" s="1263"/>
      <c r="O467" s="930"/>
      <c r="V467" s="926" t="s">
        <v>4140</v>
      </c>
      <c r="W467" s="931">
        <v>0.47083333333333338</v>
      </c>
      <c r="X467" s="931">
        <v>0.56874999999999998</v>
      </c>
    </row>
    <row r="468" spans="1:24" s="926" customFormat="1" x14ac:dyDescent="0.25">
      <c r="A468" s="1450" t="s">
        <v>8488</v>
      </c>
      <c r="B468" s="947" t="s">
        <v>3812</v>
      </c>
      <c r="C468" s="1400" t="s">
        <v>410</v>
      </c>
      <c r="D468" s="927">
        <v>46253</v>
      </c>
      <c r="E468" s="928" t="s">
        <v>8521</v>
      </c>
      <c r="F468" s="929" t="s">
        <v>143</v>
      </c>
      <c r="H468" s="930" t="s">
        <v>279</v>
      </c>
      <c r="M468" s="1272">
        <v>42830</v>
      </c>
      <c r="N468" s="1263"/>
      <c r="O468" s="930"/>
      <c r="V468" s="926" t="s">
        <v>7078</v>
      </c>
      <c r="W468" s="931">
        <v>0.52013888888888882</v>
      </c>
      <c r="X468" s="944">
        <v>17.11</v>
      </c>
    </row>
    <row r="469" spans="1:24" s="5" customFormat="1" x14ac:dyDescent="0.25">
      <c r="A469" s="1447" t="s">
        <v>8507</v>
      </c>
      <c r="B469" s="20" t="s">
        <v>5239</v>
      </c>
      <c r="C469" s="1406" t="s">
        <v>13</v>
      </c>
      <c r="D469" s="494">
        <v>46254</v>
      </c>
      <c r="E469" s="127"/>
      <c r="F469" s="296" t="s">
        <v>207</v>
      </c>
      <c r="H469" s="89" t="s">
        <v>279</v>
      </c>
      <c r="M469" s="1271">
        <v>36350</v>
      </c>
      <c r="N469" s="1261"/>
      <c r="O469" s="89"/>
      <c r="V469" s="5" t="s">
        <v>4138</v>
      </c>
      <c r="W469" s="496">
        <v>0.30972222222222223</v>
      </c>
      <c r="X469" s="496">
        <v>0.55555555555555558</v>
      </c>
    </row>
    <row r="470" spans="1:24" s="33" customFormat="1" x14ac:dyDescent="0.25">
      <c r="A470" s="1449" t="s">
        <v>8507</v>
      </c>
      <c r="B470" s="291" t="s">
        <v>614</v>
      </c>
      <c r="C470" s="1402" t="s">
        <v>410</v>
      </c>
      <c r="D470" s="548">
        <v>46254</v>
      </c>
      <c r="E470" s="306"/>
      <c r="F470" s="312" t="s">
        <v>2008</v>
      </c>
      <c r="H470" s="279" t="s">
        <v>279</v>
      </c>
      <c r="M470" s="1270">
        <v>46716.2</v>
      </c>
      <c r="N470" s="1262"/>
      <c r="O470" s="279"/>
      <c r="V470" s="33" t="s">
        <v>7914</v>
      </c>
      <c r="W470" s="550">
        <v>0.35347222222222219</v>
      </c>
      <c r="X470" s="550">
        <v>0.62222222222222223</v>
      </c>
    </row>
    <row r="471" spans="1:24" s="33" customFormat="1" x14ac:dyDescent="0.25">
      <c r="A471" s="1449" t="s">
        <v>8507</v>
      </c>
      <c r="B471" s="291" t="s">
        <v>614</v>
      </c>
      <c r="C471" s="1402" t="s">
        <v>410</v>
      </c>
      <c r="D471" s="548">
        <v>46254</v>
      </c>
      <c r="E471" s="306"/>
      <c r="F471" s="312" t="s">
        <v>1931</v>
      </c>
      <c r="H471" s="279" t="s">
        <v>279</v>
      </c>
      <c r="M471" s="1270">
        <v>52828.6</v>
      </c>
      <c r="N471" s="1262"/>
      <c r="O471" s="279"/>
      <c r="V471" s="33" t="s">
        <v>7060</v>
      </c>
      <c r="W471" s="550">
        <v>0.66319444444444442</v>
      </c>
      <c r="X471" s="550">
        <v>0.99236111111111114</v>
      </c>
    </row>
    <row r="472" spans="1:24" s="5" customFormat="1" x14ac:dyDescent="0.25">
      <c r="A472" s="1447" t="s">
        <v>8508</v>
      </c>
      <c r="B472" s="20" t="s">
        <v>4251</v>
      </c>
      <c r="C472" s="1406" t="s">
        <v>410</v>
      </c>
      <c r="D472" s="494">
        <v>46255</v>
      </c>
      <c r="E472" s="127"/>
      <c r="F472" s="296" t="s">
        <v>143</v>
      </c>
      <c r="H472" s="89" t="s">
        <v>279</v>
      </c>
      <c r="M472" s="1271">
        <v>41600</v>
      </c>
      <c r="N472" s="1261"/>
      <c r="O472" s="89"/>
      <c r="V472" s="5" t="s">
        <v>4983</v>
      </c>
      <c r="W472" s="496">
        <v>0.13125000000000001</v>
      </c>
      <c r="X472" s="496">
        <v>0.32013888888888892</v>
      </c>
    </row>
    <row r="473" spans="1:24" s="926" customFormat="1" x14ac:dyDescent="0.25">
      <c r="A473" s="1450" t="s">
        <v>8508</v>
      </c>
      <c r="B473" s="947" t="s">
        <v>8509</v>
      </c>
      <c r="C473" s="1400" t="s">
        <v>410</v>
      </c>
      <c r="D473" s="927">
        <v>46255</v>
      </c>
      <c r="E473" s="928" t="s">
        <v>8527</v>
      </c>
      <c r="F473" s="929" t="s">
        <v>2253</v>
      </c>
      <c r="H473" s="930" t="s">
        <v>279</v>
      </c>
      <c r="M473" s="1272">
        <v>60980</v>
      </c>
      <c r="N473" s="1263"/>
      <c r="O473" s="930"/>
      <c r="V473" s="926" t="s">
        <v>8387</v>
      </c>
      <c r="W473" s="931">
        <v>0.41736111111111113</v>
      </c>
      <c r="X473" s="931">
        <v>0.74375000000000002</v>
      </c>
    </row>
    <row r="474" spans="1:24" s="926" customFormat="1" x14ac:dyDescent="0.25">
      <c r="A474" s="1450" t="s">
        <v>8508</v>
      </c>
      <c r="B474" s="947" t="s">
        <v>3880</v>
      </c>
      <c r="C474" s="1400" t="s">
        <v>410</v>
      </c>
      <c r="D474" s="927">
        <v>46255</v>
      </c>
      <c r="E474" s="928" t="s">
        <v>8528</v>
      </c>
      <c r="F474" s="929" t="s">
        <v>545</v>
      </c>
      <c r="H474" s="930" t="s">
        <v>279</v>
      </c>
      <c r="M474" s="1272">
        <v>37500</v>
      </c>
      <c r="N474" s="1263"/>
      <c r="O474" s="930"/>
      <c r="V474" s="926" t="s">
        <v>7122</v>
      </c>
      <c r="W474" s="931">
        <v>0.79166666666666663</v>
      </c>
      <c r="X474" s="931">
        <v>0.99652777777777779</v>
      </c>
    </row>
    <row r="475" spans="1:24" s="5" customFormat="1" x14ac:dyDescent="0.25">
      <c r="A475" s="1447" t="s">
        <v>8518</v>
      </c>
      <c r="B475" s="20" t="s">
        <v>2303</v>
      </c>
      <c r="C475" s="1406" t="s">
        <v>410</v>
      </c>
      <c r="D475" s="494">
        <v>46256</v>
      </c>
      <c r="E475" s="127"/>
      <c r="F475" s="296" t="s">
        <v>1370</v>
      </c>
      <c r="H475" s="89" t="s">
        <v>279</v>
      </c>
      <c r="M475" s="1271">
        <v>54480</v>
      </c>
      <c r="N475" s="1261"/>
      <c r="O475" s="89"/>
      <c r="V475" s="5" t="s">
        <v>7335</v>
      </c>
      <c r="W475" s="496">
        <v>0.33263888888888887</v>
      </c>
      <c r="X475" s="496">
        <v>0.52777777777777779</v>
      </c>
    </row>
    <row r="476" spans="1:24" s="5" customFormat="1" x14ac:dyDescent="0.25">
      <c r="A476" s="1447" t="s">
        <v>8518</v>
      </c>
      <c r="B476" s="20" t="s">
        <v>5093</v>
      </c>
      <c r="C476" s="1406" t="s">
        <v>410</v>
      </c>
      <c r="D476" s="494">
        <v>46256</v>
      </c>
      <c r="E476" s="127"/>
      <c r="F476" s="296" t="s">
        <v>5326</v>
      </c>
      <c r="H476" s="89" t="s">
        <v>279</v>
      </c>
      <c r="M476" s="1271">
        <v>38610</v>
      </c>
      <c r="N476" s="1261"/>
      <c r="O476" s="89"/>
      <c r="V476" s="5" t="s">
        <v>4140</v>
      </c>
      <c r="W476" s="496">
        <v>0.57847222222222217</v>
      </c>
      <c r="X476" s="496">
        <v>0.77500000000000002</v>
      </c>
    </row>
    <row r="477" spans="1:24" s="5" customFormat="1" x14ac:dyDescent="0.25">
      <c r="A477" s="1447" t="s">
        <v>8519</v>
      </c>
      <c r="B477" s="20" t="s">
        <v>614</v>
      </c>
      <c r="C477" s="1406" t="s">
        <v>410</v>
      </c>
      <c r="D477" s="494">
        <v>46257</v>
      </c>
      <c r="E477" s="127"/>
      <c r="F477" s="296" t="s">
        <v>675</v>
      </c>
      <c r="H477" s="89" t="s">
        <v>279</v>
      </c>
      <c r="M477" s="1271">
        <v>51270</v>
      </c>
      <c r="N477" s="1261"/>
      <c r="O477" s="89"/>
      <c r="V477" s="5" t="s">
        <v>8193</v>
      </c>
      <c r="W477" s="496">
        <v>0.45555555555555555</v>
      </c>
      <c r="X477" s="496"/>
    </row>
    <row r="478" spans="1:24" s="926" customFormat="1" x14ac:dyDescent="0.25">
      <c r="A478" s="1450" t="s">
        <v>8519</v>
      </c>
      <c r="B478" s="947" t="s">
        <v>3083</v>
      </c>
      <c r="C478" s="1400" t="s">
        <v>410</v>
      </c>
      <c r="D478" s="927">
        <v>46257</v>
      </c>
      <c r="E478" s="928" t="s">
        <v>8530</v>
      </c>
      <c r="F478" s="929" t="s">
        <v>2253</v>
      </c>
      <c r="H478" s="930" t="s">
        <v>279</v>
      </c>
      <c r="M478" s="1272">
        <v>59265</v>
      </c>
      <c r="N478" s="1263"/>
      <c r="O478" s="930"/>
      <c r="V478" s="926" t="s">
        <v>8193</v>
      </c>
      <c r="W478" s="931">
        <v>0.45555555555555555</v>
      </c>
      <c r="X478" s="931">
        <v>0.86319444444444438</v>
      </c>
    </row>
    <row r="479" spans="1:24" s="5" customFormat="1" x14ac:dyDescent="0.25">
      <c r="A479" s="1447" t="s">
        <v>8520</v>
      </c>
      <c r="B479" s="20" t="s">
        <v>610</v>
      </c>
      <c r="C479" s="1406" t="s">
        <v>410</v>
      </c>
      <c r="D479" s="494">
        <v>46258</v>
      </c>
      <c r="E479" s="127"/>
      <c r="F479" s="296" t="s">
        <v>106</v>
      </c>
      <c r="H479" s="89" t="s">
        <v>279</v>
      </c>
      <c r="M479" s="1271">
        <v>28900</v>
      </c>
      <c r="N479" s="1261"/>
      <c r="O479" s="89"/>
      <c r="V479" s="5" t="s">
        <v>7942</v>
      </c>
      <c r="W479" s="496">
        <v>0.41388888888888892</v>
      </c>
      <c r="X479" s="496">
        <v>0.58819444444444446</v>
      </c>
    </row>
    <row r="480" spans="1:24" s="5" customFormat="1" x14ac:dyDescent="0.25">
      <c r="A480" s="1447" t="s">
        <v>8520</v>
      </c>
      <c r="B480" s="20" t="s">
        <v>6269</v>
      </c>
      <c r="C480" s="1406" t="s">
        <v>410</v>
      </c>
      <c r="D480" s="494">
        <v>46258</v>
      </c>
      <c r="E480" s="127"/>
      <c r="F480" s="296" t="s">
        <v>317</v>
      </c>
      <c r="H480" s="89" t="s">
        <v>279</v>
      </c>
      <c r="M480" s="1271">
        <v>50000</v>
      </c>
      <c r="N480" s="1261"/>
      <c r="O480" s="89"/>
      <c r="V480" s="5" t="s">
        <v>7122</v>
      </c>
      <c r="W480" s="496">
        <v>0.6333333333333333</v>
      </c>
      <c r="X480" s="496">
        <v>2.1527777777777781E-2</v>
      </c>
    </row>
    <row r="481" spans="1:24" s="5" customFormat="1" x14ac:dyDescent="0.25">
      <c r="A481" s="1447" t="s">
        <v>8542</v>
      </c>
      <c r="B481" s="20" t="s">
        <v>4662</v>
      </c>
      <c r="C481" s="1406" t="s">
        <v>410</v>
      </c>
      <c r="D481" s="494">
        <v>46261</v>
      </c>
      <c r="E481" s="127"/>
      <c r="F481" s="296" t="s">
        <v>2008</v>
      </c>
      <c r="H481" s="89" t="s">
        <v>279</v>
      </c>
      <c r="M481" s="1271">
        <v>54500</v>
      </c>
      <c r="N481" s="1261"/>
      <c r="O481" s="89"/>
      <c r="V481" s="5" t="s">
        <v>6067</v>
      </c>
      <c r="W481" s="496">
        <v>0.26597222222222222</v>
      </c>
      <c r="X481" s="496">
        <v>0.52083333333333337</v>
      </c>
    </row>
    <row r="482" spans="1:24" s="5" customFormat="1" x14ac:dyDescent="0.25">
      <c r="A482" s="1447" t="s">
        <v>8542</v>
      </c>
      <c r="B482" s="20" t="s">
        <v>614</v>
      </c>
      <c r="C482" s="1406" t="s">
        <v>13</v>
      </c>
      <c r="D482" s="494">
        <v>46261</v>
      </c>
      <c r="E482" s="127"/>
      <c r="F482" s="296" t="s">
        <v>872</v>
      </c>
      <c r="H482" s="89" t="s">
        <v>279</v>
      </c>
      <c r="M482" s="1271">
        <v>37984.199999999997</v>
      </c>
      <c r="N482" s="1261"/>
      <c r="O482" s="89"/>
      <c r="V482" s="5" t="s">
        <v>7335</v>
      </c>
      <c r="W482" s="496">
        <v>0.35902777777777778</v>
      </c>
      <c r="X482" s="496">
        <v>0.6020833333333333</v>
      </c>
    </row>
    <row r="483" spans="1:24" s="5" customFormat="1" x14ac:dyDescent="0.25">
      <c r="A483" s="1447" t="s">
        <v>8542</v>
      </c>
      <c r="B483" s="20" t="s">
        <v>8139</v>
      </c>
      <c r="C483" s="1406" t="s">
        <v>410</v>
      </c>
      <c r="D483" s="494">
        <v>46261</v>
      </c>
      <c r="E483" s="127" t="s">
        <v>8621</v>
      </c>
      <c r="F483" s="296" t="s">
        <v>545</v>
      </c>
      <c r="H483" s="89" t="s">
        <v>279</v>
      </c>
      <c r="M483" s="1271">
        <v>36500</v>
      </c>
      <c r="N483" s="1261"/>
      <c r="O483" s="89"/>
      <c r="V483" s="5" t="s">
        <v>6067</v>
      </c>
      <c r="W483" s="496">
        <v>0.55208333333333337</v>
      </c>
      <c r="X483" s="496">
        <v>0.71875</v>
      </c>
    </row>
    <row r="484" spans="1:24" x14ac:dyDescent="0.25">
      <c r="A484" s="1447" t="s">
        <v>8542</v>
      </c>
      <c r="B484" s="20" t="s">
        <v>8139</v>
      </c>
      <c r="C484" s="1406" t="s">
        <v>13</v>
      </c>
      <c r="D484" s="494">
        <v>46261</v>
      </c>
      <c r="E484" s="127" t="s">
        <v>8620</v>
      </c>
      <c r="F484" s="296" t="s">
        <v>545</v>
      </c>
      <c r="G484" s="5"/>
      <c r="H484" s="89" t="s">
        <v>279</v>
      </c>
      <c r="I484" s="5"/>
      <c r="J484" s="5"/>
      <c r="K484" s="5"/>
      <c r="L484" s="5"/>
      <c r="M484" s="1271">
        <v>36500</v>
      </c>
      <c r="N484" s="558"/>
      <c r="O484" s="88"/>
      <c r="V484" s="5" t="s">
        <v>7335</v>
      </c>
      <c r="W484" s="360">
        <v>0.64097222222222217</v>
      </c>
      <c r="X484" s="360">
        <v>0.79791666666666661</v>
      </c>
    </row>
    <row r="485" spans="1:24" s="5" customFormat="1" x14ac:dyDescent="0.25">
      <c r="A485" s="1447" t="s">
        <v>8545</v>
      </c>
      <c r="B485" s="20" t="s">
        <v>4193</v>
      </c>
      <c r="C485" s="1406" t="s">
        <v>410</v>
      </c>
      <c r="D485" s="494">
        <v>46262</v>
      </c>
      <c r="E485" s="127"/>
      <c r="F485" s="296" t="s">
        <v>236</v>
      </c>
      <c r="H485" s="89" t="s">
        <v>279</v>
      </c>
      <c r="M485" s="1271">
        <v>61810</v>
      </c>
      <c r="N485" s="1261"/>
      <c r="O485" s="89"/>
      <c r="V485" s="5" t="s">
        <v>7914</v>
      </c>
      <c r="W485" s="496">
        <v>0.25208333333333333</v>
      </c>
      <c r="X485" s="496">
        <v>0.54097222222222219</v>
      </c>
    </row>
    <row r="486" spans="1:24" s="5" customFormat="1" x14ac:dyDescent="0.25">
      <c r="A486" s="1447" t="s">
        <v>8545</v>
      </c>
      <c r="B486" s="20" t="s">
        <v>612</v>
      </c>
      <c r="C486" s="1406" t="s">
        <v>13</v>
      </c>
      <c r="D486" s="494">
        <v>46262</v>
      </c>
      <c r="E486" s="127"/>
      <c r="F486" s="296" t="s">
        <v>113</v>
      </c>
      <c r="H486" s="89" t="s">
        <v>279</v>
      </c>
      <c r="M486" s="1271">
        <v>35671</v>
      </c>
      <c r="N486" s="1261"/>
      <c r="O486" s="89"/>
      <c r="V486" s="5" t="s">
        <v>8193</v>
      </c>
      <c r="W486" s="496">
        <v>0.3263888888888889</v>
      </c>
      <c r="X486" s="496">
        <v>0.52847222222222223</v>
      </c>
    </row>
    <row r="487" spans="1:24" s="33" customFormat="1" x14ac:dyDescent="0.25">
      <c r="A487" s="1449" t="s">
        <v>8545</v>
      </c>
      <c r="B487" s="33" t="s">
        <v>572</v>
      </c>
      <c r="C487" s="1402" t="s">
        <v>13</v>
      </c>
      <c r="D487" s="548">
        <v>46262</v>
      </c>
      <c r="E487" s="306"/>
      <c r="F487" s="312" t="s">
        <v>207</v>
      </c>
      <c r="H487" s="279" t="s">
        <v>279</v>
      </c>
      <c r="M487" s="933"/>
      <c r="N487" s="1270">
        <v>11265.000000000002</v>
      </c>
      <c r="O487" s="279"/>
      <c r="V487" s="33" t="s">
        <v>8193</v>
      </c>
      <c r="W487" s="550">
        <v>0.6118055555555556</v>
      </c>
      <c r="X487" s="550">
        <v>0.78263888888888899</v>
      </c>
    </row>
    <row r="488" spans="1:24" s="5" customFormat="1" x14ac:dyDescent="0.25">
      <c r="A488" s="1447" t="s">
        <v>8545</v>
      </c>
      <c r="B488" s="20" t="s">
        <v>8546</v>
      </c>
      <c r="C488" s="1406" t="s">
        <v>410</v>
      </c>
      <c r="D488" s="494">
        <v>46262</v>
      </c>
      <c r="E488" s="127"/>
      <c r="F488" s="296" t="s">
        <v>236</v>
      </c>
      <c r="H488" s="89" t="s">
        <v>279</v>
      </c>
      <c r="M488" s="1271">
        <v>61810</v>
      </c>
      <c r="N488" s="1261"/>
      <c r="O488" s="89"/>
      <c r="V488" s="5" t="s">
        <v>4983</v>
      </c>
      <c r="W488" s="496">
        <v>0.79652777777777783</v>
      </c>
      <c r="X488" s="496">
        <v>7.6388888888888895E-2</v>
      </c>
    </row>
    <row r="489" spans="1:24" s="5" customFormat="1" x14ac:dyDescent="0.25">
      <c r="A489" s="1447" t="s">
        <v>8551</v>
      </c>
      <c r="B489" s="20" t="s">
        <v>611</v>
      </c>
      <c r="C489" s="1406" t="s">
        <v>13</v>
      </c>
      <c r="D489" s="494">
        <v>46263</v>
      </c>
      <c r="E489" s="127"/>
      <c r="F489" s="296" t="s">
        <v>143</v>
      </c>
      <c r="H489" s="89" t="s">
        <v>279</v>
      </c>
      <c r="M489" s="1271">
        <v>42830</v>
      </c>
      <c r="N489" s="1261"/>
      <c r="O489" s="89"/>
      <c r="V489" s="5" t="s">
        <v>8468</v>
      </c>
      <c r="W489" s="496">
        <v>0.28333333333333333</v>
      </c>
      <c r="X489" s="496">
        <v>0.48958333333333331</v>
      </c>
    </row>
    <row r="490" spans="1:24" s="5" customFormat="1" x14ac:dyDescent="0.25">
      <c r="A490" s="1447" t="s">
        <v>8551</v>
      </c>
      <c r="B490" s="20" t="s">
        <v>5093</v>
      </c>
      <c r="C490" s="1406" t="s">
        <v>410</v>
      </c>
      <c r="D490" s="494">
        <v>46263</v>
      </c>
      <c r="E490" s="127"/>
      <c r="F490" s="296" t="s">
        <v>5326</v>
      </c>
      <c r="H490" s="89" t="s">
        <v>279</v>
      </c>
      <c r="M490" s="1271">
        <v>38610</v>
      </c>
      <c r="N490" s="1261"/>
      <c r="O490" s="89"/>
      <c r="V490" s="5" t="s">
        <v>7942</v>
      </c>
      <c r="W490" s="496">
        <v>0.33055555555555555</v>
      </c>
      <c r="X490" s="496">
        <v>0.62916666666666665</v>
      </c>
    </row>
    <row r="491" spans="1:24" s="33" customFormat="1" x14ac:dyDescent="0.25">
      <c r="A491" s="1449" t="s">
        <v>8551</v>
      </c>
      <c r="B491" s="291" t="s">
        <v>614</v>
      </c>
      <c r="C491" s="1402" t="s">
        <v>13</v>
      </c>
      <c r="D491" s="548">
        <v>46263</v>
      </c>
      <c r="E491" s="306"/>
      <c r="F491" s="312" t="s">
        <v>113</v>
      </c>
      <c r="H491" s="279" t="s">
        <v>279</v>
      </c>
      <c r="M491" s="1270">
        <v>37984.199999999997</v>
      </c>
      <c r="N491" s="1262"/>
      <c r="O491" s="279"/>
      <c r="V491" s="33" t="s">
        <v>8468</v>
      </c>
      <c r="W491" s="550">
        <v>0.51874999999999993</v>
      </c>
      <c r="X491" s="550">
        <v>0.74583333333333324</v>
      </c>
    </row>
    <row r="492" spans="1:24" s="5" customFormat="1" x14ac:dyDescent="0.25">
      <c r="A492" s="1447" t="s">
        <v>8552</v>
      </c>
      <c r="B492" s="20" t="s">
        <v>4736</v>
      </c>
      <c r="C492" s="1406" t="s">
        <v>13</v>
      </c>
      <c r="D492" s="494">
        <v>46264</v>
      </c>
      <c r="E492" s="127"/>
      <c r="F492" s="296" t="s">
        <v>2036</v>
      </c>
      <c r="H492" s="89" t="s">
        <v>279</v>
      </c>
      <c r="M492" s="1271">
        <v>30175</v>
      </c>
      <c r="N492" s="1261"/>
      <c r="O492" s="89"/>
      <c r="V492" s="5" t="s">
        <v>5021</v>
      </c>
      <c r="W492" s="496">
        <v>0.36388888888888887</v>
      </c>
      <c r="X492" s="496">
        <v>0.50138888888888888</v>
      </c>
    </row>
    <row r="493" spans="1:24" s="33" customFormat="1" x14ac:dyDescent="0.25">
      <c r="A493" s="1449" t="s">
        <v>8552</v>
      </c>
      <c r="B493" s="291" t="s">
        <v>614</v>
      </c>
      <c r="C493" s="1402" t="s">
        <v>410</v>
      </c>
      <c r="D493" s="548">
        <v>46264</v>
      </c>
      <c r="E493" s="306"/>
      <c r="F493" s="312" t="s">
        <v>285</v>
      </c>
      <c r="H493" s="279" t="s">
        <v>279</v>
      </c>
      <c r="M493" s="1270">
        <v>44096.6</v>
      </c>
      <c r="N493" s="1262"/>
      <c r="O493" s="279"/>
      <c r="V493" s="33" t="s">
        <v>7060</v>
      </c>
      <c r="W493" s="550">
        <v>0.61111111111111105</v>
      </c>
      <c r="X493" s="550">
        <v>0.83750000000000002</v>
      </c>
    </row>
    <row r="494" spans="1:24" s="33" customFormat="1" x14ac:dyDescent="0.25">
      <c r="A494" s="1449" t="s">
        <v>8552</v>
      </c>
      <c r="B494" s="291" t="s">
        <v>614</v>
      </c>
      <c r="C494" s="1402" t="s">
        <v>13</v>
      </c>
      <c r="D494" s="548">
        <v>46264</v>
      </c>
      <c r="E494" s="306"/>
      <c r="F494" s="312" t="s">
        <v>2253</v>
      </c>
      <c r="H494" s="279" t="s">
        <v>279</v>
      </c>
      <c r="M494" s="1270">
        <v>52828.6</v>
      </c>
      <c r="N494" s="1262"/>
      <c r="O494" s="279"/>
      <c r="V494" s="33" t="s">
        <v>8387</v>
      </c>
      <c r="W494" s="550">
        <v>0.58333333333333337</v>
      </c>
      <c r="X494" s="550">
        <v>0.92083333333333339</v>
      </c>
    </row>
    <row r="495" spans="1:24" s="33" customFormat="1" x14ac:dyDescent="0.25">
      <c r="A495" s="1449" t="s">
        <v>8553</v>
      </c>
      <c r="B495" s="291" t="s">
        <v>8554</v>
      </c>
      <c r="C495" s="1402" t="s">
        <v>410</v>
      </c>
      <c r="D495" s="548">
        <v>46265</v>
      </c>
      <c r="E495" s="306" t="s">
        <v>8556</v>
      </c>
      <c r="F495" s="312" t="s">
        <v>425</v>
      </c>
      <c r="H495" s="279" t="s">
        <v>279</v>
      </c>
      <c r="M495" s="1270">
        <v>35560</v>
      </c>
      <c r="N495" s="1262"/>
      <c r="O495" s="279"/>
      <c r="V495" s="33" t="s">
        <v>7335</v>
      </c>
      <c r="W495" s="550">
        <v>0.52708333333333335</v>
      </c>
      <c r="X495" s="550">
        <v>0.72291666666666676</v>
      </c>
    </row>
    <row r="496" spans="1:24" x14ac:dyDescent="0.25">
      <c r="A496" s="1448"/>
      <c r="B496" s="21"/>
      <c r="D496" s="233"/>
      <c r="F496" s="313"/>
      <c r="H496" s="88"/>
      <c r="M496" s="915"/>
      <c r="N496" s="558"/>
      <c r="O496" s="88"/>
      <c r="W496" s="360"/>
    </row>
    <row r="497" spans="1:24" ht="15.75" thickBot="1" x14ac:dyDescent="0.3">
      <c r="A497" s="1448"/>
      <c r="B497" s="21"/>
      <c r="D497" s="233"/>
      <c r="F497" s="313"/>
      <c r="H497" s="88"/>
      <c r="M497" s="915"/>
      <c r="N497" s="558"/>
      <c r="O497" s="88"/>
      <c r="W497" s="360"/>
    </row>
    <row r="498" spans="1:24" ht="15.75" thickBot="1" x14ac:dyDescent="0.3">
      <c r="A498" s="1448"/>
      <c r="D498" s="233"/>
      <c r="F498" s="313"/>
      <c r="H498" s="88"/>
      <c r="M498" s="960">
        <f>SUM(M437:M497)</f>
        <v>2111995.85</v>
      </c>
      <c r="N498" s="960">
        <f>SUM(N437:N497)</f>
        <v>104178</v>
      </c>
      <c r="O498" s="88"/>
      <c r="W498" s="360"/>
    </row>
    <row r="499" spans="1:24" x14ac:dyDescent="0.25">
      <c r="A499" s="1448"/>
      <c r="D499" s="233"/>
      <c r="F499" s="313"/>
      <c r="H499" s="88"/>
      <c r="M499" s="558"/>
      <c r="N499" s="558"/>
      <c r="O499" s="88"/>
      <c r="W499" s="360"/>
    </row>
    <row r="500" spans="1:24" x14ac:dyDescent="0.25">
      <c r="A500" s="1448"/>
      <c r="D500" s="233"/>
      <c r="F500" s="313"/>
      <c r="H500" s="88"/>
      <c r="M500" s="558"/>
      <c r="N500" s="558"/>
      <c r="O500" s="88"/>
      <c r="W500" s="360"/>
    </row>
    <row r="501" spans="1:24" x14ac:dyDescent="0.25">
      <c r="A501" s="1448"/>
      <c r="D501" s="233"/>
      <c r="F501" s="313"/>
      <c r="H501" s="88"/>
      <c r="M501" s="558"/>
      <c r="N501" s="558"/>
      <c r="O501" s="88"/>
      <c r="W501" s="360"/>
    </row>
    <row r="502" spans="1:24" s="5" customFormat="1" x14ac:dyDescent="0.25">
      <c r="A502" s="1447" t="s">
        <v>8555</v>
      </c>
      <c r="B502" s="20" t="s">
        <v>612</v>
      </c>
      <c r="C502" s="1406" t="s">
        <v>13</v>
      </c>
      <c r="D502" s="494">
        <v>46266</v>
      </c>
      <c r="E502" s="127"/>
      <c r="F502" s="296" t="s">
        <v>113</v>
      </c>
      <c r="H502" s="89" t="s">
        <v>279</v>
      </c>
      <c r="M502" s="1271">
        <v>35671</v>
      </c>
      <c r="N502" s="1261"/>
      <c r="O502" s="89"/>
      <c r="V502" s="5" t="s">
        <v>8065</v>
      </c>
      <c r="W502" s="496">
        <v>0.52708333333333335</v>
      </c>
      <c r="X502" s="496">
        <v>0.72291666666666676</v>
      </c>
    </row>
    <row r="503" spans="1:24" s="926" customFormat="1" x14ac:dyDescent="0.25">
      <c r="A503" s="1450" t="s">
        <v>8555</v>
      </c>
      <c r="B503" s="947" t="s">
        <v>8139</v>
      </c>
      <c r="C503" s="1400" t="s">
        <v>13</v>
      </c>
      <c r="D503" s="927">
        <v>46266</v>
      </c>
      <c r="E503" s="928" t="s">
        <v>8619</v>
      </c>
      <c r="F503" s="929" t="s">
        <v>545</v>
      </c>
      <c r="H503" s="930" t="s">
        <v>279</v>
      </c>
      <c r="M503" s="1272">
        <v>36500</v>
      </c>
      <c r="N503" s="1263"/>
      <c r="O503" s="930"/>
      <c r="V503" s="926" t="s">
        <v>8251</v>
      </c>
      <c r="W503" s="931">
        <v>0.72638888888888886</v>
      </c>
      <c r="X503" s="931">
        <v>0.90277777777777779</v>
      </c>
    </row>
    <row r="504" spans="1:24" s="5" customFormat="1" x14ac:dyDescent="0.25">
      <c r="A504" s="1447" t="s">
        <v>8581</v>
      </c>
      <c r="B504" s="20" t="s">
        <v>2497</v>
      </c>
      <c r="C504" s="1406" t="s">
        <v>13</v>
      </c>
      <c r="D504" s="494">
        <v>46267</v>
      </c>
      <c r="E504" s="127"/>
      <c r="F504" s="296" t="s">
        <v>143</v>
      </c>
      <c r="H504" s="89" t="s">
        <v>279</v>
      </c>
      <c r="M504" s="1271">
        <v>43010</v>
      </c>
      <c r="N504" s="1261"/>
      <c r="O504" s="89"/>
      <c r="V504" s="5" t="s">
        <v>7548</v>
      </c>
      <c r="W504" s="496">
        <v>0.77083333333333337</v>
      </c>
      <c r="X504" s="496">
        <v>0.99722222222222223</v>
      </c>
    </row>
    <row r="505" spans="1:24" s="5" customFormat="1" x14ac:dyDescent="0.25">
      <c r="A505" s="1447" t="s">
        <v>8584</v>
      </c>
      <c r="B505" s="20" t="s">
        <v>608</v>
      </c>
      <c r="C505" s="1406" t="s">
        <v>13</v>
      </c>
      <c r="D505" s="494">
        <v>46268</v>
      </c>
      <c r="E505" s="127"/>
      <c r="F505" s="296" t="s">
        <v>236</v>
      </c>
      <c r="H505" s="89" t="s">
        <v>279</v>
      </c>
      <c r="M505" s="1271">
        <v>58790</v>
      </c>
      <c r="N505" s="1261"/>
      <c r="O505" s="89"/>
      <c r="V505" s="5" t="s">
        <v>8065</v>
      </c>
      <c r="W505" s="496">
        <v>0.28611111111111109</v>
      </c>
      <c r="X505" s="496">
        <v>0.55833333333333335</v>
      </c>
    </row>
    <row r="506" spans="1:24" s="5" customFormat="1" x14ac:dyDescent="0.25">
      <c r="A506" s="1447" t="s">
        <v>8584</v>
      </c>
      <c r="B506" s="20" t="s">
        <v>611</v>
      </c>
      <c r="C506" s="1406" t="s">
        <v>13</v>
      </c>
      <c r="D506" s="494">
        <v>46268</v>
      </c>
      <c r="E506" s="127"/>
      <c r="F506" s="296" t="s">
        <v>143</v>
      </c>
      <c r="H506" s="89" t="s">
        <v>279</v>
      </c>
      <c r="M506" s="1271">
        <v>43010</v>
      </c>
      <c r="N506" s="1261"/>
      <c r="O506" s="89"/>
      <c r="V506" s="5" t="s">
        <v>8485</v>
      </c>
      <c r="W506" s="496">
        <v>0.58680555555555558</v>
      </c>
      <c r="X506" s="496">
        <v>0.78611111111111109</v>
      </c>
    </row>
    <row r="507" spans="1:24" s="5" customFormat="1" x14ac:dyDescent="0.25">
      <c r="A507" s="1447" t="s">
        <v>8584</v>
      </c>
      <c r="B507" s="20" t="s">
        <v>4662</v>
      </c>
      <c r="C507" s="1406" t="s">
        <v>410</v>
      </c>
      <c r="D507" s="494">
        <v>46268</v>
      </c>
      <c r="E507" s="127"/>
      <c r="F507" s="296" t="s">
        <v>2008</v>
      </c>
      <c r="H507" s="89" t="s">
        <v>279</v>
      </c>
      <c r="M507" s="1271">
        <v>54500</v>
      </c>
      <c r="N507" s="1261"/>
      <c r="O507" s="89"/>
      <c r="V507" s="5" t="s">
        <v>7548</v>
      </c>
      <c r="W507" s="496">
        <v>0.66111111111111109</v>
      </c>
      <c r="X507" s="496">
        <v>0.91388888888888886</v>
      </c>
    </row>
    <row r="508" spans="1:24" x14ac:dyDescent="0.25">
      <c r="A508" s="1448" t="s">
        <v>8586</v>
      </c>
      <c r="B508" s="21" t="s">
        <v>614</v>
      </c>
      <c r="C508" s="31" t="s">
        <v>13</v>
      </c>
      <c r="D508" s="233">
        <v>46269</v>
      </c>
      <c r="F508" s="313" t="s">
        <v>143</v>
      </c>
      <c r="H508" s="88" t="s">
        <v>279</v>
      </c>
      <c r="M508" s="915">
        <v>37111</v>
      </c>
      <c r="N508" s="558"/>
      <c r="O508" s="88"/>
      <c r="V508" s="5" t="s">
        <v>7335</v>
      </c>
      <c r="W508" s="360">
        <v>0.51944444444444449</v>
      </c>
      <c r="X508" s="360">
        <v>0.75277777777777777</v>
      </c>
    </row>
    <row r="509" spans="1:24" x14ac:dyDescent="0.25">
      <c r="A509" s="1448" t="s">
        <v>8586</v>
      </c>
      <c r="B509" s="21" t="s">
        <v>7650</v>
      </c>
      <c r="C509" s="31" t="s">
        <v>410</v>
      </c>
      <c r="D509" s="233">
        <v>46269</v>
      </c>
      <c r="F509" s="313" t="s">
        <v>285</v>
      </c>
      <c r="H509" s="88" t="s">
        <v>279</v>
      </c>
      <c r="M509" s="915">
        <v>52490</v>
      </c>
      <c r="N509" s="558"/>
      <c r="O509" s="88"/>
      <c r="V509" s="5" t="s">
        <v>7914</v>
      </c>
      <c r="W509" s="360">
        <v>0.63124999999999998</v>
      </c>
      <c r="X509" s="360">
        <v>0.95208333333333328</v>
      </c>
    </row>
    <row r="510" spans="1:24" x14ac:dyDescent="0.25">
      <c r="A510" s="1448" t="s">
        <v>8587</v>
      </c>
      <c r="B510" s="21" t="s">
        <v>614</v>
      </c>
      <c r="C510" s="31" t="s">
        <v>13</v>
      </c>
      <c r="D510" s="233">
        <v>46270</v>
      </c>
      <c r="F510" s="313" t="s">
        <v>2036</v>
      </c>
      <c r="H510" s="88" t="s">
        <v>279</v>
      </c>
      <c r="M510" s="915">
        <v>26632.6</v>
      </c>
      <c r="N510" s="558"/>
      <c r="O510" s="88"/>
      <c r="V510" t="s">
        <v>4867</v>
      </c>
      <c r="W510" s="360">
        <v>0.36180555555555555</v>
      </c>
      <c r="X510" s="360">
        <v>0.5131944444444444</v>
      </c>
    </row>
    <row r="511" spans="1:24" x14ac:dyDescent="0.25">
      <c r="A511" s="1448" t="s">
        <v>8587</v>
      </c>
      <c r="B511" s="21" t="s">
        <v>614</v>
      </c>
      <c r="C511" s="31" t="s">
        <v>410</v>
      </c>
      <c r="D511" s="233">
        <v>46270</v>
      </c>
      <c r="E511" s="28" t="s">
        <v>8665</v>
      </c>
      <c r="F511" s="313" t="s">
        <v>126</v>
      </c>
      <c r="H511" s="88" t="s">
        <v>279</v>
      </c>
      <c r="M511" s="915">
        <v>43010</v>
      </c>
      <c r="N511" s="558"/>
      <c r="O511" s="88"/>
      <c r="V511" t="s">
        <v>8314</v>
      </c>
      <c r="W511" s="360">
        <v>0.40555555555555556</v>
      </c>
      <c r="X511" s="360">
        <v>0.60555555555555551</v>
      </c>
    </row>
    <row r="512" spans="1:24" x14ac:dyDescent="0.25">
      <c r="A512" s="1448" t="s">
        <v>8587</v>
      </c>
      <c r="B512" s="21" t="s">
        <v>8588</v>
      </c>
      <c r="C512" s="31" t="s">
        <v>13</v>
      </c>
      <c r="D512" s="233">
        <v>46270</v>
      </c>
      <c r="F512" s="313" t="s">
        <v>317</v>
      </c>
      <c r="H512" s="88" t="s">
        <v>279</v>
      </c>
      <c r="M512" s="915">
        <v>50415</v>
      </c>
      <c r="N512" s="558"/>
      <c r="O512" s="88"/>
      <c r="V512" t="s">
        <v>4867</v>
      </c>
      <c r="W512" s="360">
        <v>0.54166666666666663</v>
      </c>
      <c r="X512" s="360">
        <v>0.75138888888888888</v>
      </c>
    </row>
    <row r="513" spans="1:24" x14ac:dyDescent="0.25">
      <c r="A513" s="1448" t="s">
        <v>8603</v>
      </c>
      <c r="B513" s="21" t="s">
        <v>8151</v>
      </c>
      <c r="C513" s="31" t="s">
        <v>13</v>
      </c>
      <c r="D513" s="233">
        <v>46273</v>
      </c>
      <c r="E513" s="28" t="s">
        <v>8612</v>
      </c>
      <c r="F513" s="313" t="s">
        <v>207</v>
      </c>
      <c r="H513" s="88" t="s">
        <v>279</v>
      </c>
      <c r="M513" s="915"/>
      <c r="N513" s="558">
        <v>11600</v>
      </c>
      <c r="O513" s="88"/>
      <c r="V513" t="s">
        <v>7942</v>
      </c>
      <c r="W513" s="360">
        <v>0.2722222222222222</v>
      </c>
      <c r="X513" s="360">
        <v>0.48194444444444445</v>
      </c>
    </row>
    <row r="514" spans="1:24" ht="14.25" customHeight="1" x14ac:dyDescent="0.25">
      <c r="A514" s="1448" t="s">
        <v>8604</v>
      </c>
      <c r="B514" s="21" t="s">
        <v>614</v>
      </c>
      <c r="C514" s="31" t="s">
        <v>13</v>
      </c>
      <c r="D514" s="233">
        <v>46274</v>
      </c>
      <c r="F514" s="313" t="s">
        <v>545</v>
      </c>
      <c r="H514" s="88" t="s">
        <v>279</v>
      </c>
      <c r="M514" s="915">
        <v>31871.8</v>
      </c>
      <c r="N514" s="558"/>
      <c r="O514" s="88"/>
      <c r="V514" t="s">
        <v>8285</v>
      </c>
      <c r="W514" s="360">
        <v>0.2638888888888889</v>
      </c>
      <c r="X514" s="360">
        <v>0.4375</v>
      </c>
    </row>
    <row r="515" spans="1:24" x14ac:dyDescent="0.25">
      <c r="A515" s="1448" t="s">
        <v>8604</v>
      </c>
      <c r="B515" s="21" t="s">
        <v>1424</v>
      </c>
      <c r="C515" s="31" t="s">
        <v>13</v>
      </c>
      <c r="D515" s="233">
        <v>46274</v>
      </c>
      <c r="F515" s="313" t="s">
        <v>563</v>
      </c>
      <c r="H515" s="88" t="s">
        <v>279</v>
      </c>
      <c r="M515" s="915">
        <v>32410</v>
      </c>
      <c r="N515" s="558"/>
      <c r="O515" s="88"/>
      <c r="V515" t="s">
        <v>8285</v>
      </c>
      <c r="W515" s="360">
        <v>0.52569444444444446</v>
      </c>
      <c r="X515" s="360">
        <v>0.71388888888888891</v>
      </c>
    </row>
    <row r="516" spans="1:24" x14ac:dyDescent="0.25">
      <c r="A516" s="1448" t="s">
        <v>8604</v>
      </c>
      <c r="B516" s="21" t="s">
        <v>2422</v>
      </c>
      <c r="C516" s="31" t="s">
        <v>410</v>
      </c>
      <c r="D516" s="233">
        <v>46274</v>
      </c>
      <c r="F516" s="313" t="s">
        <v>68</v>
      </c>
      <c r="H516" s="88" t="s">
        <v>279</v>
      </c>
      <c r="M516" s="915">
        <v>47700</v>
      </c>
      <c r="N516" s="558"/>
      <c r="O516" s="88"/>
      <c r="V516" t="s">
        <v>8610</v>
      </c>
      <c r="W516" s="360">
        <v>0.77569444444444446</v>
      </c>
      <c r="X516" s="360">
        <v>0.99513888888888891</v>
      </c>
    </row>
    <row r="517" spans="1:24" x14ac:dyDescent="0.25">
      <c r="A517" s="1448" t="s">
        <v>8613</v>
      </c>
      <c r="B517" s="21" t="s">
        <v>614</v>
      </c>
      <c r="C517" s="31" t="s">
        <v>13</v>
      </c>
      <c r="D517" s="233">
        <v>46276</v>
      </c>
      <c r="F517" s="313" t="s">
        <v>2036</v>
      </c>
      <c r="H517" s="88" t="s">
        <v>279</v>
      </c>
      <c r="M517" s="915">
        <v>26632</v>
      </c>
      <c r="N517" s="558"/>
      <c r="O517" s="88"/>
      <c r="V517" t="s">
        <v>5021</v>
      </c>
      <c r="W517" s="360">
        <v>0.57916666666666672</v>
      </c>
      <c r="X517" s="360">
        <v>0.72013888888888888</v>
      </c>
    </row>
    <row r="518" spans="1:24" x14ac:dyDescent="0.25">
      <c r="A518" s="1448" t="s">
        <v>8614</v>
      </c>
      <c r="B518" s="21" t="s">
        <v>610</v>
      </c>
      <c r="C518" s="31" t="s">
        <v>410</v>
      </c>
      <c r="D518" s="233">
        <v>46277</v>
      </c>
      <c r="F518" s="313" t="s">
        <v>106</v>
      </c>
      <c r="H518" s="88" t="s">
        <v>279</v>
      </c>
      <c r="M518" s="915">
        <v>28900</v>
      </c>
      <c r="N518" s="558"/>
      <c r="O518" s="88"/>
      <c r="V518" t="s">
        <v>7060</v>
      </c>
      <c r="W518" s="360">
        <v>0.26111111111111113</v>
      </c>
      <c r="X518" s="360">
        <v>0.41805555555555557</v>
      </c>
    </row>
    <row r="519" spans="1:24" x14ac:dyDescent="0.25">
      <c r="A519" s="1448" t="s">
        <v>8614</v>
      </c>
      <c r="B519" s="21" t="s">
        <v>2407</v>
      </c>
      <c r="C519" s="31" t="s">
        <v>13</v>
      </c>
      <c r="D519" s="233">
        <v>46277</v>
      </c>
      <c r="E519" s="28" t="s">
        <v>8622</v>
      </c>
      <c r="F519" s="313" t="s">
        <v>236</v>
      </c>
      <c r="H519" s="88" t="s">
        <v>279</v>
      </c>
      <c r="M519" s="915"/>
      <c r="N519" s="558">
        <v>17440.5</v>
      </c>
      <c r="O519" s="88"/>
      <c r="V519" t="s">
        <v>8125</v>
      </c>
      <c r="W519" s="360">
        <v>0.36319444444444443</v>
      </c>
      <c r="X519" s="360">
        <v>0.63958333333333328</v>
      </c>
    </row>
    <row r="520" spans="1:24" x14ac:dyDescent="0.25">
      <c r="A520" s="1448" t="s">
        <v>8614</v>
      </c>
      <c r="B520" s="21" t="s">
        <v>8139</v>
      </c>
      <c r="C520" s="31" t="s">
        <v>13</v>
      </c>
      <c r="D520" s="233">
        <v>46277</v>
      </c>
      <c r="E520" s="28" t="s">
        <v>8618</v>
      </c>
      <c r="F520" s="313" t="s">
        <v>545</v>
      </c>
      <c r="H520" s="88" t="s">
        <v>279</v>
      </c>
      <c r="M520" s="915">
        <v>36500</v>
      </c>
      <c r="N520" s="558"/>
      <c r="O520" s="88"/>
      <c r="V520" t="s">
        <v>5021</v>
      </c>
      <c r="W520" s="360">
        <v>0.67291666666666672</v>
      </c>
      <c r="X520" s="360">
        <v>0.86388888888888893</v>
      </c>
    </row>
    <row r="521" spans="1:24" x14ac:dyDescent="0.25">
      <c r="A521" s="1448" t="s">
        <v>8614</v>
      </c>
      <c r="B521" s="21" t="s">
        <v>614</v>
      </c>
      <c r="C521" s="31" t="s">
        <v>410</v>
      </c>
      <c r="D521" s="233">
        <v>46277</v>
      </c>
      <c r="F521" s="313" t="s">
        <v>2107</v>
      </c>
      <c r="H521" s="88" t="s">
        <v>279</v>
      </c>
      <c r="M521" s="915">
        <v>37984.199999999997</v>
      </c>
      <c r="N521" s="88"/>
      <c r="O521" s="88"/>
      <c r="V521" t="s">
        <v>7060</v>
      </c>
      <c r="W521" s="360">
        <v>0.4548611111111111</v>
      </c>
      <c r="X521" s="360">
        <v>0.58333333333333337</v>
      </c>
    </row>
    <row r="522" spans="1:24" x14ac:dyDescent="0.25">
      <c r="A522" s="1448" t="s">
        <v>8616</v>
      </c>
      <c r="B522" s="21" t="s">
        <v>8615</v>
      </c>
      <c r="C522" s="31" t="s">
        <v>13</v>
      </c>
      <c r="D522" s="233">
        <v>46278</v>
      </c>
      <c r="F522" s="313" t="s">
        <v>2107</v>
      </c>
      <c r="H522" s="88" t="s">
        <v>279</v>
      </c>
      <c r="M522" s="915">
        <v>33470</v>
      </c>
      <c r="N522" s="558"/>
      <c r="O522" s="88"/>
      <c r="V522" t="s">
        <v>8196</v>
      </c>
      <c r="W522" s="360">
        <v>0.51041666666666663</v>
      </c>
      <c r="X522" s="360">
        <v>0.66597222222222219</v>
      </c>
    </row>
    <row r="523" spans="1:24" x14ac:dyDescent="0.25">
      <c r="A523" s="1448" t="s">
        <v>8617</v>
      </c>
      <c r="B523" s="21" t="s">
        <v>6269</v>
      </c>
      <c r="C523" s="31" t="s">
        <v>13</v>
      </c>
      <c r="D523" s="233">
        <v>46279</v>
      </c>
      <c r="F523" s="313" t="s">
        <v>317</v>
      </c>
      <c r="H523" s="88" t="s">
        <v>279</v>
      </c>
      <c r="M523" s="915">
        <v>50000</v>
      </c>
      <c r="N523" s="558"/>
      <c r="O523" s="88"/>
      <c r="V523" t="s">
        <v>7552</v>
      </c>
      <c r="W523" s="360">
        <v>0.50069444444444444</v>
      </c>
      <c r="X523" s="360">
        <v>0.84513888888888888</v>
      </c>
    </row>
    <row r="524" spans="1:24" x14ac:dyDescent="0.25">
      <c r="A524" s="1448" t="s">
        <v>8633</v>
      </c>
      <c r="B524" s="21" t="s">
        <v>614</v>
      </c>
      <c r="C524" s="31" t="s">
        <v>13</v>
      </c>
      <c r="D524" s="233">
        <v>46280</v>
      </c>
      <c r="F524" s="313" t="s">
        <v>285</v>
      </c>
      <c r="H524" s="88" t="s">
        <v>279</v>
      </c>
      <c r="M524" s="915">
        <v>44096.6</v>
      </c>
      <c r="N524" s="558"/>
      <c r="O524" s="88"/>
      <c r="V524" t="s">
        <v>4475</v>
      </c>
      <c r="W524" s="360">
        <v>0.2722222222222222</v>
      </c>
      <c r="X524" s="360">
        <v>0.51527777777777772</v>
      </c>
    </row>
    <row r="525" spans="1:24" x14ac:dyDescent="0.25">
      <c r="A525" s="1448" t="s">
        <v>8633</v>
      </c>
      <c r="B525" s="21" t="s">
        <v>2407</v>
      </c>
      <c r="C525" s="31" t="s">
        <v>410</v>
      </c>
      <c r="D525" s="233">
        <v>46280</v>
      </c>
      <c r="E525" s="28" t="s">
        <v>8631</v>
      </c>
      <c r="F525" s="313" t="s">
        <v>207</v>
      </c>
      <c r="H525" s="88" t="s">
        <v>279</v>
      </c>
      <c r="M525" s="915"/>
      <c r="N525" s="558">
        <v>11800</v>
      </c>
      <c r="O525" s="88"/>
      <c r="V525" t="s">
        <v>7942</v>
      </c>
      <c r="W525" s="360">
        <v>0.44236111111111109</v>
      </c>
      <c r="X525" s="360">
        <v>0.64375000000000004</v>
      </c>
    </row>
    <row r="526" spans="1:24" x14ac:dyDescent="0.25">
      <c r="A526" s="1448" t="s">
        <v>8634</v>
      </c>
      <c r="B526" s="21" t="s">
        <v>8638</v>
      </c>
      <c r="C526" s="31" t="s">
        <v>13</v>
      </c>
      <c r="D526" s="233">
        <v>46281</v>
      </c>
      <c r="F526" s="313" t="s">
        <v>545</v>
      </c>
      <c r="H526" s="88" t="s">
        <v>279</v>
      </c>
      <c r="M526" s="915">
        <v>37500</v>
      </c>
      <c r="N526" s="558"/>
      <c r="O526" s="88"/>
      <c r="V526" t="s">
        <v>8478</v>
      </c>
      <c r="W526" s="360">
        <v>0.40347222222222223</v>
      </c>
      <c r="X526" s="360">
        <v>0.56944444444444442</v>
      </c>
    </row>
    <row r="527" spans="1:24" x14ac:dyDescent="0.25">
      <c r="A527" s="1448" t="s">
        <v>8634</v>
      </c>
      <c r="B527" s="21" t="s">
        <v>582</v>
      </c>
      <c r="C527" s="31" t="s">
        <v>410</v>
      </c>
      <c r="D527" s="233">
        <v>46281</v>
      </c>
      <c r="E527" s="28" t="s">
        <v>8639</v>
      </c>
      <c r="F527" s="313" t="s">
        <v>2253</v>
      </c>
      <c r="H527" s="88" t="s">
        <v>279</v>
      </c>
      <c r="M527" s="915">
        <v>61030</v>
      </c>
      <c r="N527" s="558"/>
      <c r="O527" s="88"/>
      <c r="V527" t="s">
        <v>8636</v>
      </c>
      <c r="W527" s="360">
        <v>0.55138888888888893</v>
      </c>
      <c r="X527" s="360">
        <v>0.87986111111111109</v>
      </c>
    </row>
    <row r="528" spans="1:24" x14ac:dyDescent="0.25">
      <c r="A528" s="1448" t="s">
        <v>8634</v>
      </c>
      <c r="B528" s="21" t="s">
        <v>3880</v>
      </c>
      <c r="C528" s="31" t="s">
        <v>13</v>
      </c>
      <c r="D528" s="233">
        <v>46281</v>
      </c>
      <c r="E528" s="28" t="s">
        <v>8635</v>
      </c>
      <c r="F528" s="313" t="s">
        <v>545</v>
      </c>
      <c r="H528" s="88" t="s">
        <v>279</v>
      </c>
      <c r="M528" s="915">
        <v>37500</v>
      </c>
      <c r="N528" s="558"/>
      <c r="O528" s="88"/>
      <c r="V528" t="s">
        <v>4824</v>
      </c>
      <c r="W528" s="360">
        <v>0.80486111111111114</v>
      </c>
      <c r="X528" s="360">
        <v>0.99444444444444446</v>
      </c>
    </row>
    <row r="529" spans="1:24" x14ac:dyDescent="0.25">
      <c r="A529" s="1448" t="s">
        <v>8640</v>
      </c>
      <c r="B529" s="21" t="s">
        <v>2407</v>
      </c>
      <c r="C529" s="31" t="s">
        <v>13</v>
      </c>
      <c r="D529" s="233">
        <v>46282</v>
      </c>
      <c r="E529" s="28" t="s">
        <v>8637</v>
      </c>
      <c r="F529" s="313" t="s">
        <v>207</v>
      </c>
      <c r="H529" s="88" t="s">
        <v>279</v>
      </c>
      <c r="M529" s="915"/>
      <c r="N529" s="558">
        <v>11800</v>
      </c>
      <c r="O529" s="88"/>
      <c r="V529" t="s">
        <v>5021</v>
      </c>
      <c r="W529" s="360">
        <v>0.25694444444444442</v>
      </c>
      <c r="X529" s="360">
        <v>0.51388888888888884</v>
      </c>
    </row>
    <row r="530" spans="1:24" x14ac:dyDescent="0.25">
      <c r="A530" s="1448" t="s">
        <v>8640</v>
      </c>
      <c r="B530" s="21" t="s">
        <v>582</v>
      </c>
      <c r="C530" s="31" t="s">
        <v>410</v>
      </c>
      <c r="D530" s="233">
        <v>46282</v>
      </c>
      <c r="E530" s="28" t="s">
        <v>8641</v>
      </c>
      <c r="F530" s="313" t="s">
        <v>207</v>
      </c>
      <c r="H530" s="88" t="s">
        <v>279</v>
      </c>
      <c r="M530" s="915">
        <v>40750</v>
      </c>
      <c r="N530" s="558"/>
      <c r="O530" s="88"/>
      <c r="V530" t="s">
        <v>7942</v>
      </c>
      <c r="W530" s="360">
        <v>0.27569444444444446</v>
      </c>
      <c r="X530" s="360">
        <v>0.51875000000000004</v>
      </c>
    </row>
    <row r="531" spans="1:24" x14ac:dyDescent="0.25">
      <c r="A531" s="1448" t="s">
        <v>8642</v>
      </c>
      <c r="B531" s="21" t="s">
        <v>614</v>
      </c>
      <c r="C531" s="31" t="s">
        <v>13</v>
      </c>
      <c r="D531" s="233">
        <v>46283</v>
      </c>
      <c r="F531" s="313" t="s">
        <v>563</v>
      </c>
      <c r="H531" s="88" t="s">
        <v>279</v>
      </c>
      <c r="M531" s="915">
        <v>28379</v>
      </c>
      <c r="N531" s="558"/>
      <c r="O531" s="88"/>
      <c r="V531" t="s">
        <v>8636</v>
      </c>
      <c r="W531" s="360">
        <v>0.3611111111111111</v>
      </c>
      <c r="X531" s="360">
        <v>0.55069444444444449</v>
      </c>
    </row>
    <row r="532" spans="1:24" x14ac:dyDescent="0.25">
      <c r="A532" s="1448" t="s">
        <v>8642</v>
      </c>
      <c r="B532" s="21" t="s">
        <v>614</v>
      </c>
      <c r="C532" s="31" t="s">
        <v>410</v>
      </c>
      <c r="D532" s="233">
        <v>46283</v>
      </c>
      <c r="F532" s="313" t="s">
        <v>545</v>
      </c>
      <c r="H532" s="88" t="s">
        <v>279</v>
      </c>
      <c r="M532" s="915">
        <v>37984.199999999997</v>
      </c>
      <c r="N532" s="558"/>
      <c r="O532" s="88"/>
      <c r="V532" t="s">
        <v>8289</v>
      </c>
      <c r="W532" s="360">
        <v>0.29236111111111113</v>
      </c>
      <c r="X532" s="360">
        <v>0.46458333333333335</v>
      </c>
    </row>
    <row r="533" spans="1:24" x14ac:dyDescent="0.25">
      <c r="A533" s="1448" t="s">
        <v>8644</v>
      </c>
      <c r="B533" s="21" t="s">
        <v>24</v>
      </c>
      <c r="C533" s="31" t="s">
        <v>410</v>
      </c>
      <c r="D533" s="233">
        <v>46284</v>
      </c>
      <c r="E533" s="28" t="s">
        <v>8645</v>
      </c>
      <c r="F533" s="313" t="s">
        <v>207</v>
      </c>
      <c r="H533" s="88" t="s">
        <v>279</v>
      </c>
      <c r="M533" s="915"/>
      <c r="N533" s="558">
        <v>11800</v>
      </c>
      <c r="O533" s="88"/>
      <c r="V533" t="s">
        <v>8065</v>
      </c>
      <c r="W533" s="360">
        <v>0.35902777777777778</v>
      </c>
      <c r="X533" s="360">
        <v>0.55972222222222223</v>
      </c>
    </row>
    <row r="534" spans="1:24" x14ac:dyDescent="0.25">
      <c r="A534" s="1448" t="s">
        <v>8644</v>
      </c>
      <c r="B534" s="21" t="s">
        <v>608</v>
      </c>
      <c r="C534" s="31" t="s">
        <v>13</v>
      </c>
      <c r="D534" s="233">
        <v>46284</v>
      </c>
      <c r="F534" s="313" t="s">
        <v>236</v>
      </c>
      <c r="H534" s="88" t="s">
        <v>279</v>
      </c>
      <c r="M534" s="915">
        <v>58790</v>
      </c>
      <c r="N534" s="558"/>
      <c r="O534" s="88"/>
      <c r="V534" t="s">
        <v>4475</v>
      </c>
      <c r="W534" s="360">
        <v>0.72569444444444442</v>
      </c>
      <c r="X534" s="360">
        <v>3.0555555555555555E-2</v>
      </c>
    </row>
    <row r="535" spans="1:24" x14ac:dyDescent="0.25">
      <c r="A535" s="1448" t="s">
        <v>8647</v>
      </c>
      <c r="B535" s="21" t="s">
        <v>2956</v>
      </c>
      <c r="C535" s="31" t="s">
        <v>13</v>
      </c>
      <c r="D535" s="233">
        <v>46285</v>
      </c>
      <c r="F535" s="313" t="s">
        <v>143</v>
      </c>
      <c r="H535" s="88" t="s">
        <v>279</v>
      </c>
      <c r="M535" s="915">
        <v>41600</v>
      </c>
      <c r="N535" s="558"/>
      <c r="O535" s="88"/>
      <c r="V535" t="s">
        <v>8650</v>
      </c>
      <c r="W535" s="360">
        <v>0.66527777777777775</v>
      </c>
      <c r="X535" s="360">
        <v>0.90069444444444446</v>
      </c>
    </row>
    <row r="536" spans="1:24" x14ac:dyDescent="0.25">
      <c r="A536" s="1448" t="s">
        <v>8649</v>
      </c>
      <c r="B536" s="21" t="s">
        <v>614</v>
      </c>
      <c r="C536" s="31" t="s">
        <v>13</v>
      </c>
      <c r="D536" s="233">
        <v>46286</v>
      </c>
      <c r="F536" s="313" t="s">
        <v>143</v>
      </c>
      <c r="H536" s="88" t="s">
        <v>279</v>
      </c>
      <c r="M536" s="915">
        <v>37111</v>
      </c>
      <c r="N536" s="558"/>
      <c r="O536" s="88"/>
      <c r="V536" t="s">
        <v>6952</v>
      </c>
      <c r="W536" s="360">
        <v>0.69513888888888886</v>
      </c>
      <c r="X536" s="360">
        <v>0.92638888888888893</v>
      </c>
    </row>
    <row r="537" spans="1:24" x14ac:dyDescent="0.25">
      <c r="A537" s="1448" t="s">
        <v>8651</v>
      </c>
      <c r="B537" s="21" t="s">
        <v>4249</v>
      </c>
      <c r="C537" s="31" t="s">
        <v>13</v>
      </c>
      <c r="D537" s="233">
        <v>46287</v>
      </c>
      <c r="E537" s="28" t="s">
        <v>8652</v>
      </c>
      <c r="F537" s="313" t="s">
        <v>317</v>
      </c>
      <c r="H537" s="88" t="s">
        <v>279</v>
      </c>
      <c r="M537" s="915"/>
      <c r="N537" s="558">
        <v>15485</v>
      </c>
      <c r="O537" s="88"/>
      <c r="V537" t="s">
        <v>8196</v>
      </c>
      <c r="W537" s="360">
        <v>0.6430555555555556</v>
      </c>
      <c r="X537" s="360">
        <v>0.86458333333333337</v>
      </c>
    </row>
    <row r="538" spans="1:24" x14ac:dyDescent="0.25">
      <c r="A538" s="1448" t="s">
        <v>8651</v>
      </c>
      <c r="B538" s="21" t="s">
        <v>611</v>
      </c>
      <c r="C538" s="31" t="s">
        <v>410</v>
      </c>
      <c r="D538" s="233">
        <v>46287</v>
      </c>
      <c r="F538" s="313" t="s">
        <v>143</v>
      </c>
      <c r="H538" s="88" t="s">
        <v>279</v>
      </c>
      <c r="M538" s="915">
        <v>43430</v>
      </c>
      <c r="N538" s="558"/>
      <c r="O538" s="88"/>
      <c r="V538" t="s">
        <v>4983</v>
      </c>
      <c r="W538" s="360">
        <v>0.8041666666666667</v>
      </c>
      <c r="X538" s="360">
        <v>0.9916666666666667</v>
      </c>
    </row>
    <row r="539" spans="1:24" x14ac:dyDescent="0.25">
      <c r="A539" s="1448" t="s">
        <v>8663</v>
      </c>
      <c r="B539" s="21" t="s">
        <v>614</v>
      </c>
      <c r="C539" s="31" t="s">
        <v>13</v>
      </c>
      <c r="D539" s="233">
        <v>46288</v>
      </c>
      <c r="F539" s="313" t="s">
        <v>294</v>
      </c>
      <c r="H539" s="88" t="s">
        <v>279</v>
      </c>
      <c r="M539" s="915">
        <v>45710</v>
      </c>
      <c r="N539" s="558"/>
      <c r="O539" s="88"/>
      <c r="V539" t="s">
        <v>8304</v>
      </c>
      <c r="W539" s="360">
        <v>0.53194444444444444</v>
      </c>
      <c r="X539" s="360">
        <v>0.69166666666666665</v>
      </c>
    </row>
    <row r="540" spans="1:24" x14ac:dyDescent="0.25">
      <c r="A540" s="1448" t="s">
        <v>8673</v>
      </c>
      <c r="B540" s="21" t="s">
        <v>8151</v>
      </c>
      <c r="C540" s="31" t="s">
        <v>13</v>
      </c>
      <c r="D540" s="233">
        <v>46289</v>
      </c>
      <c r="F540" s="313" t="s">
        <v>317</v>
      </c>
      <c r="H540" s="88" t="s">
        <v>279</v>
      </c>
      <c r="M540" s="915"/>
      <c r="N540" s="558">
        <v>15500</v>
      </c>
      <c r="O540" s="88"/>
      <c r="V540" t="s">
        <v>8193</v>
      </c>
      <c r="W540" s="360">
        <v>0.4909722222222222</v>
      </c>
      <c r="X540" s="360">
        <v>0.84027777777777779</v>
      </c>
    </row>
    <row r="541" spans="1:24" s="1623" customFormat="1" x14ac:dyDescent="0.25">
      <c r="A541" s="1618" t="s">
        <v>8674</v>
      </c>
      <c r="B541" s="1619" t="s">
        <v>5371</v>
      </c>
      <c r="C541" s="1620" t="s">
        <v>13</v>
      </c>
      <c r="D541" s="1621">
        <v>46290</v>
      </c>
      <c r="E541" s="1622"/>
      <c r="F541" s="313" t="s">
        <v>207</v>
      </c>
      <c r="H541" s="88" t="s">
        <v>279</v>
      </c>
      <c r="M541" s="915">
        <v>36350</v>
      </c>
      <c r="N541" s="558"/>
      <c r="O541" s="88"/>
      <c r="V541" s="1623" t="s">
        <v>8650</v>
      </c>
      <c r="W541" s="1624">
        <v>0.26180555555555557</v>
      </c>
      <c r="X541" s="1624">
        <v>0.49513888888888891</v>
      </c>
    </row>
    <row r="542" spans="1:24" s="1623" customFormat="1" x14ac:dyDescent="0.25">
      <c r="A542" s="1618" t="s">
        <v>8674</v>
      </c>
      <c r="B542" s="1619" t="s">
        <v>8677</v>
      </c>
      <c r="C542" s="1620" t="s">
        <v>410</v>
      </c>
      <c r="D542" s="1621">
        <v>46290</v>
      </c>
      <c r="E542" s="1622"/>
      <c r="F542" s="313" t="s">
        <v>236</v>
      </c>
      <c r="H542" s="88" t="s">
        <v>279</v>
      </c>
      <c r="M542" s="915">
        <v>58790</v>
      </c>
      <c r="N542" s="558"/>
      <c r="O542" s="88"/>
      <c r="V542" s="1623" t="s">
        <v>7942</v>
      </c>
      <c r="W542" s="1624">
        <v>0.56458333333333333</v>
      </c>
      <c r="X542" s="1624">
        <v>0.98333333333333328</v>
      </c>
    </row>
    <row r="543" spans="1:24" x14ac:dyDescent="0.25">
      <c r="A543" s="1448" t="s">
        <v>8678</v>
      </c>
      <c r="B543" s="21" t="s">
        <v>298</v>
      </c>
      <c r="C543" s="31" t="s">
        <v>13</v>
      </c>
      <c r="D543" s="233">
        <v>46291</v>
      </c>
      <c r="F543" s="313" t="s">
        <v>236</v>
      </c>
      <c r="H543" s="88" t="s">
        <v>279</v>
      </c>
      <c r="M543" s="915">
        <v>62735</v>
      </c>
      <c r="N543" s="558"/>
      <c r="O543" s="88"/>
      <c r="V543" t="s">
        <v>8610</v>
      </c>
      <c r="W543" s="360">
        <v>0.28402777777777777</v>
      </c>
      <c r="X543" s="360">
        <v>0.48680555555555555</v>
      </c>
    </row>
    <row r="544" spans="1:24" x14ac:dyDescent="0.25">
      <c r="A544" s="1448" t="s">
        <v>8678</v>
      </c>
      <c r="B544" s="21" t="s">
        <v>24</v>
      </c>
      <c r="C544" s="31" t="s">
        <v>410</v>
      </c>
      <c r="D544" s="233">
        <v>46291</v>
      </c>
      <c r="F544" s="313" t="s">
        <v>207</v>
      </c>
      <c r="H544" s="88" t="s">
        <v>279</v>
      </c>
      <c r="M544" s="915"/>
      <c r="N544" s="558">
        <v>11800</v>
      </c>
      <c r="O544" s="88"/>
      <c r="V544" t="s">
        <v>8289</v>
      </c>
      <c r="W544" s="360">
        <v>0.30694444444444446</v>
      </c>
      <c r="X544" s="360">
        <v>0.61597222222222225</v>
      </c>
    </row>
    <row r="545" spans="1:24" x14ac:dyDescent="0.25">
      <c r="A545" s="1448" t="s">
        <v>8678</v>
      </c>
      <c r="B545" s="21" t="s">
        <v>614</v>
      </c>
      <c r="C545" s="31" t="s">
        <v>410</v>
      </c>
      <c r="D545" s="233">
        <v>46291</v>
      </c>
      <c r="F545" s="313" t="s">
        <v>2253</v>
      </c>
      <c r="H545" s="88" t="s">
        <v>279</v>
      </c>
      <c r="M545" s="915">
        <v>52828.6</v>
      </c>
      <c r="N545" s="558"/>
      <c r="O545" s="88"/>
      <c r="V545" t="s">
        <v>6952</v>
      </c>
      <c r="W545" s="360">
        <v>0.61944444444444446</v>
      </c>
      <c r="X545" s="360">
        <v>0.91805555555555551</v>
      </c>
    </row>
    <row r="546" spans="1:24" x14ac:dyDescent="0.25">
      <c r="A546" s="1448" t="s">
        <v>8679</v>
      </c>
      <c r="B546" s="21" t="s">
        <v>24</v>
      </c>
      <c r="C546" s="31" t="s">
        <v>13</v>
      </c>
      <c r="D546" s="233">
        <v>46293</v>
      </c>
      <c r="F546" s="313" t="s">
        <v>207</v>
      </c>
      <c r="H546" s="88" t="s">
        <v>279</v>
      </c>
      <c r="M546" s="915"/>
      <c r="N546" s="558">
        <v>11800</v>
      </c>
      <c r="O546" s="88"/>
      <c r="V546" t="s">
        <v>7060</v>
      </c>
      <c r="W546" s="360">
        <v>0.2673611111111111</v>
      </c>
      <c r="X546" s="360"/>
    </row>
    <row r="547" spans="1:24" x14ac:dyDescent="0.25">
      <c r="A547" s="1448" t="s">
        <v>8679</v>
      </c>
      <c r="B547" s="21" t="s">
        <v>614</v>
      </c>
      <c r="C547" s="31" t="s">
        <v>410</v>
      </c>
      <c r="D547" s="233">
        <v>46293</v>
      </c>
      <c r="F547" s="313" t="s">
        <v>563</v>
      </c>
      <c r="H547" s="88" t="s">
        <v>279</v>
      </c>
      <c r="M547" s="915">
        <v>28379</v>
      </c>
      <c r="N547" s="558"/>
      <c r="O547" s="88"/>
      <c r="V547" t="s">
        <v>4983</v>
      </c>
      <c r="W547" s="360">
        <v>0.30138888888888887</v>
      </c>
      <c r="X547" s="360"/>
    </row>
    <row r="548" spans="1:24" x14ac:dyDescent="0.25">
      <c r="A548" s="1448" t="s">
        <v>8679</v>
      </c>
      <c r="B548" s="21" t="s">
        <v>614</v>
      </c>
      <c r="C548" s="31" t="s">
        <v>13</v>
      </c>
      <c r="D548" s="233">
        <v>46293</v>
      </c>
      <c r="F548" s="313" t="s">
        <v>317</v>
      </c>
      <c r="H548" s="88" t="s">
        <v>279</v>
      </c>
      <c r="M548" s="915">
        <v>45843</v>
      </c>
      <c r="N548" s="558"/>
      <c r="O548" s="88"/>
      <c r="V548" t="s">
        <v>8304</v>
      </c>
      <c r="W548" s="360"/>
      <c r="X548" s="360"/>
    </row>
    <row r="549" spans="1:24" x14ac:dyDescent="0.25">
      <c r="A549" s="1448"/>
      <c r="B549" s="21"/>
      <c r="D549" s="233"/>
      <c r="F549" s="313"/>
      <c r="H549" s="88"/>
      <c r="M549" s="915"/>
      <c r="N549" s="558"/>
      <c r="O549" s="88"/>
      <c r="W549" s="360"/>
      <c r="X549" s="360"/>
    </row>
    <row r="550" spans="1:24" x14ac:dyDescent="0.25">
      <c r="A550" s="1448"/>
      <c r="B550" s="21"/>
      <c r="D550" s="233"/>
      <c r="F550" s="313"/>
      <c r="H550" s="88"/>
      <c r="M550" s="915"/>
      <c r="N550" s="558"/>
      <c r="O550" s="88"/>
      <c r="W550" s="360"/>
      <c r="X550" s="360"/>
    </row>
    <row r="551" spans="1:24" x14ac:dyDescent="0.25">
      <c r="A551" s="1448"/>
      <c r="B551" s="21"/>
      <c r="D551" s="233"/>
      <c r="F551" s="313"/>
      <c r="H551" s="88"/>
      <c r="M551" s="915"/>
      <c r="N551" s="558"/>
      <c r="O551" s="88"/>
      <c r="W551" s="360"/>
      <c r="X551" s="360"/>
    </row>
    <row r="552" spans="1:24" ht="15.75" thickBot="1" x14ac:dyDescent="0.3">
      <c r="A552" s="1448"/>
      <c r="D552" s="233"/>
      <c r="F552" s="313"/>
      <c r="H552" s="88"/>
      <c r="M552" s="558"/>
      <c r="N552" s="558"/>
      <c r="O552" s="88"/>
      <c r="W552" s="360"/>
    </row>
    <row r="553" spans="1:24" ht="15.75" thickBot="1" x14ac:dyDescent="0.3">
      <c r="A553" s="1448"/>
      <c r="D553" s="233"/>
      <c r="F553" s="313"/>
      <c r="H553" s="88"/>
      <c r="M553" s="960">
        <f>SUM(M502:M552)</f>
        <v>1605413.9999999998</v>
      </c>
      <c r="N553" s="960">
        <f>SUM(N502:N552)</f>
        <v>119025.5</v>
      </c>
      <c r="O553" s="88"/>
      <c r="W553" s="360"/>
    </row>
    <row r="554" spans="1:24" x14ac:dyDescent="0.25">
      <c r="A554" s="1448"/>
      <c r="D554" s="233"/>
      <c r="F554" s="313"/>
      <c r="H554" s="88"/>
      <c r="M554" s="558"/>
      <c r="N554" s="558"/>
      <c r="O554" s="88"/>
      <c r="W554" s="360"/>
    </row>
    <row r="555" spans="1:24" x14ac:dyDescent="0.25">
      <c r="A555" s="1448"/>
      <c r="D555" s="233"/>
      <c r="F555" s="313"/>
      <c r="H555" s="88"/>
      <c r="M555" s="558"/>
      <c r="N555" s="558"/>
      <c r="O555" s="88"/>
      <c r="W555" s="360"/>
    </row>
    <row r="556" spans="1:24" x14ac:dyDescent="0.25">
      <c r="A556" s="483"/>
      <c r="D556" s="233"/>
      <c r="F556" s="313"/>
      <c r="H556" s="88"/>
      <c r="M556" s="558"/>
      <c r="N556" s="558"/>
      <c r="O556" s="88"/>
      <c r="W556" s="360"/>
    </row>
    <row r="557" spans="1:24" x14ac:dyDescent="0.25">
      <c r="A557" s="483"/>
      <c r="D557" s="233"/>
      <c r="F557" s="313"/>
      <c r="H557" s="88"/>
      <c r="M557" s="558"/>
      <c r="N557" s="558"/>
      <c r="O557" s="88"/>
      <c r="W557" s="360"/>
    </row>
    <row r="558" spans="1:24" x14ac:dyDescent="0.25">
      <c r="A558" s="483"/>
      <c r="D558" s="233"/>
      <c r="F558"/>
      <c r="G558" s="28"/>
      <c r="H558" s="314"/>
      <c r="J558" s="1332"/>
      <c r="K558" s="1331"/>
      <c r="L558" s="1331"/>
      <c r="M558" s="798"/>
      <c r="N558" s="798"/>
      <c r="O558" s="88"/>
      <c r="W558" s="360"/>
      <c r="X558" s="360"/>
    </row>
    <row r="559" spans="1:24" x14ac:dyDescent="0.25">
      <c r="A559" s="483"/>
      <c r="D559" s="233"/>
      <c r="G559" s="314"/>
      <c r="H559" s="88"/>
      <c r="J559" s="1332"/>
      <c r="K559" s="1331"/>
      <c r="L559" s="1331"/>
      <c r="M559" s="798"/>
      <c r="N559" s="798"/>
      <c r="O559" s="88"/>
      <c r="W559" s="360"/>
      <c r="X559" s="360"/>
    </row>
    <row r="560" spans="1:24" x14ac:dyDescent="0.25">
      <c r="J560" s="1312"/>
      <c r="K560" s="17"/>
      <c r="W560" s="360"/>
      <c r="X560" s="360"/>
    </row>
    <row r="561" spans="2:24" x14ac:dyDescent="0.25">
      <c r="B561" s="1615" t="s">
        <v>2740</v>
      </c>
      <c r="C561" s="1412"/>
      <c r="D561" s="247" t="s">
        <v>2746</v>
      </c>
      <c r="H561" s="32"/>
      <c r="J561" s="1311"/>
      <c r="W561" s="360"/>
      <c r="X561" s="360"/>
    </row>
    <row r="562" spans="2:24" x14ac:dyDescent="0.25">
      <c r="B562" s="1615"/>
      <c r="C562" s="1406"/>
      <c r="D562" s="247" t="s">
        <v>2741</v>
      </c>
      <c r="H562" s="149"/>
      <c r="J562" s="1312"/>
      <c r="W562" s="360"/>
      <c r="X562" s="360"/>
    </row>
    <row r="563" spans="2:24" x14ac:dyDescent="0.25">
      <c r="B563" s="1615"/>
      <c r="C563" s="1402"/>
      <c r="D563" s="247" t="s">
        <v>2742</v>
      </c>
      <c r="I563" s="1"/>
      <c r="W563" s="360"/>
      <c r="X563" s="360"/>
    </row>
    <row r="564" spans="2:24" x14ac:dyDescent="0.25">
      <c r="B564" s="1615"/>
      <c r="C564" s="1413"/>
      <c r="D564" s="247" t="s">
        <v>2743</v>
      </c>
    </row>
    <row r="565" spans="2:24" x14ac:dyDescent="0.25">
      <c r="B565" s="1615"/>
      <c r="C565" s="1414"/>
      <c r="D565" s="247" t="s">
        <v>2809</v>
      </c>
    </row>
    <row r="566" spans="2:24" x14ac:dyDescent="0.25">
      <c r="B566" s="1615"/>
      <c r="C566" s="1415"/>
      <c r="D566" s="247" t="s">
        <v>2747</v>
      </c>
    </row>
    <row r="567" spans="2:24" x14ac:dyDescent="0.25">
      <c r="B567" s="1615"/>
      <c r="C567" s="1416"/>
      <c r="D567" s="247" t="s">
        <v>2748</v>
      </c>
    </row>
    <row r="568" spans="2:24" x14ac:dyDescent="0.25">
      <c r="B568" s="1615"/>
      <c r="C568" s="1417"/>
      <c r="D568" s="247" t="s">
        <v>2749</v>
      </c>
    </row>
    <row r="569" spans="2:24" x14ac:dyDescent="0.25">
      <c r="B569" s="1615"/>
      <c r="C569" s="1405" t="s">
        <v>2744</v>
      </c>
      <c r="D569" s="684" t="s">
        <v>2745</v>
      </c>
    </row>
    <row r="571" spans="2:24" x14ac:dyDescent="0.25">
      <c r="K571" s="32"/>
      <c r="L571" s="32"/>
    </row>
    <row r="576" spans="2:24" x14ac:dyDescent="0.25">
      <c r="X576" s="30">
        <f>+V579*100/89</f>
        <v>85427.415730337074</v>
      </c>
    </row>
    <row r="578" spans="1:24" x14ac:dyDescent="0.25">
      <c r="B578" t="s">
        <v>7855</v>
      </c>
      <c r="D578" s="233"/>
      <c r="G578" s="32"/>
      <c r="H578" s="1311"/>
      <c r="J578" s="1145"/>
      <c r="X578" s="836">
        <f>+M579/H579</f>
        <v>0.88727272727272721</v>
      </c>
    </row>
    <row r="579" spans="1:24" x14ac:dyDescent="0.25">
      <c r="B579" t="s">
        <v>7866</v>
      </c>
      <c r="D579" s="233"/>
      <c r="G579" s="314">
        <v>4.03</v>
      </c>
      <c r="H579" s="32">
        <v>220</v>
      </c>
      <c r="J579" s="1308">
        <v>0.84</v>
      </c>
      <c r="M579" s="61">
        <f>+H579--H580-H581-H582</f>
        <v>195.2</v>
      </c>
      <c r="N579" s="32">
        <v>4.0999999999999996</v>
      </c>
      <c r="V579" s="149">
        <f>+M579*N579*95</f>
        <v>76030.399999999994</v>
      </c>
      <c r="W579" s="836">
        <f>+V579/M579</f>
        <v>389.5</v>
      </c>
    </row>
    <row r="580" spans="1:24" x14ac:dyDescent="0.25">
      <c r="B580" t="s">
        <v>7839</v>
      </c>
      <c r="D580" s="28">
        <v>150</v>
      </c>
      <c r="F580" s="28">
        <v>2</v>
      </c>
      <c r="G580" s="32">
        <v>4.6399999999999997</v>
      </c>
      <c r="H580" s="32">
        <f>+F580*5.2/2</f>
        <v>5.2</v>
      </c>
      <c r="J580" s="1309">
        <f>+H580/$H$579</f>
        <v>2.3636363636363636E-2</v>
      </c>
      <c r="M580" s="61">
        <f>+H580/$H$579</f>
        <v>2.3636363636363636E-2</v>
      </c>
      <c r="V580" s="149">
        <f>+H580*G580*95</f>
        <v>2292.16</v>
      </c>
      <c r="W580" s="836">
        <f>+V580/H580</f>
        <v>440.79999999999995</v>
      </c>
    </row>
    <row r="581" spans="1:24" x14ac:dyDescent="0.25">
      <c r="B581" t="s">
        <v>7840</v>
      </c>
      <c r="D581" s="28">
        <v>150</v>
      </c>
      <c r="F581" s="28">
        <v>4</v>
      </c>
      <c r="G581" s="32">
        <v>4.8068</v>
      </c>
      <c r="H581" s="32">
        <f>F581*5/2</f>
        <v>10</v>
      </c>
      <c r="J581" s="1309">
        <f t="shared" ref="J581:J582" si="1">+H581/$H$579</f>
        <v>4.5454545454545456E-2</v>
      </c>
      <c r="M581" s="61">
        <f t="shared" ref="M581:M582" si="2">+H581/$H$579</f>
        <v>4.5454545454545456E-2</v>
      </c>
      <c r="N581" s="32">
        <v>4.8707000000000003</v>
      </c>
      <c r="V581" s="149">
        <f>+H581*N581*95</f>
        <v>4627.165</v>
      </c>
      <c r="W581" s="836">
        <f t="shared" ref="W581:W582" si="3">+V581/H581</f>
        <v>462.7165</v>
      </c>
    </row>
    <row r="582" spans="1:24" x14ac:dyDescent="0.25">
      <c r="B582" t="s">
        <v>221</v>
      </c>
      <c r="D582" s="28">
        <v>200</v>
      </c>
      <c r="F582" s="28">
        <v>8</v>
      </c>
      <c r="G582" s="32">
        <v>6.61</v>
      </c>
      <c r="H582" s="32">
        <f>F582*5/2</f>
        <v>20</v>
      </c>
      <c r="J582" s="1309">
        <f t="shared" si="1"/>
        <v>9.0909090909090912E-2</v>
      </c>
      <c r="M582" s="61">
        <f t="shared" si="2"/>
        <v>9.0909090909090912E-2</v>
      </c>
      <c r="V582" s="149">
        <f>+H582*G582*95</f>
        <v>12559.000000000002</v>
      </c>
      <c r="W582" s="836">
        <f t="shared" si="3"/>
        <v>627.95000000000005</v>
      </c>
    </row>
    <row r="583" spans="1:24" x14ac:dyDescent="0.25">
      <c r="H583" s="32"/>
      <c r="I583" t="s">
        <v>7862</v>
      </c>
      <c r="J583" s="1312">
        <f>88*G579*220*0.84</f>
        <v>65537.471999999994</v>
      </c>
      <c r="V583" s="149">
        <f>SUM(V579:V582)</f>
        <v>95508.724999999991</v>
      </c>
    </row>
    <row r="584" spans="1:24" x14ac:dyDescent="0.25">
      <c r="I584" t="s">
        <v>7863</v>
      </c>
      <c r="J584" s="1312">
        <f>88*G580*220*0.024</f>
        <v>2155.9295999999999</v>
      </c>
      <c r="V584">
        <f>+V583/220</f>
        <v>434.13056818181815</v>
      </c>
    </row>
    <row r="585" spans="1:24" ht="14.45" customHeight="1" x14ac:dyDescent="0.25">
      <c r="B585" s="1314"/>
      <c r="H585" s="32"/>
      <c r="I585" t="s">
        <v>7864</v>
      </c>
      <c r="J585" s="1312">
        <f>88*G581*220*0.045</f>
        <v>4187.6841599999998</v>
      </c>
    </row>
    <row r="586" spans="1:24" ht="14.45" customHeight="1" x14ac:dyDescent="0.25">
      <c r="B586" s="1314"/>
      <c r="H586" s="149"/>
      <c r="I586" t="s">
        <v>7865</v>
      </c>
      <c r="J586" s="1312">
        <f>88*G582*220*0.091</f>
        <v>11645.233600000001</v>
      </c>
    </row>
    <row r="587" spans="1:24" ht="14.45" customHeight="1" x14ac:dyDescent="0.25">
      <c r="B587" s="1314"/>
      <c r="I587" s="1" t="s">
        <v>4480</v>
      </c>
    </row>
    <row r="588" spans="1:24" ht="14.45" customHeight="1" x14ac:dyDescent="0.25">
      <c r="B588" s="1314"/>
    </row>
    <row r="589" spans="1:24" ht="14.45" customHeight="1" thickBot="1" x14ac:dyDescent="0.3">
      <c r="B589" s="1314"/>
      <c r="H589" s="1343"/>
    </row>
    <row r="590" spans="1:24" ht="14.45" customHeight="1" x14ac:dyDescent="0.25">
      <c r="B590" s="1421"/>
      <c r="C590" s="1422" t="s">
        <v>8214</v>
      </c>
      <c r="D590" s="1423"/>
      <c r="F590" s="1421"/>
      <c r="G590" s="1422" t="s">
        <v>8214</v>
      </c>
      <c r="H590" s="1423"/>
    </row>
    <row r="591" spans="1:24" ht="14.45" customHeight="1" x14ac:dyDescent="0.25">
      <c r="B591" s="1424"/>
      <c r="C591" s="1420" t="s">
        <v>8215</v>
      </c>
      <c r="D591" s="1425"/>
      <c r="F591" s="1424"/>
      <c r="G591" s="1420" t="s">
        <v>8217</v>
      </c>
      <c r="H591" s="1425"/>
    </row>
    <row r="592" spans="1:24" s="25" customFormat="1" ht="14.45" customHeight="1" x14ac:dyDescent="0.25">
      <c r="A592" s="208" t="s">
        <v>8218</v>
      </c>
      <c r="B592" s="1426" t="s">
        <v>3414</v>
      </c>
      <c r="C592" s="1427" t="s">
        <v>3546</v>
      </c>
      <c r="D592" s="1428" t="s">
        <v>8216</v>
      </c>
      <c r="F592" s="1426" t="s">
        <v>3414</v>
      </c>
      <c r="G592" s="1427" t="s">
        <v>3546</v>
      </c>
      <c r="H592" s="1428" t="s">
        <v>8216</v>
      </c>
      <c r="M592" s="60"/>
      <c r="N592" s="60"/>
      <c r="O592" s="60"/>
    </row>
    <row r="593" spans="1:8" ht="14.45" customHeight="1" x14ac:dyDescent="0.25">
      <c r="A593">
        <v>60</v>
      </c>
      <c r="B593" s="1433">
        <v>2663</v>
      </c>
      <c r="C593" s="1433">
        <v>2479</v>
      </c>
      <c r="D593" s="1433">
        <v>2505</v>
      </c>
      <c r="F593" s="978">
        <v>2708</v>
      </c>
      <c r="G593" s="793">
        <v>2523</v>
      </c>
      <c r="H593" s="1429">
        <v>2550</v>
      </c>
    </row>
    <row r="594" spans="1:8" x14ac:dyDescent="0.25">
      <c r="A594">
        <v>65</v>
      </c>
      <c r="B594" s="1433">
        <v>2524</v>
      </c>
      <c r="C594" s="1433">
        <v>2356</v>
      </c>
      <c r="D594" s="1433">
        <v>2370</v>
      </c>
      <c r="F594" s="978">
        <v>2569</v>
      </c>
      <c r="G594" s="793">
        <v>2400</v>
      </c>
      <c r="H594" s="1429">
        <v>2415</v>
      </c>
    </row>
    <row r="595" spans="1:8" x14ac:dyDescent="0.25">
      <c r="A595">
        <v>70</v>
      </c>
      <c r="B595" s="1433">
        <v>2405</v>
      </c>
      <c r="C595" s="1433">
        <v>2250</v>
      </c>
      <c r="D595" s="1433">
        <v>2255</v>
      </c>
      <c r="F595" s="978">
        <v>2450</v>
      </c>
      <c r="G595" s="793">
        <v>2295</v>
      </c>
      <c r="H595" s="1429">
        <v>2300</v>
      </c>
    </row>
    <row r="596" spans="1:8" x14ac:dyDescent="0.25">
      <c r="A596">
        <v>75</v>
      </c>
      <c r="B596" s="1433">
        <v>2302</v>
      </c>
      <c r="C596" s="1434">
        <v>2159</v>
      </c>
      <c r="D596" s="1429">
        <v>2155</v>
      </c>
      <c r="F596" s="978">
        <v>2347</v>
      </c>
      <c r="G596" s="793">
        <v>2203</v>
      </c>
      <c r="H596" s="1429">
        <v>2200</v>
      </c>
    </row>
    <row r="597" spans="1:8" ht="15.75" thickBot="1" x14ac:dyDescent="0.3">
      <c r="A597">
        <v>80</v>
      </c>
      <c r="B597" s="1435">
        <v>2212</v>
      </c>
      <c r="C597" s="1436">
        <v>2078</v>
      </c>
      <c r="D597" s="1432">
        <v>2067</v>
      </c>
      <c r="F597" s="1430">
        <v>2256</v>
      </c>
      <c r="G597" s="1431">
        <v>2123</v>
      </c>
      <c r="H597" s="1432">
        <v>2111</v>
      </c>
    </row>
    <row r="621" spans="9:24" hidden="1" x14ac:dyDescent="0.25"/>
    <row r="622" spans="9:24" hidden="1" x14ac:dyDescent="0.25"/>
    <row r="623" spans="9:24" hidden="1" x14ac:dyDescent="0.25"/>
    <row r="624" spans="9:24" x14ac:dyDescent="0.25">
      <c r="I624" s="61"/>
      <c r="J624" s="32"/>
      <c r="K624" s="32"/>
      <c r="M624"/>
      <c r="N624"/>
      <c r="O624"/>
      <c r="Q624" s="30"/>
      <c r="R624" s="30"/>
      <c r="W624"/>
      <c r="X624"/>
    </row>
  </sheetData>
  <mergeCells count="2">
    <mergeCell ref="Y1:AB1"/>
    <mergeCell ref="B561:B56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6481" r:id="rId4" name="Button 1">
              <controlPr defaultSize="0" print="0" autoFill="0" autoPict="0" macro="[0]!RETORNAR">
                <anchor moveWithCells="1" sizeWithCells="1">
                  <from>
                    <xdr:col>0</xdr:col>
                    <xdr:colOff>219075</xdr:colOff>
                    <xdr:row>557</xdr:row>
                    <xdr:rowOff>123825</xdr:rowOff>
                  </from>
                  <to>
                    <xdr:col>1</xdr:col>
                    <xdr:colOff>1000125</xdr:colOff>
                    <xdr:row>563</xdr:row>
                    <xdr:rowOff>114300</xdr:rowOff>
                  </to>
                </anchor>
              </controlPr>
            </control>
          </mc:Choice>
        </mc:AlternateContent>
      </controls>
    </mc:Choice>
  </mc:AlternateConten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Hoja90" filterMode="1"/>
  <dimension ref="A1:XFB1000"/>
  <sheetViews>
    <sheetView topLeftCell="A967" zoomScale="75" zoomScaleNormal="75" workbookViewId="0">
      <selection activeCell="A202" sqref="A202:XFD202"/>
    </sheetView>
  </sheetViews>
  <sheetFormatPr baseColWidth="10" defaultColWidth="10.85546875" defaultRowHeight="15" x14ac:dyDescent="0.25"/>
  <cols>
    <col min="1" max="1" width="14.7109375" customWidth="1"/>
    <col min="2" max="2" width="45.28515625" customWidth="1"/>
    <col min="3" max="3" width="13.42578125" style="28" customWidth="1"/>
    <col min="4" max="4" width="14.5703125" style="247" customWidth="1"/>
    <col min="5" max="5" width="11.5703125" style="28" customWidth="1"/>
    <col min="6" max="6" width="11.140625" style="28" customWidth="1"/>
    <col min="7" max="7" width="11.85546875" bestFit="1" customWidth="1"/>
    <col min="8" max="8" width="13.42578125" customWidth="1"/>
    <col min="9" max="9" width="12.85546875" bestFit="1" customWidth="1"/>
    <col min="10" max="10" width="10.85546875" bestFit="1" customWidth="1"/>
    <col min="11" max="11" width="17.42578125" style="61" bestFit="1" customWidth="1"/>
    <col min="12" max="12" width="14.5703125" style="32" customWidth="1"/>
    <col min="13" max="13" width="11.140625" bestFit="1" customWidth="1"/>
    <col min="14" max="14" width="13.140625" hidden="1" customWidth="1"/>
    <col min="15" max="15" width="8" hidden="1" customWidth="1"/>
    <col min="16" max="16" width="2" customWidth="1"/>
    <col min="17" max="17" width="1.28515625" customWidth="1"/>
    <col min="18" max="18" width="2" customWidth="1"/>
    <col min="19" max="19" width="1.7109375" customWidth="1"/>
    <col min="20" max="20" width="21.85546875" customWidth="1"/>
    <col min="21" max="21" width="11.42578125" style="30" customWidth="1"/>
    <col min="22" max="22" width="15.42578125" style="30" bestFit="1" customWidth="1"/>
  </cols>
  <sheetData>
    <row r="1" spans="1:26" s="484" customFormat="1" ht="15.75" x14ac:dyDescent="0.25">
      <c r="A1" s="484" t="s">
        <v>706</v>
      </c>
      <c r="B1" s="564" t="s">
        <v>0</v>
      </c>
      <c r="C1" s="484" t="s">
        <v>1</v>
      </c>
      <c r="D1" s="485" t="s">
        <v>2</v>
      </c>
      <c r="E1" s="486" t="s">
        <v>2044</v>
      </c>
      <c r="F1" s="484" t="s">
        <v>3</v>
      </c>
      <c r="H1" t="s">
        <v>3516</v>
      </c>
      <c r="J1" s="484" t="s">
        <v>5</v>
      </c>
      <c r="K1" s="486" t="s">
        <v>6</v>
      </c>
      <c r="L1" s="486" t="s">
        <v>7</v>
      </c>
      <c r="M1" s="484" t="s">
        <v>8</v>
      </c>
      <c r="N1" s="484" t="s">
        <v>9</v>
      </c>
      <c r="O1" s="484" t="s">
        <v>10</v>
      </c>
      <c r="T1" s="484" t="s">
        <v>649</v>
      </c>
      <c r="U1" s="487" t="s">
        <v>1728</v>
      </c>
      <c r="V1" s="487" t="s">
        <v>650</v>
      </c>
      <c r="W1" s="1613" t="s">
        <v>11</v>
      </c>
      <c r="X1" s="1614"/>
      <c r="Y1" s="1614"/>
      <c r="Z1" s="1614"/>
    </row>
    <row r="2" spans="1:26" s="504" customFormat="1" x14ac:dyDescent="0.25">
      <c r="A2" s="497">
        <v>1012025</v>
      </c>
      <c r="B2" s="504" t="s">
        <v>5903</v>
      </c>
      <c r="C2" s="499" t="s">
        <v>410</v>
      </c>
      <c r="D2" s="499">
        <v>45658</v>
      </c>
      <c r="E2" s="498" t="s">
        <v>5904</v>
      </c>
      <c r="F2" s="498" t="s">
        <v>207</v>
      </c>
      <c r="H2" s="504" t="s">
        <v>279</v>
      </c>
      <c r="I2" s="315"/>
      <c r="J2" s="195"/>
      <c r="K2" s="506"/>
      <c r="L2" s="505">
        <v>8439</v>
      </c>
      <c r="N2" s="196"/>
      <c r="O2" s="196"/>
      <c r="T2" s="504" t="s">
        <v>4417</v>
      </c>
      <c r="U2" s="502">
        <v>0.32777777777777778</v>
      </c>
      <c r="V2" s="502">
        <v>0.50902777777777775</v>
      </c>
    </row>
    <row r="3" spans="1:26" s="504" customFormat="1" x14ac:dyDescent="0.25">
      <c r="A3" s="497">
        <v>2012025</v>
      </c>
      <c r="B3" s="504" t="s">
        <v>930</v>
      </c>
      <c r="C3" s="499" t="s">
        <v>410</v>
      </c>
      <c r="D3" s="499">
        <v>45659</v>
      </c>
      <c r="E3" s="498" t="s">
        <v>5519</v>
      </c>
      <c r="F3" s="498" t="s">
        <v>294</v>
      </c>
      <c r="H3" s="504" t="s">
        <v>279</v>
      </c>
      <c r="I3" s="315"/>
      <c r="J3" s="195"/>
      <c r="K3" s="506">
        <v>33182</v>
      </c>
      <c r="L3" s="505"/>
      <c r="N3" s="196"/>
      <c r="O3" s="196"/>
      <c r="T3" s="504" t="s">
        <v>4297</v>
      </c>
      <c r="U3" s="502">
        <v>0.58680555555555558</v>
      </c>
      <c r="V3" s="502">
        <v>0.78680555555555554</v>
      </c>
    </row>
    <row r="4" spans="1:26" s="504" customFormat="1" hidden="1" x14ac:dyDescent="0.25">
      <c r="A4" s="497">
        <v>2012025</v>
      </c>
      <c r="B4" s="504" t="s">
        <v>1720</v>
      </c>
      <c r="C4" s="499" t="s">
        <v>4218</v>
      </c>
      <c r="D4" s="499">
        <v>45659</v>
      </c>
      <c r="E4" s="498" t="s">
        <v>5493</v>
      </c>
      <c r="F4" s="498" t="s">
        <v>545</v>
      </c>
      <c r="H4" s="504" t="s">
        <v>277</v>
      </c>
      <c r="I4" s="296"/>
      <c r="J4" s="89"/>
      <c r="K4" s="506">
        <v>23650</v>
      </c>
      <c r="L4" s="505"/>
      <c r="N4" s="5"/>
      <c r="O4" s="5"/>
      <c r="T4" s="504" t="s">
        <v>5078</v>
      </c>
      <c r="U4" s="502">
        <v>0.73055555555555562</v>
      </c>
      <c r="V4" s="502">
        <v>0.85972222222222217</v>
      </c>
    </row>
    <row r="5" spans="1:26" s="504" customFormat="1" x14ac:dyDescent="0.25">
      <c r="A5" s="497">
        <v>3012025</v>
      </c>
      <c r="B5" s="504" t="s">
        <v>614</v>
      </c>
      <c r="C5" s="499" t="s">
        <v>4218</v>
      </c>
      <c r="D5" s="499">
        <v>45660</v>
      </c>
      <c r="E5" s="498" t="s">
        <v>5570</v>
      </c>
      <c r="F5" s="498" t="s">
        <v>1744</v>
      </c>
      <c r="H5" s="504" t="s">
        <v>279</v>
      </c>
      <c r="I5" s="315"/>
      <c r="J5" s="195"/>
      <c r="K5" s="506">
        <v>56073.599999999999</v>
      </c>
      <c r="L5" s="505"/>
      <c r="N5" s="196"/>
      <c r="O5" s="196"/>
      <c r="T5" s="504" t="s">
        <v>4277</v>
      </c>
      <c r="U5" s="502">
        <v>0.50486111111111109</v>
      </c>
      <c r="V5" s="502">
        <v>0.73749999999999993</v>
      </c>
    </row>
    <row r="6" spans="1:26" s="504" customFormat="1" x14ac:dyDescent="0.25">
      <c r="A6" s="497">
        <v>3012025</v>
      </c>
      <c r="B6" s="504" t="s">
        <v>875</v>
      </c>
      <c r="C6" s="499" t="s">
        <v>13</v>
      </c>
      <c r="D6" s="499">
        <v>45660</v>
      </c>
      <c r="E6" s="498" t="s">
        <v>5528</v>
      </c>
      <c r="F6" s="498" t="s">
        <v>2036</v>
      </c>
      <c r="H6" s="504" t="s">
        <v>279</v>
      </c>
      <c r="I6" s="315"/>
      <c r="J6" s="195"/>
      <c r="K6" s="506">
        <v>23500</v>
      </c>
      <c r="L6" s="505"/>
      <c r="N6" s="196"/>
      <c r="O6" s="196"/>
      <c r="T6" s="504" t="s">
        <v>5020</v>
      </c>
      <c r="U6" s="502">
        <v>0.54027777777777775</v>
      </c>
      <c r="V6" s="502">
        <v>0.68194444444444446</v>
      </c>
    </row>
    <row r="7" spans="1:26" s="504" customFormat="1" hidden="1" x14ac:dyDescent="0.25">
      <c r="A7" s="497">
        <v>4012025</v>
      </c>
      <c r="B7" s="504" t="s">
        <v>930</v>
      </c>
      <c r="C7" s="499" t="s">
        <v>4218</v>
      </c>
      <c r="D7" s="499">
        <v>45661</v>
      </c>
      <c r="E7" s="498" t="s">
        <v>5516</v>
      </c>
      <c r="F7" s="498" t="s">
        <v>294</v>
      </c>
      <c r="H7" s="504" t="s">
        <v>277</v>
      </c>
      <c r="I7" s="505"/>
      <c r="J7" s="506"/>
      <c r="K7" s="506">
        <v>24886</v>
      </c>
      <c r="L7" s="505"/>
      <c r="T7" s="504" t="s">
        <v>1644</v>
      </c>
      <c r="U7" s="502">
        <v>0.63541666666666663</v>
      </c>
      <c r="V7" s="502">
        <v>0.79305555555555562</v>
      </c>
    </row>
    <row r="8" spans="1:26" s="504" customFormat="1" hidden="1" x14ac:dyDescent="0.25">
      <c r="A8" s="497">
        <v>5012025</v>
      </c>
      <c r="B8" s="504" t="s">
        <v>1055</v>
      </c>
      <c r="C8" s="499" t="s">
        <v>4218</v>
      </c>
      <c r="D8" s="499">
        <v>45662</v>
      </c>
      <c r="E8" s="498" t="s">
        <v>5555</v>
      </c>
      <c r="F8" s="498" t="s">
        <v>294</v>
      </c>
      <c r="H8" s="504" t="s">
        <v>5905</v>
      </c>
      <c r="I8" s="505"/>
      <c r="J8" s="506"/>
      <c r="K8" s="506">
        <v>29972</v>
      </c>
      <c r="L8" s="505"/>
      <c r="T8" s="504" t="s">
        <v>4139</v>
      </c>
      <c r="U8" s="502">
        <v>0.39930555555555558</v>
      </c>
      <c r="V8" s="502">
        <v>0.54999999999999993</v>
      </c>
    </row>
    <row r="9" spans="1:26" s="504" customFormat="1" hidden="1" x14ac:dyDescent="0.25">
      <c r="A9" s="497">
        <v>7012025</v>
      </c>
      <c r="B9" s="504" t="s">
        <v>1720</v>
      </c>
      <c r="C9" s="499" t="s">
        <v>410</v>
      </c>
      <c r="D9" s="499">
        <v>45664</v>
      </c>
      <c r="E9" s="498" t="s">
        <v>5495</v>
      </c>
      <c r="F9" s="498" t="s">
        <v>545</v>
      </c>
      <c r="H9" s="504" t="s">
        <v>277</v>
      </c>
      <c r="I9" s="296"/>
      <c r="J9" s="89"/>
      <c r="K9" s="506">
        <v>23650</v>
      </c>
      <c r="L9" s="505"/>
      <c r="N9" s="5"/>
      <c r="O9" s="5"/>
      <c r="T9" s="504" t="s">
        <v>2050</v>
      </c>
      <c r="U9" s="502">
        <v>0.2986111111111111</v>
      </c>
      <c r="V9" s="502">
        <v>0.44513888888888892</v>
      </c>
    </row>
    <row r="10" spans="1:26" s="504" customFormat="1" hidden="1" x14ac:dyDescent="0.25">
      <c r="A10" s="497">
        <v>7012025</v>
      </c>
      <c r="B10" s="504" t="s">
        <v>1720</v>
      </c>
      <c r="C10" s="499" t="s">
        <v>4218</v>
      </c>
      <c r="D10" s="499">
        <v>45664</v>
      </c>
      <c r="E10" s="498" t="s">
        <v>5497</v>
      </c>
      <c r="F10" s="498" t="s">
        <v>545</v>
      </c>
      <c r="H10" s="504" t="s">
        <v>277</v>
      </c>
      <c r="I10" s="296"/>
      <c r="J10" s="89"/>
      <c r="K10" s="506">
        <v>23650</v>
      </c>
      <c r="L10" s="505"/>
      <c r="N10" s="5"/>
      <c r="O10" s="5"/>
      <c r="T10" s="504" t="s">
        <v>5026</v>
      </c>
      <c r="U10" s="502">
        <v>0.44444444444444442</v>
      </c>
      <c r="V10" s="502">
        <v>0.61458333333333337</v>
      </c>
    </row>
    <row r="11" spans="1:26" s="504" customFormat="1" x14ac:dyDescent="0.25">
      <c r="A11" s="497">
        <v>7012025</v>
      </c>
      <c r="B11" s="504" t="s">
        <v>611</v>
      </c>
      <c r="C11" s="499" t="s">
        <v>410</v>
      </c>
      <c r="D11" s="499">
        <v>45664</v>
      </c>
      <c r="E11" s="498" t="s">
        <v>5545</v>
      </c>
      <c r="F11" s="498" t="s">
        <v>143</v>
      </c>
      <c r="H11" s="504" t="s">
        <v>279</v>
      </c>
      <c r="I11" s="315"/>
      <c r="J11" s="195"/>
      <c r="K11" s="506">
        <v>36700</v>
      </c>
      <c r="L11" s="505"/>
      <c r="N11" s="196"/>
      <c r="O11" s="196"/>
      <c r="T11" s="504" t="s">
        <v>4867</v>
      </c>
      <c r="U11" s="502">
        <v>0.73958333333333337</v>
      </c>
      <c r="V11" s="502">
        <v>0.94652777777777775</v>
      </c>
    </row>
    <row r="12" spans="1:26" s="504" customFormat="1" hidden="1" x14ac:dyDescent="0.25">
      <c r="A12" s="497">
        <v>8012025</v>
      </c>
      <c r="B12" s="504" t="s">
        <v>1055</v>
      </c>
      <c r="C12" s="499" t="s">
        <v>13</v>
      </c>
      <c r="D12" s="499">
        <v>45665</v>
      </c>
      <c r="E12" s="498" t="s">
        <v>5556</v>
      </c>
      <c r="F12" s="498" t="s">
        <v>294</v>
      </c>
      <c r="H12" s="504" t="s">
        <v>5905</v>
      </c>
      <c r="I12" s="315"/>
      <c r="J12" s="195"/>
      <c r="K12" s="506">
        <v>29972</v>
      </c>
      <c r="L12" s="505"/>
      <c r="N12" s="196"/>
      <c r="O12" s="196"/>
      <c r="T12" s="504" t="s">
        <v>5020</v>
      </c>
      <c r="U12" s="502">
        <v>0.28958333333333336</v>
      </c>
      <c r="V12" s="502">
        <v>0.45347222222222222</v>
      </c>
    </row>
    <row r="13" spans="1:26" s="33" customFormat="1" x14ac:dyDescent="0.25">
      <c r="A13" s="547">
        <v>8012025</v>
      </c>
      <c r="B13" s="33" t="s">
        <v>5906</v>
      </c>
      <c r="C13" s="548" t="s">
        <v>410</v>
      </c>
      <c r="D13" s="548">
        <v>45665</v>
      </c>
      <c r="E13" s="306" t="s">
        <v>5907</v>
      </c>
      <c r="F13" s="306" t="s">
        <v>872</v>
      </c>
      <c r="H13" s="33" t="s">
        <v>279</v>
      </c>
      <c r="I13" s="312"/>
      <c r="J13" s="279"/>
      <c r="K13" s="279">
        <v>39800</v>
      </c>
      <c r="L13" s="312"/>
      <c r="T13" s="33" t="s">
        <v>2050</v>
      </c>
      <c r="U13" s="550">
        <v>0.3347222222222222</v>
      </c>
      <c r="V13" s="550">
        <v>0.54791666666666672</v>
      </c>
    </row>
    <row r="14" spans="1:26" s="504" customFormat="1" x14ac:dyDescent="0.25">
      <c r="A14" s="497">
        <v>8012025</v>
      </c>
      <c r="B14" s="504" t="s">
        <v>1720</v>
      </c>
      <c r="C14" s="499" t="s">
        <v>4218</v>
      </c>
      <c r="D14" s="499">
        <v>45665</v>
      </c>
      <c r="E14" s="498" t="s">
        <v>5499</v>
      </c>
      <c r="F14" s="498" t="s">
        <v>545</v>
      </c>
      <c r="H14" s="504" t="s">
        <v>279</v>
      </c>
      <c r="I14" s="296"/>
      <c r="J14" s="89"/>
      <c r="K14" s="506">
        <v>33135</v>
      </c>
      <c r="L14" s="505"/>
      <c r="N14" s="5"/>
      <c r="O14" s="5"/>
      <c r="T14" s="504" t="s">
        <v>5078</v>
      </c>
      <c r="U14" s="502">
        <v>0.36180555555555555</v>
      </c>
      <c r="V14" s="502">
        <v>0.55277777777777781</v>
      </c>
    </row>
    <row r="15" spans="1:26" s="504" customFormat="1" x14ac:dyDescent="0.25">
      <c r="A15" s="497">
        <v>8012025</v>
      </c>
      <c r="B15" s="504" t="s">
        <v>614</v>
      </c>
      <c r="C15" s="499" t="s">
        <v>13</v>
      </c>
      <c r="D15" s="499">
        <v>45665</v>
      </c>
      <c r="E15" s="498" t="s">
        <v>5908</v>
      </c>
      <c r="F15" s="498" t="s">
        <v>2036</v>
      </c>
      <c r="H15" s="504" t="s">
        <v>279</v>
      </c>
      <c r="I15" s="315"/>
      <c r="J15" s="195"/>
      <c r="K15" s="506">
        <v>31152</v>
      </c>
      <c r="L15" s="505"/>
      <c r="N15" s="196"/>
      <c r="O15" s="196"/>
      <c r="T15" s="504" t="s">
        <v>5020</v>
      </c>
      <c r="U15" s="502">
        <v>0.51250000000000007</v>
      </c>
      <c r="V15" s="502">
        <v>0.65277777777777779</v>
      </c>
    </row>
    <row r="16" spans="1:26" s="504" customFormat="1" x14ac:dyDescent="0.25">
      <c r="A16" s="497">
        <v>8012025</v>
      </c>
      <c r="B16" s="504" t="s">
        <v>607</v>
      </c>
      <c r="C16" s="499" t="s">
        <v>410</v>
      </c>
      <c r="D16" s="499">
        <v>45665</v>
      </c>
      <c r="E16" s="498" t="s">
        <v>5527</v>
      </c>
      <c r="F16" s="498" t="s">
        <v>207</v>
      </c>
      <c r="H16" s="504" t="s">
        <v>279</v>
      </c>
      <c r="I16" s="315"/>
      <c r="J16" s="195"/>
      <c r="K16" s="506">
        <v>36253.14</v>
      </c>
      <c r="L16" s="505"/>
      <c r="N16" s="196"/>
      <c r="O16" s="196"/>
      <c r="T16" s="504" t="s">
        <v>4867</v>
      </c>
      <c r="U16" s="502">
        <v>0.59444444444444444</v>
      </c>
      <c r="V16" s="502">
        <v>0.79305555555555562</v>
      </c>
    </row>
    <row r="17" spans="1:22" s="504" customFormat="1" x14ac:dyDescent="0.25">
      <c r="A17" s="497">
        <v>8012025</v>
      </c>
      <c r="B17" s="504" t="s">
        <v>875</v>
      </c>
      <c r="C17" s="499" t="s">
        <v>4218</v>
      </c>
      <c r="D17" s="499">
        <v>45665</v>
      </c>
      <c r="E17" s="498" t="s">
        <v>5528</v>
      </c>
      <c r="F17" s="498" t="s">
        <v>2036</v>
      </c>
      <c r="H17" s="504" t="s">
        <v>279</v>
      </c>
      <c r="I17" s="315"/>
      <c r="J17" s="195"/>
      <c r="K17" s="506">
        <v>23500</v>
      </c>
      <c r="L17" s="505"/>
      <c r="N17" s="196"/>
      <c r="O17" s="196"/>
      <c r="T17" s="504" t="s">
        <v>5078</v>
      </c>
      <c r="U17" s="502">
        <v>0.59652777777777777</v>
      </c>
      <c r="V17" s="502">
        <v>0.71250000000000002</v>
      </c>
    </row>
    <row r="18" spans="1:22" s="504" customFormat="1" x14ac:dyDescent="0.25">
      <c r="A18" s="497">
        <v>8012025</v>
      </c>
      <c r="B18" s="504" t="s">
        <v>930</v>
      </c>
      <c r="C18" s="499" t="s">
        <v>13</v>
      </c>
      <c r="D18" s="499">
        <v>45665</v>
      </c>
      <c r="E18" s="498" t="s">
        <v>5520</v>
      </c>
      <c r="F18" s="498" t="s">
        <v>294</v>
      </c>
      <c r="H18" s="504" t="s">
        <v>279</v>
      </c>
      <c r="I18" s="296"/>
      <c r="J18" s="89"/>
      <c r="K18" s="506">
        <v>33182</v>
      </c>
      <c r="L18" s="505"/>
      <c r="N18" s="5"/>
      <c r="O18" s="5"/>
      <c r="T18" s="504" t="s">
        <v>4345</v>
      </c>
      <c r="U18" s="502">
        <v>0.70347222222222217</v>
      </c>
      <c r="V18" s="502">
        <v>0.90277777777777779</v>
      </c>
    </row>
    <row r="19" spans="1:22" s="504" customFormat="1" x14ac:dyDescent="0.25">
      <c r="A19" s="497">
        <v>9012025</v>
      </c>
      <c r="B19" s="504" t="s">
        <v>2527</v>
      </c>
      <c r="C19" s="499" t="s">
        <v>410</v>
      </c>
      <c r="D19" s="499">
        <v>45666</v>
      </c>
      <c r="E19" s="498" t="s">
        <v>5525</v>
      </c>
      <c r="F19" s="498" t="s">
        <v>285</v>
      </c>
      <c r="H19" s="504" t="s">
        <v>279</v>
      </c>
      <c r="I19" s="315"/>
      <c r="J19" s="195"/>
      <c r="K19" s="506">
        <v>45428.75</v>
      </c>
      <c r="L19" s="505"/>
      <c r="N19" s="196"/>
      <c r="O19" s="196"/>
      <c r="T19" s="504" t="s">
        <v>5393</v>
      </c>
      <c r="U19" s="502">
        <v>0.34097222222222223</v>
      </c>
      <c r="V19" s="502">
        <v>0.59375</v>
      </c>
    </row>
    <row r="20" spans="1:22" s="1115" customFormat="1" x14ac:dyDescent="0.25">
      <c r="A20" s="1114">
        <v>9012025</v>
      </c>
      <c r="B20" s="1115" t="s">
        <v>3331</v>
      </c>
      <c r="C20" s="1117" t="s">
        <v>4218</v>
      </c>
      <c r="D20" s="1117">
        <v>45666</v>
      </c>
      <c r="E20" s="1116"/>
      <c r="F20" s="1116" t="s">
        <v>2008</v>
      </c>
      <c r="H20" s="1115" t="s">
        <v>279</v>
      </c>
      <c r="I20" s="1119"/>
      <c r="J20" s="1118"/>
      <c r="K20" s="1118">
        <v>47250</v>
      </c>
      <c r="L20" s="1119"/>
      <c r="T20" s="1115" t="s">
        <v>4617</v>
      </c>
      <c r="U20" s="1121">
        <v>0.36874999999999997</v>
      </c>
      <c r="V20" s="1121">
        <v>0.62430555555555556</v>
      </c>
    </row>
    <row r="21" spans="1:22" s="504" customFormat="1" x14ac:dyDescent="0.25">
      <c r="A21" s="497">
        <v>9012025</v>
      </c>
      <c r="B21" s="504" t="s">
        <v>1720</v>
      </c>
      <c r="C21" s="499" t="s">
        <v>410</v>
      </c>
      <c r="D21" s="499">
        <v>45666</v>
      </c>
      <c r="E21" s="498" t="s">
        <v>5577</v>
      </c>
      <c r="F21" s="498" t="s">
        <v>545</v>
      </c>
      <c r="H21" s="504" t="s">
        <v>279</v>
      </c>
      <c r="I21" s="313"/>
      <c r="J21" s="88"/>
      <c r="K21" s="506">
        <v>33135</v>
      </c>
      <c r="L21" s="505"/>
      <c r="N21"/>
      <c r="O21"/>
      <c r="T21" s="504" t="s">
        <v>5393</v>
      </c>
      <c r="U21" s="502">
        <v>0.63402777777777775</v>
      </c>
      <c r="V21" s="502">
        <v>0.80069444444444438</v>
      </c>
    </row>
    <row r="22" spans="1:22" s="393" customFormat="1" x14ac:dyDescent="0.25">
      <c r="A22" s="581">
        <v>9012025</v>
      </c>
      <c r="B22" s="393" t="s">
        <v>2469</v>
      </c>
      <c r="C22" s="582" t="s">
        <v>4218</v>
      </c>
      <c r="D22" s="582">
        <v>45666</v>
      </c>
      <c r="F22" s="174" t="s">
        <v>294</v>
      </c>
      <c r="H22" s="393" t="s">
        <v>279</v>
      </c>
      <c r="I22" s="395"/>
      <c r="J22" s="396"/>
      <c r="K22" s="396">
        <v>35685</v>
      </c>
      <c r="L22" s="395"/>
      <c r="T22" s="393" t="s">
        <v>5500</v>
      </c>
      <c r="U22" s="584">
        <v>0.73888888888888893</v>
      </c>
      <c r="V22" s="584">
        <v>0.93055555555555547</v>
      </c>
    </row>
    <row r="23" spans="1:22" s="504" customFormat="1" x14ac:dyDescent="0.25">
      <c r="A23" s="497">
        <v>10012025</v>
      </c>
      <c r="B23" s="504" t="s">
        <v>5591</v>
      </c>
      <c r="C23" s="499" t="s">
        <v>410</v>
      </c>
      <c r="D23" s="499">
        <v>45667</v>
      </c>
      <c r="E23" s="498" t="s">
        <v>5558</v>
      </c>
      <c r="F23" s="498" t="s">
        <v>4476</v>
      </c>
      <c r="H23" s="504" t="s">
        <v>279</v>
      </c>
      <c r="I23" s="506">
        <v>55224</v>
      </c>
      <c r="J23" s="506">
        <f>+I23*0.88</f>
        <v>48597.120000000003</v>
      </c>
      <c r="K23" s="506">
        <v>55224</v>
      </c>
      <c r="L23" s="505"/>
      <c r="T23" s="504" t="s">
        <v>1506</v>
      </c>
      <c r="U23" s="502">
        <v>0.38819444444444445</v>
      </c>
      <c r="V23" s="502">
        <v>0.75416666666666676</v>
      </c>
    </row>
    <row r="24" spans="1:22" s="504" customFormat="1" x14ac:dyDescent="0.25">
      <c r="A24" s="497">
        <v>10012025</v>
      </c>
      <c r="B24" s="504" t="s">
        <v>610</v>
      </c>
      <c r="C24" s="499" t="s">
        <v>4218</v>
      </c>
      <c r="D24" s="499">
        <v>45667</v>
      </c>
      <c r="E24" s="498" t="s">
        <v>5504</v>
      </c>
      <c r="F24" s="498" t="s">
        <v>106</v>
      </c>
      <c r="H24" s="504" t="s">
        <v>279</v>
      </c>
      <c r="I24" s="315"/>
      <c r="J24" s="195"/>
      <c r="K24" s="506">
        <v>29770</v>
      </c>
      <c r="L24" s="505"/>
      <c r="N24" s="196"/>
      <c r="O24" s="196"/>
      <c r="T24" s="504" t="s">
        <v>4138</v>
      </c>
      <c r="U24" s="502">
        <v>0.40763888888888888</v>
      </c>
      <c r="V24" s="502">
        <v>0.55833333333333335</v>
      </c>
    </row>
    <row r="25" spans="1:22" s="504" customFormat="1" hidden="1" x14ac:dyDescent="0.25">
      <c r="A25" s="497">
        <v>10012025</v>
      </c>
      <c r="B25" s="504" t="s">
        <v>1720</v>
      </c>
      <c r="C25" s="499" t="s">
        <v>410</v>
      </c>
      <c r="D25" s="499">
        <v>45667</v>
      </c>
      <c r="E25" s="498" t="s">
        <v>5579</v>
      </c>
      <c r="F25" s="498" t="s">
        <v>545</v>
      </c>
      <c r="H25" s="504" t="s">
        <v>277</v>
      </c>
      <c r="I25" s="313"/>
      <c r="J25" s="88"/>
      <c r="K25" s="506">
        <v>23650</v>
      </c>
      <c r="L25" s="505"/>
      <c r="N25"/>
      <c r="O25"/>
      <c r="T25" s="504" t="s">
        <v>1506</v>
      </c>
      <c r="U25" s="502">
        <v>0.78194444444444444</v>
      </c>
      <c r="V25" s="502">
        <v>0.83680555555555547</v>
      </c>
    </row>
    <row r="26" spans="1:22" s="504" customFormat="1" x14ac:dyDescent="0.25">
      <c r="A26" s="497">
        <v>10012025</v>
      </c>
      <c r="B26" s="504" t="s">
        <v>614</v>
      </c>
      <c r="C26" s="499" t="s">
        <v>4218</v>
      </c>
      <c r="D26" s="499">
        <v>45667</v>
      </c>
      <c r="E26" s="498" t="s">
        <v>5908</v>
      </c>
      <c r="F26" s="498" t="s">
        <v>143</v>
      </c>
      <c r="H26" s="504" t="s">
        <v>279</v>
      </c>
      <c r="I26" s="315"/>
      <c r="J26" s="195"/>
      <c r="K26" s="506">
        <v>43612.800000000003</v>
      </c>
      <c r="L26" s="505"/>
      <c r="N26" s="196"/>
      <c r="O26" s="196"/>
      <c r="T26" s="504" t="s">
        <v>4365</v>
      </c>
      <c r="U26" s="502">
        <v>0.68958333333333333</v>
      </c>
      <c r="V26" s="502">
        <v>0.87430555555555556</v>
      </c>
    </row>
    <row r="27" spans="1:22" s="504" customFormat="1" x14ac:dyDescent="0.25">
      <c r="A27" s="497">
        <v>11012025</v>
      </c>
      <c r="B27" s="504" t="s">
        <v>1720</v>
      </c>
      <c r="C27" s="499" t="s">
        <v>13</v>
      </c>
      <c r="D27" s="499">
        <v>45668</v>
      </c>
      <c r="E27" s="498" t="s">
        <v>5581</v>
      </c>
      <c r="F27" s="498" t="s">
        <v>545</v>
      </c>
      <c r="H27" s="504" t="s">
        <v>279</v>
      </c>
      <c r="I27" s="313"/>
      <c r="J27" s="88"/>
      <c r="K27" s="506">
        <v>33135</v>
      </c>
      <c r="L27" s="505"/>
      <c r="N27"/>
      <c r="O27"/>
      <c r="T27" s="504" t="s">
        <v>5020</v>
      </c>
      <c r="U27" s="502">
        <v>0.31041666666666667</v>
      </c>
      <c r="V27" s="502">
        <v>0.47638888888888892</v>
      </c>
    </row>
    <row r="28" spans="1:22" s="504" customFormat="1" x14ac:dyDescent="0.25">
      <c r="A28" s="497">
        <v>11012025</v>
      </c>
      <c r="B28" s="504" t="s">
        <v>5507</v>
      </c>
      <c r="C28" s="499" t="s">
        <v>410</v>
      </c>
      <c r="D28" s="499">
        <v>45668</v>
      </c>
      <c r="E28" s="498" t="s">
        <v>5574</v>
      </c>
      <c r="F28" s="498" t="s">
        <v>2253</v>
      </c>
      <c r="H28" s="504" t="s">
        <v>279</v>
      </c>
      <c r="I28" s="313"/>
      <c r="J28" s="88"/>
      <c r="K28" s="506">
        <v>49573</v>
      </c>
      <c r="L28" s="505"/>
      <c r="N28"/>
      <c r="O28"/>
      <c r="T28" s="504" t="s">
        <v>5026</v>
      </c>
      <c r="U28" s="502">
        <v>0.30416666666666664</v>
      </c>
      <c r="V28" s="502">
        <v>0.63958333333333328</v>
      </c>
    </row>
    <row r="29" spans="1:22" s="504" customFormat="1" hidden="1" x14ac:dyDescent="0.25">
      <c r="A29" s="497">
        <v>11012025</v>
      </c>
      <c r="B29" s="504" t="s">
        <v>930</v>
      </c>
      <c r="C29" s="499" t="s">
        <v>4218</v>
      </c>
      <c r="D29" s="499">
        <v>45668</v>
      </c>
      <c r="E29" s="498" t="s">
        <v>5517</v>
      </c>
      <c r="F29" s="498" t="s">
        <v>295</v>
      </c>
      <c r="H29" s="504" t="s">
        <v>277</v>
      </c>
      <c r="I29" s="313"/>
      <c r="J29" s="88"/>
      <c r="K29" s="506">
        <v>29000</v>
      </c>
      <c r="L29" s="505"/>
      <c r="N29"/>
      <c r="O29"/>
      <c r="T29" s="504" t="s">
        <v>5506</v>
      </c>
      <c r="U29" s="502">
        <v>0.30902777777777779</v>
      </c>
      <c r="V29" s="502">
        <v>0.56458333333333333</v>
      </c>
    </row>
    <row r="30" spans="1:22" s="504" customFormat="1" x14ac:dyDescent="0.25">
      <c r="A30" s="497">
        <v>11012025</v>
      </c>
      <c r="B30" s="504" t="s">
        <v>930</v>
      </c>
      <c r="C30" s="499" t="s">
        <v>4218</v>
      </c>
      <c r="D30" s="499">
        <v>45668</v>
      </c>
      <c r="E30" s="498" t="s">
        <v>5521</v>
      </c>
      <c r="F30" s="498" t="s">
        <v>294</v>
      </c>
      <c r="H30" s="504" t="s">
        <v>279</v>
      </c>
      <c r="I30" s="313"/>
      <c r="J30" s="88"/>
      <c r="K30" s="506">
        <v>33182</v>
      </c>
      <c r="L30" s="505"/>
      <c r="N30"/>
      <c r="O30"/>
      <c r="T30" s="504" t="s">
        <v>5506</v>
      </c>
      <c r="U30" s="502">
        <v>0.58333333333333337</v>
      </c>
      <c r="V30" s="502">
        <v>0.64861111111111114</v>
      </c>
    </row>
    <row r="31" spans="1:22" s="504" customFormat="1" hidden="1" x14ac:dyDescent="0.25">
      <c r="A31" s="497">
        <v>11012025</v>
      </c>
      <c r="B31" s="504" t="s">
        <v>930</v>
      </c>
      <c r="C31" s="499" t="s">
        <v>410</v>
      </c>
      <c r="D31" s="499">
        <v>45668</v>
      </c>
      <c r="E31" s="498" t="s">
        <v>5518</v>
      </c>
      <c r="F31" s="498" t="s">
        <v>295</v>
      </c>
      <c r="H31" s="504" t="s">
        <v>277</v>
      </c>
      <c r="I31" s="313"/>
      <c r="J31" s="88"/>
      <c r="K31" s="506">
        <v>29000</v>
      </c>
      <c r="L31" s="505"/>
      <c r="N31"/>
      <c r="O31"/>
      <c r="T31" s="504" t="s">
        <v>5021</v>
      </c>
      <c r="U31" s="502">
        <v>0.6875</v>
      </c>
      <c r="V31" s="502">
        <v>0.94444444444444453</v>
      </c>
    </row>
    <row r="32" spans="1:22" s="33" customFormat="1" x14ac:dyDescent="0.25">
      <c r="A32" s="547">
        <v>11012025</v>
      </c>
      <c r="B32" s="33" t="s">
        <v>5906</v>
      </c>
      <c r="C32" s="548" t="s">
        <v>13</v>
      </c>
      <c r="D32" s="548">
        <v>45668</v>
      </c>
      <c r="E32" s="306" t="s">
        <v>5909</v>
      </c>
      <c r="F32" s="306" t="s">
        <v>872</v>
      </c>
      <c r="H32" s="33" t="s">
        <v>279</v>
      </c>
      <c r="I32" s="312"/>
      <c r="J32" s="279"/>
      <c r="K32" s="279">
        <v>39800</v>
      </c>
      <c r="L32" s="312"/>
      <c r="T32" s="33" t="s">
        <v>5020</v>
      </c>
      <c r="U32" s="550">
        <v>0.54236111111111118</v>
      </c>
      <c r="V32" s="550">
        <v>0.7715277777777777</v>
      </c>
    </row>
    <row r="33" spans="1:22" s="504" customFormat="1" hidden="1" x14ac:dyDescent="0.25">
      <c r="A33" s="497">
        <v>11012025</v>
      </c>
      <c r="B33" s="504" t="s">
        <v>1720</v>
      </c>
      <c r="C33" s="499" t="s">
        <v>4218</v>
      </c>
      <c r="D33" s="499">
        <v>45668</v>
      </c>
      <c r="E33" s="498" t="s">
        <v>5582</v>
      </c>
      <c r="F33" s="498" t="s">
        <v>545</v>
      </c>
      <c r="H33" s="504" t="s">
        <v>277</v>
      </c>
      <c r="I33" s="313"/>
      <c r="J33" s="88"/>
      <c r="K33" s="506">
        <v>23650</v>
      </c>
      <c r="L33" s="505"/>
      <c r="N33"/>
      <c r="O33"/>
      <c r="T33" s="504" t="s">
        <v>1506</v>
      </c>
      <c r="U33" s="502">
        <v>0.78611111111111109</v>
      </c>
      <c r="V33" s="502">
        <v>0.90625</v>
      </c>
    </row>
    <row r="34" spans="1:22" s="504" customFormat="1" x14ac:dyDescent="0.25">
      <c r="A34" s="497">
        <v>12012025</v>
      </c>
      <c r="B34" s="504" t="s">
        <v>614</v>
      </c>
      <c r="C34" s="499" t="s">
        <v>410</v>
      </c>
      <c r="D34" s="499">
        <v>45669</v>
      </c>
      <c r="E34" s="498" t="s">
        <v>5908</v>
      </c>
      <c r="F34" s="498" t="s">
        <v>563</v>
      </c>
      <c r="H34" s="504" t="s">
        <v>279</v>
      </c>
      <c r="I34" s="315"/>
      <c r="J34" s="195"/>
      <c r="K34" s="506">
        <v>33228.800000000003</v>
      </c>
      <c r="L34" s="505"/>
      <c r="N34" s="196"/>
      <c r="O34" s="196"/>
      <c r="T34" s="504" t="s">
        <v>4138</v>
      </c>
      <c r="U34" s="502">
        <v>0.41319444444444442</v>
      </c>
      <c r="V34" s="502">
        <v>0.62638888888888888</v>
      </c>
    </row>
    <row r="35" spans="1:22" s="393" customFormat="1" x14ac:dyDescent="0.25">
      <c r="A35" s="581">
        <v>12012025</v>
      </c>
      <c r="B35" s="393" t="s">
        <v>5910</v>
      </c>
      <c r="C35" s="582" t="s">
        <v>13</v>
      </c>
      <c r="D35" s="582">
        <v>45669</v>
      </c>
      <c r="E35" s="174" t="s">
        <v>5760</v>
      </c>
      <c r="F35" s="174" t="s">
        <v>113</v>
      </c>
      <c r="H35" s="393" t="s">
        <v>279</v>
      </c>
      <c r="I35" s="395"/>
      <c r="J35" s="396"/>
      <c r="K35" s="396">
        <v>39800</v>
      </c>
      <c r="L35" s="395"/>
      <c r="T35" s="393" t="s">
        <v>2050</v>
      </c>
      <c r="U35" s="584">
        <v>0.50347222222222221</v>
      </c>
      <c r="V35" s="584">
        <v>0.71597222222222223</v>
      </c>
    </row>
    <row r="36" spans="1:22" s="504" customFormat="1" x14ac:dyDescent="0.25">
      <c r="A36" s="497">
        <v>13012025</v>
      </c>
      <c r="B36" s="504" t="s">
        <v>5508</v>
      </c>
      <c r="C36" s="499" t="s">
        <v>410</v>
      </c>
      <c r="D36" s="499">
        <v>45670</v>
      </c>
      <c r="E36" s="498" t="s">
        <v>5911</v>
      </c>
      <c r="F36" s="498" t="s">
        <v>1931</v>
      </c>
      <c r="H36" s="504" t="s">
        <v>279</v>
      </c>
      <c r="I36" s="315"/>
      <c r="J36" s="195"/>
      <c r="K36" s="506">
        <v>55224</v>
      </c>
      <c r="L36" s="505"/>
      <c r="N36" s="196"/>
      <c r="O36" s="196"/>
      <c r="T36" s="504" t="s">
        <v>4983</v>
      </c>
      <c r="U36" s="502">
        <v>0.33194444444444443</v>
      </c>
      <c r="V36" s="502">
        <v>0.65208333333333335</v>
      </c>
    </row>
    <row r="37" spans="1:22" s="504" customFormat="1" x14ac:dyDescent="0.25">
      <c r="A37" s="497">
        <v>13012025</v>
      </c>
      <c r="B37" s="504" t="s">
        <v>608</v>
      </c>
      <c r="C37" s="499" t="s">
        <v>4218</v>
      </c>
      <c r="D37" s="499">
        <v>45670</v>
      </c>
      <c r="E37" s="498" t="s">
        <v>5533</v>
      </c>
      <c r="F37" s="498" t="s">
        <v>236</v>
      </c>
      <c r="H37" s="504" t="s">
        <v>279</v>
      </c>
      <c r="I37" s="315"/>
      <c r="J37" s="195"/>
      <c r="K37" s="506">
        <v>58231</v>
      </c>
      <c r="L37" s="505"/>
      <c r="N37" s="196"/>
      <c r="O37" s="196"/>
      <c r="T37" s="504" t="s">
        <v>5078</v>
      </c>
      <c r="U37" s="502">
        <v>0.26041666666666669</v>
      </c>
      <c r="V37" s="502">
        <v>0.53819444444444442</v>
      </c>
    </row>
    <row r="38" spans="1:22" s="504" customFormat="1" ht="14.1" hidden="1" customHeight="1" x14ac:dyDescent="0.25">
      <c r="A38" s="497">
        <v>13012025</v>
      </c>
      <c r="B38" s="504" t="s">
        <v>930</v>
      </c>
      <c r="C38" s="499" t="s">
        <v>4218</v>
      </c>
      <c r="D38" s="499">
        <v>45670</v>
      </c>
      <c r="E38" s="498" t="s">
        <v>5523</v>
      </c>
      <c r="F38" s="498" t="s">
        <v>294</v>
      </c>
      <c r="H38" s="504" t="s">
        <v>277</v>
      </c>
      <c r="I38" s="313"/>
      <c r="J38" s="88"/>
      <c r="K38" s="506">
        <v>24886</v>
      </c>
      <c r="L38" s="505"/>
      <c r="N38"/>
      <c r="O38"/>
      <c r="T38" s="504" t="s">
        <v>4509</v>
      </c>
      <c r="U38" s="502">
        <v>0.63124999999999998</v>
      </c>
      <c r="V38" s="502">
        <v>0.8340277777777777</v>
      </c>
    </row>
    <row r="39" spans="1:22" s="33" customFormat="1" x14ac:dyDescent="0.25">
      <c r="A39" s="547">
        <v>14012025</v>
      </c>
      <c r="B39" s="33" t="s">
        <v>612</v>
      </c>
      <c r="C39" s="548" t="s">
        <v>4218</v>
      </c>
      <c r="D39" s="548">
        <v>45671</v>
      </c>
      <c r="E39" s="306" t="s">
        <v>5687</v>
      </c>
      <c r="F39" s="306" t="s">
        <v>113</v>
      </c>
      <c r="H39" s="33" t="s">
        <v>279</v>
      </c>
      <c r="I39" s="312"/>
      <c r="J39" s="279"/>
      <c r="K39" s="279">
        <v>35671</v>
      </c>
      <c r="L39" s="312"/>
      <c r="T39" s="33" t="s">
        <v>4911</v>
      </c>
      <c r="U39" s="550">
        <v>0.34236111111111112</v>
      </c>
      <c r="V39" s="550">
        <v>0.56180555555555556</v>
      </c>
    </row>
    <row r="40" spans="1:22" s="33" customFormat="1" x14ac:dyDescent="0.25">
      <c r="A40" s="547">
        <v>14012025</v>
      </c>
      <c r="B40" s="33" t="s">
        <v>875</v>
      </c>
      <c r="C40" s="548" t="s">
        <v>410</v>
      </c>
      <c r="D40" s="548">
        <v>45671</v>
      </c>
      <c r="E40" s="306" t="s">
        <v>5655</v>
      </c>
      <c r="F40" s="306" t="s">
        <v>2036</v>
      </c>
      <c r="H40" s="33" t="s">
        <v>279</v>
      </c>
      <c r="I40" s="312"/>
      <c r="J40" s="279"/>
      <c r="K40" s="279">
        <v>23500</v>
      </c>
      <c r="L40" s="312"/>
      <c r="T40" s="33" t="s">
        <v>4297</v>
      </c>
      <c r="U40" s="550">
        <v>0.37847222222222227</v>
      </c>
      <c r="V40" s="550">
        <v>0.50624999999999998</v>
      </c>
    </row>
    <row r="41" spans="1:22" s="33" customFormat="1" x14ac:dyDescent="0.25">
      <c r="A41" s="547">
        <v>14012025</v>
      </c>
      <c r="B41" s="33" t="s">
        <v>875</v>
      </c>
      <c r="C41" s="548" t="s">
        <v>410</v>
      </c>
      <c r="D41" s="548">
        <v>45671</v>
      </c>
      <c r="E41" s="306" t="s">
        <v>5655</v>
      </c>
      <c r="F41" s="306" t="s">
        <v>2036</v>
      </c>
      <c r="H41" s="33" t="s">
        <v>279</v>
      </c>
      <c r="I41" s="312"/>
      <c r="J41" s="279"/>
      <c r="K41" s="279">
        <v>23500</v>
      </c>
      <c r="L41" s="312"/>
      <c r="T41" s="33" t="s">
        <v>4297</v>
      </c>
      <c r="U41" s="550">
        <v>0.54236111111111118</v>
      </c>
      <c r="V41" s="550">
        <v>0.69097222222222221</v>
      </c>
    </row>
    <row r="42" spans="1:22" s="504" customFormat="1" x14ac:dyDescent="0.25">
      <c r="A42" s="497">
        <v>14012025</v>
      </c>
      <c r="B42" s="504" t="s">
        <v>614</v>
      </c>
      <c r="C42" s="499" t="s">
        <v>410</v>
      </c>
      <c r="D42" s="499">
        <v>45671</v>
      </c>
      <c r="E42" s="498" t="s">
        <v>5908</v>
      </c>
      <c r="F42" s="498" t="s">
        <v>68</v>
      </c>
      <c r="H42" s="504" t="s">
        <v>279</v>
      </c>
      <c r="I42" s="315"/>
      <c r="J42" s="195"/>
      <c r="K42" s="506">
        <v>49843.199999999997</v>
      </c>
      <c r="L42" s="505"/>
      <c r="N42" s="196"/>
      <c r="O42" s="196"/>
      <c r="T42" s="504" t="s">
        <v>4853</v>
      </c>
      <c r="U42" s="502">
        <v>0.77222222222222225</v>
      </c>
      <c r="V42" s="502">
        <v>2.7777777777777779E-3</v>
      </c>
    </row>
    <row r="43" spans="1:22" s="504" customFormat="1" hidden="1" x14ac:dyDescent="0.25">
      <c r="A43" s="497">
        <v>14012025</v>
      </c>
      <c r="B43" s="504" t="s">
        <v>1720</v>
      </c>
      <c r="C43" s="499" t="s">
        <v>4218</v>
      </c>
      <c r="D43" s="499">
        <v>45671</v>
      </c>
      <c r="E43" s="498" t="s">
        <v>5585</v>
      </c>
      <c r="F43" s="498" t="s">
        <v>545</v>
      </c>
      <c r="H43" s="504" t="s">
        <v>277</v>
      </c>
      <c r="I43" s="313"/>
      <c r="J43" s="88"/>
      <c r="K43" s="506">
        <v>23650</v>
      </c>
      <c r="L43" s="505"/>
      <c r="N43"/>
      <c r="O43"/>
      <c r="T43" s="504" t="s">
        <v>4911</v>
      </c>
      <c r="U43" s="502">
        <v>0.60277777777777775</v>
      </c>
      <c r="V43" s="502">
        <v>0.73402777777777783</v>
      </c>
    </row>
    <row r="44" spans="1:22" s="33" customFormat="1" x14ac:dyDescent="0.25">
      <c r="A44" s="547">
        <v>15012025</v>
      </c>
      <c r="B44" s="33" t="s">
        <v>614</v>
      </c>
      <c r="C44" s="548" t="s">
        <v>410</v>
      </c>
      <c r="D44" s="548">
        <v>45672</v>
      </c>
      <c r="E44" s="306" t="s">
        <v>5638</v>
      </c>
      <c r="F44" s="306" t="s">
        <v>143</v>
      </c>
      <c r="H44" s="33" t="s">
        <v>279</v>
      </c>
      <c r="I44" s="312"/>
      <c r="J44" s="279"/>
      <c r="K44" s="279">
        <v>43612.800000000003</v>
      </c>
      <c r="L44" s="312"/>
      <c r="T44" s="33" t="s">
        <v>5393</v>
      </c>
      <c r="U44" s="550">
        <v>0.43124999999999997</v>
      </c>
      <c r="V44" s="550">
        <v>0.6333333333333333</v>
      </c>
    </row>
    <row r="45" spans="1:22" s="504" customFormat="1" x14ac:dyDescent="0.25">
      <c r="A45" s="497">
        <v>15012025</v>
      </c>
      <c r="B45" s="504" t="s">
        <v>608</v>
      </c>
      <c r="C45" s="499" t="s">
        <v>4218</v>
      </c>
      <c r="D45" s="499">
        <v>45672</v>
      </c>
      <c r="E45" s="498" t="s">
        <v>5534</v>
      </c>
      <c r="F45" s="498" t="s">
        <v>236</v>
      </c>
      <c r="H45" s="504" t="s">
        <v>279</v>
      </c>
      <c r="I45" s="315"/>
      <c r="J45" s="195"/>
      <c r="K45" s="506">
        <v>58231</v>
      </c>
      <c r="L45" s="505"/>
      <c r="N45" s="196"/>
      <c r="O45" s="196"/>
      <c r="T45" s="504" t="s">
        <v>4617</v>
      </c>
      <c r="U45" s="502">
        <v>0.54236111111111118</v>
      </c>
      <c r="V45" s="502">
        <v>0.82500000000000007</v>
      </c>
    </row>
    <row r="46" spans="1:22" s="393" customFormat="1" x14ac:dyDescent="0.25">
      <c r="A46" s="581">
        <v>15012025</v>
      </c>
      <c r="B46" s="393" t="s">
        <v>2739</v>
      </c>
      <c r="C46" s="582" t="s">
        <v>13</v>
      </c>
      <c r="D46" s="582">
        <v>45672</v>
      </c>
      <c r="E46" s="174" t="s">
        <v>5887</v>
      </c>
      <c r="F46" s="174" t="s">
        <v>2107</v>
      </c>
      <c r="H46" s="393" t="s">
        <v>279</v>
      </c>
      <c r="I46" s="395"/>
      <c r="J46" s="396"/>
      <c r="K46" s="396">
        <v>30380</v>
      </c>
      <c r="L46" s="395"/>
      <c r="T46" s="393" t="s">
        <v>4297</v>
      </c>
      <c r="U46" s="584">
        <v>0.61041666666666672</v>
      </c>
      <c r="V46" s="584">
        <v>0.74583333333333324</v>
      </c>
    </row>
    <row r="47" spans="1:22" s="504" customFormat="1" hidden="1" x14ac:dyDescent="0.25">
      <c r="A47" s="497">
        <v>16012025</v>
      </c>
      <c r="B47" s="504" t="s">
        <v>1720</v>
      </c>
      <c r="C47" s="499" t="s">
        <v>410</v>
      </c>
      <c r="D47" s="499">
        <v>45673</v>
      </c>
      <c r="E47" s="498" t="s">
        <v>5587</v>
      </c>
      <c r="F47" s="498" t="s">
        <v>545</v>
      </c>
      <c r="H47" s="504" t="s">
        <v>277</v>
      </c>
      <c r="I47" s="313"/>
      <c r="J47" s="88"/>
      <c r="K47" s="506">
        <v>23650</v>
      </c>
      <c r="L47" s="505"/>
      <c r="N47"/>
      <c r="O47"/>
      <c r="T47" s="504" t="s">
        <v>4911</v>
      </c>
      <c r="U47" s="502">
        <v>0.63194444444444442</v>
      </c>
      <c r="V47" s="502">
        <v>0.78472222222222221</v>
      </c>
    </row>
    <row r="48" spans="1:22" s="926" customFormat="1" x14ac:dyDescent="0.25">
      <c r="A48" s="925">
        <v>17012025</v>
      </c>
      <c r="B48" s="926" t="s">
        <v>3640</v>
      </c>
      <c r="C48" s="927" t="s">
        <v>410</v>
      </c>
      <c r="D48" s="927">
        <v>45674</v>
      </c>
      <c r="E48" s="928"/>
      <c r="F48" s="928" t="s">
        <v>317</v>
      </c>
      <c r="H48" s="926" t="s">
        <v>279</v>
      </c>
      <c r="I48" s="929"/>
      <c r="J48" s="930"/>
      <c r="K48" s="930"/>
      <c r="L48" s="929">
        <v>12272</v>
      </c>
      <c r="T48" s="926" t="s">
        <v>4853</v>
      </c>
      <c r="U48" s="931">
        <v>0.29583333333333334</v>
      </c>
      <c r="V48" s="931">
        <v>0.55138888888888882</v>
      </c>
    </row>
    <row r="49" spans="1:22" s="504" customFormat="1" x14ac:dyDescent="0.25">
      <c r="A49" s="497">
        <v>17012025</v>
      </c>
      <c r="B49" s="504" t="s">
        <v>608</v>
      </c>
      <c r="C49" s="499" t="s">
        <v>4218</v>
      </c>
      <c r="D49" s="499">
        <v>45674</v>
      </c>
      <c r="E49" s="498" t="s">
        <v>5551</v>
      </c>
      <c r="F49" s="498" t="s">
        <v>236</v>
      </c>
      <c r="H49" s="504" t="s">
        <v>279</v>
      </c>
      <c r="I49" s="315"/>
      <c r="J49" s="195"/>
      <c r="K49" s="506">
        <v>58231</v>
      </c>
      <c r="L49" s="505"/>
      <c r="N49" s="196"/>
      <c r="O49" s="196"/>
      <c r="T49" s="504" t="s">
        <v>5131</v>
      </c>
      <c r="U49" s="502">
        <v>0.41597222222222219</v>
      </c>
      <c r="V49" s="502">
        <v>0.68194444444444446</v>
      </c>
    </row>
    <row r="50" spans="1:22" s="33" customFormat="1" x14ac:dyDescent="0.25">
      <c r="A50" s="547">
        <v>17012025</v>
      </c>
      <c r="B50" s="33" t="s">
        <v>875</v>
      </c>
      <c r="C50" s="548" t="s">
        <v>13</v>
      </c>
      <c r="D50" s="548">
        <v>45674</v>
      </c>
      <c r="E50" s="306" t="s">
        <v>5655</v>
      </c>
      <c r="F50" s="306" t="s">
        <v>2036</v>
      </c>
      <c r="H50" s="33" t="s">
        <v>279</v>
      </c>
      <c r="I50" s="312"/>
      <c r="J50" s="279"/>
      <c r="K50" s="279">
        <v>23500</v>
      </c>
      <c r="L50" s="312"/>
      <c r="T50" s="33" t="s">
        <v>5539</v>
      </c>
      <c r="U50" s="550">
        <v>0.50555555555555554</v>
      </c>
      <c r="V50" s="550">
        <v>0.64097222222222217</v>
      </c>
    </row>
    <row r="51" spans="1:22" s="504" customFormat="1" x14ac:dyDescent="0.25">
      <c r="A51" s="497">
        <v>17012025</v>
      </c>
      <c r="B51" s="504" t="s">
        <v>608</v>
      </c>
      <c r="C51" s="499" t="s">
        <v>410</v>
      </c>
      <c r="D51" s="499">
        <v>45674</v>
      </c>
      <c r="E51" s="498" t="s">
        <v>5552</v>
      </c>
      <c r="F51" s="498" t="s">
        <v>236</v>
      </c>
      <c r="H51" s="504" t="s">
        <v>279</v>
      </c>
      <c r="I51" s="315"/>
      <c r="J51" s="195"/>
      <c r="K51" s="506">
        <v>58231</v>
      </c>
      <c r="L51" s="505"/>
      <c r="N51" s="196"/>
      <c r="O51" s="196"/>
      <c r="T51" s="504" t="s">
        <v>4911</v>
      </c>
      <c r="U51" s="502">
        <v>0.71597222222222223</v>
      </c>
      <c r="V51" s="502">
        <v>0.50694444444444442</v>
      </c>
    </row>
    <row r="52" spans="1:22" s="33" customFormat="1" x14ac:dyDescent="0.25">
      <c r="A52" s="547">
        <v>17012025</v>
      </c>
      <c r="B52" s="33" t="s">
        <v>5537</v>
      </c>
      <c r="C52" s="548" t="s">
        <v>4218</v>
      </c>
      <c r="D52" s="548">
        <v>45674</v>
      </c>
      <c r="E52" s="306" t="s">
        <v>5660</v>
      </c>
      <c r="F52" s="306" t="s">
        <v>143</v>
      </c>
      <c r="H52" s="33" t="s">
        <v>279</v>
      </c>
      <c r="I52" s="312"/>
      <c r="J52" s="279"/>
      <c r="K52" s="279">
        <v>36650</v>
      </c>
      <c r="L52" s="312"/>
      <c r="T52" s="33" t="s">
        <v>4138</v>
      </c>
      <c r="U52" s="550">
        <v>0.26180555555555557</v>
      </c>
      <c r="V52" s="550">
        <v>0.96527777777777779</v>
      </c>
    </row>
    <row r="53" spans="1:22" s="504" customFormat="1" x14ac:dyDescent="0.25">
      <c r="A53" s="497">
        <v>18012025</v>
      </c>
      <c r="B53" s="504" t="s">
        <v>5507</v>
      </c>
      <c r="C53" s="499" t="s">
        <v>410</v>
      </c>
      <c r="D53" s="499">
        <v>45675</v>
      </c>
      <c r="E53" s="498" t="s">
        <v>5575</v>
      </c>
      <c r="F53" s="498" t="s">
        <v>2253</v>
      </c>
      <c r="H53" s="504" t="s">
        <v>279</v>
      </c>
      <c r="I53" s="313"/>
      <c r="J53" s="88"/>
      <c r="K53" s="506">
        <v>56333</v>
      </c>
      <c r="L53" s="505"/>
      <c r="N53"/>
      <c r="O53"/>
      <c r="T53" s="504" t="s">
        <v>5078</v>
      </c>
      <c r="U53" s="502">
        <v>0.27569444444444446</v>
      </c>
      <c r="V53" s="502">
        <v>0.5756944444444444</v>
      </c>
    </row>
    <row r="54" spans="1:22" s="504" customFormat="1" x14ac:dyDescent="0.25">
      <c r="A54" s="497">
        <v>18012025</v>
      </c>
      <c r="B54" s="504" t="s">
        <v>608</v>
      </c>
      <c r="C54" s="499" t="s">
        <v>4218</v>
      </c>
      <c r="D54" s="499">
        <v>45675</v>
      </c>
      <c r="E54" s="498" t="s">
        <v>5553</v>
      </c>
      <c r="F54" s="498" t="s">
        <v>236</v>
      </c>
      <c r="H54" s="504" t="s">
        <v>279</v>
      </c>
      <c r="I54" s="315"/>
      <c r="J54" s="195"/>
      <c r="K54" s="506">
        <v>58231</v>
      </c>
      <c r="L54" s="505"/>
      <c r="N54" s="196"/>
      <c r="O54" s="196"/>
      <c r="T54" s="504" t="s">
        <v>4365</v>
      </c>
      <c r="U54" s="502">
        <v>0.26944444444444443</v>
      </c>
      <c r="V54" s="502">
        <v>0.55486111111111114</v>
      </c>
    </row>
    <row r="55" spans="1:22" s="33" customFormat="1" x14ac:dyDescent="0.25">
      <c r="A55" s="547">
        <v>18012025</v>
      </c>
      <c r="B55" s="33" t="s">
        <v>614</v>
      </c>
      <c r="C55" s="548" t="s">
        <v>13</v>
      </c>
      <c r="D55" s="548">
        <v>45675</v>
      </c>
      <c r="E55" s="306" t="s">
        <v>5638</v>
      </c>
      <c r="F55" s="306" t="s">
        <v>207</v>
      </c>
      <c r="H55" s="33" t="s">
        <v>279</v>
      </c>
      <c r="I55" s="312"/>
      <c r="J55" s="279"/>
      <c r="K55" s="279">
        <v>41536</v>
      </c>
      <c r="L55" s="312"/>
      <c r="T55" s="33" t="s">
        <v>4138</v>
      </c>
      <c r="U55" s="550">
        <v>0.5395833333333333</v>
      </c>
      <c r="V55" s="550">
        <v>0.72430555555555554</v>
      </c>
    </row>
    <row r="56" spans="1:22" s="393" customFormat="1" x14ac:dyDescent="0.25">
      <c r="A56" s="581">
        <v>18012025</v>
      </c>
      <c r="B56" s="393" t="s">
        <v>2129</v>
      </c>
      <c r="C56" s="582" t="s">
        <v>410</v>
      </c>
      <c r="D56" s="582">
        <v>45675</v>
      </c>
      <c r="E56" s="174"/>
      <c r="F56" s="174" t="s">
        <v>236</v>
      </c>
      <c r="H56" s="393" t="s">
        <v>279</v>
      </c>
      <c r="I56" s="395"/>
      <c r="J56" s="396"/>
      <c r="K56" s="396">
        <v>62540</v>
      </c>
      <c r="L56" s="395"/>
      <c r="T56" s="393" t="s">
        <v>4983</v>
      </c>
      <c r="U56" s="584">
        <v>0.68402777777777779</v>
      </c>
      <c r="V56" s="584">
        <v>0.97222222222222221</v>
      </c>
    </row>
    <row r="57" spans="1:22" s="33" customFormat="1" x14ac:dyDescent="0.25">
      <c r="A57" s="547">
        <v>19012025</v>
      </c>
      <c r="B57" s="33" t="s">
        <v>3276</v>
      </c>
      <c r="C57" s="548" t="s">
        <v>4218</v>
      </c>
      <c r="D57" s="548">
        <v>45676</v>
      </c>
      <c r="E57" s="306" t="s">
        <v>5912</v>
      </c>
      <c r="F57" s="306" t="s">
        <v>294</v>
      </c>
      <c r="H57" s="33" t="s">
        <v>279</v>
      </c>
      <c r="I57" s="312"/>
      <c r="J57" s="279"/>
      <c r="K57" s="279">
        <v>39800</v>
      </c>
      <c r="L57" s="312"/>
      <c r="T57" s="33" t="s">
        <v>1644</v>
      </c>
      <c r="U57" s="550">
        <v>0.34861111111111115</v>
      </c>
      <c r="V57" s="550">
        <v>0.51666666666666672</v>
      </c>
    </row>
    <row r="58" spans="1:22" s="33" customFormat="1" x14ac:dyDescent="0.25">
      <c r="A58" s="547">
        <v>19012025</v>
      </c>
      <c r="B58" s="33" t="s">
        <v>875</v>
      </c>
      <c r="C58" s="548" t="s">
        <v>410</v>
      </c>
      <c r="D58" s="548">
        <v>45676</v>
      </c>
      <c r="E58" s="306" t="s">
        <v>5655</v>
      </c>
      <c r="F58" s="306" t="s">
        <v>2036</v>
      </c>
      <c r="H58" s="33" t="s">
        <v>279</v>
      </c>
      <c r="I58" s="312"/>
      <c r="J58" s="279"/>
      <c r="K58" s="279">
        <v>23500</v>
      </c>
      <c r="L58" s="312"/>
      <c r="T58" s="33" t="s">
        <v>5078</v>
      </c>
      <c r="U58" s="550">
        <v>0.38055555555555554</v>
      </c>
      <c r="V58" s="550">
        <v>0.50416666666666665</v>
      </c>
    </row>
    <row r="59" spans="1:22" s="504" customFormat="1" ht="15" customHeight="1" x14ac:dyDescent="0.25">
      <c r="A59" s="497">
        <v>20012025</v>
      </c>
      <c r="B59" s="504" t="s">
        <v>4515</v>
      </c>
      <c r="C59" s="499" t="s">
        <v>410</v>
      </c>
      <c r="D59" s="499">
        <v>45677</v>
      </c>
      <c r="E59" s="498" t="s">
        <v>5589</v>
      </c>
      <c r="F59" s="498" t="s">
        <v>5538</v>
      </c>
      <c r="H59" s="504" t="s">
        <v>279</v>
      </c>
      <c r="K59" s="505"/>
      <c r="L59" s="506">
        <v>12980</v>
      </c>
      <c r="T59" s="504" t="s">
        <v>4853</v>
      </c>
      <c r="U59" s="502">
        <v>0.56458333333333333</v>
      </c>
      <c r="V59" s="502">
        <v>0.84861111111111109</v>
      </c>
    </row>
    <row r="60" spans="1:22" s="504" customFormat="1" x14ac:dyDescent="0.25">
      <c r="A60" s="497">
        <v>20012025</v>
      </c>
      <c r="B60" s="504" t="s">
        <v>608</v>
      </c>
      <c r="C60" s="499" t="s">
        <v>4218</v>
      </c>
      <c r="D60" s="499">
        <v>45677</v>
      </c>
      <c r="E60" s="498" t="s">
        <v>5554</v>
      </c>
      <c r="F60" s="498" t="s">
        <v>236</v>
      </c>
      <c r="H60" s="504" t="s">
        <v>279</v>
      </c>
      <c r="I60" s="196"/>
      <c r="J60" s="196"/>
      <c r="K60" s="506">
        <v>58231</v>
      </c>
      <c r="L60" s="506"/>
      <c r="N60" s="196"/>
      <c r="O60" s="196"/>
      <c r="T60" s="504" t="s">
        <v>4138</v>
      </c>
      <c r="U60" s="502">
        <v>0.75277777777777777</v>
      </c>
      <c r="V60" s="502">
        <v>9.7222222222222224E-3</v>
      </c>
    </row>
    <row r="61" spans="1:22" s="926" customFormat="1" x14ac:dyDescent="0.25">
      <c r="A61" s="925">
        <v>21012025</v>
      </c>
      <c r="B61" s="926" t="s">
        <v>5913</v>
      </c>
      <c r="C61" s="927" t="s">
        <v>13</v>
      </c>
      <c r="D61" s="927">
        <v>45678</v>
      </c>
      <c r="E61" s="928"/>
      <c r="F61" s="928" t="s">
        <v>5914</v>
      </c>
      <c r="H61" s="926" t="s">
        <v>279</v>
      </c>
      <c r="K61" s="929">
        <v>30650</v>
      </c>
      <c r="L61" s="930"/>
      <c r="T61" s="926" t="s">
        <v>5026</v>
      </c>
      <c r="U61" s="931">
        <v>0.68333333333333324</v>
      </c>
      <c r="V61" s="931">
        <v>0.4055555555555555</v>
      </c>
    </row>
    <row r="62" spans="1:22" s="418" customFormat="1" x14ac:dyDescent="0.25">
      <c r="A62" s="624">
        <v>22012025</v>
      </c>
      <c r="B62" s="418" t="s">
        <v>5239</v>
      </c>
      <c r="C62" s="420" t="s">
        <v>410</v>
      </c>
      <c r="D62" s="602">
        <v>45679</v>
      </c>
      <c r="E62" s="420"/>
      <c r="F62" s="420" t="s">
        <v>207</v>
      </c>
      <c r="H62" s="418" t="s">
        <v>279</v>
      </c>
      <c r="K62" s="421">
        <v>35872</v>
      </c>
      <c r="L62" s="422"/>
      <c r="T62" s="418" t="s">
        <v>4365</v>
      </c>
      <c r="U62" s="604">
        <v>0.26319444444444445</v>
      </c>
      <c r="V62" s="604">
        <v>0.51250000000000007</v>
      </c>
    </row>
    <row r="63" spans="1:22" s="13" customFormat="1" hidden="1" x14ac:dyDescent="0.25">
      <c r="A63" s="586">
        <v>22012025</v>
      </c>
      <c r="B63" s="13" t="s">
        <v>930</v>
      </c>
      <c r="C63" s="587" t="s">
        <v>13</v>
      </c>
      <c r="D63" s="587">
        <v>45679</v>
      </c>
      <c r="E63" s="241"/>
      <c r="F63" s="241" t="s">
        <v>294</v>
      </c>
      <c r="K63" s="322"/>
      <c r="L63" s="180"/>
      <c r="T63" s="13" t="s">
        <v>5026</v>
      </c>
      <c r="U63" s="482">
        <v>0.44097222222222227</v>
      </c>
      <c r="V63" s="482">
        <v>0.48402777777777778</v>
      </c>
    </row>
    <row r="64" spans="1:22" s="504" customFormat="1" x14ac:dyDescent="0.25">
      <c r="A64" s="497">
        <v>22012025</v>
      </c>
      <c r="B64" s="504" t="s">
        <v>608</v>
      </c>
      <c r="C64" s="499" t="s">
        <v>4218</v>
      </c>
      <c r="D64" s="499">
        <v>45679</v>
      </c>
      <c r="E64" s="498" t="s">
        <v>5592</v>
      </c>
      <c r="F64" s="498" t="s">
        <v>236</v>
      </c>
      <c r="H64" s="504" t="s">
        <v>279</v>
      </c>
      <c r="I64" s="196"/>
      <c r="J64" s="196"/>
      <c r="K64" s="505">
        <v>58231</v>
      </c>
      <c r="L64" s="506"/>
      <c r="N64" s="196"/>
      <c r="O64" s="196"/>
      <c r="T64" s="504" t="s">
        <v>5506</v>
      </c>
      <c r="U64" s="502">
        <v>0.46319444444444446</v>
      </c>
      <c r="V64" s="502">
        <v>0.73125000000000007</v>
      </c>
    </row>
    <row r="65" spans="1:22" s="33" customFormat="1" hidden="1" x14ac:dyDescent="0.25">
      <c r="A65" s="547">
        <v>22012025</v>
      </c>
      <c r="B65" s="33" t="s">
        <v>930</v>
      </c>
      <c r="C65" s="306" t="s">
        <v>410</v>
      </c>
      <c r="D65" s="548">
        <v>45679</v>
      </c>
      <c r="E65" s="306" t="s">
        <v>5625</v>
      </c>
      <c r="F65" s="306" t="s">
        <v>294</v>
      </c>
      <c r="H65" s="33" t="s">
        <v>277</v>
      </c>
      <c r="K65" s="312">
        <v>24886</v>
      </c>
      <c r="L65" s="279"/>
      <c r="T65" s="33" t="s">
        <v>4911</v>
      </c>
      <c r="U65" s="550">
        <v>0.77638888888888891</v>
      </c>
      <c r="V65" s="550">
        <v>0.84861111111111109</v>
      </c>
    </row>
    <row r="66" spans="1:22" s="33" customFormat="1" x14ac:dyDescent="0.25">
      <c r="A66" s="547">
        <v>23012025</v>
      </c>
      <c r="B66" s="33" t="s">
        <v>5093</v>
      </c>
      <c r="C66" s="306" t="s">
        <v>4218</v>
      </c>
      <c r="D66" s="548">
        <v>45680</v>
      </c>
      <c r="E66" s="306" t="s">
        <v>5850</v>
      </c>
      <c r="F66" s="306" t="s">
        <v>5326</v>
      </c>
      <c r="H66" s="33" t="s">
        <v>279</v>
      </c>
      <c r="K66" s="312">
        <v>34500</v>
      </c>
      <c r="L66" s="279"/>
      <c r="T66" s="33" t="s">
        <v>5004</v>
      </c>
      <c r="U66" s="550">
        <v>0.2951388888888889</v>
      </c>
      <c r="V66" s="550">
        <v>0.51041666666666663</v>
      </c>
    </row>
    <row r="67" spans="1:22" s="33" customFormat="1" x14ac:dyDescent="0.25">
      <c r="A67" s="547">
        <v>24012025</v>
      </c>
      <c r="B67" s="33" t="s">
        <v>614</v>
      </c>
      <c r="C67" s="306" t="s">
        <v>410</v>
      </c>
      <c r="D67" s="548">
        <v>45681</v>
      </c>
      <c r="E67" s="306" t="s">
        <v>5655</v>
      </c>
      <c r="F67" s="306" t="s">
        <v>285</v>
      </c>
      <c r="H67" s="33" t="s">
        <v>279</v>
      </c>
      <c r="K67" s="312">
        <v>51920</v>
      </c>
      <c r="L67" s="279"/>
      <c r="T67" s="33" t="s">
        <v>4140</v>
      </c>
      <c r="U67" s="550">
        <v>0.34791666666666665</v>
      </c>
      <c r="V67" s="550">
        <v>0.61111111111111105</v>
      </c>
    </row>
    <row r="68" spans="1:22" s="1115" customFormat="1" x14ac:dyDescent="0.25">
      <c r="A68" s="1114">
        <v>24012025</v>
      </c>
      <c r="B68" s="1115" t="s">
        <v>4849</v>
      </c>
      <c r="C68" s="1116" t="s">
        <v>4218</v>
      </c>
      <c r="D68" s="1117">
        <v>45681</v>
      </c>
      <c r="E68" s="1116"/>
      <c r="F68" s="1116" t="s">
        <v>2008</v>
      </c>
      <c r="H68" s="1115" t="s">
        <v>279</v>
      </c>
      <c r="K68" s="1119">
        <v>47250</v>
      </c>
      <c r="L68" s="1118"/>
      <c r="T68" s="1115" t="s">
        <v>4867</v>
      </c>
      <c r="U68" s="1121">
        <v>0.42430555555555555</v>
      </c>
      <c r="V68" s="1121">
        <v>0.68333333333333324</v>
      </c>
    </row>
    <row r="69" spans="1:22" s="33" customFormat="1" x14ac:dyDescent="0.25">
      <c r="A69" s="547">
        <v>24012025</v>
      </c>
      <c r="B69" s="33" t="s">
        <v>875</v>
      </c>
      <c r="C69" s="306" t="s">
        <v>13</v>
      </c>
      <c r="D69" s="548">
        <v>45681</v>
      </c>
      <c r="E69" s="306" t="s">
        <v>5655</v>
      </c>
      <c r="F69" s="306" t="s">
        <v>2036</v>
      </c>
      <c r="H69" s="33" t="s">
        <v>279</v>
      </c>
      <c r="K69" s="312">
        <v>23500</v>
      </c>
      <c r="L69" s="279"/>
      <c r="T69" s="33" t="s">
        <v>2050</v>
      </c>
      <c r="U69" s="550">
        <v>0.57847222222222217</v>
      </c>
      <c r="V69" s="550">
        <v>0.76874999999999993</v>
      </c>
    </row>
    <row r="70" spans="1:22" s="33" customFormat="1" x14ac:dyDescent="0.25">
      <c r="A70" s="547">
        <v>25012025</v>
      </c>
      <c r="B70" s="33" t="s">
        <v>614</v>
      </c>
      <c r="C70" s="306" t="s">
        <v>410</v>
      </c>
      <c r="D70" s="548">
        <v>45682</v>
      </c>
      <c r="E70" s="306" t="s">
        <v>5638</v>
      </c>
      <c r="F70" s="306" t="s">
        <v>425</v>
      </c>
      <c r="H70" s="33" t="s">
        <v>279</v>
      </c>
      <c r="K70" s="312">
        <v>39459.199999999997</v>
      </c>
      <c r="L70" s="279"/>
      <c r="T70" s="33" t="s">
        <v>5004</v>
      </c>
      <c r="U70" s="550">
        <v>0.71666666666666667</v>
      </c>
      <c r="V70" s="550">
        <v>0.91319444444444453</v>
      </c>
    </row>
    <row r="71" spans="1:22" s="33" customFormat="1" x14ac:dyDescent="0.25">
      <c r="A71" s="547">
        <v>27012025</v>
      </c>
      <c r="B71" s="33" t="s">
        <v>612</v>
      </c>
      <c r="C71" s="306" t="s">
        <v>13</v>
      </c>
      <c r="D71" s="548">
        <v>45684</v>
      </c>
      <c r="E71" s="306" t="s">
        <v>5686</v>
      </c>
      <c r="F71" s="306" t="s">
        <v>113</v>
      </c>
      <c r="H71" s="33" t="s">
        <v>279</v>
      </c>
      <c r="K71" s="312">
        <v>35671</v>
      </c>
      <c r="L71" s="279"/>
      <c r="T71" s="33" t="s">
        <v>4140</v>
      </c>
      <c r="U71" s="550">
        <v>0.54097222222222219</v>
      </c>
      <c r="V71" s="550">
        <v>0.74236111111111114</v>
      </c>
    </row>
    <row r="72" spans="1:22" s="504" customFormat="1" x14ac:dyDescent="0.25">
      <c r="A72" s="497">
        <v>28012025</v>
      </c>
      <c r="B72" s="504" t="s">
        <v>610</v>
      </c>
      <c r="C72" s="498" t="s">
        <v>13</v>
      </c>
      <c r="D72" s="499">
        <v>45685</v>
      </c>
      <c r="E72" s="498" t="s">
        <v>5599</v>
      </c>
      <c r="F72" s="498" t="s">
        <v>106</v>
      </c>
      <c r="H72" s="504" t="s">
        <v>279</v>
      </c>
      <c r="K72" s="505">
        <v>29770</v>
      </c>
      <c r="L72" s="506"/>
      <c r="T72" s="504" t="s">
        <v>4417</v>
      </c>
      <c r="U72" s="502">
        <v>0.45833333333333331</v>
      </c>
      <c r="V72" s="502">
        <v>0.62777777777777777</v>
      </c>
    </row>
    <row r="73" spans="1:22" s="33" customFormat="1" x14ac:dyDescent="0.25">
      <c r="A73" s="547">
        <v>29012025</v>
      </c>
      <c r="B73" s="33" t="s">
        <v>5600</v>
      </c>
      <c r="C73" s="306" t="s">
        <v>4218</v>
      </c>
      <c r="D73" s="548">
        <v>45686</v>
      </c>
      <c r="E73" s="306" t="s">
        <v>5659</v>
      </c>
      <c r="F73" s="306" t="s">
        <v>143</v>
      </c>
      <c r="H73" s="33" t="s">
        <v>279</v>
      </c>
      <c r="K73" s="312">
        <v>36650</v>
      </c>
      <c r="L73" s="279"/>
      <c r="T73" s="33" t="s">
        <v>5026</v>
      </c>
      <c r="U73" s="550">
        <v>0.91180555555555554</v>
      </c>
      <c r="V73" s="550">
        <v>0.1125</v>
      </c>
    </row>
    <row r="74" spans="1:22" s="33" customFormat="1" x14ac:dyDescent="0.25">
      <c r="A74" s="547">
        <v>29012025</v>
      </c>
      <c r="B74" s="33" t="s">
        <v>614</v>
      </c>
      <c r="C74" s="306" t="s">
        <v>13</v>
      </c>
      <c r="D74" s="548">
        <v>45686</v>
      </c>
      <c r="E74" s="306" t="s">
        <v>5638</v>
      </c>
      <c r="F74" s="306" t="s">
        <v>3413</v>
      </c>
      <c r="H74" s="33" t="s">
        <v>279</v>
      </c>
      <c r="K74" s="312">
        <v>31152</v>
      </c>
      <c r="L74" s="279"/>
      <c r="T74" s="33" t="s">
        <v>5021</v>
      </c>
      <c r="U74" s="550">
        <v>0.34375</v>
      </c>
      <c r="V74" s="550">
        <v>0.4861111111111111</v>
      </c>
    </row>
    <row r="75" spans="1:22" s="33" customFormat="1" x14ac:dyDescent="0.25">
      <c r="A75" s="547">
        <v>29012025</v>
      </c>
      <c r="B75" s="33" t="s">
        <v>3276</v>
      </c>
      <c r="C75" s="306" t="s">
        <v>4218</v>
      </c>
      <c r="D75" s="548">
        <v>45686</v>
      </c>
      <c r="E75" s="306" t="s">
        <v>5915</v>
      </c>
      <c r="F75" s="306" t="s">
        <v>872</v>
      </c>
      <c r="H75" s="33" t="s">
        <v>279</v>
      </c>
      <c r="K75" s="312">
        <v>39800</v>
      </c>
      <c r="L75" s="279"/>
      <c r="T75" s="33" t="s">
        <v>1506</v>
      </c>
      <c r="U75" s="550">
        <v>0.45</v>
      </c>
      <c r="V75" s="550">
        <v>0.62777777777777777</v>
      </c>
    </row>
    <row r="76" spans="1:22" s="504" customFormat="1" x14ac:dyDescent="0.25">
      <c r="A76" s="497">
        <v>29012025</v>
      </c>
      <c r="B76" s="504" t="s">
        <v>1720</v>
      </c>
      <c r="C76" s="498" t="s">
        <v>13</v>
      </c>
      <c r="D76" s="499">
        <v>45686</v>
      </c>
      <c r="E76" s="498" t="s">
        <v>5663</v>
      </c>
      <c r="F76" s="498" t="s">
        <v>545</v>
      </c>
      <c r="H76" s="504" t="s">
        <v>279</v>
      </c>
      <c r="K76" s="505">
        <v>33135</v>
      </c>
      <c r="L76" s="506"/>
      <c r="T76" s="504" t="s">
        <v>5021</v>
      </c>
      <c r="U76" s="502">
        <v>0.56597222222222221</v>
      </c>
      <c r="V76" s="502">
        <v>0.78055555555555556</v>
      </c>
    </row>
    <row r="77" spans="1:22" s="504" customFormat="1" hidden="1" x14ac:dyDescent="0.25">
      <c r="A77" s="497">
        <v>29012025</v>
      </c>
      <c r="B77" s="504" t="s">
        <v>1720</v>
      </c>
      <c r="C77" s="498" t="s">
        <v>4218</v>
      </c>
      <c r="D77" s="499">
        <v>45686</v>
      </c>
      <c r="E77" s="498" t="s">
        <v>5662</v>
      </c>
      <c r="F77" s="498" t="s">
        <v>545</v>
      </c>
      <c r="H77" s="504" t="s">
        <v>277</v>
      </c>
      <c r="K77" s="505">
        <v>23650</v>
      </c>
      <c r="L77" s="506"/>
      <c r="T77" s="504" t="s">
        <v>5020</v>
      </c>
      <c r="U77" s="502">
        <v>0.74236111111111114</v>
      </c>
      <c r="V77" s="502">
        <v>0.86388888888888893</v>
      </c>
    </row>
    <row r="78" spans="1:22" s="33" customFormat="1" x14ac:dyDescent="0.25">
      <c r="A78" s="547">
        <v>30012025</v>
      </c>
      <c r="B78" s="33" t="s">
        <v>614</v>
      </c>
      <c r="C78" s="306" t="s">
        <v>4218</v>
      </c>
      <c r="D78" s="548">
        <v>45687</v>
      </c>
      <c r="E78" s="306" t="s">
        <v>5638</v>
      </c>
      <c r="F78" s="306" t="s">
        <v>113</v>
      </c>
      <c r="H78" s="33" t="s">
        <v>279</v>
      </c>
      <c r="K78" s="312">
        <v>44651.199999999997</v>
      </c>
      <c r="L78" s="279"/>
      <c r="T78" s="33" t="s">
        <v>4138</v>
      </c>
      <c r="U78" s="550">
        <v>0.46111111111111108</v>
      </c>
      <c r="V78" s="550">
        <v>0.64861111111111114</v>
      </c>
    </row>
    <row r="79" spans="1:22" s="33" customFormat="1" x14ac:dyDescent="0.25">
      <c r="A79" s="547">
        <v>30012025</v>
      </c>
      <c r="B79" s="33" t="s">
        <v>614</v>
      </c>
      <c r="C79" s="306" t="s">
        <v>13</v>
      </c>
      <c r="D79" s="548">
        <v>45687</v>
      </c>
      <c r="E79" s="306" t="s">
        <v>5638</v>
      </c>
      <c r="F79" s="306" t="s">
        <v>1931</v>
      </c>
      <c r="H79" s="33" t="s">
        <v>279</v>
      </c>
      <c r="K79" s="312">
        <v>62304</v>
      </c>
      <c r="L79" s="279"/>
      <c r="T79" s="33" t="s">
        <v>5026</v>
      </c>
      <c r="U79" s="550">
        <v>0.62430555555555556</v>
      </c>
      <c r="V79" s="550">
        <v>0.94374999999999998</v>
      </c>
    </row>
    <row r="80" spans="1:22" s="33" customFormat="1" x14ac:dyDescent="0.25">
      <c r="A80" s="547">
        <v>31012025</v>
      </c>
      <c r="B80" s="33" t="s">
        <v>586</v>
      </c>
      <c r="C80" s="306" t="s">
        <v>4218</v>
      </c>
      <c r="D80" s="548">
        <v>45688</v>
      </c>
      <c r="E80" s="306" t="s">
        <v>5657</v>
      </c>
      <c r="F80" s="306" t="s">
        <v>545</v>
      </c>
      <c r="H80" s="33" t="s">
        <v>279</v>
      </c>
      <c r="K80" s="312">
        <v>31000</v>
      </c>
      <c r="L80" s="279"/>
      <c r="T80" s="33" t="s">
        <v>5021</v>
      </c>
      <c r="U80" s="550">
        <v>0.29236111111111113</v>
      </c>
      <c r="V80" s="550">
        <v>0.46875</v>
      </c>
    </row>
    <row r="81" spans="1:22" s="33" customFormat="1" x14ac:dyDescent="0.25">
      <c r="A81" s="547">
        <v>31012025</v>
      </c>
      <c r="B81" s="33" t="s">
        <v>614</v>
      </c>
      <c r="C81" s="306" t="s">
        <v>13</v>
      </c>
      <c r="D81" s="548">
        <v>45688</v>
      </c>
      <c r="E81" s="306" t="s">
        <v>5638</v>
      </c>
      <c r="F81" s="306" t="s">
        <v>872</v>
      </c>
      <c r="H81" s="33" t="s">
        <v>279</v>
      </c>
      <c r="K81" s="312">
        <v>44651.199999999997</v>
      </c>
      <c r="L81" s="279"/>
      <c r="T81" s="33" t="s">
        <v>5020</v>
      </c>
      <c r="U81" s="550">
        <v>0.35833333333333334</v>
      </c>
      <c r="V81" s="550">
        <v>0.65</v>
      </c>
    </row>
    <row r="82" spans="1:22" s="33" customFormat="1" x14ac:dyDescent="0.25">
      <c r="A82" s="547">
        <v>31012025</v>
      </c>
      <c r="B82" s="33" t="s">
        <v>614</v>
      </c>
      <c r="C82" s="306" t="s">
        <v>410</v>
      </c>
      <c r="D82" s="548">
        <v>45688</v>
      </c>
      <c r="E82" s="306" t="s">
        <v>5638</v>
      </c>
      <c r="F82" s="306" t="s">
        <v>2253</v>
      </c>
      <c r="H82" s="33" t="s">
        <v>279</v>
      </c>
      <c r="K82" s="312">
        <v>62304</v>
      </c>
      <c r="L82" s="279"/>
      <c r="T82" s="33" t="s">
        <v>4138</v>
      </c>
      <c r="U82" s="550">
        <v>0.54513888888888895</v>
      </c>
      <c r="V82" s="550">
        <v>0.86388888888888893</v>
      </c>
    </row>
    <row r="83" spans="1:22" s="504" customFormat="1" x14ac:dyDescent="0.25">
      <c r="A83" s="497">
        <v>31012025</v>
      </c>
      <c r="B83" s="504" t="s">
        <v>2407</v>
      </c>
      <c r="C83" s="498" t="s">
        <v>4218</v>
      </c>
      <c r="D83" s="499">
        <v>45688</v>
      </c>
      <c r="E83" s="498" t="s">
        <v>5916</v>
      </c>
      <c r="F83" s="498" t="s">
        <v>207</v>
      </c>
      <c r="H83" s="504" t="s">
        <v>279</v>
      </c>
      <c r="K83" s="505"/>
      <c r="L83" s="506">
        <v>9440</v>
      </c>
      <c r="T83" s="504" t="s">
        <v>5021</v>
      </c>
      <c r="U83" s="502">
        <v>0.52430555555555558</v>
      </c>
      <c r="V83" s="502">
        <v>0.73749999999999993</v>
      </c>
    </row>
    <row r="84" spans="1:22" hidden="1" x14ac:dyDescent="0.25">
      <c r="D84" s="233"/>
    </row>
    <row r="85" spans="1:22" hidden="1" x14ac:dyDescent="0.25">
      <c r="D85" s="233"/>
    </row>
    <row r="86" spans="1:22" hidden="1" x14ac:dyDescent="0.25">
      <c r="D86" s="233"/>
    </row>
    <row r="87" spans="1:22" hidden="1" x14ac:dyDescent="0.25">
      <c r="D87" s="233"/>
    </row>
    <row r="88" spans="1:22" hidden="1" x14ac:dyDescent="0.25">
      <c r="D88" s="233"/>
    </row>
    <row r="89" spans="1:22" hidden="1" x14ac:dyDescent="0.25">
      <c r="A89" s="483"/>
      <c r="C89" s="233"/>
      <c r="D89" s="233"/>
      <c r="I89" s="313"/>
      <c r="J89" s="88"/>
      <c r="K89" s="88"/>
      <c r="L89" s="313"/>
      <c r="U89" s="368"/>
      <c r="V89" s="360"/>
    </row>
    <row r="90" spans="1:22" hidden="1" x14ac:dyDescent="0.25">
      <c r="A90" s="483"/>
      <c r="C90" s="233"/>
      <c r="D90" s="233"/>
      <c r="I90" s="313"/>
      <c r="J90" s="88"/>
      <c r="K90" s="88"/>
      <c r="L90" s="322"/>
      <c r="T90" s="158"/>
      <c r="U90" s="368"/>
      <c r="V90" s="360"/>
    </row>
    <row r="91" spans="1:22" hidden="1" x14ac:dyDescent="0.25">
      <c r="A91" s="483"/>
      <c r="C91" s="233"/>
      <c r="D91" s="233"/>
      <c r="I91" s="313"/>
      <c r="J91" s="88"/>
      <c r="K91" s="88"/>
      <c r="M91" s="313"/>
      <c r="U91" s="360"/>
      <c r="V91" s="360"/>
    </row>
    <row r="92" spans="1:22" ht="15.75" hidden="1" thickBot="1" x14ac:dyDescent="0.3">
      <c r="A92" s="483"/>
      <c r="C92" s="233"/>
      <c r="D92" s="233"/>
      <c r="I92" s="313"/>
      <c r="J92" s="88"/>
      <c r="K92" s="242">
        <f>SUM(K2:K91)</f>
        <v>2914550.6900000004</v>
      </c>
      <c r="L92" s="242">
        <f>SUM(L2:L91)</f>
        <v>43131</v>
      </c>
      <c r="U92" s="360"/>
      <c r="V92" s="360"/>
    </row>
    <row r="93" spans="1:22" hidden="1" x14ac:dyDescent="0.25">
      <c r="A93" s="483"/>
      <c r="C93" s="233"/>
      <c r="D93" s="233"/>
      <c r="I93" s="313"/>
      <c r="J93" s="88"/>
      <c r="K93" s="447"/>
      <c r="L93" s="447"/>
      <c r="U93" s="360"/>
      <c r="V93" s="360"/>
    </row>
    <row r="94" spans="1:22" hidden="1" x14ac:dyDescent="0.25">
      <c r="A94" s="483"/>
      <c r="C94" s="233"/>
      <c r="D94" s="233"/>
      <c r="I94" s="313"/>
      <c r="J94" s="88"/>
      <c r="K94" s="88"/>
      <c r="L94" s="313"/>
      <c r="U94" s="360"/>
      <c r="V94" s="360"/>
    </row>
    <row r="95" spans="1:22" hidden="1" x14ac:dyDescent="0.25">
      <c r="A95" s="483"/>
      <c r="C95" s="233"/>
      <c r="D95" s="233"/>
      <c r="I95" s="313"/>
      <c r="J95" s="88"/>
      <c r="K95" s="88"/>
      <c r="L95" s="313"/>
      <c r="U95" s="360"/>
      <c r="V95" s="360"/>
    </row>
    <row r="96" spans="1:22" hidden="1" x14ac:dyDescent="0.25">
      <c r="A96" s="483"/>
      <c r="C96" s="233"/>
      <c r="D96" s="233"/>
      <c r="I96" s="313"/>
      <c r="J96" s="88"/>
      <c r="K96" s="88"/>
      <c r="L96" s="313"/>
      <c r="U96" s="360"/>
      <c r="V96" s="360"/>
    </row>
    <row r="97" spans="1:22" s="926" customFormat="1" x14ac:dyDescent="0.25">
      <c r="A97" s="925" t="s">
        <v>5602</v>
      </c>
      <c r="B97" s="926" t="s">
        <v>930</v>
      </c>
      <c r="C97" s="928" t="s">
        <v>13</v>
      </c>
      <c r="D97" s="927">
        <v>45689</v>
      </c>
      <c r="E97" s="928" t="s">
        <v>5704</v>
      </c>
      <c r="F97" s="928" t="s">
        <v>294</v>
      </c>
      <c r="H97" s="926" t="s">
        <v>279</v>
      </c>
      <c r="K97" s="929">
        <v>33182</v>
      </c>
      <c r="L97" s="930"/>
      <c r="T97" s="926" t="s">
        <v>4911</v>
      </c>
      <c r="U97" s="931">
        <v>0.29791666666666666</v>
      </c>
      <c r="V97" s="931">
        <v>0.48888888888888887</v>
      </c>
    </row>
    <row r="98" spans="1:22" s="33" customFormat="1" x14ac:dyDescent="0.25">
      <c r="A98" s="547" t="s">
        <v>5602</v>
      </c>
      <c r="B98" s="33" t="s">
        <v>2303</v>
      </c>
      <c r="C98" s="306" t="s">
        <v>410</v>
      </c>
      <c r="D98" s="548">
        <v>45689</v>
      </c>
      <c r="E98" s="306" t="s">
        <v>5917</v>
      </c>
      <c r="F98" s="306" t="s">
        <v>5603</v>
      </c>
      <c r="H98" s="33" t="s">
        <v>279</v>
      </c>
      <c r="K98" s="312">
        <v>48427.199999999997</v>
      </c>
      <c r="L98" s="279"/>
      <c r="T98" s="33" t="s">
        <v>5026</v>
      </c>
      <c r="U98" s="550">
        <v>0.42152777777777778</v>
      </c>
      <c r="V98" s="550">
        <v>0.74583333333333324</v>
      </c>
    </row>
    <row r="99" spans="1:22" s="1115" customFormat="1" x14ac:dyDescent="0.25">
      <c r="A99" s="1114" t="s">
        <v>5604</v>
      </c>
      <c r="B99" s="1115" t="s">
        <v>4662</v>
      </c>
      <c r="C99" s="1116" t="s">
        <v>410</v>
      </c>
      <c r="D99" s="1117">
        <v>45690</v>
      </c>
      <c r="E99" s="1116"/>
      <c r="F99" s="1116" t="s">
        <v>5605</v>
      </c>
      <c r="H99" s="1115" t="s">
        <v>279</v>
      </c>
      <c r="K99" s="1119">
        <v>55600</v>
      </c>
      <c r="L99" s="1118"/>
      <c r="T99" s="1115" t="s">
        <v>4417</v>
      </c>
      <c r="U99" s="1121">
        <v>0.29583333333333334</v>
      </c>
      <c r="V99" s="1121">
        <v>0.70486111111111116</v>
      </c>
    </row>
    <row r="100" spans="1:22" s="1115" customFormat="1" x14ac:dyDescent="0.25">
      <c r="A100" s="1114" t="s">
        <v>5604</v>
      </c>
      <c r="B100" s="1115" t="s">
        <v>4662</v>
      </c>
      <c r="C100" s="1116" t="s">
        <v>13</v>
      </c>
      <c r="D100" s="1117">
        <v>45690</v>
      </c>
      <c r="E100" s="1116"/>
      <c r="F100" s="1116" t="s">
        <v>5605</v>
      </c>
      <c r="H100" s="1115" t="s">
        <v>279</v>
      </c>
      <c r="K100" s="1119">
        <v>55600</v>
      </c>
      <c r="L100" s="1118"/>
      <c r="T100" s="1115" t="s">
        <v>4853</v>
      </c>
      <c r="U100" s="1121">
        <v>0.38263888888888892</v>
      </c>
      <c r="V100" s="1121">
        <v>0.7909722222222223</v>
      </c>
    </row>
    <row r="101" spans="1:22" s="504" customFormat="1" x14ac:dyDescent="0.25">
      <c r="A101" s="497" t="s">
        <v>5604</v>
      </c>
      <c r="B101" s="504" t="s">
        <v>614</v>
      </c>
      <c r="C101" s="498" t="s">
        <v>4218</v>
      </c>
      <c r="D101" s="499">
        <v>45690</v>
      </c>
      <c r="E101" s="498" t="s">
        <v>5638</v>
      </c>
      <c r="F101" s="498" t="s">
        <v>106</v>
      </c>
      <c r="H101" s="504" t="s">
        <v>279</v>
      </c>
      <c r="K101" s="505">
        <v>31152</v>
      </c>
      <c r="L101" s="506"/>
      <c r="T101" s="504" t="s">
        <v>5131</v>
      </c>
      <c r="U101" s="502">
        <v>0.42569444444444443</v>
      </c>
      <c r="V101" s="502">
        <v>0.58472222222222225</v>
      </c>
    </row>
    <row r="102" spans="1:22" s="504" customFormat="1" x14ac:dyDescent="0.25">
      <c r="A102" s="497" t="s">
        <v>5604</v>
      </c>
      <c r="B102" s="504" t="s">
        <v>611</v>
      </c>
      <c r="C102" s="498" t="s">
        <v>4218</v>
      </c>
      <c r="D102" s="499">
        <v>45690</v>
      </c>
      <c r="E102" s="498" t="s">
        <v>5682</v>
      </c>
      <c r="F102" s="498" t="s">
        <v>143</v>
      </c>
      <c r="H102" s="504" t="s">
        <v>279</v>
      </c>
      <c r="K102" s="506">
        <v>36700</v>
      </c>
      <c r="L102" s="506"/>
      <c r="T102" s="504" t="s">
        <v>4853</v>
      </c>
      <c r="U102" s="502">
        <v>0.63611111111111118</v>
      </c>
      <c r="V102" s="502">
        <v>0.86249999999999993</v>
      </c>
    </row>
    <row r="103" spans="1:22" s="504" customFormat="1" x14ac:dyDescent="0.25">
      <c r="A103" s="497" t="s">
        <v>5606</v>
      </c>
      <c r="B103" s="504" t="s">
        <v>610</v>
      </c>
      <c r="C103" s="498" t="s">
        <v>410</v>
      </c>
      <c r="D103" s="499">
        <v>45691</v>
      </c>
      <c r="E103" s="498" t="s">
        <v>5615</v>
      </c>
      <c r="F103" s="498" t="s">
        <v>106</v>
      </c>
      <c r="H103" s="504" t="s">
        <v>279</v>
      </c>
      <c r="K103" s="505">
        <v>29770</v>
      </c>
      <c r="L103" s="506"/>
      <c r="T103" s="504" t="s">
        <v>5393</v>
      </c>
      <c r="U103" s="502">
        <v>0.35902777777777778</v>
      </c>
      <c r="V103" s="502">
        <v>0.54722222222222217</v>
      </c>
    </row>
    <row r="104" spans="1:22" s="504" customFormat="1" x14ac:dyDescent="0.25">
      <c r="A104" s="497" t="s">
        <v>5606</v>
      </c>
      <c r="B104" s="504" t="s">
        <v>614</v>
      </c>
      <c r="C104" s="498" t="s">
        <v>13</v>
      </c>
      <c r="D104" s="499">
        <v>45691</v>
      </c>
      <c r="E104" s="498" t="s">
        <v>5638</v>
      </c>
      <c r="F104" s="498" t="s">
        <v>126</v>
      </c>
      <c r="H104" s="504" t="s">
        <v>279</v>
      </c>
      <c r="K104" s="505">
        <v>43612.800000000003</v>
      </c>
      <c r="L104" s="506"/>
      <c r="T104" s="504" t="s">
        <v>4911</v>
      </c>
      <c r="U104" s="502">
        <v>0.4916666666666667</v>
      </c>
      <c r="V104" s="502">
        <v>0.6694444444444444</v>
      </c>
    </row>
    <row r="105" spans="1:22" s="33" customFormat="1" x14ac:dyDescent="0.25">
      <c r="A105" s="547" t="s">
        <v>5607</v>
      </c>
      <c r="B105" s="33" t="s">
        <v>5608</v>
      </c>
      <c r="C105" s="306" t="s">
        <v>13</v>
      </c>
      <c r="D105" s="548">
        <v>45692</v>
      </c>
      <c r="E105" s="306" t="s">
        <v>5761</v>
      </c>
      <c r="F105" s="306" t="s">
        <v>113</v>
      </c>
      <c r="H105" s="33" t="s">
        <v>279</v>
      </c>
      <c r="K105" s="312">
        <v>41181</v>
      </c>
      <c r="L105" s="279"/>
      <c r="T105" s="33" t="s">
        <v>4911</v>
      </c>
      <c r="U105" s="550">
        <v>0.51041666666666663</v>
      </c>
      <c r="V105" s="550">
        <v>0.58611111111111114</v>
      </c>
    </row>
    <row r="106" spans="1:22" s="926" customFormat="1" x14ac:dyDescent="0.25">
      <c r="A106" s="925" t="s">
        <v>5607</v>
      </c>
      <c r="B106" s="926" t="s">
        <v>930</v>
      </c>
      <c r="C106" s="928" t="s">
        <v>13</v>
      </c>
      <c r="D106" s="927">
        <v>45692</v>
      </c>
      <c r="E106" s="928" t="s">
        <v>5705</v>
      </c>
      <c r="F106" s="928" t="s">
        <v>294</v>
      </c>
      <c r="H106" s="926" t="s">
        <v>279</v>
      </c>
      <c r="K106" s="929">
        <v>33182</v>
      </c>
      <c r="L106" s="930"/>
      <c r="T106" s="926" t="s">
        <v>4853</v>
      </c>
      <c r="U106" s="931">
        <v>0.51111111111111118</v>
      </c>
      <c r="V106" s="931">
        <v>0.73888888888888893</v>
      </c>
    </row>
    <row r="107" spans="1:22" s="504" customFormat="1" hidden="1" x14ac:dyDescent="0.25">
      <c r="A107" s="497" t="s">
        <v>5607</v>
      </c>
      <c r="B107" s="504" t="s">
        <v>1720</v>
      </c>
      <c r="C107" s="498" t="s">
        <v>410</v>
      </c>
      <c r="D107" s="499">
        <v>45692</v>
      </c>
      <c r="E107" s="498" t="s">
        <v>5664</v>
      </c>
      <c r="F107" s="498" t="s">
        <v>545</v>
      </c>
      <c r="H107" s="504" t="s">
        <v>277</v>
      </c>
      <c r="K107" s="505">
        <v>23650</v>
      </c>
      <c r="L107" s="506"/>
      <c r="T107" s="504" t="s">
        <v>4853</v>
      </c>
      <c r="U107" s="502">
        <v>0.77986111111111101</v>
      </c>
      <c r="V107" s="502">
        <v>0.9243055555555556</v>
      </c>
    </row>
    <row r="108" spans="1:22" s="33" customFormat="1" x14ac:dyDescent="0.25">
      <c r="A108" s="547" t="s">
        <v>5611</v>
      </c>
      <c r="B108" s="33" t="s">
        <v>614</v>
      </c>
      <c r="C108" s="306" t="s">
        <v>410</v>
      </c>
      <c r="D108" s="548">
        <v>45693</v>
      </c>
      <c r="E108" s="306" t="s">
        <v>5918</v>
      </c>
      <c r="F108" s="306" t="s">
        <v>236</v>
      </c>
      <c r="H108" s="33" t="s">
        <v>279</v>
      </c>
      <c r="K108" s="312">
        <v>62304</v>
      </c>
      <c r="L108" s="279"/>
      <c r="T108" s="33" t="s">
        <v>5020</v>
      </c>
      <c r="U108" s="550">
        <v>0.25069444444444444</v>
      </c>
      <c r="V108" s="550">
        <v>0.55763888888888891</v>
      </c>
    </row>
    <row r="109" spans="1:22" s="926" customFormat="1" x14ac:dyDescent="0.25">
      <c r="A109" s="925" t="s">
        <v>5611</v>
      </c>
      <c r="B109" s="926" t="s">
        <v>5612</v>
      </c>
      <c r="C109" s="928" t="s">
        <v>13</v>
      </c>
      <c r="D109" s="927">
        <v>45693</v>
      </c>
      <c r="E109" s="928" t="s">
        <v>5644</v>
      </c>
      <c r="F109" s="928" t="s">
        <v>1931</v>
      </c>
      <c r="H109" s="926" t="s">
        <v>279</v>
      </c>
      <c r="K109" s="932">
        <v>55224</v>
      </c>
      <c r="L109" s="930"/>
      <c r="T109" s="926" t="s">
        <v>2050</v>
      </c>
      <c r="U109" s="931">
        <v>0.32569444444444445</v>
      </c>
      <c r="V109" s="931">
        <v>0.62569444444444444</v>
      </c>
    </row>
    <row r="110" spans="1:22" s="33" customFormat="1" x14ac:dyDescent="0.25">
      <c r="A110" s="547" t="s">
        <v>5611</v>
      </c>
      <c r="B110" s="33" t="s">
        <v>3083</v>
      </c>
      <c r="C110" s="306" t="s">
        <v>410</v>
      </c>
      <c r="D110" s="548">
        <v>45693</v>
      </c>
      <c r="E110" s="306" t="s">
        <v>5808</v>
      </c>
      <c r="F110" s="306" t="s">
        <v>2253</v>
      </c>
      <c r="H110" s="33" t="s">
        <v>279</v>
      </c>
      <c r="K110" s="933">
        <v>58824</v>
      </c>
      <c r="L110" s="279"/>
      <c r="T110" s="33" t="s">
        <v>5078</v>
      </c>
      <c r="U110" s="432">
        <v>15.29</v>
      </c>
      <c r="V110" s="550">
        <v>0.96319444444444446</v>
      </c>
    </row>
    <row r="111" spans="1:22" s="33" customFormat="1" x14ac:dyDescent="0.25">
      <c r="A111" s="547" t="s">
        <v>5613</v>
      </c>
      <c r="B111" s="33" t="s">
        <v>614</v>
      </c>
      <c r="C111" s="306" t="s">
        <v>410</v>
      </c>
      <c r="D111" s="548">
        <v>45694</v>
      </c>
      <c r="E111" s="306" t="s">
        <v>5918</v>
      </c>
      <c r="F111" s="306" t="s">
        <v>68</v>
      </c>
      <c r="H111" s="33" t="s">
        <v>279</v>
      </c>
      <c r="K111" s="933">
        <v>49843.199999999997</v>
      </c>
      <c r="L111" s="279"/>
      <c r="T111" s="33" t="s">
        <v>4853</v>
      </c>
      <c r="U111" s="550">
        <v>0.2951388888888889</v>
      </c>
      <c r="V111" s="550">
        <v>0.57708333333333328</v>
      </c>
    </row>
    <row r="112" spans="1:22" s="504" customFormat="1" x14ac:dyDescent="0.25">
      <c r="A112" s="497" t="s">
        <v>5634</v>
      </c>
      <c r="B112" s="504" t="s">
        <v>608</v>
      </c>
      <c r="C112" s="498" t="s">
        <v>4218</v>
      </c>
      <c r="D112" s="499">
        <v>45695</v>
      </c>
      <c r="E112" s="498" t="s">
        <v>5665</v>
      </c>
      <c r="F112" s="498" t="s">
        <v>236</v>
      </c>
      <c r="H112" s="504" t="s">
        <v>279</v>
      </c>
      <c r="K112" s="934">
        <v>58231</v>
      </c>
      <c r="L112" s="506"/>
      <c r="T112" s="504" t="s">
        <v>5078</v>
      </c>
      <c r="U112" s="502">
        <v>0.25555555555555559</v>
      </c>
      <c r="V112" s="502">
        <v>0.55763888888888891</v>
      </c>
    </row>
    <row r="113" spans="1:22" s="1115" customFormat="1" x14ac:dyDescent="0.25">
      <c r="A113" s="1114" t="s">
        <v>5634</v>
      </c>
      <c r="B113" s="1115" t="s">
        <v>5635</v>
      </c>
      <c r="C113" s="1116" t="s">
        <v>13</v>
      </c>
      <c r="D113" s="1117">
        <v>45695</v>
      </c>
      <c r="E113" s="1116"/>
      <c r="F113" s="1116" t="s">
        <v>2029</v>
      </c>
      <c r="H113" s="1115" t="s">
        <v>279</v>
      </c>
      <c r="K113" s="1120"/>
      <c r="L113" s="1118">
        <f>5460*1.18</f>
        <v>6442.7999999999993</v>
      </c>
      <c r="T113" s="1115" t="s">
        <v>4365</v>
      </c>
      <c r="U113" s="1121">
        <v>0.3215277777777778</v>
      </c>
      <c r="V113" s="1121">
        <v>0.53472222222222221</v>
      </c>
    </row>
    <row r="114" spans="1:22" s="504" customFormat="1" x14ac:dyDescent="0.25">
      <c r="A114" s="497" t="s">
        <v>5642</v>
      </c>
      <c r="B114" s="504" t="s">
        <v>586</v>
      </c>
      <c r="C114" s="498" t="s">
        <v>13</v>
      </c>
      <c r="D114" s="499">
        <v>45696</v>
      </c>
      <c r="E114" s="498" t="s">
        <v>5658</v>
      </c>
      <c r="F114" s="498" t="s">
        <v>545</v>
      </c>
      <c r="H114" s="504" t="s">
        <v>279</v>
      </c>
      <c r="K114" s="934">
        <v>33560</v>
      </c>
      <c r="L114" s="506"/>
      <c r="T114" s="504" t="s">
        <v>1506</v>
      </c>
      <c r="U114" s="502">
        <v>0.29583333333333334</v>
      </c>
      <c r="V114" s="502">
        <v>0.46527777777777773</v>
      </c>
    </row>
    <row r="115" spans="1:22" s="504" customFormat="1" x14ac:dyDescent="0.25">
      <c r="A115" s="497" t="s">
        <v>5642</v>
      </c>
      <c r="B115" s="504" t="s">
        <v>875</v>
      </c>
      <c r="C115" s="498" t="s">
        <v>410</v>
      </c>
      <c r="D115" s="499">
        <v>45696</v>
      </c>
      <c r="E115" s="498" t="s">
        <v>5655</v>
      </c>
      <c r="F115" s="498" t="s">
        <v>687</v>
      </c>
      <c r="H115" s="504" t="s">
        <v>279</v>
      </c>
      <c r="K115" s="934">
        <v>23500</v>
      </c>
      <c r="L115" s="506"/>
      <c r="T115" s="504" t="s">
        <v>5640</v>
      </c>
      <c r="U115" s="502">
        <v>0.37777777777777777</v>
      </c>
      <c r="V115" s="502">
        <v>0.50416666666666665</v>
      </c>
    </row>
    <row r="116" spans="1:22" s="504" customFormat="1" x14ac:dyDescent="0.25">
      <c r="A116" s="497" t="s">
        <v>5642</v>
      </c>
      <c r="B116" s="504" t="s">
        <v>586</v>
      </c>
      <c r="C116" s="498" t="s">
        <v>13</v>
      </c>
      <c r="D116" s="499">
        <v>45696</v>
      </c>
      <c r="E116" s="498" t="s">
        <v>5656</v>
      </c>
      <c r="F116" s="498" t="s">
        <v>545</v>
      </c>
      <c r="H116" s="504" t="s">
        <v>279</v>
      </c>
      <c r="K116" s="934">
        <v>33560</v>
      </c>
      <c r="L116" s="506"/>
      <c r="T116" s="504" t="s">
        <v>5640</v>
      </c>
      <c r="U116" s="502">
        <v>0.54097222222222219</v>
      </c>
      <c r="V116" s="502">
        <v>0.75694444444444453</v>
      </c>
    </row>
    <row r="117" spans="1:22" s="504" customFormat="1" hidden="1" x14ac:dyDescent="0.25">
      <c r="A117" s="497" t="s">
        <v>5642</v>
      </c>
      <c r="B117" s="504" t="s">
        <v>5641</v>
      </c>
      <c r="C117" s="498" t="s">
        <v>4218</v>
      </c>
      <c r="D117" s="499">
        <v>45696</v>
      </c>
      <c r="E117" s="498" t="s">
        <v>5677</v>
      </c>
      <c r="F117" s="498" t="s">
        <v>236</v>
      </c>
      <c r="H117" s="504" t="s">
        <v>5905</v>
      </c>
      <c r="K117" s="934">
        <v>49173</v>
      </c>
      <c r="L117" s="506"/>
      <c r="T117" s="504" t="s">
        <v>5026</v>
      </c>
      <c r="U117" s="502">
        <v>0.61458333333333337</v>
      </c>
      <c r="V117" s="502">
        <v>0.89027777777777783</v>
      </c>
    </row>
    <row r="118" spans="1:22" s="926" customFormat="1" x14ac:dyDescent="0.25">
      <c r="A118" s="925" t="s">
        <v>5639</v>
      </c>
      <c r="B118" s="926" t="s">
        <v>1609</v>
      </c>
      <c r="C118" s="928" t="s">
        <v>4218</v>
      </c>
      <c r="D118" s="927">
        <v>45697</v>
      </c>
      <c r="E118" s="928" t="s">
        <v>5706</v>
      </c>
      <c r="F118" s="928" t="s">
        <v>294</v>
      </c>
      <c r="H118" s="926" t="s">
        <v>279</v>
      </c>
      <c r="K118" s="932">
        <v>33182</v>
      </c>
      <c r="L118" s="930"/>
      <c r="T118" s="926" t="s">
        <v>4417</v>
      </c>
      <c r="U118" s="931">
        <v>0.61041666666666672</v>
      </c>
      <c r="V118" s="931">
        <v>0.83958333333333324</v>
      </c>
    </row>
    <row r="119" spans="1:22" s="1115" customFormat="1" x14ac:dyDescent="0.25">
      <c r="A119" s="1114">
        <v>10022025</v>
      </c>
      <c r="B119" s="1115" t="s">
        <v>4662</v>
      </c>
      <c r="C119" s="1116" t="s">
        <v>4218</v>
      </c>
      <c r="D119" s="1117">
        <v>45698</v>
      </c>
      <c r="E119" s="1116"/>
      <c r="F119" s="1116" t="s">
        <v>2008</v>
      </c>
      <c r="H119" s="1115" t="s">
        <v>279</v>
      </c>
      <c r="K119" s="1120">
        <v>47250</v>
      </c>
      <c r="L119" s="1118"/>
      <c r="T119" s="1115" t="s">
        <v>4297</v>
      </c>
      <c r="U119" s="1121">
        <v>0.54027777777777775</v>
      </c>
      <c r="V119" s="1121">
        <v>0.77916666666666667</v>
      </c>
    </row>
    <row r="120" spans="1:22" s="504" customFormat="1" x14ac:dyDescent="0.25">
      <c r="A120" s="497">
        <v>12022025</v>
      </c>
      <c r="B120" s="504" t="s">
        <v>586</v>
      </c>
      <c r="C120" s="498" t="s">
        <v>13</v>
      </c>
      <c r="D120" s="499">
        <v>45700</v>
      </c>
      <c r="E120" s="498" t="s">
        <v>5699</v>
      </c>
      <c r="F120" s="498" t="s">
        <v>545</v>
      </c>
      <c r="H120" s="504" t="s">
        <v>279</v>
      </c>
      <c r="K120" s="934">
        <v>33560</v>
      </c>
      <c r="L120" s="506"/>
      <c r="T120" s="504" t="s">
        <v>5026</v>
      </c>
      <c r="U120" s="502">
        <v>0.68125000000000002</v>
      </c>
      <c r="V120" s="502">
        <v>0.86041666666666661</v>
      </c>
    </row>
    <row r="121" spans="1:22" s="504" customFormat="1" x14ac:dyDescent="0.25">
      <c r="A121" s="497">
        <v>13022025</v>
      </c>
      <c r="B121" s="504" t="s">
        <v>2407</v>
      </c>
      <c r="C121" s="498" t="s">
        <v>13</v>
      </c>
      <c r="D121" s="499">
        <v>45701</v>
      </c>
      <c r="E121" s="498" t="s">
        <v>5919</v>
      </c>
      <c r="F121" s="498" t="s">
        <v>4621</v>
      </c>
      <c r="H121" s="504" t="s">
        <v>279</v>
      </c>
      <c r="K121" s="934"/>
      <c r="L121" s="506">
        <v>8100</v>
      </c>
      <c r="M121" s="1115"/>
      <c r="T121" s="504" t="s">
        <v>2050</v>
      </c>
      <c r="U121" s="502">
        <v>0.45277777777777778</v>
      </c>
      <c r="V121" s="502">
        <v>0.57986111111111105</v>
      </c>
    </row>
    <row r="122" spans="1:22" s="504" customFormat="1" hidden="1" x14ac:dyDescent="0.25">
      <c r="A122" s="497">
        <v>13022025</v>
      </c>
      <c r="B122" s="504" t="s">
        <v>1720</v>
      </c>
      <c r="C122" s="498" t="s">
        <v>13</v>
      </c>
      <c r="D122" s="499">
        <v>45701</v>
      </c>
      <c r="E122" s="498" t="s">
        <v>5661</v>
      </c>
      <c r="F122" s="498" t="s">
        <v>545</v>
      </c>
      <c r="H122" s="504" t="s">
        <v>277</v>
      </c>
      <c r="K122" s="934">
        <v>22750</v>
      </c>
      <c r="L122" s="506"/>
      <c r="T122" s="504" t="s">
        <v>5020</v>
      </c>
      <c r="U122" s="502">
        <v>0.69097222222222221</v>
      </c>
      <c r="V122" s="502">
        <v>0.83958333333333324</v>
      </c>
    </row>
    <row r="123" spans="1:22" s="33" customFormat="1" x14ac:dyDescent="0.25">
      <c r="A123" s="547">
        <v>14022025</v>
      </c>
      <c r="B123" s="33" t="s">
        <v>875</v>
      </c>
      <c r="C123" s="306" t="s">
        <v>13</v>
      </c>
      <c r="D123" s="548">
        <v>45702</v>
      </c>
      <c r="E123" s="306" t="s">
        <v>5655</v>
      </c>
      <c r="F123" s="306" t="s">
        <v>2036</v>
      </c>
      <c r="H123" s="33" t="s">
        <v>279</v>
      </c>
      <c r="K123" s="933">
        <v>23500</v>
      </c>
      <c r="L123" s="279"/>
      <c r="T123" s="33" t="s">
        <v>4345</v>
      </c>
      <c r="U123" s="550">
        <v>0.39513888888888887</v>
      </c>
      <c r="V123" s="550">
        <v>0.56111111111111112</v>
      </c>
    </row>
    <row r="124" spans="1:22" s="33" customFormat="1" x14ac:dyDescent="0.25">
      <c r="A124" s="547">
        <v>14022025</v>
      </c>
      <c r="B124" s="33" t="s">
        <v>875</v>
      </c>
      <c r="C124" s="306" t="s">
        <v>4218</v>
      </c>
      <c r="D124" s="548">
        <v>45702</v>
      </c>
      <c r="E124" s="306" t="s">
        <v>5655</v>
      </c>
      <c r="F124" s="306" t="s">
        <v>2036</v>
      </c>
      <c r="H124" s="33" t="s">
        <v>279</v>
      </c>
      <c r="K124" s="933">
        <v>23500</v>
      </c>
      <c r="L124" s="279"/>
      <c r="T124" s="33" t="s">
        <v>4345</v>
      </c>
      <c r="U124" s="550">
        <v>0.57361111111111118</v>
      </c>
      <c r="V124" s="550">
        <v>0.73125000000000007</v>
      </c>
    </row>
    <row r="125" spans="1:22" s="504" customFormat="1" hidden="1" x14ac:dyDescent="0.25">
      <c r="A125" s="497">
        <v>14022025</v>
      </c>
      <c r="B125" s="504" t="s">
        <v>608</v>
      </c>
      <c r="C125" s="498" t="s">
        <v>13</v>
      </c>
      <c r="D125" s="499">
        <v>45702</v>
      </c>
      <c r="E125" s="498" t="s">
        <v>5678</v>
      </c>
      <c r="F125" s="498" t="s">
        <v>236</v>
      </c>
      <c r="H125" s="504" t="s">
        <v>5905</v>
      </c>
      <c r="K125" s="934">
        <v>49173</v>
      </c>
      <c r="L125" s="506"/>
      <c r="T125" s="504" t="s">
        <v>5020</v>
      </c>
      <c r="U125" s="502">
        <v>0.85277777777777775</v>
      </c>
      <c r="V125" s="502">
        <v>0.17152777777777775</v>
      </c>
    </row>
    <row r="126" spans="1:22" s="504" customFormat="1" ht="14.1" customHeight="1" x14ac:dyDescent="0.25">
      <c r="A126" s="497">
        <v>15022025</v>
      </c>
      <c r="B126" s="504" t="s">
        <v>586</v>
      </c>
      <c r="C126" s="498" t="s">
        <v>4218</v>
      </c>
      <c r="D126" s="499">
        <v>45703</v>
      </c>
      <c r="E126" s="498" t="s">
        <v>5696</v>
      </c>
      <c r="F126" s="498" t="s">
        <v>545</v>
      </c>
      <c r="H126" s="504" t="s">
        <v>279</v>
      </c>
      <c r="K126" s="934">
        <v>32200</v>
      </c>
      <c r="L126" s="506"/>
      <c r="T126" s="504" t="s">
        <v>4867</v>
      </c>
      <c r="U126" s="502">
        <v>0.28750000000000003</v>
      </c>
      <c r="V126" s="502">
        <v>0.45555555555555555</v>
      </c>
    </row>
    <row r="127" spans="1:22" s="504" customFormat="1" x14ac:dyDescent="0.25">
      <c r="A127" s="497">
        <v>15022025</v>
      </c>
      <c r="B127" s="504" t="s">
        <v>930</v>
      </c>
      <c r="C127" s="498" t="s">
        <v>4218</v>
      </c>
      <c r="D127" s="499">
        <v>45703</v>
      </c>
      <c r="E127" s="498" t="s">
        <v>5691</v>
      </c>
      <c r="F127" s="498" t="s">
        <v>294</v>
      </c>
      <c r="H127" s="504" t="s">
        <v>279</v>
      </c>
      <c r="K127" s="934">
        <v>33182</v>
      </c>
      <c r="L127" s="506"/>
      <c r="T127" s="504" t="s">
        <v>4297</v>
      </c>
      <c r="U127" s="502">
        <v>0.61111111111111105</v>
      </c>
      <c r="V127" s="502">
        <v>0.7895833333333333</v>
      </c>
    </row>
    <row r="128" spans="1:22" s="504" customFormat="1" hidden="1" x14ac:dyDescent="0.25">
      <c r="A128" s="497">
        <v>15022025</v>
      </c>
      <c r="B128" s="504" t="s">
        <v>930</v>
      </c>
      <c r="C128" s="498" t="s">
        <v>13</v>
      </c>
      <c r="D128" s="499">
        <v>45703</v>
      </c>
      <c r="E128" s="498" t="s">
        <v>5690</v>
      </c>
      <c r="F128" s="498" t="s">
        <v>295</v>
      </c>
      <c r="H128" s="504" t="s">
        <v>277</v>
      </c>
      <c r="K128" s="934">
        <v>29000</v>
      </c>
      <c r="L128" s="506"/>
      <c r="T128" s="504" t="s">
        <v>5078</v>
      </c>
      <c r="U128" s="502">
        <v>0.66736111111111107</v>
      </c>
      <c r="V128" s="502">
        <v>0.93333333333333324</v>
      </c>
    </row>
    <row r="129" spans="1:22" s="926" customFormat="1" x14ac:dyDescent="0.25">
      <c r="A129" s="925">
        <v>17022025</v>
      </c>
      <c r="B129" s="926" t="s">
        <v>3276</v>
      </c>
      <c r="C129" s="928" t="s">
        <v>4218</v>
      </c>
      <c r="D129" s="927">
        <v>45705</v>
      </c>
      <c r="E129" s="928" t="s">
        <v>5718</v>
      </c>
      <c r="F129" s="928" t="s">
        <v>872</v>
      </c>
      <c r="H129" s="926" t="s">
        <v>279</v>
      </c>
      <c r="K129" s="932">
        <v>39800</v>
      </c>
      <c r="L129" s="930"/>
      <c r="T129" s="926" t="s">
        <v>2050</v>
      </c>
      <c r="U129" s="931">
        <v>0.3756944444444445</v>
      </c>
      <c r="V129" s="931">
        <v>0.62569444444444444</v>
      </c>
    </row>
    <row r="130" spans="1:22" s="926" customFormat="1" x14ac:dyDescent="0.25">
      <c r="A130" s="925">
        <v>17022025</v>
      </c>
      <c r="B130" s="926" t="s">
        <v>3276</v>
      </c>
      <c r="C130" s="928" t="s">
        <v>13</v>
      </c>
      <c r="D130" s="927">
        <v>45705</v>
      </c>
      <c r="E130" s="928" t="s">
        <v>5717</v>
      </c>
      <c r="F130" s="928" t="s">
        <v>872</v>
      </c>
      <c r="H130" s="926" t="s">
        <v>279</v>
      </c>
      <c r="K130" s="932">
        <v>39800</v>
      </c>
      <c r="L130" s="930"/>
      <c r="T130" s="926" t="s">
        <v>5654</v>
      </c>
      <c r="U130" s="931">
        <v>0.39513888888888887</v>
      </c>
      <c r="V130" s="931">
        <v>0.57361111111111118</v>
      </c>
    </row>
    <row r="131" spans="1:22" s="504" customFormat="1" hidden="1" x14ac:dyDescent="0.25">
      <c r="A131" s="497">
        <v>19022025</v>
      </c>
      <c r="B131" s="504" t="s">
        <v>608</v>
      </c>
      <c r="C131" s="498" t="s">
        <v>4218</v>
      </c>
      <c r="D131" s="499">
        <v>45707</v>
      </c>
      <c r="E131" s="498" t="s">
        <v>5679</v>
      </c>
      <c r="F131" s="498" t="s">
        <v>236</v>
      </c>
      <c r="H131" s="504" t="s">
        <v>5905</v>
      </c>
      <c r="K131" s="934">
        <v>49173</v>
      </c>
      <c r="L131" s="506"/>
      <c r="T131" s="504" t="s">
        <v>5078</v>
      </c>
      <c r="U131" s="502">
        <v>0.33124999999999999</v>
      </c>
      <c r="V131" s="502">
        <v>0.62152777777777779</v>
      </c>
    </row>
    <row r="132" spans="1:22" s="504" customFormat="1" x14ac:dyDescent="0.25">
      <c r="A132" s="497">
        <v>19022025</v>
      </c>
      <c r="B132" s="504" t="s">
        <v>608</v>
      </c>
      <c r="C132" s="498" t="s">
        <v>13</v>
      </c>
      <c r="D132" s="499">
        <v>45707</v>
      </c>
      <c r="E132" s="498" t="s">
        <v>5729</v>
      </c>
      <c r="F132" s="498" t="s">
        <v>236</v>
      </c>
      <c r="H132" s="504" t="s">
        <v>279</v>
      </c>
      <c r="K132" s="934">
        <v>58231</v>
      </c>
      <c r="L132" s="506"/>
      <c r="T132" s="504" t="s">
        <v>4345</v>
      </c>
      <c r="U132" s="502">
        <v>0.6694444444444444</v>
      </c>
      <c r="V132" s="502">
        <v>0.94652777777777775</v>
      </c>
    </row>
    <row r="133" spans="1:22" s="504" customFormat="1" x14ac:dyDescent="0.25">
      <c r="A133" s="497">
        <v>19022025</v>
      </c>
      <c r="B133" s="504" t="s">
        <v>586</v>
      </c>
      <c r="C133" s="498" t="s">
        <v>410</v>
      </c>
      <c r="D133" s="499">
        <v>45707</v>
      </c>
      <c r="E133" s="498" t="s">
        <v>5697</v>
      </c>
      <c r="F133" s="498" t="s">
        <v>545</v>
      </c>
      <c r="H133" s="504" t="s">
        <v>279</v>
      </c>
      <c r="K133" s="934">
        <v>32200</v>
      </c>
      <c r="L133" s="506"/>
      <c r="T133" s="504" t="s">
        <v>4911</v>
      </c>
      <c r="U133" s="502">
        <v>0.68263888888888891</v>
      </c>
      <c r="V133" s="502">
        <v>0.85763888888888884</v>
      </c>
    </row>
    <row r="134" spans="1:22" s="504" customFormat="1" hidden="1" x14ac:dyDescent="0.25">
      <c r="A134" s="497">
        <v>19022025</v>
      </c>
      <c r="B134" s="504" t="s">
        <v>1720</v>
      </c>
      <c r="C134" s="498" t="s">
        <v>4218</v>
      </c>
      <c r="D134" s="499">
        <v>45707</v>
      </c>
      <c r="E134" s="498" t="s">
        <v>5771</v>
      </c>
      <c r="F134" s="498" t="s">
        <v>545</v>
      </c>
      <c r="H134" s="504" t="s">
        <v>277</v>
      </c>
      <c r="K134" s="934">
        <v>22750</v>
      </c>
      <c r="L134" s="506"/>
      <c r="T134" s="504" t="s">
        <v>4867</v>
      </c>
      <c r="U134" s="502">
        <v>0.6972222222222223</v>
      </c>
      <c r="V134" s="502">
        <v>0.82847222222222217</v>
      </c>
    </row>
    <row r="135" spans="1:22" s="504" customFormat="1" x14ac:dyDescent="0.25">
      <c r="A135" s="497">
        <v>20022025</v>
      </c>
      <c r="B135" s="504" t="s">
        <v>572</v>
      </c>
      <c r="C135" s="498" t="s">
        <v>13</v>
      </c>
      <c r="D135" s="499">
        <v>45708</v>
      </c>
      <c r="E135" s="498" t="s">
        <v>5751</v>
      </c>
      <c r="F135" s="498" t="s">
        <v>207</v>
      </c>
      <c r="H135" s="504" t="s">
        <v>279</v>
      </c>
      <c r="K135" s="505"/>
      <c r="L135" s="506">
        <v>8968</v>
      </c>
      <c r="M135" s="1115"/>
      <c r="T135" s="504" t="s">
        <v>4911</v>
      </c>
      <c r="U135" s="502">
        <v>0.2986111111111111</v>
      </c>
      <c r="V135" s="502">
        <v>0.53055555555555556</v>
      </c>
    </row>
    <row r="136" spans="1:22" s="926" customFormat="1" x14ac:dyDescent="0.25">
      <c r="A136" s="925">
        <v>21022025</v>
      </c>
      <c r="B136" s="926" t="s">
        <v>2497</v>
      </c>
      <c r="C136" s="928" t="s">
        <v>13</v>
      </c>
      <c r="D136" s="927">
        <v>45709</v>
      </c>
      <c r="E136" s="928" t="s">
        <v>5778</v>
      </c>
      <c r="F136" s="928" t="s">
        <v>143</v>
      </c>
      <c r="H136" s="926" t="s">
        <v>279</v>
      </c>
      <c r="K136" s="929">
        <v>36650</v>
      </c>
      <c r="L136" s="930"/>
      <c r="T136" s="926" t="s">
        <v>5078</v>
      </c>
      <c r="U136" s="931">
        <v>0.42152777777777778</v>
      </c>
      <c r="V136" s="931">
        <v>0.69305555555555554</v>
      </c>
    </row>
    <row r="137" spans="1:22" s="504" customFormat="1" x14ac:dyDescent="0.25">
      <c r="A137" s="497">
        <v>21022025</v>
      </c>
      <c r="B137" s="504" t="s">
        <v>608</v>
      </c>
      <c r="C137" s="498" t="s">
        <v>4218</v>
      </c>
      <c r="D137" s="499">
        <v>45709</v>
      </c>
      <c r="E137" s="498" t="s">
        <v>5730</v>
      </c>
      <c r="F137" s="498" t="s">
        <v>236</v>
      </c>
      <c r="H137" s="504" t="s">
        <v>279</v>
      </c>
      <c r="K137" s="505">
        <v>58231</v>
      </c>
      <c r="L137" s="506"/>
      <c r="T137" s="504" t="s">
        <v>4853</v>
      </c>
      <c r="U137" s="502">
        <v>0.4069444444444445</v>
      </c>
      <c r="V137" s="502">
        <v>0.69930555555555562</v>
      </c>
    </row>
    <row r="138" spans="1:22" s="33" customFormat="1" x14ac:dyDescent="0.25">
      <c r="A138" s="547">
        <v>21022025</v>
      </c>
      <c r="B138" s="33" t="s">
        <v>2497</v>
      </c>
      <c r="C138" s="306" t="s">
        <v>410</v>
      </c>
      <c r="D138" s="548">
        <v>45709</v>
      </c>
      <c r="E138" s="306" t="s">
        <v>5920</v>
      </c>
      <c r="F138" s="306" t="s">
        <v>143</v>
      </c>
      <c r="H138" s="33" t="s">
        <v>279</v>
      </c>
      <c r="K138" s="312">
        <v>37650</v>
      </c>
      <c r="L138" s="279"/>
      <c r="T138" s="33" t="s">
        <v>4365</v>
      </c>
      <c r="U138" s="550">
        <v>0.51041666666666663</v>
      </c>
      <c r="V138" s="550">
        <v>0.76041666666666663</v>
      </c>
    </row>
    <row r="139" spans="1:22" s="919" customFormat="1" x14ac:dyDescent="0.25">
      <c r="A139" s="918">
        <v>21022025</v>
      </c>
      <c r="B139" s="919" t="s">
        <v>2469</v>
      </c>
      <c r="C139" s="921" t="s">
        <v>13</v>
      </c>
      <c r="D139" s="920">
        <v>45709</v>
      </c>
      <c r="E139" s="921"/>
      <c r="F139" s="921" t="s">
        <v>294</v>
      </c>
      <c r="H139" s="919" t="s">
        <v>279</v>
      </c>
      <c r="K139" s="922">
        <v>35685</v>
      </c>
      <c r="L139" s="923"/>
      <c r="T139" s="919" t="s">
        <v>4911</v>
      </c>
      <c r="U139" s="924">
        <v>0.78402777777777777</v>
      </c>
      <c r="V139" s="924">
        <v>0.96944444444444444</v>
      </c>
    </row>
    <row r="140" spans="1:22" s="926" customFormat="1" x14ac:dyDescent="0.25">
      <c r="A140" s="925">
        <v>22022025</v>
      </c>
      <c r="B140" s="926" t="s">
        <v>5708</v>
      </c>
      <c r="C140" s="928" t="s">
        <v>4218</v>
      </c>
      <c r="D140" s="927">
        <v>45710</v>
      </c>
      <c r="E140" s="928" t="s">
        <v>5921</v>
      </c>
      <c r="F140" s="928" t="s">
        <v>4562</v>
      </c>
      <c r="H140" s="926" t="s">
        <v>279</v>
      </c>
      <c r="K140" s="929">
        <v>27258</v>
      </c>
      <c r="L140" s="930"/>
      <c r="T140" s="926" t="s">
        <v>4365</v>
      </c>
      <c r="U140" s="931">
        <v>0.4597222222222222</v>
      </c>
      <c r="V140" s="931">
        <v>0.59583333333333333</v>
      </c>
    </row>
    <row r="141" spans="1:22" s="504" customFormat="1" hidden="1" x14ac:dyDescent="0.25">
      <c r="A141" s="497">
        <v>22022025</v>
      </c>
      <c r="B141" s="504" t="s">
        <v>1720</v>
      </c>
      <c r="C141" s="498" t="s">
        <v>13</v>
      </c>
      <c r="D141" s="499">
        <v>45710</v>
      </c>
      <c r="E141" s="498" t="s">
        <v>5766</v>
      </c>
      <c r="F141" s="498" t="s">
        <v>545</v>
      </c>
      <c r="H141" s="504" t="s">
        <v>277</v>
      </c>
      <c r="K141" s="505">
        <v>22750</v>
      </c>
      <c r="L141" s="506"/>
      <c r="T141" s="504" t="s">
        <v>4867</v>
      </c>
      <c r="U141" s="502">
        <v>0.54583333333333328</v>
      </c>
      <c r="V141" s="502">
        <v>0.6694444444444444</v>
      </c>
    </row>
    <row r="142" spans="1:22" s="504" customFormat="1" x14ac:dyDescent="0.25">
      <c r="A142" s="497">
        <v>22022025</v>
      </c>
      <c r="B142" s="504" t="s">
        <v>3276</v>
      </c>
      <c r="C142" s="498" t="s">
        <v>410</v>
      </c>
      <c r="D142" s="499">
        <v>45710</v>
      </c>
      <c r="E142" s="498" t="s">
        <v>5743</v>
      </c>
      <c r="F142" s="498" t="s">
        <v>872</v>
      </c>
      <c r="H142" s="504" t="s">
        <v>279</v>
      </c>
      <c r="K142" s="505">
        <v>39800</v>
      </c>
      <c r="L142" s="506"/>
      <c r="T142" s="504" t="s">
        <v>4139</v>
      </c>
      <c r="U142" s="502">
        <v>0.6069444444444444</v>
      </c>
      <c r="V142" s="502">
        <v>0.78333333333333333</v>
      </c>
    </row>
    <row r="143" spans="1:22" s="504" customFormat="1" x14ac:dyDescent="0.25">
      <c r="A143" s="497">
        <v>24022025</v>
      </c>
      <c r="B143" s="504" t="s">
        <v>3276</v>
      </c>
      <c r="C143" s="498" t="s">
        <v>4218</v>
      </c>
      <c r="D143" s="499">
        <v>45712</v>
      </c>
      <c r="E143" s="498" t="s">
        <v>5744</v>
      </c>
      <c r="F143" s="498" t="s">
        <v>872</v>
      </c>
      <c r="H143" s="504" t="s">
        <v>279</v>
      </c>
      <c r="K143" s="505">
        <v>39800</v>
      </c>
      <c r="L143" s="506"/>
      <c r="T143" s="504" t="s">
        <v>1644</v>
      </c>
      <c r="U143" s="502">
        <v>0.38611111111111113</v>
      </c>
      <c r="V143" s="502">
        <v>0.60277777777777775</v>
      </c>
    </row>
    <row r="144" spans="1:22" s="33" customFormat="1" ht="14.1" customHeight="1" x14ac:dyDescent="0.25">
      <c r="A144" s="547">
        <v>24022025</v>
      </c>
      <c r="B144" s="33" t="s">
        <v>6374</v>
      </c>
      <c r="C144" s="306" t="s">
        <v>13</v>
      </c>
      <c r="D144" s="548">
        <v>45712</v>
      </c>
      <c r="E144" s="306"/>
      <c r="F144" s="306" t="s">
        <v>285</v>
      </c>
      <c r="H144" s="33" t="s">
        <v>279</v>
      </c>
      <c r="K144" s="312"/>
      <c r="L144" s="279">
        <v>11505</v>
      </c>
      <c r="M144" s="1115"/>
      <c r="T144" s="33" t="s">
        <v>4365</v>
      </c>
      <c r="U144" s="550">
        <v>0.45902777777777781</v>
      </c>
      <c r="V144" s="550">
        <v>0.4152777777777778</v>
      </c>
    </row>
    <row r="145" spans="1:22" s="33" customFormat="1" x14ac:dyDescent="0.25">
      <c r="A145" s="547">
        <v>24022025</v>
      </c>
      <c r="B145" s="33" t="s">
        <v>2129</v>
      </c>
      <c r="C145" s="306" t="s">
        <v>410</v>
      </c>
      <c r="D145" s="548">
        <v>45712</v>
      </c>
      <c r="E145" s="306" t="s">
        <v>5801</v>
      </c>
      <c r="F145" s="306" t="s">
        <v>236</v>
      </c>
      <c r="H145" s="33" t="s">
        <v>279</v>
      </c>
      <c r="I145" s="283"/>
      <c r="J145" s="283"/>
      <c r="K145" s="312">
        <v>62540</v>
      </c>
      <c r="L145" s="279"/>
      <c r="N145" s="283"/>
      <c r="O145" s="283"/>
      <c r="T145" s="33" t="s">
        <v>4345</v>
      </c>
      <c r="U145" s="550">
        <v>0.62708333333333333</v>
      </c>
      <c r="V145" s="550">
        <v>6.7361111111111108E-2</v>
      </c>
    </row>
    <row r="146" spans="1:22" s="937" customFormat="1" x14ac:dyDescent="0.25">
      <c r="A146" s="936">
        <v>24022025</v>
      </c>
      <c r="B146" s="937" t="s">
        <v>930</v>
      </c>
      <c r="C146" s="938" t="s">
        <v>4218</v>
      </c>
      <c r="D146" s="939">
        <v>45712</v>
      </c>
      <c r="E146" s="938" t="s">
        <v>5726</v>
      </c>
      <c r="F146" s="938" t="s">
        <v>294</v>
      </c>
      <c r="H146" s="937" t="s">
        <v>279</v>
      </c>
      <c r="I146"/>
      <c r="J146"/>
      <c r="K146" s="940">
        <v>33182</v>
      </c>
      <c r="L146" s="941"/>
      <c r="N146"/>
      <c r="O146"/>
      <c r="T146" s="937" t="s">
        <v>1644</v>
      </c>
      <c r="U146" s="942">
        <v>16.239999999999998</v>
      </c>
      <c r="V146" s="943">
        <v>0.86736111111111114</v>
      </c>
    </row>
    <row r="147" spans="1:22" s="937" customFormat="1" x14ac:dyDescent="0.25">
      <c r="A147" s="936">
        <v>25022025</v>
      </c>
      <c r="B147" s="937" t="s">
        <v>608</v>
      </c>
      <c r="C147" s="938" t="s">
        <v>4218</v>
      </c>
      <c r="D147" s="939">
        <v>45713</v>
      </c>
      <c r="E147" s="938" t="s">
        <v>5731</v>
      </c>
      <c r="F147" s="938" t="s">
        <v>236</v>
      </c>
      <c r="H147" s="937" t="s">
        <v>279</v>
      </c>
      <c r="I147"/>
      <c r="J147"/>
      <c r="K147" s="940">
        <v>58231</v>
      </c>
      <c r="L147" s="941"/>
      <c r="N147"/>
      <c r="O147"/>
      <c r="T147" s="937" t="s">
        <v>5078</v>
      </c>
      <c r="U147" s="943">
        <v>0.30486111111111108</v>
      </c>
      <c r="V147" s="943">
        <v>0.5805555555555556</v>
      </c>
    </row>
    <row r="148" spans="1:22" s="937" customFormat="1" x14ac:dyDescent="0.25">
      <c r="A148" s="936">
        <v>25022025</v>
      </c>
      <c r="B148" s="937" t="s">
        <v>608</v>
      </c>
      <c r="C148" s="938" t="s">
        <v>410</v>
      </c>
      <c r="D148" s="939">
        <v>45713</v>
      </c>
      <c r="E148" s="938" t="s">
        <v>5732</v>
      </c>
      <c r="F148" s="938" t="s">
        <v>236</v>
      </c>
      <c r="H148" s="937" t="s">
        <v>279</v>
      </c>
      <c r="I148"/>
      <c r="J148"/>
      <c r="K148" s="940">
        <v>58231</v>
      </c>
      <c r="L148" s="941"/>
      <c r="N148"/>
      <c r="O148"/>
      <c r="T148" s="937" t="s">
        <v>4140</v>
      </c>
      <c r="U148" s="943">
        <v>0.70347222222222217</v>
      </c>
      <c r="V148" s="943">
        <v>0.99861111111111101</v>
      </c>
    </row>
    <row r="149" spans="1:22" s="937" customFormat="1" hidden="1" x14ac:dyDescent="0.25">
      <c r="A149" s="936">
        <v>25022025</v>
      </c>
      <c r="B149" s="937" t="s">
        <v>930</v>
      </c>
      <c r="C149" s="938" t="s">
        <v>410</v>
      </c>
      <c r="D149" s="939">
        <v>45713</v>
      </c>
      <c r="E149" s="938" t="s">
        <v>5728</v>
      </c>
      <c r="F149" s="938" t="s">
        <v>294</v>
      </c>
      <c r="H149" s="937" t="s">
        <v>277</v>
      </c>
      <c r="I149"/>
      <c r="J149"/>
      <c r="K149" s="940">
        <v>24886</v>
      </c>
      <c r="L149" s="941"/>
      <c r="N149"/>
      <c r="O149"/>
      <c r="T149" s="937" t="s">
        <v>1042</v>
      </c>
      <c r="U149" s="943">
        <v>0.4236111111111111</v>
      </c>
      <c r="V149" s="943">
        <v>0.57222222222222219</v>
      </c>
    </row>
    <row r="150" spans="1:22" s="33" customFormat="1" x14ac:dyDescent="0.25">
      <c r="A150" s="547">
        <v>26022025</v>
      </c>
      <c r="B150" s="33" t="s">
        <v>875</v>
      </c>
      <c r="C150" s="306" t="s">
        <v>410</v>
      </c>
      <c r="D150" s="548">
        <v>45714</v>
      </c>
      <c r="E150" s="306" t="s">
        <v>5655</v>
      </c>
      <c r="F150" s="306" t="s">
        <v>2036</v>
      </c>
      <c r="H150" s="33" t="s">
        <v>279</v>
      </c>
      <c r="K150" s="312">
        <v>23500</v>
      </c>
      <c r="L150" s="279"/>
      <c r="T150" s="33" t="s">
        <v>5004</v>
      </c>
      <c r="U150" s="550">
        <v>0.53749999999999998</v>
      </c>
      <c r="V150" s="550">
        <v>0.66597222222222219</v>
      </c>
    </row>
    <row r="151" spans="1:22" s="33" customFormat="1" x14ac:dyDescent="0.25">
      <c r="A151" s="547">
        <v>26022025</v>
      </c>
      <c r="B151" s="33" t="s">
        <v>5720</v>
      </c>
      <c r="C151" s="306" t="s">
        <v>13</v>
      </c>
      <c r="D151" s="548">
        <v>45714</v>
      </c>
      <c r="E151" s="306" t="s">
        <v>5762</v>
      </c>
      <c r="F151" s="306" t="s">
        <v>113</v>
      </c>
      <c r="H151" s="33" t="s">
        <v>279</v>
      </c>
      <c r="K151" s="312">
        <v>38580</v>
      </c>
      <c r="L151" s="279"/>
      <c r="T151" s="33" t="s">
        <v>5393</v>
      </c>
      <c r="U151" s="550">
        <v>0.34930555555555554</v>
      </c>
      <c r="V151" s="550">
        <v>0.5756944444444444</v>
      </c>
    </row>
    <row r="152" spans="1:22" s="33" customFormat="1" x14ac:dyDescent="0.25">
      <c r="A152" s="547">
        <v>27022025</v>
      </c>
      <c r="B152" s="33" t="s">
        <v>586</v>
      </c>
      <c r="C152" s="306" t="s">
        <v>13</v>
      </c>
      <c r="D152" s="548">
        <v>45715</v>
      </c>
      <c r="E152" s="306" t="s">
        <v>5815</v>
      </c>
      <c r="F152" s="306" t="s">
        <v>545</v>
      </c>
      <c r="H152" s="33" t="s">
        <v>279</v>
      </c>
      <c r="K152" s="312">
        <v>32200</v>
      </c>
      <c r="L152" s="279"/>
      <c r="T152" s="33" t="s">
        <v>2050</v>
      </c>
      <c r="U152" s="550">
        <v>0.30833333333333335</v>
      </c>
      <c r="V152" s="550">
        <v>0.4777777777777778</v>
      </c>
    </row>
    <row r="153" spans="1:22" s="33" customFormat="1" x14ac:dyDescent="0.25">
      <c r="A153" s="547">
        <v>27022025</v>
      </c>
      <c r="B153" s="33" t="s">
        <v>610</v>
      </c>
      <c r="C153" s="306" t="s">
        <v>410</v>
      </c>
      <c r="D153" s="548">
        <v>45715</v>
      </c>
      <c r="E153" s="306" t="s">
        <v>5785</v>
      </c>
      <c r="F153" s="306" t="s">
        <v>106</v>
      </c>
      <c r="H153" s="33" t="s">
        <v>279</v>
      </c>
      <c r="K153" s="312">
        <v>29770</v>
      </c>
      <c r="L153" s="279"/>
      <c r="T153" s="33" t="s">
        <v>4139</v>
      </c>
      <c r="U153" s="550">
        <v>0.28541666666666665</v>
      </c>
      <c r="V153" s="550">
        <v>0.43124999999999997</v>
      </c>
    </row>
    <row r="154" spans="1:22" s="33" customFormat="1" x14ac:dyDescent="0.25">
      <c r="A154" s="547">
        <v>27022025</v>
      </c>
      <c r="B154" s="33" t="s">
        <v>572</v>
      </c>
      <c r="C154" s="306" t="s">
        <v>13</v>
      </c>
      <c r="D154" s="548">
        <v>45715</v>
      </c>
      <c r="E154" s="306" t="s">
        <v>5752</v>
      </c>
      <c r="F154" s="306" t="s">
        <v>294</v>
      </c>
      <c r="H154" s="33" t="s">
        <v>279</v>
      </c>
      <c r="K154" s="312"/>
      <c r="L154" s="285">
        <f>4.2*1900*1.18+280.7</f>
        <v>9697.1</v>
      </c>
      <c r="M154" s="1115"/>
      <c r="T154" s="33" t="s">
        <v>5026</v>
      </c>
      <c r="U154" s="550">
        <v>0.72152777777777777</v>
      </c>
      <c r="V154" s="550">
        <v>0.91041666666666676</v>
      </c>
    </row>
    <row r="155" spans="1:22" s="33" customFormat="1" x14ac:dyDescent="0.25">
      <c r="A155" s="547">
        <v>28022025</v>
      </c>
      <c r="B155" s="33" t="s">
        <v>5725</v>
      </c>
      <c r="C155" s="306" t="s">
        <v>410</v>
      </c>
      <c r="D155" s="548">
        <v>45716</v>
      </c>
      <c r="E155" s="306" t="s">
        <v>5922</v>
      </c>
      <c r="F155" s="306" t="s">
        <v>4562</v>
      </c>
      <c r="H155" s="33" t="s">
        <v>279</v>
      </c>
      <c r="K155" s="312">
        <v>27258</v>
      </c>
      <c r="L155" s="279"/>
      <c r="T155" s="33" t="s">
        <v>4983</v>
      </c>
      <c r="U155" s="550">
        <v>0.36249999999999999</v>
      </c>
      <c r="V155" s="550">
        <v>0.58124999999999993</v>
      </c>
    </row>
    <row r="156" spans="1:22" s="33" customFormat="1" x14ac:dyDescent="0.25">
      <c r="A156" s="547">
        <v>28022025</v>
      </c>
      <c r="B156" s="33" t="s">
        <v>610</v>
      </c>
      <c r="C156" s="306" t="s">
        <v>13</v>
      </c>
      <c r="D156" s="548">
        <v>45716</v>
      </c>
      <c r="E156" s="306" t="s">
        <v>5786</v>
      </c>
      <c r="F156" s="306" t="s">
        <v>106</v>
      </c>
      <c r="H156" s="33" t="s">
        <v>279</v>
      </c>
      <c r="K156" s="312">
        <v>29770</v>
      </c>
      <c r="L156" s="279"/>
      <c r="T156" s="33" t="s">
        <v>5393</v>
      </c>
      <c r="U156" s="550">
        <v>0.47638888888888892</v>
      </c>
      <c r="V156" s="550">
        <v>0.62013888888888891</v>
      </c>
    </row>
    <row r="157" spans="1:22" hidden="1" x14ac:dyDescent="0.25">
      <c r="A157" s="483"/>
      <c r="D157" s="233"/>
      <c r="K157" s="313"/>
      <c r="L157" s="88"/>
      <c r="U157" s="360"/>
      <c r="V157" s="360"/>
    </row>
    <row r="158" spans="1:22" hidden="1" x14ac:dyDescent="0.25">
      <c r="A158" s="483"/>
      <c r="D158" s="233"/>
      <c r="L158" s="88"/>
      <c r="T158" s="32"/>
      <c r="U158" s="368"/>
    </row>
    <row r="159" spans="1:22" hidden="1" x14ac:dyDescent="0.25">
      <c r="A159" s="483"/>
      <c r="D159" s="233"/>
      <c r="K159" s="313"/>
      <c r="L159" s="88"/>
    </row>
    <row r="160" spans="1:22" ht="15.75" hidden="1" thickBot="1" x14ac:dyDescent="0.3">
      <c r="A160" s="483"/>
      <c r="D160" s="233"/>
      <c r="K160" s="742">
        <f>SUM(K97:K159)</f>
        <v>2141499.2000000002</v>
      </c>
      <c r="L160" s="742">
        <f>SUM(L97:L159)</f>
        <v>44712.9</v>
      </c>
    </row>
    <row r="161" spans="1:22" hidden="1" x14ac:dyDescent="0.25">
      <c r="A161" s="483"/>
      <c r="D161" s="233"/>
      <c r="K161" s="798"/>
      <c r="L161" s="798"/>
    </row>
    <row r="162" spans="1:22" s="926" customFormat="1" x14ac:dyDescent="0.25">
      <c r="A162" s="925" t="s">
        <v>5735</v>
      </c>
      <c r="B162" s="926" t="s">
        <v>3276</v>
      </c>
      <c r="C162" s="928" t="s">
        <v>13</v>
      </c>
      <c r="D162" s="927">
        <v>45717</v>
      </c>
      <c r="E162" s="928"/>
      <c r="F162" s="928" t="s">
        <v>872</v>
      </c>
      <c r="H162" s="926" t="s">
        <v>279</v>
      </c>
      <c r="K162" s="932">
        <v>39800</v>
      </c>
      <c r="L162" s="930"/>
      <c r="T162" s="926" t="s">
        <v>4509</v>
      </c>
      <c r="U162" s="931">
        <v>0.34305555555555556</v>
      </c>
      <c r="V162" s="931">
        <v>0.54305555555555551</v>
      </c>
    </row>
    <row r="163" spans="1:22" s="926" customFormat="1" ht="15.75" customHeight="1" x14ac:dyDescent="0.25">
      <c r="A163" s="925" t="s">
        <v>5735</v>
      </c>
      <c r="B163" s="926" t="s">
        <v>614</v>
      </c>
      <c r="C163" s="928" t="s">
        <v>410</v>
      </c>
      <c r="D163" s="927">
        <v>45717</v>
      </c>
      <c r="E163" s="928"/>
      <c r="F163" s="928" t="s">
        <v>2029</v>
      </c>
      <c r="H163" s="926" t="s">
        <v>279</v>
      </c>
      <c r="K163" s="932">
        <v>29983</v>
      </c>
      <c r="L163" s="932"/>
      <c r="T163" s="926" t="s">
        <v>1506</v>
      </c>
      <c r="U163" s="931">
        <v>0.58194444444444449</v>
      </c>
      <c r="V163" s="931">
        <v>0.56597222222222221</v>
      </c>
    </row>
    <row r="164" spans="1:22" s="926" customFormat="1" hidden="1" x14ac:dyDescent="0.25">
      <c r="A164" s="925" t="s">
        <v>5735</v>
      </c>
      <c r="B164" s="926" t="s">
        <v>1720</v>
      </c>
      <c r="C164" s="928" t="s">
        <v>4218</v>
      </c>
      <c r="D164" s="927">
        <v>45717</v>
      </c>
      <c r="E164" s="928"/>
      <c r="F164" s="928" t="s">
        <v>545</v>
      </c>
      <c r="H164" s="926" t="s">
        <v>277</v>
      </c>
      <c r="K164" s="932">
        <v>22750</v>
      </c>
      <c r="L164" s="932"/>
      <c r="T164" s="926" t="s">
        <v>4983</v>
      </c>
      <c r="U164" s="931">
        <v>0.75624999999999998</v>
      </c>
      <c r="V164" s="931">
        <v>0.89375000000000004</v>
      </c>
    </row>
    <row r="165" spans="1:22" s="926" customFormat="1" x14ac:dyDescent="0.25">
      <c r="A165" s="925" t="s">
        <v>5736</v>
      </c>
      <c r="B165" s="926" t="s">
        <v>4137</v>
      </c>
      <c r="C165" s="928" t="s">
        <v>4218</v>
      </c>
      <c r="D165" s="927">
        <v>45718</v>
      </c>
      <c r="E165" s="928"/>
      <c r="F165" s="928" t="s">
        <v>106</v>
      </c>
      <c r="H165" s="926" t="s">
        <v>279</v>
      </c>
      <c r="K165" s="932">
        <v>27280</v>
      </c>
      <c r="L165" s="932"/>
      <c r="T165" s="926" t="s">
        <v>4509</v>
      </c>
      <c r="U165" s="931">
        <v>0.25972222222222224</v>
      </c>
      <c r="V165" s="931">
        <v>0.43680555555555556</v>
      </c>
    </row>
    <row r="166" spans="1:22" s="926" customFormat="1" x14ac:dyDescent="0.25">
      <c r="A166" s="925" t="s">
        <v>5736</v>
      </c>
      <c r="B166" s="926" t="s">
        <v>614</v>
      </c>
      <c r="C166" s="928" t="s">
        <v>13</v>
      </c>
      <c r="D166" s="927">
        <v>45718</v>
      </c>
      <c r="E166" s="928"/>
      <c r="F166" s="928" t="s">
        <v>106</v>
      </c>
      <c r="H166" s="926" t="s">
        <v>279</v>
      </c>
      <c r="K166" s="932">
        <v>29983</v>
      </c>
      <c r="L166" s="932"/>
      <c r="T166" s="926" t="s">
        <v>4983</v>
      </c>
      <c r="U166" s="931">
        <v>0.46388888888888891</v>
      </c>
      <c r="V166" s="931">
        <v>0.61388888888888893</v>
      </c>
    </row>
    <row r="167" spans="1:22" s="926" customFormat="1" x14ac:dyDescent="0.25">
      <c r="A167" s="925" t="s">
        <v>5737</v>
      </c>
      <c r="B167" s="926" t="s">
        <v>614</v>
      </c>
      <c r="C167" s="928" t="s">
        <v>4218</v>
      </c>
      <c r="D167" s="927">
        <v>45719</v>
      </c>
      <c r="E167" s="928"/>
      <c r="F167" s="928" t="s">
        <v>113</v>
      </c>
      <c r="H167" s="926" t="s">
        <v>279</v>
      </c>
      <c r="K167" s="932">
        <v>38562</v>
      </c>
      <c r="L167" s="932"/>
      <c r="T167" s="926" t="s">
        <v>4140</v>
      </c>
      <c r="U167" s="931">
        <v>0.45624999999999999</v>
      </c>
      <c r="V167" s="931">
        <v>0.66180555555555554</v>
      </c>
    </row>
    <row r="168" spans="1:22" s="926" customFormat="1" x14ac:dyDescent="0.25">
      <c r="A168" s="925" t="s">
        <v>5740</v>
      </c>
      <c r="B168" s="926" t="s">
        <v>1055</v>
      </c>
      <c r="C168" s="928" t="s">
        <v>4218</v>
      </c>
      <c r="D168" s="927">
        <v>45720</v>
      </c>
      <c r="E168" s="928"/>
      <c r="F168" s="928" t="s">
        <v>294</v>
      </c>
      <c r="H168" s="926" t="s">
        <v>279</v>
      </c>
      <c r="K168" s="932">
        <v>49406</v>
      </c>
      <c r="L168" s="932"/>
      <c r="T168" s="926" t="s">
        <v>4345</v>
      </c>
      <c r="U168" s="931">
        <v>0.44930555555555557</v>
      </c>
      <c r="V168" s="931">
        <v>0.92569444444444438</v>
      </c>
    </row>
    <row r="169" spans="1:22" s="926" customFormat="1" hidden="1" x14ac:dyDescent="0.25">
      <c r="A169" s="925" t="s">
        <v>5740</v>
      </c>
      <c r="B169" s="926" t="s">
        <v>930</v>
      </c>
      <c r="C169" s="928" t="s">
        <v>410</v>
      </c>
      <c r="D169" s="927">
        <v>45720</v>
      </c>
      <c r="E169" s="928"/>
      <c r="F169" s="928" t="s">
        <v>294</v>
      </c>
      <c r="H169" s="926" t="s">
        <v>277</v>
      </c>
      <c r="K169" s="932">
        <v>24886</v>
      </c>
      <c r="T169" s="926" t="s">
        <v>5393</v>
      </c>
      <c r="U169" s="931">
        <v>0.68402777777777779</v>
      </c>
      <c r="V169" s="931">
        <v>0.82986111111111116</v>
      </c>
    </row>
    <row r="170" spans="1:22" s="926" customFormat="1" x14ac:dyDescent="0.25">
      <c r="A170" s="925" t="s">
        <v>5741</v>
      </c>
      <c r="B170" s="926" t="s">
        <v>614</v>
      </c>
      <c r="C170" s="928" t="s">
        <v>410</v>
      </c>
      <c r="D170" s="927">
        <v>45721</v>
      </c>
      <c r="E170" s="928"/>
      <c r="F170" s="928" t="s">
        <v>106</v>
      </c>
      <c r="H170" s="926" t="s">
        <v>279</v>
      </c>
      <c r="K170" s="932">
        <v>29983</v>
      </c>
      <c r="L170" s="932"/>
      <c r="T170" s="926" t="s">
        <v>2050</v>
      </c>
      <c r="U170" s="931">
        <v>0.4826388888888889</v>
      </c>
      <c r="V170" s="931">
        <v>0.625</v>
      </c>
    </row>
    <row r="171" spans="1:22" s="926" customFormat="1" x14ac:dyDescent="0.25">
      <c r="A171" s="925" t="s">
        <v>5741</v>
      </c>
      <c r="B171" s="926" t="s">
        <v>2129</v>
      </c>
      <c r="C171" s="928" t="s">
        <v>4218</v>
      </c>
      <c r="D171" s="927">
        <v>45721</v>
      </c>
      <c r="E171" s="928"/>
      <c r="F171" s="928" t="s">
        <v>236</v>
      </c>
      <c r="H171" s="926" t="s">
        <v>279</v>
      </c>
      <c r="K171" s="932">
        <v>62540</v>
      </c>
      <c r="L171" s="932"/>
      <c r="T171" s="926" t="s">
        <v>5078</v>
      </c>
      <c r="U171" s="944">
        <v>15.14</v>
      </c>
      <c r="V171" s="931">
        <v>0.9277777777777777</v>
      </c>
    </row>
    <row r="172" spans="1:22" s="926" customFormat="1" x14ac:dyDescent="0.25">
      <c r="A172" s="925" t="s">
        <v>5741</v>
      </c>
      <c r="B172" s="926" t="s">
        <v>3880</v>
      </c>
      <c r="C172" s="928" t="s">
        <v>410</v>
      </c>
      <c r="D172" s="927">
        <v>45721</v>
      </c>
      <c r="E172" s="928"/>
      <c r="F172" s="928" t="s">
        <v>545</v>
      </c>
      <c r="H172" s="926" t="s">
        <v>279</v>
      </c>
      <c r="K172" s="932">
        <v>32284.400000000001</v>
      </c>
      <c r="L172" s="932"/>
      <c r="T172" s="926" t="s">
        <v>2050</v>
      </c>
      <c r="U172" s="944">
        <v>0.73958333333333337</v>
      </c>
      <c r="V172" s="931">
        <v>0.93194444444444446</v>
      </c>
    </row>
    <row r="173" spans="1:22" s="926" customFormat="1" x14ac:dyDescent="0.25">
      <c r="A173" s="925" t="s">
        <v>5753</v>
      </c>
      <c r="B173" s="926" t="s">
        <v>3276</v>
      </c>
      <c r="C173" s="928" t="s">
        <v>4218</v>
      </c>
      <c r="D173" s="927">
        <v>45722</v>
      </c>
      <c r="E173" s="928"/>
      <c r="F173" s="928" t="s">
        <v>872</v>
      </c>
      <c r="H173" s="926" t="s">
        <v>279</v>
      </c>
      <c r="K173" s="932">
        <v>39800</v>
      </c>
      <c r="L173" s="932"/>
      <c r="T173" s="926" t="s">
        <v>4983</v>
      </c>
      <c r="U173" s="931">
        <v>0.39097222222222222</v>
      </c>
      <c r="V173" s="931">
        <v>0.6020833333333333</v>
      </c>
    </row>
    <row r="174" spans="1:22" s="926" customFormat="1" x14ac:dyDescent="0.25">
      <c r="A174" s="925" t="s">
        <v>5753</v>
      </c>
      <c r="B174" s="926" t="s">
        <v>5754</v>
      </c>
      <c r="C174" s="928" t="s">
        <v>410</v>
      </c>
      <c r="D174" s="927">
        <v>45722</v>
      </c>
      <c r="E174" s="928"/>
      <c r="F174" s="928" t="s">
        <v>106</v>
      </c>
      <c r="H174" s="926" t="s">
        <v>279</v>
      </c>
      <c r="K174" s="932">
        <v>26229</v>
      </c>
      <c r="L174" s="932"/>
      <c r="T174" s="926" t="s">
        <v>4297</v>
      </c>
      <c r="U174" s="931">
        <v>0.43055555555555558</v>
      </c>
      <c r="V174" s="931">
        <v>0.58472222222222225</v>
      </c>
    </row>
    <row r="175" spans="1:22" s="926" customFormat="1" x14ac:dyDescent="0.25">
      <c r="A175" s="925" t="s">
        <v>5753</v>
      </c>
      <c r="B175" s="926" t="s">
        <v>1720</v>
      </c>
      <c r="C175" s="928" t="s">
        <v>410</v>
      </c>
      <c r="D175" s="927">
        <v>45722</v>
      </c>
      <c r="E175" s="928"/>
      <c r="F175" s="928" t="s">
        <v>545</v>
      </c>
      <c r="H175" s="926" t="s">
        <v>279</v>
      </c>
      <c r="K175" s="932">
        <v>32250</v>
      </c>
      <c r="L175" s="932"/>
      <c r="T175" s="926" t="s">
        <v>5393</v>
      </c>
      <c r="U175" s="931">
        <v>0.70763888888888893</v>
      </c>
      <c r="V175" s="931">
        <v>0.89444444444444449</v>
      </c>
    </row>
    <row r="176" spans="1:22" s="926" customFormat="1" x14ac:dyDescent="0.25">
      <c r="A176" s="925" t="s">
        <v>5753</v>
      </c>
      <c r="B176" s="926" t="s">
        <v>3880</v>
      </c>
      <c r="C176" s="928" t="s">
        <v>4218</v>
      </c>
      <c r="D176" s="927">
        <v>45722</v>
      </c>
      <c r="E176" s="928"/>
      <c r="F176" s="928" t="s">
        <v>545</v>
      </c>
      <c r="H176" s="926" t="s">
        <v>279</v>
      </c>
      <c r="K176" s="932">
        <v>32284.400000000001</v>
      </c>
      <c r="L176" s="932"/>
      <c r="M176" s="926">
        <f t="shared" ref="M176:M189" si="0">+L176/1.18</f>
        <v>0</v>
      </c>
      <c r="T176" s="926" t="s">
        <v>1506</v>
      </c>
      <c r="U176" s="931">
        <v>0.7284722222222223</v>
      </c>
      <c r="V176" s="931">
        <v>0.91319444444444442</v>
      </c>
    </row>
    <row r="177" spans="1:22" s="926" customFormat="1" x14ac:dyDescent="0.25">
      <c r="A177" s="925" t="s">
        <v>5753</v>
      </c>
      <c r="B177" s="926" t="s">
        <v>608</v>
      </c>
      <c r="C177" s="928" t="s">
        <v>410</v>
      </c>
      <c r="D177" s="927">
        <v>45722</v>
      </c>
      <c r="E177" s="928"/>
      <c r="F177" s="928" t="s">
        <v>236</v>
      </c>
      <c r="H177" s="926" t="s">
        <v>279</v>
      </c>
      <c r="K177" s="929">
        <v>58231</v>
      </c>
      <c r="L177" s="932"/>
      <c r="M177" s="926">
        <f t="shared" si="0"/>
        <v>0</v>
      </c>
      <c r="T177" s="926" t="s">
        <v>5393</v>
      </c>
      <c r="U177" s="931">
        <v>0.4284722222222222</v>
      </c>
      <c r="V177" s="931">
        <v>0.19791666666666666</v>
      </c>
    </row>
    <row r="178" spans="1:22" s="926" customFormat="1" x14ac:dyDescent="0.25">
      <c r="A178" s="925" t="s">
        <v>5774</v>
      </c>
      <c r="B178" s="926" t="s">
        <v>3640</v>
      </c>
      <c r="C178" s="928" t="s">
        <v>4218</v>
      </c>
      <c r="D178" s="927">
        <v>45723</v>
      </c>
      <c r="E178" s="928"/>
      <c r="F178" s="928" t="s">
        <v>236</v>
      </c>
      <c r="H178" s="926" t="s">
        <v>279</v>
      </c>
      <c r="K178" s="932"/>
      <c r="L178" s="932">
        <v>14160</v>
      </c>
      <c r="M178" s="926">
        <f t="shared" si="0"/>
        <v>12000</v>
      </c>
      <c r="T178" s="926" t="s">
        <v>4853</v>
      </c>
      <c r="U178" s="931">
        <v>0.26180555555555557</v>
      </c>
      <c r="V178" s="931">
        <v>0.54513888888888884</v>
      </c>
    </row>
    <row r="179" spans="1:22" s="926" customFormat="1" x14ac:dyDescent="0.25">
      <c r="A179" s="925" t="s">
        <v>5774</v>
      </c>
      <c r="B179" s="926" t="s">
        <v>614</v>
      </c>
      <c r="C179" s="928" t="s">
        <v>4218</v>
      </c>
      <c r="D179" s="927">
        <v>45723</v>
      </c>
      <c r="E179" s="928"/>
      <c r="F179" s="928" t="s">
        <v>2253</v>
      </c>
      <c r="H179" s="926" t="s">
        <v>279</v>
      </c>
      <c r="K179" s="932">
        <v>53808</v>
      </c>
      <c r="L179" s="932"/>
      <c r="M179" s="926">
        <f t="shared" si="0"/>
        <v>0</v>
      </c>
      <c r="T179" s="926" t="s">
        <v>4139</v>
      </c>
      <c r="U179" s="931">
        <v>0.63611111111111107</v>
      </c>
      <c r="V179" s="931">
        <v>0.96666666666666667</v>
      </c>
    </row>
    <row r="180" spans="1:22" s="926" customFormat="1" x14ac:dyDescent="0.25">
      <c r="A180" s="925" t="s">
        <v>5775</v>
      </c>
      <c r="B180" s="926" t="s">
        <v>608</v>
      </c>
      <c r="C180" s="928" t="s">
        <v>13</v>
      </c>
      <c r="D180" s="927">
        <v>45724</v>
      </c>
      <c r="E180" s="928"/>
      <c r="F180" s="928" t="s">
        <v>236</v>
      </c>
      <c r="H180" s="926" t="s">
        <v>279</v>
      </c>
      <c r="K180" s="932">
        <v>58231</v>
      </c>
      <c r="L180" s="932"/>
      <c r="M180" s="926">
        <f t="shared" si="0"/>
        <v>0</v>
      </c>
      <c r="T180" s="926" t="s">
        <v>5776</v>
      </c>
      <c r="U180" s="931">
        <v>0.2722222222222222</v>
      </c>
      <c r="V180" s="931">
        <v>0.54652777777777783</v>
      </c>
    </row>
    <row r="181" spans="1:22" s="926" customFormat="1" x14ac:dyDescent="0.25">
      <c r="A181" s="925" t="s">
        <v>5775</v>
      </c>
      <c r="B181" s="926" t="s">
        <v>5923</v>
      </c>
      <c r="C181" s="928" t="s">
        <v>4218</v>
      </c>
      <c r="D181" s="927">
        <v>45724</v>
      </c>
      <c r="E181" s="928"/>
      <c r="F181" s="928" t="s">
        <v>207</v>
      </c>
      <c r="H181" s="926" t="s">
        <v>279</v>
      </c>
      <c r="K181" s="932"/>
      <c r="L181" s="932">
        <v>10150</v>
      </c>
      <c r="M181" s="926">
        <f t="shared" si="0"/>
        <v>8601.6949152542384</v>
      </c>
      <c r="T181" s="926" t="s">
        <v>4911</v>
      </c>
      <c r="U181" s="931">
        <v>0.32430555555555557</v>
      </c>
      <c r="V181" s="931">
        <v>0.55138888888888882</v>
      </c>
    </row>
    <row r="182" spans="1:22" s="926" customFormat="1" x14ac:dyDescent="0.25">
      <c r="A182" s="925" t="s">
        <v>5775</v>
      </c>
      <c r="B182" s="926" t="s">
        <v>1720</v>
      </c>
      <c r="C182" s="928" t="s">
        <v>410</v>
      </c>
      <c r="D182" s="927">
        <v>45724</v>
      </c>
      <c r="E182" s="928"/>
      <c r="F182" s="928" t="s">
        <v>545</v>
      </c>
      <c r="H182" s="926" t="s">
        <v>279</v>
      </c>
      <c r="K182" s="932">
        <v>32250</v>
      </c>
      <c r="L182" s="932"/>
      <c r="M182" s="926">
        <f t="shared" si="0"/>
        <v>0</v>
      </c>
      <c r="T182" s="926" t="s">
        <v>4417</v>
      </c>
      <c r="U182" s="931">
        <v>0.3840277777777778</v>
      </c>
      <c r="V182" s="931">
        <v>0.53819444444444442</v>
      </c>
    </row>
    <row r="183" spans="1:22" s="926" customFormat="1" x14ac:dyDescent="0.25">
      <c r="A183" s="925" t="s">
        <v>5781</v>
      </c>
      <c r="B183" s="926" t="s">
        <v>930</v>
      </c>
      <c r="C183" s="928" t="s">
        <v>13</v>
      </c>
      <c r="D183" s="927">
        <v>45725</v>
      </c>
      <c r="E183" s="928"/>
      <c r="F183" s="928" t="s">
        <v>294</v>
      </c>
      <c r="H183" s="926" t="s">
        <v>279</v>
      </c>
      <c r="K183" s="932">
        <v>33182</v>
      </c>
      <c r="L183" s="932"/>
      <c r="M183" s="926">
        <f t="shared" si="0"/>
        <v>0</v>
      </c>
      <c r="T183" s="926" t="s">
        <v>5026</v>
      </c>
      <c r="U183" s="931">
        <v>0.37013888888888885</v>
      </c>
      <c r="V183" s="931">
        <v>0.55138888888888882</v>
      </c>
    </row>
    <row r="184" spans="1:22" s="926" customFormat="1" x14ac:dyDescent="0.25">
      <c r="A184" s="925">
        <v>10032025</v>
      </c>
      <c r="B184" s="926" t="s">
        <v>5780</v>
      </c>
      <c r="C184" s="928" t="s">
        <v>13</v>
      </c>
      <c r="D184" s="927">
        <v>45726</v>
      </c>
      <c r="E184" s="928"/>
      <c r="F184" s="928" t="s">
        <v>113</v>
      </c>
      <c r="H184" s="926" t="s">
        <v>279</v>
      </c>
      <c r="K184" s="932">
        <v>38100</v>
      </c>
      <c r="L184" s="932"/>
      <c r="M184" s="926">
        <f t="shared" si="0"/>
        <v>0</v>
      </c>
      <c r="T184" s="926" t="s">
        <v>5776</v>
      </c>
      <c r="U184" s="931">
        <v>0.35694444444444445</v>
      </c>
      <c r="V184" s="931">
        <v>0.59930555555555554</v>
      </c>
    </row>
    <row r="185" spans="1:22" s="926" customFormat="1" x14ac:dyDescent="0.25">
      <c r="A185" s="925">
        <v>10032025</v>
      </c>
      <c r="B185" s="926" t="s">
        <v>612</v>
      </c>
      <c r="C185" s="928" t="s">
        <v>4218</v>
      </c>
      <c r="D185" s="927">
        <v>45726</v>
      </c>
      <c r="E185" s="928"/>
      <c r="F185" s="928" t="s">
        <v>5782</v>
      </c>
      <c r="H185" s="926" t="s">
        <v>279</v>
      </c>
      <c r="K185" s="932">
        <v>39818</v>
      </c>
      <c r="L185" s="932"/>
      <c r="M185" s="926">
        <f t="shared" si="0"/>
        <v>0</v>
      </c>
      <c r="T185" s="926" t="s">
        <v>4911</v>
      </c>
      <c r="U185" s="931">
        <v>0.58611111111111114</v>
      </c>
      <c r="V185" s="931">
        <v>0.94513888888888886</v>
      </c>
    </row>
    <row r="186" spans="1:22" s="926" customFormat="1" x14ac:dyDescent="0.25">
      <c r="A186" s="925">
        <v>11032025</v>
      </c>
      <c r="B186" s="926" t="s">
        <v>572</v>
      </c>
      <c r="C186" s="928" t="s">
        <v>410</v>
      </c>
      <c r="D186" s="927">
        <v>45727</v>
      </c>
      <c r="E186" s="928"/>
      <c r="F186" s="928" t="s">
        <v>285</v>
      </c>
      <c r="H186" s="926" t="s">
        <v>279</v>
      </c>
      <c r="K186" s="932"/>
      <c r="L186" s="932">
        <v>11210</v>
      </c>
      <c r="M186" s="926">
        <f t="shared" si="0"/>
        <v>9500</v>
      </c>
      <c r="T186" s="926" t="s">
        <v>5776</v>
      </c>
      <c r="U186" s="931">
        <v>0.3</v>
      </c>
      <c r="V186" s="931">
        <v>0.55347222222222225</v>
      </c>
    </row>
    <row r="187" spans="1:22" s="926" customFormat="1" x14ac:dyDescent="0.25">
      <c r="A187" s="925">
        <v>11032025</v>
      </c>
      <c r="B187" s="926" t="s">
        <v>572</v>
      </c>
      <c r="C187" s="928" t="s">
        <v>4218</v>
      </c>
      <c r="D187" s="927">
        <v>45727</v>
      </c>
      <c r="E187" s="928"/>
      <c r="F187" s="928" t="s">
        <v>68</v>
      </c>
      <c r="H187" s="926" t="s">
        <v>279</v>
      </c>
      <c r="K187" s="932"/>
      <c r="L187" s="932">
        <v>11210</v>
      </c>
      <c r="M187" s="926">
        <f t="shared" si="0"/>
        <v>9500</v>
      </c>
      <c r="T187" s="926" t="s">
        <v>5026</v>
      </c>
      <c r="U187" s="931">
        <v>0.42430555555555555</v>
      </c>
      <c r="V187" s="931">
        <v>0.6791666666666667</v>
      </c>
    </row>
    <row r="188" spans="1:22" s="926" customFormat="1" x14ac:dyDescent="0.25">
      <c r="A188" s="925">
        <v>11032025</v>
      </c>
      <c r="B188" s="926" t="s">
        <v>5796</v>
      </c>
      <c r="C188" s="928" t="s">
        <v>13</v>
      </c>
      <c r="D188" s="927">
        <v>45727</v>
      </c>
      <c r="E188" s="928"/>
      <c r="F188" s="928" t="s">
        <v>4562</v>
      </c>
      <c r="H188" s="926" t="s">
        <v>279</v>
      </c>
      <c r="K188" s="932">
        <v>27258</v>
      </c>
      <c r="L188" s="932"/>
      <c r="M188" s="926">
        <f t="shared" si="0"/>
        <v>0</v>
      </c>
      <c r="T188" s="926" t="s">
        <v>5924</v>
      </c>
      <c r="U188" s="931">
        <v>0.52222222222222225</v>
      </c>
      <c r="V188" s="931">
        <v>0.69027777777777777</v>
      </c>
    </row>
    <row r="189" spans="1:22" s="926" customFormat="1" x14ac:dyDescent="0.25">
      <c r="A189" s="925">
        <v>11032025</v>
      </c>
      <c r="B189" s="926" t="s">
        <v>1720</v>
      </c>
      <c r="C189" s="928" t="s">
        <v>410</v>
      </c>
      <c r="D189" s="927">
        <v>45727</v>
      </c>
      <c r="E189" s="928"/>
      <c r="F189" s="928" t="s">
        <v>4621</v>
      </c>
      <c r="H189" s="926" t="s">
        <v>279</v>
      </c>
      <c r="K189" s="932">
        <v>30500</v>
      </c>
      <c r="L189" s="932"/>
      <c r="M189" s="926">
        <f t="shared" si="0"/>
        <v>0</v>
      </c>
      <c r="T189" s="926" t="s">
        <v>5776</v>
      </c>
      <c r="U189" s="931">
        <v>0.59305555555555556</v>
      </c>
      <c r="V189" s="931">
        <v>0.76041666666666663</v>
      </c>
    </row>
    <row r="190" spans="1:22" s="926" customFormat="1" x14ac:dyDescent="0.25">
      <c r="A190" s="925">
        <v>12032025</v>
      </c>
      <c r="B190" s="926" t="s">
        <v>2769</v>
      </c>
      <c r="C190" s="928" t="s">
        <v>13</v>
      </c>
      <c r="D190" s="927">
        <v>45728</v>
      </c>
      <c r="E190" s="928"/>
      <c r="F190" s="928" t="s">
        <v>236</v>
      </c>
      <c r="H190" s="926" t="s">
        <v>279</v>
      </c>
      <c r="K190" s="932">
        <v>62540</v>
      </c>
      <c r="L190" s="932"/>
      <c r="T190" s="926" t="s">
        <v>4509</v>
      </c>
      <c r="U190" s="931">
        <v>0.30138888888888887</v>
      </c>
      <c r="V190" s="931">
        <v>0.59652777777777777</v>
      </c>
    </row>
    <row r="191" spans="1:22" s="926" customFormat="1" x14ac:dyDescent="0.25">
      <c r="A191" s="925">
        <v>12032025</v>
      </c>
      <c r="B191" s="926" t="s">
        <v>608</v>
      </c>
      <c r="C191" s="928" t="s">
        <v>4218</v>
      </c>
      <c r="D191" s="927">
        <v>45728</v>
      </c>
      <c r="E191" s="928"/>
      <c r="F191" s="928" t="s">
        <v>236</v>
      </c>
      <c r="H191" s="926" t="s">
        <v>279</v>
      </c>
      <c r="K191" s="932">
        <v>58231</v>
      </c>
      <c r="L191" s="932"/>
      <c r="T191" s="926" t="s">
        <v>5797</v>
      </c>
      <c r="U191" s="931">
        <v>0.36458333333333331</v>
      </c>
      <c r="V191" s="931">
        <v>0.65833333333333333</v>
      </c>
    </row>
    <row r="192" spans="1:22" s="926" customFormat="1" x14ac:dyDescent="0.25">
      <c r="A192" s="925">
        <v>13032025</v>
      </c>
      <c r="B192" s="926" t="s">
        <v>3880</v>
      </c>
      <c r="C192" s="928" t="s">
        <v>410</v>
      </c>
      <c r="D192" s="927">
        <v>45729</v>
      </c>
      <c r="E192" s="928"/>
      <c r="F192" s="928" t="s">
        <v>545</v>
      </c>
      <c r="H192" s="926" t="s">
        <v>279</v>
      </c>
      <c r="K192" s="932">
        <v>32284.400000000001</v>
      </c>
      <c r="L192" s="932"/>
      <c r="T192" s="926" t="s">
        <v>5925</v>
      </c>
      <c r="U192" s="931">
        <v>0.2986111111111111</v>
      </c>
      <c r="V192" s="931">
        <v>0.48055555555555557</v>
      </c>
    </row>
    <row r="193" spans="1:22" s="926" customFormat="1" x14ac:dyDescent="0.25">
      <c r="A193" s="925">
        <v>13032025</v>
      </c>
      <c r="B193" s="926" t="s">
        <v>608</v>
      </c>
      <c r="C193" s="928" t="s">
        <v>13</v>
      </c>
      <c r="D193" s="927">
        <v>45729</v>
      </c>
      <c r="E193" s="928"/>
      <c r="F193" s="928" t="s">
        <v>236</v>
      </c>
      <c r="H193" s="926" t="s">
        <v>279</v>
      </c>
      <c r="K193" s="932">
        <v>58231</v>
      </c>
      <c r="L193" s="932"/>
      <c r="T193" s="926" t="s">
        <v>4509</v>
      </c>
      <c r="U193" s="931">
        <v>0.31319444444444444</v>
      </c>
      <c r="V193" s="931">
        <v>0.59375</v>
      </c>
    </row>
    <row r="194" spans="1:22" s="926" customFormat="1" x14ac:dyDescent="0.25">
      <c r="A194" s="925">
        <v>13032025</v>
      </c>
      <c r="B194" s="926" t="s">
        <v>610</v>
      </c>
      <c r="C194" s="928" t="s">
        <v>4218</v>
      </c>
      <c r="D194" s="927">
        <v>45729</v>
      </c>
      <c r="E194" s="928"/>
      <c r="F194" s="928" t="s">
        <v>106</v>
      </c>
      <c r="H194" s="926" t="s">
        <v>279</v>
      </c>
      <c r="K194" s="932">
        <v>29770</v>
      </c>
      <c r="L194" s="932"/>
      <c r="T194" s="926" t="s">
        <v>4867</v>
      </c>
      <c r="U194" s="931">
        <v>0.4381944444444445</v>
      </c>
      <c r="V194" s="931">
        <v>0.62847222222222221</v>
      </c>
    </row>
    <row r="195" spans="1:22" s="926" customFormat="1" hidden="1" x14ac:dyDescent="0.25">
      <c r="A195" s="925">
        <v>13032025</v>
      </c>
      <c r="B195" s="926" t="s">
        <v>1720</v>
      </c>
      <c r="C195" s="928" t="s">
        <v>13</v>
      </c>
      <c r="D195" s="927">
        <v>45729</v>
      </c>
      <c r="E195" s="928"/>
      <c r="F195" s="928" t="s">
        <v>545</v>
      </c>
      <c r="H195" s="926" t="s">
        <v>277</v>
      </c>
      <c r="K195" s="932">
        <v>22750</v>
      </c>
      <c r="L195" s="932"/>
      <c r="T195" s="926" t="s">
        <v>4867</v>
      </c>
      <c r="U195" s="931">
        <v>0.65138888888888891</v>
      </c>
      <c r="V195" s="931">
        <v>0.78541666666666676</v>
      </c>
    </row>
    <row r="196" spans="1:22" s="33" customFormat="1" x14ac:dyDescent="0.25">
      <c r="A196" s="547">
        <v>14032025</v>
      </c>
      <c r="B196" s="33" t="s">
        <v>875</v>
      </c>
      <c r="C196" s="306" t="s">
        <v>4218</v>
      </c>
      <c r="D196" s="548">
        <v>45730</v>
      </c>
      <c r="E196" s="306"/>
      <c r="F196" s="306" t="s">
        <v>2036</v>
      </c>
      <c r="H196" s="33" t="s">
        <v>279</v>
      </c>
      <c r="K196" s="933">
        <v>23500</v>
      </c>
      <c r="L196" s="933"/>
      <c r="T196" s="33" t="s">
        <v>5776</v>
      </c>
      <c r="U196" s="550">
        <v>0.41111111111111115</v>
      </c>
      <c r="V196" s="550">
        <v>0.5395833333333333</v>
      </c>
    </row>
    <row r="197" spans="1:22" s="33" customFormat="1" x14ac:dyDescent="0.25">
      <c r="A197" s="547">
        <v>14032025</v>
      </c>
      <c r="B197" s="33" t="s">
        <v>614</v>
      </c>
      <c r="C197" s="306" t="s">
        <v>13</v>
      </c>
      <c r="D197" s="548">
        <v>45730</v>
      </c>
      <c r="E197" s="306"/>
      <c r="F197" s="306" t="s">
        <v>2036</v>
      </c>
      <c r="H197" s="33" t="s">
        <v>279</v>
      </c>
      <c r="K197" s="933">
        <v>31152</v>
      </c>
      <c r="L197" s="933"/>
      <c r="T197" s="33" t="s">
        <v>5776</v>
      </c>
      <c r="U197" s="550">
        <v>0.6020833333333333</v>
      </c>
      <c r="V197" s="550">
        <v>0.74097222222222225</v>
      </c>
    </row>
    <row r="198" spans="1:22" s="33" customFormat="1" x14ac:dyDescent="0.25">
      <c r="A198" s="547">
        <v>14032025</v>
      </c>
      <c r="B198" s="33" t="s">
        <v>614</v>
      </c>
      <c r="C198" s="306" t="s">
        <v>410</v>
      </c>
      <c r="D198" s="548">
        <v>45730</v>
      </c>
      <c r="E198" s="306"/>
      <c r="F198" s="306" t="s">
        <v>2036</v>
      </c>
      <c r="H198" s="33" t="s">
        <v>279</v>
      </c>
      <c r="K198" s="933">
        <v>31152</v>
      </c>
      <c r="L198" s="933"/>
      <c r="T198" s="33" t="s">
        <v>5020</v>
      </c>
      <c r="U198" s="550">
        <v>0.62986111111111109</v>
      </c>
      <c r="V198" s="550">
        <v>0.7680555555555556</v>
      </c>
    </row>
    <row r="199" spans="1:22" s="926" customFormat="1" x14ac:dyDescent="0.25">
      <c r="A199" s="925">
        <v>15032025</v>
      </c>
      <c r="B199" s="926" t="s">
        <v>930</v>
      </c>
      <c r="C199" s="928" t="s">
        <v>13</v>
      </c>
      <c r="D199" s="927">
        <v>45731</v>
      </c>
      <c r="E199" s="928"/>
      <c r="F199" s="928" t="s">
        <v>294</v>
      </c>
      <c r="H199" s="926" t="s">
        <v>279</v>
      </c>
      <c r="K199" s="932">
        <v>33182</v>
      </c>
      <c r="L199" s="932"/>
      <c r="T199" s="926" t="s">
        <v>5776</v>
      </c>
      <c r="U199" s="931">
        <v>0.35138888888888892</v>
      </c>
      <c r="V199" s="931">
        <v>0.52916666666666667</v>
      </c>
    </row>
    <row r="200" spans="1:22" s="33" customFormat="1" x14ac:dyDescent="0.25">
      <c r="A200" s="547">
        <v>15032025</v>
      </c>
      <c r="B200" s="33" t="s">
        <v>875</v>
      </c>
      <c r="C200" s="306" t="s">
        <v>4218</v>
      </c>
      <c r="D200" s="548">
        <v>45731</v>
      </c>
      <c r="E200" s="306"/>
      <c r="F200" s="306" t="s">
        <v>2036</v>
      </c>
      <c r="H200" s="33" t="s">
        <v>279</v>
      </c>
      <c r="K200" s="933">
        <v>23500</v>
      </c>
      <c r="L200" s="933"/>
      <c r="T200" s="33" t="s">
        <v>5849</v>
      </c>
      <c r="U200" s="550">
        <v>0.3833333333333333</v>
      </c>
      <c r="V200" s="550">
        <v>0.53749999999999998</v>
      </c>
    </row>
    <row r="201" spans="1:22" s="926" customFormat="1" hidden="1" x14ac:dyDescent="0.25">
      <c r="A201" s="925">
        <v>15032025</v>
      </c>
      <c r="B201" s="926" t="s">
        <v>930</v>
      </c>
      <c r="C201" s="928" t="s">
        <v>13</v>
      </c>
      <c r="D201" s="927">
        <v>45731</v>
      </c>
      <c r="E201" s="928"/>
      <c r="F201" s="928" t="s">
        <v>294</v>
      </c>
      <c r="H201" s="926" t="s">
        <v>277</v>
      </c>
      <c r="K201" s="932">
        <v>24886</v>
      </c>
      <c r="L201" s="932"/>
      <c r="T201" s="926" t="s">
        <v>5849</v>
      </c>
      <c r="U201" s="931">
        <v>0.57013888888888886</v>
      </c>
      <c r="V201" s="931">
        <v>0.72916666666666663</v>
      </c>
    </row>
    <row r="202" spans="1:22" s="33" customFormat="1" x14ac:dyDescent="0.25">
      <c r="A202" s="547">
        <v>16032025</v>
      </c>
      <c r="B202" s="33" t="s">
        <v>614</v>
      </c>
      <c r="C202" s="306" t="s">
        <v>4218</v>
      </c>
      <c r="D202" s="548">
        <v>45732</v>
      </c>
      <c r="E202" s="306"/>
      <c r="F202" s="306" t="s">
        <v>2437</v>
      </c>
      <c r="H202" s="33" t="s">
        <v>279</v>
      </c>
      <c r="K202" s="933">
        <v>26998.400000000001</v>
      </c>
      <c r="L202" s="933"/>
      <c r="T202" s="33" t="s">
        <v>4417</v>
      </c>
      <c r="U202" s="550">
        <v>0.31388888888888888</v>
      </c>
      <c r="V202" s="550">
        <v>0.50972222222222219</v>
      </c>
    </row>
    <row r="203" spans="1:22" s="926" customFormat="1" x14ac:dyDescent="0.25">
      <c r="A203" s="925">
        <v>16032025</v>
      </c>
      <c r="B203" s="926" t="s">
        <v>1720</v>
      </c>
      <c r="C203" s="928" t="s">
        <v>410</v>
      </c>
      <c r="D203" s="927">
        <v>45732</v>
      </c>
      <c r="E203" s="928"/>
      <c r="F203" s="928" t="s">
        <v>545</v>
      </c>
      <c r="H203" s="926" t="s">
        <v>279</v>
      </c>
      <c r="K203" s="932">
        <v>32250</v>
      </c>
      <c r="L203" s="932"/>
      <c r="T203" s="926" t="s">
        <v>1506</v>
      </c>
      <c r="U203" s="931">
        <v>0.32430555555555557</v>
      </c>
      <c r="V203" s="931">
        <v>0.48402777777777778</v>
      </c>
    </row>
    <row r="204" spans="1:22" s="926" customFormat="1" x14ac:dyDescent="0.25">
      <c r="A204" s="925">
        <v>16032025</v>
      </c>
      <c r="B204" s="926" t="s">
        <v>3880</v>
      </c>
      <c r="C204" s="928" t="s">
        <v>4218</v>
      </c>
      <c r="D204" s="927">
        <v>45732</v>
      </c>
      <c r="E204" s="928"/>
      <c r="F204" s="928" t="s">
        <v>545</v>
      </c>
      <c r="H204" s="926" t="s">
        <v>279</v>
      </c>
      <c r="K204" s="932">
        <v>32284.400000000001</v>
      </c>
      <c r="L204" s="932"/>
      <c r="T204" s="926" t="s">
        <v>4417</v>
      </c>
      <c r="U204" s="931">
        <v>0.56597222222222221</v>
      </c>
      <c r="V204" s="931">
        <v>0.71875</v>
      </c>
    </row>
    <row r="205" spans="1:22" s="926" customFormat="1" x14ac:dyDescent="0.25">
      <c r="A205" s="925">
        <v>17032025</v>
      </c>
      <c r="B205" s="926" t="s">
        <v>572</v>
      </c>
      <c r="C205" s="928" t="s">
        <v>13</v>
      </c>
      <c r="D205" s="927">
        <v>45733</v>
      </c>
      <c r="E205" s="928"/>
      <c r="F205" s="928" t="s">
        <v>317</v>
      </c>
      <c r="H205" s="926" t="s">
        <v>279</v>
      </c>
      <c r="K205" s="932"/>
      <c r="L205" s="932">
        <v>11658.4</v>
      </c>
      <c r="T205" s="926" t="s">
        <v>4345</v>
      </c>
      <c r="U205" s="931">
        <v>0.29236111111111113</v>
      </c>
      <c r="V205" s="931">
        <v>0.55069444444444449</v>
      </c>
    </row>
    <row r="206" spans="1:22" s="33" customFormat="1" x14ac:dyDescent="0.25">
      <c r="A206" s="547">
        <v>17032025</v>
      </c>
      <c r="B206" s="33" t="s">
        <v>582</v>
      </c>
      <c r="C206" s="306" t="s">
        <v>4218</v>
      </c>
      <c r="D206" s="548">
        <v>45733</v>
      </c>
      <c r="E206" s="306"/>
      <c r="F206" s="306" t="s">
        <v>5926</v>
      </c>
      <c r="H206" s="33" t="s">
        <v>279</v>
      </c>
      <c r="K206" s="933"/>
      <c r="L206" s="933">
        <v>23000</v>
      </c>
      <c r="M206" s="926"/>
      <c r="T206" s="33" t="s">
        <v>1506</v>
      </c>
      <c r="U206" s="550">
        <v>0.50763888888888886</v>
      </c>
      <c r="V206" s="550">
        <v>0.66805555555555562</v>
      </c>
    </row>
    <row r="207" spans="1:22" s="120" customFormat="1" x14ac:dyDescent="0.25">
      <c r="A207" s="595">
        <v>18032025</v>
      </c>
      <c r="B207" s="120" t="s">
        <v>859</v>
      </c>
      <c r="C207" s="334" t="s">
        <v>13</v>
      </c>
      <c r="D207" s="427">
        <v>45734</v>
      </c>
      <c r="E207" s="334"/>
      <c r="F207" s="334" t="s">
        <v>5326</v>
      </c>
      <c r="H207" s="120" t="s">
        <v>279</v>
      </c>
      <c r="K207" s="1001">
        <v>34500</v>
      </c>
      <c r="L207" s="1001"/>
      <c r="T207" s="120" t="s">
        <v>4853</v>
      </c>
      <c r="U207" s="597">
        <v>0.29166666666666669</v>
      </c>
      <c r="V207" s="597">
        <v>0.47569444444444442</v>
      </c>
    </row>
    <row r="208" spans="1:22" s="926" customFormat="1" x14ac:dyDescent="0.25">
      <c r="A208" s="925">
        <v>18032025</v>
      </c>
      <c r="B208" s="926" t="s">
        <v>2912</v>
      </c>
      <c r="C208" s="928" t="s">
        <v>410</v>
      </c>
      <c r="D208" s="927">
        <v>45734</v>
      </c>
      <c r="E208" s="928"/>
      <c r="F208" s="928" t="s">
        <v>113</v>
      </c>
      <c r="H208" s="926" t="s">
        <v>279</v>
      </c>
      <c r="K208" s="932">
        <v>39100</v>
      </c>
      <c r="L208" s="932"/>
      <c r="T208" s="926" t="s">
        <v>4140</v>
      </c>
      <c r="U208" s="931">
        <v>0.42222222222222222</v>
      </c>
      <c r="V208" s="931">
        <v>0.61041666666666672</v>
      </c>
    </row>
    <row r="209" spans="1:22" s="926" customFormat="1" hidden="1" x14ac:dyDescent="0.25">
      <c r="A209" s="925">
        <v>18032025</v>
      </c>
      <c r="B209" s="926" t="s">
        <v>1720</v>
      </c>
      <c r="C209" s="928" t="s">
        <v>410</v>
      </c>
      <c r="D209" s="927">
        <v>45734</v>
      </c>
      <c r="E209" s="928"/>
      <c r="F209" s="928" t="s">
        <v>545</v>
      </c>
      <c r="H209" s="926" t="s">
        <v>277</v>
      </c>
      <c r="K209" s="932">
        <v>22750</v>
      </c>
      <c r="L209" s="932"/>
      <c r="T209" s="926" t="s">
        <v>5131</v>
      </c>
      <c r="U209" s="931">
        <v>0.7597222222222223</v>
      </c>
      <c r="V209" s="931">
        <v>0.9</v>
      </c>
    </row>
    <row r="210" spans="1:22" s="33" customFormat="1" x14ac:dyDescent="0.25">
      <c r="A210" s="547">
        <v>19032025</v>
      </c>
      <c r="B210" s="33" t="s">
        <v>5360</v>
      </c>
      <c r="C210" s="306" t="s">
        <v>13</v>
      </c>
      <c r="D210" s="548">
        <v>45735</v>
      </c>
      <c r="E210" s="306"/>
      <c r="F210" s="306" t="s">
        <v>294</v>
      </c>
      <c r="H210" s="33" t="s">
        <v>279</v>
      </c>
      <c r="K210" s="933">
        <v>35685</v>
      </c>
      <c r="L210" s="933"/>
      <c r="T210" s="33" t="s">
        <v>4345</v>
      </c>
      <c r="U210" s="550">
        <v>0.48541666666666666</v>
      </c>
      <c r="V210" s="550">
        <v>0.6875</v>
      </c>
    </row>
    <row r="211" spans="1:22" s="926" customFormat="1" hidden="1" x14ac:dyDescent="0.25">
      <c r="A211" s="925">
        <v>19032025</v>
      </c>
      <c r="B211" s="926" t="s">
        <v>1720</v>
      </c>
      <c r="C211" s="928" t="s">
        <v>410</v>
      </c>
      <c r="D211" s="927">
        <v>45735</v>
      </c>
      <c r="E211" s="928"/>
      <c r="F211" s="928" t="s">
        <v>545</v>
      </c>
      <c r="H211" s="926" t="s">
        <v>277</v>
      </c>
      <c r="K211" s="932">
        <v>22750</v>
      </c>
      <c r="L211" s="932"/>
      <c r="T211" s="926" t="s">
        <v>2050</v>
      </c>
      <c r="U211" s="931">
        <v>0.56736111111111109</v>
      </c>
      <c r="V211" s="931">
        <v>0.70277777777777783</v>
      </c>
    </row>
    <row r="212" spans="1:22" s="33" customFormat="1" x14ac:dyDescent="0.25">
      <c r="A212" s="547">
        <v>20032025</v>
      </c>
      <c r="B212" s="33" t="s">
        <v>614</v>
      </c>
      <c r="C212" s="306" t="s">
        <v>410</v>
      </c>
      <c r="D212" s="548">
        <v>45736</v>
      </c>
      <c r="E212" s="306"/>
      <c r="F212" s="306" t="s">
        <v>113</v>
      </c>
      <c r="H212" s="33" t="s">
        <v>279</v>
      </c>
      <c r="K212" s="933">
        <v>44651.199999999997</v>
      </c>
      <c r="L212" s="933"/>
      <c r="T212" s="33" t="s">
        <v>5078</v>
      </c>
      <c r="U212" s="550">
        <v>0.45069444444444445</v>
      </c>
      <c r="V212" s="550">
        <v>0.64652777777777781</v>
      </c>
    </row>
    <row r="213" spans="1:22" s="33" customFormat="1" x14ac:dyDescent="0.25">
      <c r="A213" s="547">
        <v>20032025</v>
      </c>
      <c r="B213" s="33" t="s">
        <v>614</v>
      </c>
      <c r="C213" s="306" t="s">
        <v>13</v>
      </c>
      <c r="D213" s="548">
        <v>45736</v>
      </c>
      <c r="E213" s="306"/>
      <c r="F213" s="306" t="s">
        <v>2008</v>
      </c>
      <c r="H213" s="33" t="s">
        <v>279</v>
      </c>
      <c r="K213" s="933">
        <v>55035.199999999997</v>
      </c>
      <c r="L213" s="933"/>
      <c r="T213" s="33" t="s">
        <v>4853</v>
      </c>
      <c r="U213" s="550">
        <v>0.33819444444444446</v>
      </c>
      <c r="V213" s="550">
        <v>0.62083333333333335</v>
      </c>
    </row>
    <row r="214" spans="1:22" s="33" customFormat="1" x14ac:dyDescent="0.25">
      <c r="A214" s="547">
        <v>20032025</v>
      </c>
      <c r="B214" s="33" t="s">
        <v>614</v>
      </c>
      <c r="C214" s="306" t="s">
        <v>4218</v>
      </c>
      <c r="D214" s="548">
        <v>45736</v>
      </c>
      <c r="E214" s="306"/>
      <c r="F214" s="306" t="s">
        <v>2029</v>
      </c>
      <c r="H214" s="33" t="s">
        <v>279</v>
      </c>
      <c r="K214" s="933">
        <v>31152</v>
      </c>
      <c r="L214" s="933"/>
      <c r="T214" s="33" t="s">
        <v>4911</v>
      </c>
      <c r="U214" s="550">
        <v>0.36180555555555555</v>
      </c>
      <c r="V214" s="550">
        <v>0.54375000000000007</v>
      </c>
    </row>
    <row r="215" spans="1:22" s="33" customFormat="1" x14ac:dyDescent="0.25">
      <c r="A215" s="547">
        <v>20032025</v>
      </c>
      <c r="B215" s="33" t="s">
        <v>614</v>
      </c>
      <c r="C215" s="306" t="s">
        <v>4218</v>
      </c>
      <c r="D215" s="548">
        <v>45736</v>
      </c>
      <c r="E215" s="306"/>
      <c r="F215" s="306" t="s">
        <v>545</v>
      </c>
      <c r="H215" s="33" t="s">
        <v>279</v>
      </c>
      <c r="K215" s="933">
        <v>37382.400000000001</v>
      </c>
      <c r="L215" s="933"/>
      <c r="T215" s="33" t="s">
        <v>4911</v>
      </c>
      <c r="U215" s="550">
        <v>0.57916666666666672</v>
      </c>
      <c r="V215" s="550">
        <v>0.74097222222222225</v>
      </c>
    </row>
    <row r="216" spans="1:22" s="33" customFormat="1" x14ac:dyDescent="0.25">
      <c r="A216" s="547">
        <v>21032025</v>
      </c>
      <c r="B216" s="33" t="s">
        <v>582</v>
      </c>
      <c r="C216" s="306" t="s">
        <v>410</v>
      </c>
      <c r="D216" s="548">
        <v>45737</v>
      </c>
      <c r="E216" s="306"/>
      <c r="F216" s="306" t="s">
        <v>106</v>
      </c>
      <c r="H216" s="33" t="s">
        <v>279</v>
      </c>
      <c r="K216" s="933">
        <v>26200</v>
      </c>
      <c r="L216" s="933"/>
      <c r="T216" s="33" t="s">
        <v>4417</v>
      </c>
      <c r="U216" s="550">
        <v>0.29236111111111113</v>
      </c>
      <c r="V216" s="550">
        <v>0.46180555555555558</v>
      </c>
    </row>
    <row r="217" spans="1:22" s="33" customFormat="1" x14ac:dyDescent="0.25">
      <c r="A217" s="547">
        <v>21032025</v>
      </c>
      <c r="B217" s="33" t="s">
        <v>614</v>
      </c>
      <c r="C217" s="306" t="s">
        <v>4218</v>
      </c>
      <c r="D217" s="548">
        <v>45737</v>
      </c>
      <c r="E217" s="306"/>
      <c r="F217" s="306" t="s">
        <v>545</v>
      </c>
      <c r="H217" s="33" t="s">
        <v>279</v>
      </c>
      <c r="K217" s="933">
        <v>37382.400000000001</v>
      </c>
      <c r="L217" s="933"/>
      <c r="T217" s="33" t="s">
        <v>5026</v>
      </c>
      <c r="U217" s="550">
        <v>0.29652777777777778</v>
      </c>
      <c r="V217" s="550">
        <v>0.4680555555555555</v>
      </c>
    </row>
    <row r="218" spans="1:22" s="399" customFormat="1" x14ac:dyDescent="0.25">
      <c r="A218" s="626">
        <v>21032025</v>
      </c>
      <c r="B218" s="399" t="s">
        <v>4662</v>
      </c>
      <c r="C218" s="552" t="s">
        <v>4218</v>
      </c>
      <c r="D218" s="606">
        <v>45737</v>
      </c>
      <c r="E218" s="552"/>
      <c r="F218" s="552" t="s">
        <v>2008</v>
      </c>
      <c r="H218" s="399" t="s">
        <v>279</v>
      </c>
      <c r="K218" s="1123">
        <v>47250</v>
      </c>
      <c r="L218" s="1123"/>
      <c r="T218" s="399" t="s">
        <v>4983</v>
      </c>
      <c r="U218" s="1125">
        <v>12.58</v>
      </c>
      <c r="V218" s="1125">
        <v>18.420000000000002</v>
      </c>
    </row>
    <row r="219" spans="1:22" s="926" customFormat="1" hidden="1" x14ac:dyDescent="0.25">
      <c r="A219" s="925">
        <v>21032025</v>
      </c>
      <c r="B219" s="926" t="s">
        <v>930</v>
      </c>
      <c r="C219" s="928" t="s">
        <v>410</v>
      </c>
      <c r="D219" s="927">
        <v>45737</v>
      </c>
      <c r="E219" s="928"/>
      <c r="F219" s="928" t="s">
        <v>294</v>
      </c>
      <c r="H219" s="926" t="s">
        <v>277</v>
      </c>
      <c r="K219" s="932">
        <v>24886</v>
      </c>
      <c r="L219" s="932"/>
      <c r="T219" s="926" t="s">
        <v>4417</v>
      </c>
      <c r="U219" s="931">
        <v>0.49722222222222223</v>
      </c>
      <c r="V219" s="931">
        <v>0.64652777777777781</v>
      </c>
    </row>
    <row r="220" spans="1:22" s="33" customFormat="1" x14ac:dyDescent="0.25">
      <c r="A220" s="547">
        <v>21032025</v>
      </c>
      <c r="B220" s="33" t="s">
        <v>875</v>
      </c>
      <c r="C220" s="306" t="s">
        <v>13</v>
      </c>
      <c r="D220" s="548">
        <v>45737</v>
      </c>
      <c r="E220" s="306"/>
      <c r="F220" s="306" t="s">
        <v>2036</v>
      </c>
      <c r="H220" s="33" t="s">
        <v>279</v>
      </c>
      <c r="K220" s="933">
        <v>23500</v>
      </c>
      <c r="L220" s="933"/>
      <c r="T220" s="33" t="s">
        <v>5026</v>
      </c>
      <c r="U220" s="550">
        <v>0.59930555555555554</v>
      </c>
      <c r="V220" s="432">
        <v>17.27</v>
      </c>
    </row>
    <row r="221" spans="1:22" s="291" customFormat="1" x14ac:dyDescent="0.25">
      <c r="A221" s="544">
        <v>22032025</v>
      </c>
      <c r="B221" s="291" t="s">
        <v>859</v>
      </c>
      <c r="C221" s="310" t="s">
        <v>13</v>
      </c>
      <c r="D221" s="545">
        <v>45738</v>
      </c>
      <c r="E221" s="310"/>
      <c r="F221" s="310" t="s">
        <v>5326</v>
      </c>
      <c r="H221" s="291" t="s">
        <v>279</v>
      </c>
      <c r="K221" s="945">
        <v>34500</v>
      </c>
      <c r="L221" s="945"/>
      <c r="T221" s="33" t="s">
        <v>5026</v>
      </c>
      <c r="U221" s="546">
        <v>0.26111111111111113</v>
      </c>
      <c r="V221" s="546">
        <v>0.44166666666666665</v>
      </c>
    </row>
    <row r="222" spans="1:22" s="947" customFormat="1" x14ac:dyDescent="0.25">
      <c r="A222" s="946">
        <v>22032025</v>
      </c>
      <c r="B222" s="947" t="s">
        <v>608</v>
      </c>
      <c r="C222" s="948" t="s">
        <v>410</v>
      </c>
      <c r="D222" s="949">
        <v>45738</v>
      </c>
      <c r="E222" s="948"/>
      <c r="F222" s="948" t="s">
        <v>236</v>
      </c>
      <c r="H222" s="947" t="s">
        <v>279</v>
      </c>
      <c r="K222" s="950">
        <v>58231</v>
      </c>
      <c r="L222" s="950"/>
      <c r="T222" s="926" t="s">
        <v>4139</v>
      </c>
      <c r="U222" s="951">
        <v>0.30277777777777776</v>
      </c>
      <c r="V222" s="951">
        <v>0.58194444444444449</v>
      </c>
    </row>
    <row r="223" spans="1:22" s="291" customFormat="1" x14ac:dyDescent="0.25">
      <c r="A223" s="544">
        <v>22032025</v>
      </c>
      <c r="B223" s="291" t="s">
        <v>875</v>
      </c>
      <c r="C223" s="310" t="s">
        <v>4218</v>
      </c>
      <c r="D223" s="545">
        <v>45738</v>
      </c>
      <c r="E223" s="310"/>
      <c r="F223" s="310" t="s">
        <v>2036</v>
      </c>
      <c r="H223" s="291" t="s">
        <v>279</v>
      </c>
      <c r="K223" s="945">
        <v>23500</v>
      </c>
      <c r="L223" s="945"/>
      <c r="T223" s="33" t="s">
        <v>4417</v>
      </c>
      <c r="U223" s="546">
        <v>0.3430555555555555</v>
      </c>
      <c r="V223" s="546">
        <v>0.47847222222222219</v>
      </c>
    </row>
    <row r="224" spans="1:22" s="291" customFormat="1" x14ac:dyDescent="0.25">
      <c r="A224" s="544">
        <v>22032025</v>
      </c>
      <c r="B224" s="291" t="s">
        <v>875</v>
      </c>
      <c r="C224" s="310" t="s">
        <v>4218</v>
      </c>
      <c r="D224" s="545">
        <v>45738</v>
      </c>
      <c r="E224" s="310"/>
      <c r="F224" s="310" t="s">
        <v>2036</v>
      </c>
      <c r="H224" s="291" t="s">
        <v>279</v>
      </c>
      <c r="K224" s="945">
        <v>23500</v>
      </c>
      <c r="L224" s="945"/>
      <c r="T224" s="33" t="s">
        <v>4417</v>
      </c>
      <c r="U224" s="546">
        <v>0.55069444444444449</v>
      </c>
      <c r="V224" s="546">
        <v>0.67708333333333337</v>
      </c>
    </row>
    <row r="225" spans="1:22" s="926" customFormat="1" hidden="1" x14ac:dyDescent="0.25">
      <c r="A225" s="925">
        <v>23032025</v>
      </c>
      <c r="B225" s="926" t="s">
        <v>1720</v>
      </c>
      <c r="C225" s="928" t="s">
        <v>4218</v>
      </c>
      <c r="D225" s="949">
        <v>45739</v>
      </c>
      <c r="E225" s="928"/>
      <c r="F225" s="928" t="s">
        <v>545</v>
      </c>
      <c r="H225" s="926" t="s">
        <v>277</v>
      </c>
      <c r="K225" s="932">
        <v>22750</v>
      </c>
      <c r="L225" s="932"/>
      <c r="T225" s="926" t="s">
        <v>5131</v>
      </c>
      <c r="U225" s="931">
        <v>0.29166666666666669</v>
      </c>
      <c r="V225" s="931">
        <v>0.4284722222222222</v>
      </c>
    </row>
    <row r="226" spans="1:22" s="926" customFormat="1" x14ac:dyDescent="0.25">
      <c r="A226" s="925">
        <v>23032025</v>
      </c>
      <c r="B226" s="947" t="s">
        <v>608</v>
      </c>
      <c r="C226" s="928" t="s">
        <v>410</v>
      </c>
      <c r="D226" s="949">
        <v>45739</v>
      </c>
      <c r="E226" s="928"/>
      <c r="F226" s="928" t="s">
        <v>236</v>
      </c>
      <c r="H226" s="926" t="s">
        <v>279</v>
      </c>
      <c r="K226" s="932">
        <v>58231</v>
      </c>
      <c r="L226" s="932"/>
      <c r="T226" s="926" t="s">
        <v>4867</v>
      </c>
      <c r="U226" s="931">
        <v>0.30069444444444443</v>
      </c>
      <c r="V226" s="931">
        <v>0.59722222222222221</v>
      </c>
    </row>
    <row r="227" spans="1:22" s="33" customFormat="1" x14ac:dyDescent="0.25">
      <c r="A227" s="547">
        <v>23032025</v>
      </c>
      <c r="B227" s="291" t="s">
        <v>614</v>
      </c>
      <c r="C227" s="306" t="s">
        <v>410</v>
      </c>
      <c r="D227" s="548">
        <v>45739</v>
      </c>
      <c r="E227" s="306"/>
      <c r="F227" s="306" t="s">
        <v>563</v>
      </c>
      <c r="H227" s="33" t="s">
        <v>279</v>
      </c>
      <c r="K227" s="933">
        <v>33228.199999999997</v>
      </c>
      <c r="L227" s="933"/>
      <c r="T227" s="33" t="s">
        <v>5131</v>
      </c>
      <c r="U227" s="550">
        <v>0.46597222222222223</v>
      </c>
      <c r="V227" s="550">
        <v>0.63958333333333328</v>
      </c>
    </row>
    <row r="228" spans="1:22" s="33" customFormat="1" x14ac:dyDescent="0.25">
      <c r="A228" s="547">
        <v>24032025</v>
      </c>
      <c r="B228" s="291" t="s">
        <v>875</v>
      </c>
      <c r="C228" s="306" t="s">
        <v>4218</v>
      </c>
      <c r="D228" s="548">
        <v>45740</v>
      </c>
      <c r="E228" s="306"/>
      <c r="F228" s="306" t="s">
        <v>2036</v>
      </c>
      <c r="H228" s="33" t="s">
        <v>279</v>
      </c>
      <c r="K228" s="933">
        <v>23500</v>
      </c>
      <c r="L228" s="933"/>
      <c r="T228" s="33" t="s">
        <v>4509</v>
      </c>
      <c r="U228" s="550">
        <v>0.46597222222222223</v>
      </c>
      <c r="V228" s="550">
        <v>0.61249999999999993</v>
      </c>
    </row>
    <row r="229" spans="1:22" s="926" customFormat="1" x14ac:dyDescent="0.25">
      <c r="A229" s="925">
        <v>24032025</v>
      </c>
      <c r="B229" s="947" t="s">
        <v>608</v>
      </c>
      <c r="C229" s="928" t="s">
        <v>13</v>
      </c>
      <c r="D229" s="927">
        <v>45740</v>
      </c>
      <c r="E229" s="928"/>
      <c r="F229" s="928" t="s">
        <v>236</v>
      </c>
      <c r="H229" s="926" t="s">
        <v>279</v>
      </c>
      <c r="K229" s="932">
        <v>58231</v>
      </c>
      <c r="L229" s="932"/>
      <c r="T229" s="926" t="s">
        <v>4138</v>
      </c>
      <c r="U229" s="931">
        <v>0.2590277777777778</v>
      </c>
      <c r="V229" s="931">
        <v>5.7638888888888885E-2</v>
      </c>
    </row>
    <row r="230" spans="1:22" s="1094" customFormat="1" x14ac:dyDescent="0.25">
      <c r="A230" s="1093">
        <v>25032025</v>
      </c>
      <c r="B230" s="1126" t="s">
        <v>3238</v>
      </c>
      <c r="C230" s="1095" t="s">
        <v>4218</v>
      </c>
      <c r="D230" s="874">
        <v>45741</v>
      </c>
      <c r="E230" s="1095"/>
      <c r="F230" s="1095" t="s">
        <v>236</v>
      </c>
      <c r="H230" s="1094" t="s">
        <v>279</v>
      </c>
      <c r="K230" s="1096"/>
      <c r="L230" s="1096">
        <f>11700*1.18</f>
        <v>13806</v>
      </c>
      <c r="M230" s="926"/>
      <c r="T230" s="1094" t="s">
        <v>2050</v>
      </c>
      <c r="U230" s="1097">
        <v>0.30069444444444443</v>
      </c>
      <c r="V230" s="1097">
        <v>0.57708333333333328</v>
      </c>
    </row>
    <row r="231" spans="1:22" s="33" customFormat="1" ht="14.1" customHeight="1" x14ac:dyDescent="0.25">
      <c r="A231" s="547">
        <v>25032025</v>
      </c>
      <c r="B231" s="291" t="s">
        <v>572</v>
      </c>
      <c r="C231" s="306" t="s">
        <v>13</v>
      </c>
      <c r="D231" s="548">
        <v>45741</v>
      </c>
      <c r="E231" s="306"/>
      <c r="F231" s="306" t="s">
        <v>207</v>
      </c>
      <c r="H231" s="33" t="s">
        <v>279</v>
      </c>
      <c r="K231" s="933"/>
      <c r="L231" s="933">
        <v>8968</v>
      </c>
      <c r="M231" s="926"/>
      <c r="T231" s="33" t="s">
        <v>5078</v>
      </c>
      <c r="U231" s="550">
        <v>0.37986111111111115</v>
      </c>
      <c r="V231" s="550">
        <v>0.60277777777777775</v>
      </c>
    </row>
    <row r="232" spans="1:22" s="926" customFormat="1" ht="14.1" hidden="1" customHeight="1" x14ac:dyDescent="0.25">
      <c r="A232" s="925">
        <v>25032025</v>
      </c>
      <c r="B232" s="947" t="s">
        <v>930</v>
      </c>
      <c r="C232" s="928" t="s">
        <v>410</v>
      </c>
      <c r="D232" s="927">
        <v>45741</v>
      </c>
      <c r="E232" s="928"/>
      <c r="F232" s="928" t="s">
        <v>294</v>
      </c>
      <c r="H232" s="926" t="s">
        <v>277</v>
      </c>
      <c r="K232" s="932">
        <v>24886</v>
      </c>
      <c r="L232" s="932"/>
      <c r="M232" s="33"/>
      <c r="T232" s="926" t="s">
        <v>4509</v>
      </c>
      <c r="U232" s="931">
        <v>0.45555555555555555</v>
      </c>
      <c r="V232" s="931">
        <v>0.60833333333333328</v>
      </c>
    </row>
    <row r="233" spans="1:22" s="926" customFormat="1" x14ac:dyDescent="0.25">
      <c r="A233" s="925">
        <v>26032025</v>
      </c>
      <c r="B233" s="947" t="s">
        <v>5927</v>
      </c>
      <c r="C233" s="928" t="s">
        <v>13</v>
      </c>
      <c r="D233" s="927">
        <v>45742</v>
      </c>
      <c r="E233" s="928"/>
      <c r="F233" s="928" t="s">
        <v>2437</v>
      </c>
      <c r="H233" s="926" t="s">
        <v>279</v>
      </c>
      <c r="K233" s="932"/>
      <c r="L233" s="932">
        <v>6500</v>
      </c>
      <c r="M233" s="33"/>
      <c r="T233" s="926" t="s">
        <v>4509</v>
      </c>
      <c r="U233" s="931">
        <v>0.39513888888888887</v>
      </c>
      <c r="V233" s="931">
        <v>0.47222222222222227</v>
      </c>
    </row>
    <row r="234" spans="1:22" s="33" customFormat="1" x14ac:dyDescent="0.25">
      <c r="A234" s="547">
        <v>26032025</v>
      </c>
      <c r="B234" s="291" t="s">
        <v>614</v>
      </c>
      <c r="C234" s="306" t="s">
        <v>4218</v>
      </c>
      <c r="D234" s="548">
        <v>45742</v>
      </c>
      <c r="E234" s="306"/>
      <c r="F234" s="306" t="s">
        <v>2437</v>
      </c>
      <c r="H234" s="33" t="s">
        <v>279</v>
      </c>
      <c r="K234" s="933">
        <v>26998.400000000001</v>
      </c>
      <c r="L234" s="933"/>
      <c r="T234" s="33" t="s">
        <v>2037</v>
      </c>
      <c r="U234" s="550">
        <v>0.48472222222222222</v>
      </c>
      <c r="V234" s="550">
        <v>0.59444444444444444</v>
      </c>
    </row>
    <row r="235" spans="1:22" s="33" customFormat="1" x14ac:dyDescent="0.25">
      <c r="A235" s="547">
        <v>26032025</v>
      </c>
      <c r="B235" s="291" t="s">
        <v>629</v>
      </c>
      <c r="C235" s="306" t="s">
        <v>410</v>
      </c>
      <c r="D235" s="548">
        <v>45742</v>
      </c>
      <c r="E235" s="306"/>
      <c r="F235" s="306" t="s">
        <v>3413</v>
      </c>
      <c r="H235" s="33" t="s">
        <v>279</v>
      </c>
      <c r="K235" s="933">
        <v>24750</v>
      </c>
      <c r="L235" s="933"/>
      <c r="T235" s="33" t="s">
        <v>4983</v>
      </c>
      <c r="U235" s="432">
        <v>7.59</v>
      </c>
      <c r="V235" s="550">
        <v>0.7680555555555556</v>
      </c>
    </row>
    <row r="236" spans="1:22" s="33" customFormat="1" x14ac:dyDescent="0.25">
      <c r="A236" s="547">
        <v>27032025</v>
      </c>
      <c r="B236" s="33" t="s">
        <v>614</v>
      </c>
      <c r="C236" s="306" t="s">
        <v>13</v>
      </c>
      <c r="D236" s="548">
        <v>45743</v>
      </c>
      <c r="E236" s="306"/>
      <c r="F236" s="306" t="s">
        <v>317</v>
      </c>
      <c r="H236" s="33" t="s">
        <v>279</v>
      </c>
      <c r="K236" s="933">
        <v>53996.800000000003</v>
      </c>
      <c r="L236" s="933"/>
      <c r="T236" s="33" t="s">
        <v>4853</v>
      </c>
      <c r="U236" s="550">
        <v>0.29791666666666666</v>
      </c>
      <c r="V236" s="550">
        <v>0.59444444444444444</v>
      </c>
    </row>
    <row r="237" spans="1:22" s="33" customFormat="1" x14ac:dyDescent="0.25">
      <c r="A237" s="547">
        <v>27032025</v>
      </c>
      <c r="B237" s="33" t="s">
        <v>614</v>
      </c>
      <c r="C237" s="306" t="s">
        <v>410</v>
      </c>
      <c r="D237" s="548">
        <v>45743</v>
      </c>
      <c r="E237" s="306"/>
      <c r="F237" s="306" t="s">
        <v>68</v>
      </c>
      <c r="H237" s="33" t="s">
        <v>279</v>
      </c>
      <c r="K237" s="933">
        <v>49843.199999999997</v>
      </c>
      <c r="L237" s="933"/>
      <c r="T237" s="33" t="s">
        <v>5393</v>
      </c>
      <c r="U237" s="432">
        <v>12.23</v>
      </c>
      <c r="V237" s="432">
        <v>17.53</v>
      </c>
    </row>
    <row r="238" spans="1:22" s="926" customFormat="1" x14ac:dyDescent="0.25">
      <c r="A238" s="925">
        <v>28032025</v>
      </c>
      <c r="B238" s="926" t="s">
        <v>3880</v>
      </c>
      <c r="C238" s="928" t="s">
        <v>410</v>
      </c>
      <c r="D238" s="927">
        <v>45744</v>
      </c>
      <c r="E238" s="928"/>
      <c r="F238" s="928" t="s">
        <v>545</v>
      </c>
      <c r="H238" s="926" t="s">
        <v>279</v>
      </c>
      <c r="K238" s="932">
        <v>32284.400000000001</v>
      </c>
      <c r="L238" s="932"/>
      <c r="T238" s="926" t="s">
        <v>2050</v>
      </c>
      <c r="U238" s="931">
        <v>0.29930555555555555</v>
      </c>
      <c r="V238" s="931">
        <v>0.48819444444444443</v>
      </c>
    </row>
    <row r="239" spans="1:22" s="926" customFormat="1" x14ac:dyDescent="0.25">
      <c r="A239" s="925">
        <v>28032025</v>
      </c>
      <c r="B239" s="926" t="s">
        <v>3880</v>
      </c>
      <c r="C239" s="928" t="s">
        <v>13</v>
      </c>
      <c r="D239" s="927">
        <v>45744</v>
      </c>
      <c r="E239" s="928"/>
      <c r="F239" s="928" t="s">
        <v>545</v>
      </c>
      <c r="H239" s="926" t="s">
        <v>279</v>
      </c>
      <c r="K239" s="932">
        <v>32284.400000000001</v>
      </c>
      <c r="L239" s="932"/>
      <c r="T239" s="926" t="s">
        <v>2050</v>
      </c>
      <c r="U239" s="931">
        <v>0.52986111111111112</v>
      </c>
      <c r="V239" s="931">
        <v>0.70486111111111116</v>
      </c>
    </row>
    <row r="240" spans="1:22" s="33" customFormat="1" x14ac:dyDescent="0.25">
      <c r="A240" s="547">
        <v>28032025</v>
      </c>
      <c r="B240" s="33" t="s">
        <v>614</v>
      </c>
      <c r="C240" s="306" t="s">
        <v>4218</v>
      </c>
      <c r="D240" s="548">
        <v>45744</v>
      </c>
      <c r="E240" s="306"/>
      <c r="F240" s="306" t="s">
        <v>2036</v>
      </c>
      <c r="H240" s="33" t="s">
        <v>279</v>
      </c>
      <c r="K240" s="933">
        <v>31152</v>
      </c>
      <c r="L240" s="933"/>
      <c r="T240" s="33" t="s">
        <v>4139</v>
      </c>
      <c r="U240" s="550">
        <v>0.4381944444444445</v>
      </c>
      <c r="V240" s="550">
        <v>0.56388888888888888</v>
      </c>
    </row>
    <row r="241" spans="1:22" s="120" customFormat="1" x14ac:dyDescent="0.25">
      <c r="A241" s="595">
        <v>29032025</v>
      </c>
      <c r="B241" s="120" t="s">
        <v>3083</v>
      </c>
      <c r="C241" s="334" t="s">
        <v>13</v>
      </c>
      <c r="D241" s="427">
        <v>45745</v>
      </c>
      <c r="E241" s="334"/>
      <c r="F241" s="334" t="s">
        <v>2253</v>
      </c>
      <c r="H241" s="120" t="s">
        <v>279</v>
      </c>
      <c r="K241" s="1001">
        <v>58824</v>
      </c>
      <c r="L241" s="1001"/>
      <c r="T241" s="120" t="s">
        <v>4417</v>
      </c>
      <c r="U241" s="597">
        <v>0.2951388888888889</v>
      </c>
      <c r="V241" s="597">
        <v>0.62847222222222221</v>
      </c>
    </row>
    <row r="242" spans="1:22" s="33" customFormat="1" x14ac:dyDescent="0.25">
      <c r="A242" s="547">
        <v>29032025</v>
      </c>
      <c r="B242" s="33" t="s">
        <v>4264</v>
      </c>
      <c r="C242" s="306" t="s">
        <v>4218</v>
      </c>
      <c r="D242" s="548">
        <v>45745</v>
      </c>
      <c r="E242" s="306"/>
      <c r="F242" s="306" t="s">
        <v>1931</v>
      </c>
      <c r="H242" s="33" t="s">
        <v>279</v>
      </c>
      <c r="K242" s="933">
        <f>41975+15525</f>
        <v>57500</v>
      </c>
      <c r="L242" s="933"/>
      <c r="T242" s="33" t="s">
        <v>4297</v>
      </c>
      <c r="U242" s="550">
        <v>0.56527777777777777</v>
      </c>
      <c r="V242" s="550">
        <v>0.88750000000000007</v>
      </c>
    </row>
    <row r="243" spans="1:22" s="33" customFormat="1" hidden="1" x14ac:dyDescent="0.25">
      <c r="A243" s="547">
        <v>29032025</v>
      </c>
      <c r="B243" s="33" t="s">
        <v>930</v>
      </c>
      <c r="C243" s="306" t="s">
        <v>410</v>
      </c>
      <c r="D243" s="548">
        <v>45745</v>
      </c>
      <c r="E243" s="306"/>
      <c r="F243" s="306" t="s">
        <v>294</v>
      </c>
      <c r="H243" s="33" t="s">
        <v>277</v>
      </c>
      <c r="K243" s="933">
        <v>24886</v>
      </c>
      <c r="L243" s="933"/>
      <c r="T243" s="33" t="s">
        <v>5026</v>
      </c>
      <c r="U243" s="550">
        <v>0.71597222222222223</v>
      </c>
      <c r="V243" s="550">
        <v>0.86944444444444446</v>
      </c>
    </row>
    <row r="244" spans="1:22" s="33" customFormat="1" x14ac:dyDescent="0.25">
      <c r="A244" s="547">
        <v>31032025</v>
      </c>
      <c r="B244" s="33" t="s">
        <v>5890</v>
      </c>
      <c r="C244" s="306" t="s">
        <v>410</v>
      </c>
      <c r="D244" s="548">
        <v>45747</v>
      </c>
      <c r="E244" s="306"/>
      <c r="F244" s="306" t="s">
        <v>798</v>
      </c>
      <c r="H244" s="33" t="s">
        <v>279</v>
      </c>
      <c r="K244" s="933">
        <v>26904</v>
      </c>
      <c r="L244" s="933"/>
      <c r="T244" s="33" t="s">
        <v>5891</v>
      </c>
      <c r="U244" s="550">
        <v>0.35833333333333334</v>
      </c>
      <c r="V244" s="550">
        <v>0.50972222222222219</v>
      </c>
    </row>
    <row r="245" spans="1:22" s="33" customFormat="1" x14ac:dyDescent="0.25">
      <c r="A245" s="547">
        <v>31032025</v>
      </c>
      <c r="B245" s="33" t="s">
        <v>1720</v>
      </c>
      <c r="C245" s="306" t="s">
        <v>4218</v>
      </c>
      <c r="D245" s="548">
        <v>45747</v>
      </c>
      <c r="E245" s="306"/>
      <c r="F245" s="306" t="s">
        <v>545</v>
      </c>
      <c r="H245" s="33" t="s">
        <v>279</v>
      </c>
      <c r="K245" s="933">
        <v>32250</v>
      </c>
      <c r="L245" s="933"/>
      <c r="T245" s="33" t="s">
        <v>5891</v>
      </c>
      <c r="U245" s="550">
        <v>0.52916666666666667</v>
      </c>
      <c r="V245" s="550">
        <v>0.68541666666666667</v>
      </c>
    </row>
    <row r="246" spans="1:22" s="33" customFormat="1" hidden="1" x14ac:dyDescent="0.25">
      <c r="A246" s="547">
        <v>31032025</v>
      </c>
      <c r="B246" s="33" t="s">
        <v>1720</v>
      </c>
      <c r="C246" s="306" t="s">
        <v>410</v>
      </c>
      <c r="D246" s="548">
        <v>45747</v>
      </c>
      <c r="E246" s="306"/>
      <c r="F246" s="306" t="s">
        <v>545</v>
      </c>
      <c r="H246" s="33" t="s">
        <v>277</v>
      </c>
      <c r="K246" s="933">
        <v>22750</v>
      </c>
      <c r="L246" s="933"/>
      <c r="T246" s="33" t="s">
        <v>4867</v>
      </c>
      <c r="U246" s="550">
        <v>0.60972222222222217</v>
      </c>
      <c r="V246" s="550">
        <v>0.7416666666666667</v>
      </c>
    </row>
    <row r="247" spans="1:22" hidden="1" x14ac:dyDescent="0.25">
      <c r="A247" s="483"/>
      <c r="D247" s="233"/>
      <c r="K247" s="798"/>
      <c r="L247" s="798"/>
    </row>
    <row r="248" spans="1:22" hidden="1" x14ac:dyDescent="0.25">
      <c r="A248" s="483"/>
      <c r="D248" s="233"/>
      <c r="H248" s="149"/>
      <c r="K248" s="798"/>
      <c r="L248" s="798"/>
    </row>
    <row r="249" spans="1:22" hidden="1" x14ac:dyDescent="0.25">
      <c r="A249" s="483"/>
      <c r="D249" s="233"/>
      <c r="K249" s="798"/>
      <c r="L249" s="798"/>
    </row>
    <row r="250" spans="1:22" ht="15.75" hidden="1" thickBot="1" x14ac:dyDescent="0.3">
      <c r="A250" s="483"/>
      <c r="D250" s="233"/>
      <c r="H250" s="158"/>
      <c r="K250" s="952">
        <f>SUM(K162:K249)</f>
        <v>2729314.5999999996</v>
      </c>
      <c r="L250" s="952">
        <f>SUM(L162:L249)</f>
        <v>110662.39999999999</v>
      </c>
    </row>
    <row r="251" spans="1:22" hidden="1" x14ac:dyDescent="0.25">
      <c r="A251" s="483"/>
      <c r="D251" s="233"/>
      <c r="K251" s="798"/>
      <c r="L251" s="798"/>
    </row>
    <row r="252" spans="1:22" hidden="1" x14ac:dyDescent="0.25">
      <c r="A252" s="483"/>
      <c r="D252" s="233"/>
      <c r="K252" s="798"/>
      <c r="L252" s="798"/>
    </row>
    <row r="253" spans="1:22" hidden="1" x14ac:dyDescent="0.25">
      <c r="A253" s="483"/>
      <c r="D253" s="233"/>
      <c r="K253" s="798"/>
      <c r="L253" s="798"/>
    </row>
    <row r="254" spans="1:22" s="926" customFormat="1" x14ac:dyDescent="0.25">
      <c r="A254" s="925" t="s">
        <v>5892</v>
      </c>
      <c r="B254" s="926" t="s">
        <v>614</v>
      </c>
      <c r="C254" s="928" t="s">
        <v>13</v>
      </c>
      <c r="D254" s="927">
        <v>45748</v>
      </c>
      <c r="E254" s="928"/>
      <c r="F254" s="928" t="s">
        <v>317</v>
      </c>
      <c r="H254" s="926" t="s">
        <v>279</v>
      </c>
      <c r="K254" s="932">
        <v>53996.800000000003</v>
      </c>
      <c r="L254" s="932"/>
      <c r="T254" s="926" t="s">
        <v>5891</v>
      </c>
      <c r="U254" s="931">
        <v>0.30555555555555552</v>
      </c>
      <c r="V254" s="931">
        <v>0.6694444444444444</v>
      </c>
    </row>
    <row r="255" spans="1:22" s="926" customFormat="1" x14ac:dyDescent="0.25">
      <c r="A255" s="925" t="s">
        <v>5892</v>
      </c>
      <c r="B255" s="926" t="s">
        <v>4264</v>
      </c>
      <c r="C255" s="928" t="s">
        <v>4218</v>
      </c>
      <c r="D255" s="927">
        <v>45748</v>
      </c>
      <c r="E255" s="928"/>
      <c r="F255" s="928" t="s">
        <v>1931</v>
      </c>
      <c r="H255" s="926" t="s">
        <v>279</v>
      </c>
      <c r="K255" s="932">
        <f>41975+15525</f>
        <v>57500</v>
      </c>
      <c r="L255" s="932"/>
      <c r="T255" s="926" t="s">
        <v>4983</v>
      </c>
      <c r="U255" s="931">
        <v>0.32291666666666669</v>
      </c>
      <c r="V255" s="931">
        <v>0.6333333333333333</v>
      </c>
    </row>
    <row r="256" spans="1:22" s="926" customFormat="1" x14ac:dyDescent="0.25">
      <c r="A256" s="925" t="s">
        <v>5892</v>
      </c>
      <c r="B256" s="926" t="s">
        <v>4137</v>
      </c>
      <c r="C256" s="928" t="s">
        <v>410</v>
      </c>
      <c r="D256" s="927">
        <v>45748</v>
      </c>
      <c r="E256" s="928"/>
      <c r="F256" s="928" t="s">
        <v>106</v>
      </c>
      <c r="H256" s="926" t="s">
        <v>279</v>
      </c>
      <c r="K256" s="932">
        <v>28000</v>
      </c>
      <c r="L256" s="932"/>
      <c r="T256" s="926" t="s">
        <v>4417</v>
      </c>
      <c r="U256" s="931">
        <v>0.41805555555555557</v>
      </c>
      <c r="V256" s="931">
        <v>0.59444444444444444</v>
      </c>
    </row>
    <row r="257" spans="1:22" s="926" customFormat="1" x14ac:dyDescent="0.25">
      <c r="A257" s="925" t="s">
        <v>5892</v>
      </c>
      <c r="B257" s="926" t="s">
        <v>610</v>
      </c>
      <c r="C257" s="928" t="s">
        <v>410</v>
      </c>
      <c r="D257" s="927">
        <v>45748</v>
      </c>
      <c r="E257" s="928"/>
      <c r="F257" s="928" t="s">
        <v>106</v>
      </c>
      <c r="H257" s="926" t="s">
        <v>279</v>
      </c>
      <c r="K257" s="932">
        <v>29770</v>
      </c>
      <c r="L257" s="932"/>
      <c r="T257" s="926" t="s">
        <v>4417</v>
      </c>
      <c r="U257" s="931">
        <v>0.62083333333333335</v>
      </c>
      <c r="V257" s="931">
        <v>0.75208333333333333</v>
      </c>
    </row>
    <row r="258" spans="1:22" s="926" customFormat="1" x14ac:dyDescent="0.25">
      <c r="A258" s="925" t="s">
        <v>5892</v>
      </c>
      <c r="B258" s="926" t="s">
        <v>1720</v>
      </c>
      <c r="C258" s="928" t="s">
        <v>4218</v>
      </c>
      <c r="D258" s="927">
        <v>45748</v>
      </c>
      <c r="E258" s="928"/>
      <c r="F258" s="928" t="s">
        <v>545</v>
      </c>
      <c r="H258" s="926" t="s">
        <v>279</v>
      </c>
      <c r="K258" s="932">
        <v>32250</v>
      </c>
      <c r="L258" s="932"/>
      <c r="T258" s="926" t="s">
        <v>5026</v>
      </c>
      <c r="U258" s="931">
        <v>0.68888888888888899</v>
      </c>
      <c r="V258" s="931">
        <v>0.85486111111111107</v>
      </c>
    </row>
    <row r="259" spans="1:22" s="926" customFormat="1" x14ac:dyDescent="0.25">
      <c r="A259" s="925" t="s">
        <v>5896</v>
      </c>
      <c r="B259" s="926" t="s">
        <v>1055</v>
      </c>
      <c r="C259" s="928" t="s">
        <v>13</v>
      </c>
      <c r="D259" s="927">
        <v>45749</v>
      </c>
      <c r="E259" s="928"/>
      <c r="F259" s="928" t="s">
        <v>294</v>
      </c>
      <c r="H259" s="926" t="s">
        <v>279</v>
      </c>
      <c r="K259" s="932">
        <v>49406</v>
      </c>
      <c r="L259" s="932"/>
      <c r="T259" s="926" t="s">
        <v>4140</v>
      </c>
      <c r="U259" s="931">
        <v>0.27847222222222223</v>
      </c>
      <c r="V259" s="931">
        <v>0.74930555555555556</v>
      </c>
    </row>
    <row r="260" spans="1:22" s="926" customFormat="1" ht="15.75" customHeight="1" x14ac:dyDescent="0.25">
      <c r="A260" s="925" t="s">
        <v>5896</v>
      </c>
      <c r="B260" s="926" t="s">
        <v>2129</v>
      </c>
      <c r="C260" s="928" t="s">
        <v>4218</v>
      </c>
      <c r="D260" s="927">
        <v>45749</v>
      </c>
      <c r="E260" s="928"/>
      <c r="F260" s="928" t="s">
        <v>236</v>
      </c>
      <c r="H260" s="926" t="s">
        <v>279</v>
      </c>
      <c r="K260" s="932">
        <v>62540</v>
      </c>
      <c r="L260" s="932"/>
      <c r="T260" s="926" t="s">
        <v>4867</v>
      </c>
      <c r="U260" s="931">
        <v>0.30833333333333335</v>
      </c>
      <c r="V260" s="931">
        <v>0.57777777777777783</v>
      </c>
    </row>
    <row r="261" spans="1:22" s="926" customFormat="1" x14ac:dyDescent="0.25">
      <c r="A261" s="925" t="s">
        <v>5896</v>
      </c>
      <c r="B261" s="926" t="s">
        <v>3387</v>
      </c>
      <c r="C261" s="928" t="s">
        <v>410</v>
      </c>
      <c r="D261" s="927">
        <v>45749</v>
      </c>
      <c r="E261" s="928"/>
      <c r="F261" s="928" t="s">
        <v>425</v>
      </c>
      <c r="H261" s="926" t="s">
        <v>279</v>
      </c>
      <c r="K261" s="932">
        <v>33040</v>
      </c>
      <c r="L261" s="932"/>
      <c r="T261" s="926" t="s">
        <v>5891</v>
      </c>
      <c r="U261" s="931">
        <v>0.65555555555555556</v>
      </c>
      <c r="V261" s="931">
        <v>0.86944444444444446</v>
      </c>
    </row>
    <row r="262" spans="1:22" s="926" customFormat="1" hidden="1" x14ac:dyDescent="0.25">
      <c r="A262" s="925" t="s">
        <v>5896</v>
      </c>
      <c r="B262" s="926" t="s">
        <v>1720</v>
      </c>
      <c r="C262" s="928" t="s">
        <v>4218</v>
      </c>
      <c r="D262" s="927">
        <v>45749</v>
      </c>
      <c r="E262" s="928"/>
      <c r="F262" s="928" t="s">
        <v>545</v>
      </c>
      <c r="H262" s="926" t="s">
        <v>277</v>
      </c>
      <c r="K262" s="932">
        <v>22750</v>
      </c>
      <c r="L262" s="932"/>
      <c r="T262" s="926" t="s">
        <v>4509</v>
      </c>
      <c r="U262" s="931">
        <v>0.66041666666666665</v>
      </c>
      <c r="V262" s="931">
        <v>0.79375000000000007</v>
      </c>
    </row>
    <row r="263" spans="1:22" s="926" customFormat="1" x14ac:dyDescent="0.25">
      <c r="A263" s="925" t="s">
        <v>5897</v>
      </c>
      <c r="B263" s="926" t="s">
        <v>608</v>
      </c>
      <c r="C263" s="928" t="s">
        <v>13</v>
      </c>
      <c r="D263" s="927">
        <v>45750</v>
      </c>
      <c r="E263" s="928"/>
      <c r="F263" s="928" t="s">
        <v>236</v>
      </c>
      <c r="H263" s="926" t="s">
        <v>279</v>
      </c>
      <c r="K263" s="932">
        <v>58231</v>
      </c>
      <c r="L263" s="932"/>
      <c r="T263" s="926" t="s">
        <v>5020</v>
      </c>
      <c r="U263" s="931">
        <v>0.26597222222222222</v>
      </c>
      <c r="V263" s="931">
        <v>0.53680555555555554</v>
      </c>
    </row>
    <row r="264" spans="1:22" s="926" customFormat="1" x14ac:dyDescent="0.25">
      <c r="A264" s="925" t="s">
        <v>5897</v>
      </c>
      <c r="B264" s="926" t="s">
        <v>608</v>
      </c>
      <c r="C264" s="928" t="s">
        <v>410</v>
      </c>
      <c r="D264" s="927">
        <v>45750</v>
      </c>
      <c r="E264" s="928"/>
      <c r="F264" s="928" t="s">
        <v>236</v>
      </c>
      <c r="H264" s="926" t="s">
        <v>279</v>
      </c>
      <c r="K264" s="932">
        <v>58231</v>
      </c>
      <c r="L264" s="932"/>
      <c r="T264" s="926" t="s">
        <v>5026</v>
      </c>
      <c r="U264" s="931">
        <v>0.35347222222222224</v>
      </c>
      <c r="V264" s="931">
        <v>0.61458333333333337</v>
      </c>
    </row>
    <row r="265" spans="1:22" s="926" customFormat="1" x14ac:dyDescent="0.25">
      <c r="A265" s="925" t="s">
        <v>5897</v>
      </c>
      <c r="B265" s="926" t="s">
        <v>1720</v>
      </c>
      <c r="C265" s="928" t="s">
        <v>4218</v>
      </c>
      <c r="D265" s="927">
        <v>45750</v>
      </c>
      <c r="E265" s="928"/>
      <c r="F265" s="928" t="s">
        <v>545</v>
      </c>
      <c r="H265" s="926" t="s">
        <v>279</v>
      </c>
      <c r="K265" s="932">
        <v>32250</v>
      </c>
      <c r="L265" s="932"/>
      <c r="T265" s="926" t="s">
        <v>5898</v>
      </c>
      <c r="U265" s="931">
        <v>0.40972222222222221</v>
      </c>
      <c r="V265" s="931">
        <v>0.56527777777777777</v>
      </c>
    </row>
    <row r="266" spans="1:22" s="926" customFormat="1" x14ac:dyDescent="0.25">
      <c r="A266" s="925" t="s">
        <v>5897</v>
      </c>
      <c r="B266" s="926" t="s">
        <v>3880</v>
      </c>
      <c r="C266" s="928" t="s">
        <v>13</v>
      </c>
      <c r="D266" s="927">
        <v>45750</v>
      </c>
      <c r="E266" s="928"/>
      <c r="F266" s="928" t="s">
        <v>545</v>
      </c>
      <c r="H266" s="926" t="s">
        <v>279</v>
      </c>
      <c r="K266" s="932">
        <v>32284.400000000001</v>
      </c>
      <c r="L266" s="932"/>
      <c r="T266" s="926" t="s">
        <v>5898</v>
      </c>
      <c r="U266" s="931">
        <v>0.62777777777777777</v>
      </c>
      <c r="V266" s="931">
        <v>0.82638888888888884</v>
      </c>
    </row>
    <row r="267" spans="1:22" s="926" customFormat="1" x14ac:dyDescent="0.25">
      <c r="A267" s="925" t="s">
        <v>5897</v>
      </c>
      <c r="B267" s="926" t="s">
        <v>930</v>
      </c>
      <c r="C267" s="928" t="s">
        <v>4218</v>
      </c>
      <c r="D267" s="927">
        <v>45750</v>
      </c>
      <c r="E267" s="928"/>
      <c r="F267" s="928" t="s">
        <v>294</v>
      </c>
      <c r="H267" s="926" t="s">
        <v>279</v>
      </c>
      <c r="K267" s="932">
        <v>33182</v>
      </c>
      <c r="L267" s="932"/>
      <c r="T267" s="926" t="s">
        <v>5891</v>
      </c>
      <c r="U267" s="931">
        <v>0.7006944444444444</v>
      </c>
      <c r="V267" s="931">
        <v>0.90347222222222223</v>
      </c>
    </row>
    <row r="268" spans="1:22" s="926" customFormat="1" x14ac:dyDescent="0.25">
      <c r="A268" s="925" t="s">
        <v>5901</v>
      </c>
      <c r="B268" s="926" t="s">
        <v>614</v>
      </c>
      <c r="C268" s="928" t="s">
        <v>13</v>
      </c>
      <c r="D268" s="927">
        <v>45751</v>
      </c>
      <c r="E268" s="928"/>
      <c r="F268" s="928" t="s">
        <v>285</v>
      </c>
      <c r="H268" s="926" t="s">
        <v>279</v>
      </c>
      <c r="K268" s="932">
        <v>51920</v>
      </c>
      <c r="L268" s="932"/>
      <c r="T268" s="926" t="s">
        <v>4365</v>
      </c>
      <c r="U268" s="931">
        <v>0.37708333333333333</v>
      </c>
      <c r="V268" s="931">
        <v>0.60416666666666663</v>
      </c>
    </row>
    <row r="269" spans="1:22" s="926" customFormat="1" x14ac:dyDescent="0.25">
      <c r="A269" s="925" t="s">
        <v>5901</v>
      </c>
      <c r="B269" s="926" t="s">
        <v>612</v>
      </c>
      <c r="C269" s="928" t="s">
        <v>4218</v>
      </c>
      <c r="D269" s="927">
        <v>45751</v>
      </c>
      <c r="E269" s="928"/>
      <c r="F269" s="928" t="s">
        <v>5782</v>
      </c>
      <c r="H269" s="926" t="s">
        <v>279</v>
      </c>
      <c r="K269" s="932">
        <v>39818</v>
      </c>
      <c r="L269" s="932"/>
      <c r="T269" s="926" t="s">
        <v>5902</v>
      </c>
      <c r="U269" s="931">
        <v>0.53125</v>
      </c>
      <c r="V269" s="931">
        <v>0.66874999999999996</v>
      </c>
    </row>
    <row r="270" spans="1:22" s="926" customFormat="1" x14ac:dyDescent="0.25">
      <c r="A270" s="925" t="s">
        <v>5901</v>
      </c>
      <c r="B270" s="926" t="s">
        <v>3276</v>
      </c>
      <c r="C270" s="928" t="s">
        <v>410</v>
      </c>
      <c r="D270" s="927">
        <v>45751</v>
      </c>
      <c r="E270" s="928"/>
      <c r="F270" s="928" t="s">
        <v>294</v>
      </c>
      <c r="H270" s="926" t="s">
        <v>279</v>
      </c>
      <c r="K270" s="932">
        <v>35685</v>
      </c>
      <c r="L270" s="932"/>
      <c r="T270" s="926" t="s">
        <v>5026</v>
      </c>
      <c r="U270" s="931">
        <v>0.75</v>
      </c>
      <c r="V270" s="931">
        <v>0.90625</v>
      </c>
    </row>
    <row r="271" spans="1:22" s="926" customFormat="1" x14ac:dyDescent="0.25">
      <c r="A271" s="925" t="s">
        <v>5901</v>
      </c>
      <c r="B271" s="926" t="s">
        <v>614</v>
      </c>
      <c r="C271" s="928" t="s">
        <v>4218</v>
      </c>
      <c r="D271" s="927">
        <v>45751</v>
      </c>
      <c r="E271" s="928"/>
      <c r="F271" s="928" t="s">
        <v>143</v>
      </c>
      <c r="H271" s="926" t="s">
        <v>279</v>
      </c>
      <c r="K271" s="932">
        <v>43612.800000000003</v>
      </c>
      <c r="L271" s="932"/>
      <c r="T271" s="926" t="s">
        <v>5902</v>
      </c>
      <c r="U271" s="931">
        <v>0.35416666666666669</v>
      </c>
      <c r="V271" s="931">
        <v>0.92569444444444449</v>
      </c>
    </row>
    <row r="272" spans="1:22" s="926" customFormat="1" x14ac:dyDescent="0.25">
      <c r="A272" s="925" t="s">
        <v>5929</v>
      </c>
      <c r="B272" s="926" t="s">
        <v>572</v>
      </c>
      <c r="C272" s="928" t="s">
        <v>4218</v>
      </c>
      <c r="D272" s="927">
        <v>45752</v>
      </c>
      <c r="E272" s="928"/>
      <c r="F272" s="928" t="s">
        <v>207</v>
      </c>
      <c r="H272" s="926" t="s">
        <v>279</v>
      </c>
      <c r="K272" s="932"/>
      <c r="L272" s="932">
        <v>8968</v>
      </c>
      <c r="T272" s="926" t="s">
        <v>5021</v>
      </c>
      <c r="U272" s="931">
        <v>0.56111111111111112</v>
      </c>
      <c r="V272" s="931">
        <v>0.74652777777777779</v>
      </c>
    </row>
    <row r="273" spans="1:22" s="926" customFormat="1" x14ac:dyDescent="0.25">
      <c r="A273" s="925" t="s">
        <v>5930</v>
      </c>
      <c r="B273" s="926" t="s">
        <v>5239</v>
      </c>
      <c r="C273" s="928" t="s">
        <v>4218</v>
      </c>
      <c r="D273" s="927">
        <v>45753</v>
      </c>
      <c r="E273" s="928"/>
      <c r="F273" s="928" t="s">
        <v>207</v>
      </c>
      <c r="H273" s="926" t="s">
        <v>279</v>
      </c>
      <c r="K273" s="932">
        <v>35872</v>
      </c>
      <c r="L273" s="932"/>
      <c r="T273" s="926" t="s">
        <v>4297</v>
      </c>
      <c r="U273" s="931">
        <v>0.30694444444444441</v>
      </c>
      <c r="V273" s="931">
        <v>0.5541666666666667</v>
      </c>
    </row>
    <row r="274" spans="1:22" s="926" customFormat="1" x14ac:dyDescent="0.25">
      <c r="A274" s="925" t="s">
        <v>5930</v>
      </c>
      <c r="B274" s="926" t="s">
        <v>614</v>
      </c>
      <c r="C274" s="928" t="s">
        <v>410</v>
      </c>
      <c r="D274" s="927">
        <v>45753</v>
      </c>
      <c r="E274" s="928"/>
      <c r="F274" s="928" t="s">
        <v>2036</v>
      </c>
      <c r="H274" s="926" t="s">
        <v>279</v>
      </c>
      <c r="K274" s="932">
        <v>31152</v>
      </c>
      <c r="L274" s="932"/>
      <c r="T274" s="926" t="s">
        <v>4867</v>
      </c>
      <c r="U274" s="931">
        <v>0.38541666666666669</v>
      </c>
      <c r="V274" s="931">
        <v>0.5083333333333333</v>
      </c>
    </row>
    <row r="275" spans="1:22" s="379" customFormat="1" x14ac:dyDescent="0.25">
      <c r="A275" s="765" t="s">
        <v>5930</v>
      </c>
      <c r="B275" s="379" t="s">
        <v>3276</v>
      </c>
      <c r="C275" s="381" t="s">
        <v>13</v>
      </c>
      <c r="D275" s="766">
        <v>45753</v>
      </c>
      <c r="E275" s="381"/>
      <c r="F275" s="381" t="s">
        <v>294</v>
      </c>
      <c r="H275" s="379" t="s">
        <v>279</v>
      </c>
      <c r="K275" s="1048">
        <v>35685</v>
      </c>
      <c r="T275" s="379" t="s">
        <v>4297</v>
      </c>
      <c r="U275" s="767">
        <v>0.62291666666666667</v>
      </c>
      <c r="V275" s="767">
        <v>0.80347222222222225</v>
      </c>
    </row>
    <row r="276" spans="1:22" s="926" customFormat="1" x14ac:dyDescent="0.25">
      <c r="A276" s="925" t="s">
        <v>5928</v>
      </c>
      <c r="B276" s="926" t="s">
        <v>2227</v>
      </c>
      <c r="C276" s="928" t="s">
        <v>410</v>
      </c>
      <c r="D276" s="927">
        <v>45754</v>
      </c>
      <c r="E276" s="928"/>
      <c r="F276" s="928" t="s">
        <v>106</v>
      </c>
      <c r="H276" s="926" t="s">
        <v>279</v>
      </c>
      <c r="K276" s="932">
        <v>28000</v>
      </c>
      <c r="L276" s="932"/>
      <c r="T276" s="926" t="s">
        <v>4140</v>
      </c>
      <c r="U276" s="931">
        <v>0.54722222222222217</v>
      </c>
      <c r="V276" s="931">
        <v>0.73263888888888884</v>
      </c>
    </row>
    <row r="277" spans="1:22" s="926" customFormat="1" hidden="1" x14ac:dyDescent="0.25">
      <c r="A277" s="925" t="s">
        <v>5928</v>
      </c>
      <c r="B277" s="926" t="s">
        <v>930</v>
      </c>
      <c r="C277" s="928" t="s">
        <v>13</v>
      </c>
      <c r="D277" s="927">
        <v>45754</v>
      </c>
      <c r="E277" s="928"/>
      <c r="F277" s="928" t="s">
        <v>295</v>
      </c>
      <c r="H277" s="926" t="s">
        <v>277</v>
      </c>
      <c r="K277" s="932">
        <v>34011</v>
      </c>
      <c r="L277" s="932"/>
      <c r="T277" s="926" t="s">
        <v>5021</v>
      </c>
      <c r="U277" s="931">
        <v>0.81388888888888899</v>
      </c>
      <c r="V277" s="931">
        <v>3.3333333333333333E-2</v>
      </c>
    </row>
    <row r="278" spans="1:22" s="926" customFormat="1" x14ac:dyDescent="0.25">
      <c r="A278" s="925" t="s">
        <v>5933</v>
      </c>
      <c r="B278" s="926" t="s">
        <v>614</v>
      </c>
      <c r="C278" s="928" t="s">
        <v>410</v>
      </c>
      <c r="D278" s="927">
        <v>45755</v>
      </c>
      <c r="E278" s="928"/>
      <c r="F278" s="928" t="s">
        <v>113</v>
      </c>
      <c r="H278" s="926" t="s">
        <v>279</v>
      </c>
      <c r="K278" s="932">
        <v>44651.199999999997</v>
      </c>
      <c r="L278" s="932"/>
      <c r="T278" s="926" t="s">
        <v>5951</v>
      </c>
      <c r="U278" s="931">
        <v>0.53125</v>
      </c>
      <c r="V278" s="931">
        <v>0.72013888888888899</v>
      </c>
    </row>
    <row r="279" spans="1:22" s="926" customFormat="1" x14ac:dyDescent="0.25">
      <c r="A279" s="925" t="s">
        <v>5933</v>
      </c>
      <c r="B279" s="926" t="s">
        <v>5934</v>
      </c>
      <c r="C279" s="928" t="s">
        <v>13</v>
      </c>
      <c r="D279" s="927">
        <v>45755</v>
      </c>
      <c r="E279" s="928"/>
      <c r="F279" s="928" t="s">
        <v>1931</v>
      </c>
      <c r="H279" s="926" t="s">
        <v>279</v>
      </c>
      <c r="K279" s="932">
        <v>55224</v>
      </c>
      <c r="L279" s="932"/>
      <c r="T279" s="926" t="s">
        <v>3765</v>
      </c>
      <c r="U279" s="931">
        <v>0.30416666666666664</v>
      </c>
      <c r="V279" s="931">
        <v>0.64652777777777781</v>
      </c>
    </row>
    <row r="280" spans="1:22" s="926" customFormat="1" hidden="1" x14ac:dyDescent="0.25">
      <c r="A280" s="925" t="s">
        <v>5952</v>
      </c>
      <c r="B280" s="926" t="s">
        <v>930</v>
      </c>
      <c r="C280" s="928" t="s">
        <v>13</v>
      </c>
      <c r="D280" s="927">
        <v>45756</v>
      </c>
      <c r="E280" s="928"/>
      <c r="F280" s="928" t="s">
        <v>295</v>
      </c>
      <c r="H280" s="926" t="s">
        <v>277</v>
      </c>
      <c r="K280" s="932">
        <v>34011</v>
      </c>
      <c r="L280" s="932"/>
      <c r="T280" s="926" t="s">
        <v>2050</v>
      </c>
      <c r="U280" s="931">
        <v>0.26527777777777778</v>
      </c>
      <c r="V280" s="931">
        <v>0.3979166666666667</v>
      </c>
    </row>
    <row r="281" spans="1:22" s="926" customFormat="1" x14ac:dyDescent="0.25">
      <c r="A281" s="925" t="s">
        <v>5952</v>
      </c>
      <c r="B281" s="926" t="s">
        <v>5934</v>
      </c>
      <c r="C281" s="928" t="s">
        <v>13</v>
      </c>
      <c r="D281" s="927">
        <v>45756</v>
      </c>
      <c r="E281" s="928"/>
      <c r="F281" s="928" t="s">
        <v>1931</v>
      </c>
      <c r="H281" s="926" t="s">
        <v>279</v>
      </c>
      <c r="K281" s="932">
        <v>55224</v>
      </c>
      <c r="L281" s="932"/>
      <c r="T281" s="926" t="s">
        <v>2050</v>
      </c>
      <c r="U281" s="931">
        <v>0.47569444444444442</v>
      </c>
      <c r="V281" s="931">
        <v>0.6972222222222223</v>
      </c>
    </row>
    <row r="282" spans="1:22" s="33" customFormat="1" x14ac:dyDescent="0.25">
      <c r="A282" s="547" t="s">
        <v>5952</v>
      </c>
      <c r="B282" s="33" t="s">
        <v>875</v>
      </c>
      <c r="C282" s="306" t="s">
        <v>410</v>
      </c>
      <c r="D282" s="548">
        <v>45756</v>
      </c>
      <c r="E282" s="306"/>
      <c r="F282" s="306" t="s">
        <v>2036</v>
      </c>
      <c r="H282" s="33" t="s">
        <v>279</v>
      </c>
      <c r="K282" s="933">
        <v>23500</v>
      </c>
      <c r="L282" s="933"/>
      <c r="T282" s="33" t="s">
        <v>5953</v>
      </c>
      <c r="U282" s="550">
        <v>0.37986111111111115</v>
      </c>
      <c r="V282" s="550">
        <v>0.50138888888888888</v>
      </c>
    </row>
    <row r="283" spans="1:22" s="926" customFormat="1" x14ac:dyDescent="0.25">
      <c r="A283" s="925" t="s">
        <v>5952</v>
      </c>
      <c r="B283" s="926" t="s">
        <v>608</v>
      </c>
      <c r="C283" s="928" t="s">
        <v>410</v>
      </c>
      <c r="D283" s="927">
        <v>45756</v>
      </c>
      <c r="E283" s="928"/>
      <c r="F283" s="928" t="s">
        <v>236</v>
      </c>
      <c r="H283" s="926" t="s">
        <v>279</v>
      </c>
      <c r="K283" s="932">
        <v>58231</v>
      </c>
      <c r="L283" s="932"/>
      <c r="T283" s="926" t="s">
        <v>4345</v>
      </c>
      <c r="U283" s="931">
        <v>0.57708333333333328</v>
      </c>
      <c r="V283" s="931">
        <v>0.83958333333333324</v>
      </c>
    </row>
    <row r="284" spans="1:22" s="926" customFormat="1" x14ac:dyDescent="0.25">
      <c r="A284" s="925" t="s">
        <v>5971</v>
      </c>
      <c r="B284" s="926" t="s">
        <v>614</v>
      </c>
      <c r="C284" s="928" t="s">
        <v>410</v>
      </c>
      <c r="D284" s="927">
        <v>45757</v>
      </c>
      <c r="E284" s="928"/>
      <c r="F284" s="928" t="s">
        <v>106</v>
      </c>
      <c r="H284" s="926" t="s">
        <v>279</v>
      </c>
      <c r="K284" s="932">
        <v>31152</v>
      </c>
      <c r="L284" s="932"/>
      <c r="T284" s="926" t="s">
        <v>4983</v>
      </c>
      <c r="U284" s="931">
        <v>0.30138888888888887</v>
      </c>
      <c r="V284" s="931">
        <v>0.45624999999999999</v>
      </c>
    </row>
    <row r="285" spans="1:22" s="926" customFormat="1" x14ac:dyDescent="0.25">
      <c r="A285" s="925" t="s">
        <v>5971</v>
      </c>
      <c r="B285" s="926" t="s">
        <v>610</v>
      </c>
      <c r="C285" s="928" t="s">
        <v>13</v>
      </c>
      <c r="D285" s="927">
        <v>45757</v>
      </c>
      <c r="E285" s="928"/>
      <c r="F285" s="928" t="s">
        <v>106</v>
      </c>
      <c r="H285" s="926" t="s">
        <v>279</v>
      </c>
      <c r="K285" s="932">
        <v>29770</v>
      </c>
      <c r="L285" s="932"/>
      <c r="T285" s="926" t="s">
        <v>4417</v>
      </c>
      <c r="U285" s="931">
        <v>0.30902777777777779</v>
      </c>
      <c r="V285" s="931">
        <v>0.46527777777777773</v>
      </c>
    </row>
    <row r="286" spans="1:22" s="33" customFormat="1" x14ac:dyDescent="0.25">
      <c r="A286" s="547" t="s">
        <v>5971</v>
      </c>
      <c r="B286" s="33" t="s">
        <v>4736</v>
      </c>
      <c r="C286" s="306" t="s">
        <v>410</v>
      </c>
      <c r="D286" s="548">
        <v>45757</v>
      </c>
      <c r="E286" s="306"/>
      <c r="F286" s="306" t="s">
        <v>4562</v>
      </c>
      <c r="H286" s="33" t="s">
        <v>279</v>
      </c>
      <c r="K286" s="933">
        <v>27258</v>
      </c>
      <c r="L286" s="933"/>
      <c r="T286" s="33" t="s">
        <v>4983</v>
      </c>
      <c r="U286" s="550">
        <v>0.5444444444444444</v>
      </c>
      <c r="V286" s="550">
        <v>0.68541666666666667</v>
      </c>
    </row>
    <row r="287" spans="1:22" s="926" customFormat="1" hidden="1" x14ac:dyDescent="0.25">
      <c r="A287" s="925" t="s">
        <v>5972</v>
      </c>
      <c r="B287" s="926" t="s">
        <v>1720</v>
      </c>
      <c r="C287" s="928" t="s">
        <v>13</v>
      </c>
      <c r="D287" s="927">
        <v>45758</v>
      </c>
      <c r="E287" s="928"/>
      <c r="F287" s="928" t="s">
        <v>545</v>
      </c>
      <c r="H287" s="926" t="s">
        <v>277</v>
      </c>
      <c r="K287" s="932">
        <v>22750</v>
      </c>
      <c r="L287" s="932"/>
      <c r="T287" s="926" t="s">
        <v>4867</v>
      </c>
      <c r="U287" s="931">
        <v>0.59375</v>
      </c>
      <c r="V287" s="931">
        <v>0.75</v>
      </c>
    </row>
    <row r="288" spans="1:22" s="926" customFormat="1" x14ac:dyDescent="0.25">
      <c r="A288" s="925" t="s">
        <v>5973</v>
      </c>
      <c r="B288" s="926" t="s">
        <v>1720</v>
      </c>
      <c r="C288" s="928" t="s">
        <v>13</v>
      </c>
      <c r="D288" s="927">
        <v>45759</v>
      </c>
      <c r="E288" s="928"/>
      <c r="F288" s="928" t="s">
        <v>545</v>
      </c>
      <c r="H288" s="926" t="s">
        <v>279</v>
      </c>
      <c r="K288" s="932">
        <v>32250</v>
      </c>
      <c r="L288" s="932"/>
      <c r="T288" s="926" t="s">
        <v>5026</v>
      </c>
      <c r="U288" s="931">
        <v>0.30277777777777776</v>
      </c>
      <c r="V288" s="931">
        <v>0.47430555555555554</v>
      </c>
    </row>
    <row r="289" spans="1:22" s="926" customFormat="1" hidden="1" x14ac:dyDescent="0.25">
      <c r="A289" s="925" t="s">
        <v>5973</v>
      </c>
      <c r="B289" s="926" t="s">
        <v>930</v>
      </c>
      <c r="C289" s="928" t="s">
        <v>410</v>
      </c>
      <c r="D289" s="927">
        <v>45759</v>
      </c>
      <c r="E289" s="928"/>
      <c r="F289" s="928" t="s">
        <v>294</v>
      </c>
      <c r="H289" s="926" t="s">
        <v>277</v>
      </c>
      <c r="K289" s="932">
        <v>24886</v>
      </c>
      <c r="L289" s="932"/>
      <c r="T289" s="926" t="s">
        <v>4297</v>
      </c>
      <c r="U289" s="931">
        <v>0.26805555555555555</v>
      </c>
      <c r="V289" s="931">
        <v>0.42499999999999999</v>
      </c>
    </row>
    <row r="290" spans="1:22" s="926" customFormat="1" x14ac:dyDescent="0.25">
      <c r="A290" s="925" t="s">
        <v>5973</v>
      </c>
      <c r="B290" s="926" t="s">
        <v>614</v>
      </c>
      <c r="C290" s="928" t="s">
        <v>4218</v>
      </c>
      <c r="D290" s="927">
        <v>45759</v>
      </c>
      <c r="E290" s="928"/>
      <c r="F290" s="928" t="s">
        <v>545</v>
      </c>
      <c r="H290" s="926" t="s">
        <v>279</v>
      </c>
      <c r="K290" s="932">
        <v>37382.400000000001</v>
      </c>
      <c r="L290" s="932"/>
      <c r="T290" s="926" t="s">
        <v>5020</v>
      </c>
      <c r="U290" s="931">
        <v>0.30069444444444443</v>
      </c>
      <c r="V290" s="931">
        <v>0.49027777777777781</v>
      </c>
    </row>
    <row r="291" spans="1:22" s="926" customFormat="1" x14ac:dyDescent="0.25">
      <c r="A291" s="925" t="s">
        <v>5973</v>
      </c>
      <c r="B291" s="926" t="s">
        <v>614</v>
      </c>
      <c r="C291" s="928" t="s">
        <v>410</v>
      </c>
      <c r="D291" s="927">
        <v>45759</v>
      </c>
      <c r="E291" s="928"/>
      <c r="F291" s="928" t="s">
        <v>113</v>
      </c>
      <c r="H291" s="926" t="s">
        <v>279</v>
      </c>
      <c r="K291" s="932">
        <v>44651.199999999997</v>
      </c>
      <c r="L291" s="932"/>
      <c r="T291" s="926" t="s">
        <v>4297</v>
      </c>
      <c r="U291" s="931">
        <v>0.45208333333333334</v>
      </c>
      <c r="V291" s="931">
        <v>0.65069444444444446</v>
      </c>
    </row>
    <row r="292" spans="1:22" s="926" customFormat="1" x14ac:dyDescent="0.25">
      <c r="A292" s="925" t="s">
        <v>5973</v>
      </c>
      <c r="B292" s="926" t="s">
        <v>3276</v>
      </c>
      <c r="C292" s="928" t="s">
        <v>13</v>
      </c>
      <c r="D292" s="927">
        <v>45759</v>
      </c>
      <c r="E292" s="928"/>
      <c r="F292" s="928" t="s">
        <v>872</v>
      </c>
      <c r="H292" s="926" t="s">
        <v>279</v>
      </c>
      <c r="K292" s="932">
        <v>39800</v>
      </c>
      <c r="L292" s="932"/>
      <c r="T292" s="926" t="s">
        <v>5026</v>
      </c>
      <c r="U292" s="931">
        <v>0.53819444444444442</v>
      </c>
      <c r="V292" s="944">
        <v>17.59</v>
      </c>
    </row>
    <row r="293" spans="1:22" s="926" customFormat="1" hidden="1" x14ac:dyDescent="0.25">
      <c r="A293" s="925" t="s">
        <v>5973</v>
      </c>
      <c r="B293" s="926" t="s">
        <v>3880</v>
      </c>
      <c r="C293" s="928" t="s">
        <v>4218</v>
      </c>
      <c r="D293" s="927">
        <v>45759</v>
      </c>
      <c r="E293" s="928"/>
      <c r="F293" s="928" t="s">
        <v>545</v>
      </c>
      <c r="H293" s="926" t="s">
        <v>277</v>
      </c>
      <c r="K293" s="932">
        <v>23200</v>
      </c>
      <c r="L293" s="932"/>
      <c r="T293" s="926" t="s">
        <v>5020</v>
      </c>
      <c r="U293" s="931">
        <v>0.55763888888888891</v>
      </c>
      <c r="V293" s="931">
        <v>0.6777777777777777</v>
      </c>
    </row>
    <row r="294" spans="1:22" s="926" customFormat="1" hidden="1" x14ac:dyDescent="0.25">
      <c r="A294" s="925" t="s">
        <v>5974</v>
      </c>
      <c r="B294" s="926" t="s">
        <v>1720</v>
      </c>
      <c r="C294" s="928" t="s">
        <v>4218</v>
      </c>
      <c r="D294" s="927">
        <v>45760</v>
      </c>
      <c r="E294" s="928"/>
      <c r="F294" s="928" t="s">
        <v>545</v>
      </c>
      <c r="H294" s="926" t="s">
        <v>277</v>
      </c>
      <c r="K294" s="932">
        <v>22750</v>
      </c>
      <c r="L294" s="932"/>
      <c r="T294" s="926" t="s">
        <v>5975</v>
      </c>
      <c r="U294" s="931">
        <v>0.27152777777777776</v>
      </c>
      <c r="V294" s="931">
        <v>0.43194444444444446</v>
      </c>
    </row>
    <row r="295" spans="1:22" s="926" customFormat="1" x14ac:dyDescent="0.25">
      <c r="A295" s="925" t="s">
        <v>5974</v>
      </c>
      <c r="B295" s="926" t="s">
        <v>608</v>
      </c>
      <c r="C295" s="928" t="s">
        <v>13</v>
      </c>
      <c r="D295" s="927">
        <v>45760</v>
      </c>
      <c r="E295" s="928"/>
      <c r="F295" s="928" t="s">
        <v>236</v>
      </c>
      <c r="H295" s="926" t="s">
        <v>279</v>
      </c>
      <c r="K295" s="932">
        <v>58231</v>
      </c>
      <c r="L295" s="932"/>
      <c r="T295" s="926" t="s">
        <v>5976</v>
      </c>
      <c r="U295" s="931">
        <v>0.29652777777777778</v>
      </c>
      <c r="V295" s="931">
        <v>0.5756944444444444</v>
      </c>
    </row>
    <row r="296" spans="1:22" s="926" customFormat="1" x14ac:dyDescent="0.25">
      <c r="A296" s="925" t="s">
        <v>5974</v>
      </c>
      <c r="B296" s="926" t="s">
        <v>608</v>
      </c>
      <c r="C296" s="928" t="s">
        <v>410</v>
      </c>
      <c r="D296" s="927">
        <v>45760</v>
      </c>
      <c r="E296" s="928"/>
      <c r="F296" s="928" t="s">
        <v>236</v>
      </c>
      <c r="H296" s="926" t="s">
        <v>279</v>
      </c>
      <c r="K296" s="932">
        <v>58231</v>
      </c>
      <c r="L296" s="932"/>
      <c r="T296" s="926" t="s">
        <v>4983</v>
      </c>
      <c r="U296" s="931">
        <v>0.36249999999999999</v>
      </c>
      <c r="V296" s="931">
        <v>0.63611111111111118</v>
      </c>
    </row>
    <row r="297" spans="1:22" s="926" customFormat="1" x14ac:dyDescent="0.25">
      <c r="A297" s="925" t="s">
        <v>5974</v>
      </c>
      <c r="B297" s="926" t="s">
        <v>3007</v>
      </c>
      <c r="C297" s="928" t="s">
        <v>4218</v>
      </c>
      <c r="D297" s="927">
        <v>45760</v>
      </c>
      <c r="E297" s="928"/>
      <c r="F297" s="928" t="s">
        <v>106</v>
      </c>
      <c r="H297" s="926" t="s">
        <v>279</v>
      </c>
      <c r="K297" s="932">
        <v>28000</v>
      </c>
      <c r="L297" s="932"/>
      <c r="T297" s="926" t="s">
        <v>5975</v>
      </c>
      <c r="U297" s="931">
        <v>0.47500000000000003</v>
      </c>
      <c r="V297" s="931">
        <v>0.62430555555555556</v>
      </c>
    </row>
    <row r="298" spans="1:22" s="926" customFormat="1" x14ac:dyDescent="0.25">
      <c r="A298" s="925" t="s">
        <v>5980</v>
      </c>
      <c r="B298" s="926" t="s">
        <v>608</v>
      </c>
      <c r="C298" s="928" t="s">
        <v>13</v>
      </c>
      <c r="D298" s="927">
        <v>45761</v>
      </c>
      <c r="E298" s="928"/>
      <c r="F298" s="928" t="s">
        <v>236</v>
      </c>
      <c r="H298" s="926" t="s">
        <v>279</v>
      </c>
      <c r="K298" s="932">
        <v>58231</v>
      </c>
      <c r="L298" s="932"/>
      <c r="T298" s="926" t="s">
        <v>2050</v>
      </c>
      <c r="U298" s="931">
        <v>0.68819444444444444</v>
      </c>
      <c r="V298" s="931">
        <v>0.95763888888888893</v>
      </c>
    </row>
    <row r="299" spans="1:22" s="926" customFormat="1" hidden="1" x14ac:dyDescent="0.25">
      <c r="A299" s="925" t="s">
        <v>5980</v>
      </c>
      <c r="B299" s="926" t="s">
        <v>1720</v>
      </c>
      <c r="C299" s="928" t="s">
        <v>4218</v>
      </c>
      <c r="D299" s="927">
        <v>45761</v>
      </c>
      <c r="E299" s="928"/>
      <c r="F299" s="928" t="s">
        <v>545</v>
      </c>
      <c r="H299" s="926" t="s">
        <v>277</v>
      </c>
      <c r="K299" s="932">
        <v>22750</v>
      </c>
      <c r="L299" s="932"/>
      <c r="T299" s="926" t="s">
        <v>5981</v>
      </c>
      <c r="U299" s="931">
        <v>0.7284722222222223</v>
      </c>
      <c r="V299" s="931">
        <v>0.84722222222222221</v>
      </c>
    </row>
    <row r="300" spans="1:22" s="926" customFormat="1" x14ac:dyDescent="0.25">
      <c r="A300" s="925" t="s">
        <v>5988</v>
      </c>
      <c r="B300" s="926" t="s">
        <v>1720</v>
      </c>
      <c r="C300" s="928" t="s">
        <v>4218</v>
      </c>
      <c r="D300" s="927">
        <v>45762</v>
      </c>
      <c r="E300" s="928"/>
      <c r="F300" s="928" t="s">
        <v>6050</v>
      </c>
      <c r="H300" s="926" t="s">
        <v>279</v>
      </c>
      <c r="K300" s="932">
        <v>36768</v>
      </c>
      <c r="L300" s="932"/>
      <c r="T300" s="926" t="s">
        <v>2050</v>
      </c>
      <c r="U300" s="931">
        <v>0.41250000000000003</v>
      </c>
      <c r="V300" s="931">
        <v>0.64444444444444449</v>
      </c>
    </row>
    <row r="301" spans="1:22" s="33" customFormat="1" x14ac:dyDescent="0.25">
      <c r="A301" s="547" t="s">
        <v>5988</v>
      </c>
      <c r="B301" s="33" t="s">
        <v>614</v>
      </c>
      <c r="C301" s="306" t="s">
        <v>13</v>
      </c>
      <c r="D301" s="548">
        <v>45762</v>
      </c>
      <c r="E301" s="306"/>
      <c r="F301" s="306" t="s">
        <v>2029</v>
      </c>
      <c r="H301" s="33" t="s">
        <v>279</v>
      </c>
      <c r="K301" s="933">
        <v>31152</v>
      </c>
      <c r="L301" s="933"/>
      <c r="T301" s="33" t="s">
        <v>5989</v>
      </c>
      <c r="U301" s="550">
        <v>0.33819444444444446</v>
      </c>
      <c r="V301" s="550">
        <v>0.51944444444444449</v>
      </c>
    </row>
    <row r="302" spans="1:22" s="33" customFormat="1" x14ac:dyDescent="0.25">
      <c r="A302" s="547" t="s">
        <v>5988</v>
      </c>
      <c r="B302" s="33" t="s">
        <v>875</v>
      </c>
      <c r="C302" s="306" t="s">
        <v>13</v>
      </c>
      <c r="D302" s="548">
        <v>45762</v>
      </c>
      <c r="E302" s="306"/>
      <c r="F302" s="306" t="s">
        <v>2036</v>
      </c>
      <c r="H302" s="33" t="s">
        <v>279</v>
      </c>
      <c r="K302" s="933">
        <v>23500</v>
      </c>
      <c r="L302" s="933"/>
      <c r="T302" s="33" t="s">
        <v>5989</v>
      </c>
      <c r="U302" s="550">
        <v>0.56666666666666665</v>
      </c>
      <c r="V302" s="550">
        <v>0.7416666666666667</v>
      </c>
    </row>
    <row r="303" spans="1:22" s="33" customFormat="1" x14ac:dyDescent="0.25">
      <c r="A303" s="547" t="s">
        <v>6060</v>
      </c>
      <c r="B303" s="33" t="s">
        <v>6059</v>
      </c>
      <c r="C303" s="306" t="s">
        <v>4437</v>
      </c>
      <c r="D303" s="548">
        <v>45763</v>
      </c>
      <c r="E303" s="306"/>
      <c r="F303" s="306" t="s">
        <v>5326</v>
      </c>
      <c r="H303" s="33" t="s">
        <v>279</v>
      </c>
      <c r="K303" s="933">
        <v>34500</v>
      </c>
      <c r="L303" s="933"/>
      <c r="T303" s="33" t="s">
        <v>4983</v>
      </c>
      <c r="U303" s="550">
        <v>0.29930555555555555</v>
      </c>
      <c r="V303" s="550">
        <v>0.50416666666666665</v>
      </c>
    </row>
    <row r="304" spans="1:22" s="926" customFormat="1" x14ac:dyDescent="0.25">
      <c r="A304" s="925" t="s">
        <v>6060</v>
      </c>
      <c r="B304" s="926" t="s">
        <v>572</v>
      </c>
      <c r="C304" s="928" t="s">
        <v>13</v>
      </c>
      <c r="D304" s="927">
        <v>45763</v>
      </c>
      <c r="E304" s="928"/>
      <c r="F304" s="928" t="s">
        <v>207</v>
      </c>
      <c r="H304" s="926" t="s">
        <v>279</v>
      </c>
      <c r="K304" s="932"/>
      <c r="L304" s="932">
        <v>8968</v>
      </c>
      <c r="T304" s="926" t="s">
        <v>4417</v>
      </c>
      <c r="U304" s="931">
        <v>0.25138888888888888</v>
      </c>
      <c r="V304" s="931">
        <v>0.47152777777777777</v>
      </c>
    </row>
    <row r="305" spans="1:22" s="926" customFormat="1" x14ac:dyDescent="0.25">
      <c r="A305" s="925" t="s">
        <v>6060</v>
      </c>
      <c r="B305" s="926" t="s">
        <v>1720</v>
      </c>
      <c r="C305" s="928" t="s">
        <v>4437</v>
      </c>
      <c r="D305" s="927">
        <v>45763</v>
      </c>
      <c r="E305" s="928"/>
      <c r="F305" s="928" t="s">
        <v>545</v>
      </c>
      <c r="H305" s="926" t="s">
        <v>279</v>
      </c>
      <c r="K305" s="932">
        <v>32250</v>
      </c>
      <c r="L305" s="932"/>
      <c r="T305" s="926" t="s">
        <v>5026</v>
      </c>
      <c r="U305" s="931">
        <v>0.5854166666666667</v>
      </c>
      <c r="V305" s="931">
        <v>0.74930555555555556</v>
      </c>
    </row>
    <row r="306" spans="1:22" s="33" customFormat="1" x14ac:dyDescent="0.25">
      <c r="A306" s="547">
        <v>17042025</v>
      </c>
      <c r="B306" s="33" t="s">
        <v>3244</v>
      </c>
      <c r="C306" s="306" t="s">
        <v>278</v>
      </c>
      <c r="D306" s="548">
        <v>45764</v>
      </c>
      <c r="E306" s="306"/>
      <c r="F306" s="306" t="s">
        <v>106</v>
      </c>
      <c r="H306" s="33" t="s">
        <v>279</v>
      </c>
      <c r="K306" s="933">
        <v>28000</v>
      </c>
      <c r="L306" s="933"/>
      <c r="T306" s="33" t="s">
        <v>5891</v>
      </c>
      <c r="U306" s="550">
        <v>0.25694444444444442</v>
      </c>
      <c r="V306" s="550">
        <v>0.40694444444444444</v>
      </c>
    </row>
    <row r="307" spans="1:22" s="33" customFormat="1" x14ac:dyDescent="0.25">
      <c r="A307" s="547">
        <v>17042025</v>
      </c>
      <c r="B307" s="33" t="s">
        <v>2708</v>
      </c>
      <c r="C307" s="306" t="s">
        <v>4437</v>
      </c>
      <c r="D307" s="548">
        <v>45764</v>
      </c>
      <c r="E307" s="306"/>
      <c r="F307" s="306" t="s">
        <v>126</v>
      </c>
      <c r="H307" s="33" t="s">
        <v>279</v>
      </c>
      <c r="K307" s="933">
        <v>36700</v>
      </c>
      <c r="L307" s="933"/>
      <c r="T307" s="33" t="s">
        <v>4853</v>
      </c>
      <c r="U307" s="550">
        <v>0.65694444444444444</v>
      </c>
      <c r="V307" s="550">
        <v>0.83472222222222225</v>
      </c>
    </row>
    <row r="308" spans="1:22" s="926" customFormat="1" hidden="1" x14ac:dyDescent="0.25">
      <c r="A308" s="925">
        <v>18042025</v>
      </c>
      <c r="B308" s="926" t="s">
        <v>1720</v>
      </c>
      <c r="C308" s="928" t="s">
        <v>4437</v>
      </c>
      <c r="D308" s="927">
        <v>45765</v>
      </c>
      <c r="E308" s="928"/>
      <c r="F308" s="928" t="s">
        <v>545</v>
      </c>
      <c r="H308" s="926" t="s">
        <v>277</v>
      </c>
      <c r="K308" s="932">
        <v>22750</v>
      </c>
      <c r="L308" s="932"/>
      <c r="T308" s="926" t="s">
        <v>5131</v>
      </c>
      <c r="U308" s="931">
        <v>0.56874999999999998</v>
      </c>
      <c r="V308" s="931">
        <v>0.74791666666666667</v>
      </c>
    </row>
    <row r="309" spans="1:22" s="926" customFormat="1" x14ac:dyDescent="0.25">
      <c r="A309" s="925">
        <v>19042025</v>
      </c>
      <c r="B309" s="926" t="s">
        <v>610</v>
      </c>
      <c r="C309" s="928" t="s">
        <v>13</v>
      </c>
      <c r="D309" s="927">
        <v>45766</v>
      </c>
      <c r="E309" s="928"/>
      <c r="F309" s="928" t="s">
        <v>106</v>
      </c>
      <c r="H309" s="926" t="s">
        <v>279</v>
      </c>
      <c r="K309" s="932">
        <v>29770</v>
      </c>
      <c r="L309" s="932"/>
      <c r="T309" s="926" t="s">
        <v>6061</v>
      </c>
      <c r="U309" s="931">
        <v>0.46388888888888891</v>
      </c>
      <c r="V309" s="931">
        <v>0.59791666666666665</v>
      </c>
    </row>
    <row r="310" spans="1:22" s="33" customFormat="1" x14ac:dyDescent="0.25">
      <c r="A310" s="547">
        <v>20042025</v>
      </c>
      <c r="B310" s="33" t="s">
        <v>875</v>
      </c>
      <c r="C310" s="306" t="s">
        <v>13</v>
      </c>
      <c r="D310" s="548">
        <v>45767</v>
      </c>
      <c r="E310" s="306"/>
      <c r="F310" s="306" t="s">
        <v>2036</v>
      </c>
      <c r="H310" s="33" t="s">
        <v>279</v>
      </c>
      <c r="K310" s="933">
        <v>23500</v>
      </c>
      <c r="L310" s="933"/>
      <c r="T310" s="33" t="s">
        <v>4140</v>
      </c>
      <c r="U310" s="550">
        <v>0.42638888888888887</v>
      </c>
      <c r="V310" s="550">
        <v>0.59166666666666667</v>
      </c>
    </row>
    <row r="311" spans="1:22" s="926" customFormat="1" x14ac:dyDescent="0.25">
      <c r="A311" s="925">
        <v>20042025</v>
      </c>
      <c r="B311" s="926" t="s">
        <v>6062</v>
      </c>
      <c r="C311" s="928" t="s">
        <v>660</v>
      </c>
      <c r="D311" s="927">
        <v>45767</v>
      </c>
      <c r="E311" s="928" t="s">
        <v>6063</v>
      </c>
      <c r="F311" s="928" t="s">
        <v>207</v>
      </c>
      <c r="H311" s="926" t="s">
        <v>279</v>
      </c>
      <c r="K311" s="932"/>
      <c r="L311" s="932">
        <v>10150</v>
      </c>
      <c r="T311" s="926" t="s">
        <v>6064</v>
      </c>
      <c r="U311" s="931">
        <v>0.43263888888888891</v>
      </c>
      <c r="V311" s="931">
        <v>0.65069444444444446</v>
      </c>
    </row>
    <row r="312" spans="1:22" s="33" customFormat="1" x14ac:dyDescent="0.25">
      <c r="A312" s="547">
        <v>20042025</v>
      </c>
      <c r="B312" s="33" t="s">
        <v>6065</v>
      </c>
      <c r="C312" s="306" t="s">
        <v>4437</v>
      </c>
      <c r="D312" s="548">
        <v>45767</v>
      </c>
      <c r="E312" s="306"/>
      <c r="F312" s="306" t="s">
        <v>143</v>
      </c>
      <c r="H312" s="33" t="s">
        <v>279</v>
      </c>
      <c r="K312" s="933">
        <v>37170</v>
      </c>
      <c r="L312" s="933"/>
      <c r="T312" s="33" t="s">
        <v>4140</v>
      </c>
      <c r="U312" s="550">
        <v>0.61041666666666672</v>
      </c>
      <c r="V312" s="550">
        <v>0.83125000000000004</v>
      </c>
    </row>
    <row r="313" spans="1:22" s="926" customFormat="1" x14ac:dyDescent="0.25">
      <c r="A313" s="925">
        <v>20042025</v>
      </c>
      <c r="B313" s="926" t="s">
        <v>6149</v>
      </c>
      <c r="C313" s="928" t="s">
        <v>13</v>
      </c>
      <c r="D313" s="927">
        <v>45767</v>
      </c>
      <c r="E313" s="928"/>
      <c r="F313" s="928" t="s">
        <v>545</v>
      </c>
      <c r="H313" s="926" t="s">
        <v>279</v>
      </c>
      <c r="K313" s="932">
        <v>32250</v>
      </c>
      <c r="L313" s="932"/>
      <c r="T313" s="926" t="s">
        <v>6067</v>
      </c>
      <c r="U313" s="931">
        <v>0.74652777777777779</v>
      </c>
      <c r="V313" s="931">
        <v>0.93125000000000002</v>
      </c>
    </row>
    <row r="314" spans="1:22" s="926" customFormat="1" x14ac:dyDescent="0.25">
      <c r="A314" s="925">
        <v>21042025</v>
      </c>
      <c r="B314" s="926" t="s">
        <v>6068</v>
      </c>
      <c r="C314" s="928" t="s">
        <v>13</v>
      </c>
      <c r="D314" s="927">
        <v>45768</v>
      </c>
      <c r="E314" s="928" t="s">
        <v>6069</v>
      </c>
      <c r="F314" s="928" t="s">
        <v>317</v>
      </c>
      <c r="H314" s="926" t="s">
        <v>279</v>
      </c>
      <c r="K314" s="932"/>
      <c r="L314" s="932">
        <v>12272</v>
      </c>
      <c r="T314" s="926" t="s">
        <v>1506</v>
      </c>
      <c r="U314" s="931">
        <v>0.31666666666666665</v>
      </c>
      <c r="V314" s="931">
        <v>0.59097222222222223</v>
      </c>
    </row>
    <row r="315" spans="1:22" s="33" customFormat="1" x14ac:dyDescent="0.25">
      <c r="A315" s="547">
        <v>21042025</v>
      </c>
      <c r="B315" s="33" t="s">
        <v>6070</v>
      </c>
      <c r="C315" s="306" t="s">
        <v>660</v>
      </c>
      <c r="D315" s="548">
        <v>45768</v>
      </c>
      <c r="E315" s="306"/>
      <c r="F315" s="306" t="s">
        <v>798</v>
      </c>
      <c r="H315" s="33" t="s">
        <v>279</v>
      </c>
      <c r="K315" s="933">
        <v>26950</v>
      </c>
      <c r="L315" s="933"/>
      <c r="T315" s="33" t="s">
        <v>5026</v>
      </c>
      <c r="U315" s="550">
        <v>0.56527777777777777</v>
      </c>
      <c r="V315" s="550">
        <v>0.71111111111111114</v>
      </c>
    </row>
    <row r="316" spans="1:22" s="33" customFormat="1" x14ac:dyDescent="0.25">
      <c r="A316" s="547">
        <v>22042025</v>
      </c>
      <c r="B316" s="33" t="s">
        <v>614</v>
      </c>
      <c r="C316" s="306" t="s">
        <v>13</v>
      </c>
      <c r="D316" s="548">
        <v>45769</v>
      </c>
      <c r="E316" s="306"/>
      <c r="F316" s="306" t="s">
        <v>2107</v>
      </c>
      <c r="H316" s="33" t="s">
        <v>279</v>
      </c>
      <c r="K316" s="933">
        <v>44651.199999999997</v>
      </c>
      <c r="L316" s="933"/>
      <c r="T316" s="33" t="s">
        <v>4297</v>
      </c>
      <c r="U316" s="550">
        <v>0.65208333333333335</v>
      </c>
      <c r="V316" s="550">
        <v>0.78125</v>
      </c>
    </row>
    <row r="317" spans="1:22" s="926" customFormat="1" hidden="1" x14ac:dyDescent="0.25">
      <c r="A317" s="925">
        <v>23042025</v>
      </c>
      <c r="B317" s="926" t="s">
        <v>1720</v>
      </c>
      <c r="C317" s="928" t="s">
        <v>4218</v>
      </c>
      <c r="D317" s="927">
        <v>45770</v>
      </c>
      <c r="E317" s="928"/>
      <c r="F317" s="928" t="s">
        <v>545</v>
      </c>
      <c r="H317" s="926" t="s">
        <v>277</v>
      </c>
      <c r="K317" s="932">
        <v>22750</v>
      </c>
      <c r="L317" s="932"/>
      <c r="T317" s="926" t="s">
        <v>2050</v>
      </c>
      <c r="U317" s="931">
        <v>0.70208333333333328</v>
      </c>
      <c r="V317" s="931">
        <v>0.86319444444444449</v>
      </c>
    </row>
    <row r="318" spans="1:22" s="33" customFormat="1" x14ac:dyDescent="0.25">
      <c r="A318" s="547">
        <v>24042025</v>
      </c>
      <c r="B318" s="33" t="s">
        <v>3409</v>
      </c>
      <c r="C318" s="306" t="s">
        <v>660</v>
      </c>
      <c r="D318" s="548">
        <v>45771</v>
      </c>
      <c r="E318" s="306"/>
      <c r="F318" s="306" t="s">
        <v>285</v>
      </c>
      <c r="H318" s="33" t="s">
        <v>279</v>
      </c>
      <c r="K318" s="933">
        <v>45428.75</v>
      </c>
      <c r="L318" s="933"/>
      <c r="T318" s="33" t="s">
        <v>4139</v>
      </c>
      <c r="U318" s="550">
        <v>0.3</v>
      </c>
      <c r="V318" s="550">
        <v>0.56944444444444442</v>
      </c>
    </row>
    <row r="319" spans="1:22" s="33" customFormat="1" ht="15" customHeight="1" x14ac:dyDescent="0.25">
      <c r="A319" s="547">
        <v>24042025</v>
      </c>
      <c r="B319" s="33" t="s">
        <v>3244</v>
      </c>
      <c r="C319" s="306" t="s">
        <v>13</v>
      </c>
      <c r="D319" s="548">
        <v>45771</v>
      </c>
      <c r="E319" s="306"/>
      <c r="F319" s="306" t="s">
        <v>106</v>
      </c>
      <c r="H319" s="33" t="s">
        <v>279</v>
      </c>
      <c r="K319" s="933">
        <v>28000</v>
      </c>
      <c r="L319" s="933"/>
      <c r="T319" s="33" t="s">
        <v>6071</v>
      </c>
      <c r="U319" s="550">
        <v>0.51388888888888884</v>
      </c>
      <c r="V319" s="550">
        <v>16.239999999999998</v>
      </c>
    </row>
    <row r="320" spans="1:22" s="926" customFormat="1" hidden="1" x14ac:dyDescent="0.25">
      <c r="A320" s="925">
        <v>25042025</v>
      </c>
      <c r="B320" s="926" t="s">
        <v>1720</v>
      </c>
      <c r="C320" s="928" t="s">
        <v>4437</v>
      </c>
      <c r="D320" s="927">
        <v>45772</v>
      </c>
      <c r="E320" s="928"/>
      <c r="F320" s="928" t="s">
        <v>545</v>
      </c>
      <c r="H320" s="926" t="s">
        <v>277</v>
      </c>
      <c r="K320" s="932">
        <v>22750</v>
      </c>
      <c r="L320" s="932"/>
      <c r="T320" s="926" t="s">
        <v>5078</v>
      </c>
      <c r="U320" s="931">
        <v>0.68055555555555547</v>
      </c>
      <c r="V320" s="931">
        <v>0.79722222222222217</v>
      </c>
    </row>
    <row r="321" spans="1:22" s="926" customFormat="1" x14ac:dyDescent="0.25">
      <c r="A321" s="925">
        <v>25042025</v>
      </c>
      <c r="B321" s="926" t="s">
        <v>2407</v>
      </c>
      <c r="C321" s="928" t="s">
        <v>13</v>
      </c>
      <c r="D321" s="927">
        <v>45772</v>
      </c>
      <c r="E321" s="928"/>
      <c r="F321" s="928" t="s">
        <v>317</v>
      </c>
      <c r="H321" s="926" t="s">
        <v>279</v>
      </c>
      <c r="K321" s="932"/>
      <c r="L321" s="932">
        <v>11000</v>
      </c>
      <c r="T321" s="926" t="s">
        <v>4983</v>
      </c>
      <c r="U321" s="944">
        <v>15.2</v>
      </c>
      <c r="V321" s="931">
        <v>0.83263888888888893</v>
      </c>
    </row>
    <row r="322" spans="1:22" s="33" customFormat="1" x14ac:dyDescent="0.25">
      <c r="A322" s="547">
        <v>25042025</v>
      </c>
      <c r="B322" s="33" t="s">
        <v>6073</v>
      </c>
      <c r="C322" s="306" t="s">
        <v>660</v>
      </c>
      <c r="D322" s="548">
        <v>45772</v>
      </c>
      <c r="E322" s="306"/>
      <c r="F322" s="306" t="s">
        <v>285</v>
      </c>
      <c r="H322" s="33" t="s">
        <v>279</v>
      </c>
      <c r="K322" s="933">
        <v>45428.75</v>
      </c>
      <c r="L322" s="933"/>
      <c r="T322" s="33" t="s">
        <v>5989</v>
      </c>
      <c r="U322" s="432">
        <v>14.21</v>
      </c>
      <c r="V322" s="550">
        <v>0.81388888888888899</v>
      </c>
    </row>
    <row r="323" spans="1:22" s="33" customFormat="1" x14ac:dyDescent="0.25">
      <c r="A323" s="547">
        <v>26042025</v>
      </c>
      <c r="B323" s="33" t="s">
        <v>4193</v>
      </c>
      <c r="C323" s="306" t="s">
        <v>4437</v>
      </c>
      <c r="D323" s="548">
        <v>45773</v>
      </c>
      <c r="E323" s="306"/>
      <c r="F323" s="306" t="s">
        <v>113</v>
      </c>
      <c r="H323" s="33" t="s">
        <v>279</v>
      </c>
      <c r="K323" s="1010">
        <v>39069.800000000003</v>
      </c>
      <c r="L323" s="933"/>
      <c r="T323" s="33" t="s">
        <v>5891</v>
      </c>
      <c r="U323" s="550">
        <v>0.58888888888888891</v>
      </c>
      <c r="V323" s="550">
        <v>0.78472222222222221</v>
      </c>
    </row>
    <row r="324" spans="1:22" s="33" customFormat="1" x14ac:dyDescent="0.25">
      <c r="A324" s="547">
        <v>26042025</v>
      </c>
      <c r="B324" s="33" t="s">
        <v>614</v>
      </c>
      <c r="C324" s="306" t="s">
        <v>660</v>
      </c>
      <c r="D324" s="548">
        <v>45773</v>
      </c>
      <c r="E324" s="306"/>
      <c r="F324" s="306" t="s">
        <v>1931</v>
      </c>
      <c r="H324" s="33" t="s">
        <v>279</v>
      </c>
      <c r="K324" s="933">
        <v>62304</v>
      </c>
      <c r="L324" s="933"/>
      <c r="T324" s="33" t="s">
        <v>5021</v>
      </c>
      <c r="U324" s="550">
        <v>0.61111111111111105</v>
      </c>
      <c r="V324" s="550">
        <v>0.90625</v>
      </c>
    </row>
    <row r="325" spans="1:22" s="926" customFormat="1" x14ac:dyDescent="0.25">
      <c r="A325" s="925">
        <v>26042025</v>
      </c>
      <c r="B325" s="926" t="s">
        <v>2407</v>
      </c>
      <c r="C325" s="928" t="s">
        <v>13</v>
      </c>
      <c r="D325" s="927">
        <v>45773</v>
      </c>
      <c r="E325" s="928"/>
      <c r="F325" s="928" t="s">
        <v>6072</v>
      </c>
      <c r="H325" s="926" t="s">
        <v>279</v>
      </c>
      <c r="K325" s="932"/>
      <c r="L325" s="932">
        <v>18467</v>
      </c>
      <c r="T325" s="926" t="s">
        <v>4140</v>
      </c>
      <c r="U325" s="931">
        <v>0.35833333333333334</v>
      </c>
      <c r="V325" s="944">
        <v>15.06</v>
      </c>
    </row>
    <row r="326" spans="1:22" s="926" customFormat="1" x14ac:dyDescent="0.25">
      <c r="A326" s="925">
        <v>26042025</v>
      </c>
      <c r="B326" s="926" t="s">
        <v>608</v>
      </c>
      <c r="C326" s="928" t="s">
        <v>4437</v>
      </c>
      <c r="D326" s="927">
        <v>45773</v>
      </c>
      <c r="E326" s="928"/>
      <c r="F326" s="928" t="s">
        <v>236</v>
      </c>
      <c r="H326" s="926" t="s">
        <v>279</v>
      </c>
      <c r="K326" s="932">
        <v>58231</v>
      </c>
      <c r="L326" s="932"/>
      <c r="T326" s="926" t="s">
        <v>4417</v>
      </c>
      <c r="U326" s="931">
        <v>0.27291666666666664</v>
      </c>
      <c r="V326" s="931">
        <v>0.55138888888888882</v>
      </c>
    </row>
    <row r="327" spans="1:22" s="33" customFormat="1" x14ac:dyDescent="0.25">
      <c r="A327" s="547">
        <v>26042025</v>
      </c>
      <c r="B327" s="33" t="s">
        <v>614</v>
      </c>
      <c r="C327" s="306" t="s">
        <v>660</v>
      </c>
      <c r="D327" s="548">
        <v>45773</v>
      </c>
      <c r="E327" s="306"/>
      <c r="F327" s="306" t="s">
        <v>143</v>
      </c>
      <c r="H327" s="33" t="s">
        <v>279</v>
      </c>
      <c r="K327" s="933">
        <v>43612.800000000003</v>
      </c>
      <c r="L327" s="933"/>
      <c r="T327" s="33" t="s">
        <v>5078</v>
      </c>
      <c r="U327" s="550">
        <v>0.26666666666666666</v>
      </c>
      <c r="V327" s="550">
        <v>0.52916666666666667</v>
      </c>
    </row>
    <row r="328" spans="1:22" s="926" customFormat="1" x14ac:dyDescent="0.25">
      <c r="A328" s="925">
        <v>28042025</v>
      </c>
      <c r="B328" s="926" t="s">
        <v>608</v>
      </c>
      <c r="C328" s="928" t="s">
        <v>4437</v>
      </c>
      <c r="D328" s="927">
        <v>45775</v>
      </c>
      <c r="E328" s="928"/>
      <c r="F328" s="928" t="s">
        <v>236</v>
      </c>
      <c r="H328" s="926" t="s">
        <v>279</v>
      </c>
      <c r="K328" s="932">
        <v>58231</v>
      </c>
      <c r="L328" s="932"/>
      <c r="T328" s="926" t="s">
        <v>4138</v>
      </c>
      <c r="U328" s="931">
        <v>0.24791666666666667</v>
      </c>
      <c r="V328" s="931">
        <v>0.50763888888888886</v>
      </c>
    </row>
    <row r="329" spans="1:22" s="926" customFormat="1" x14ac:dyDescent="0.25">
      <c r="A329" s="925">
        <v>28042025</v>
      </c>
      <c r="B329" s="926" t="s">
        <v>608</v>
      </c>
      <c r="C329" s="928" t="s">
        <v>13</v>
      </c>
      <c r="D329" s="927">
        <v>45775</v>
      </c>
      <c r="E329" s="928"/>
      <c r="F329" s="928" t="s">
        <v>236</v>
      </c>
      <c r="H329" s="926" t="s">
        <v>279</v>
      </c>
      <c r="K329" s="932">
        <v>58231</v>
      </c>
      <c r="L329" s="932"/>
      <c r="T329" s="926" t="s">
        <v>4983</v>
      </c>
      <c r="U329" s="931">
        <v>0.41875000000000001</v>
      </c>
      <c r="V329" s="931">
        <v>0.70763888888888893</v>
      </c>
    </row>
    <row r="330" spans="1:22" s="33" customFormat="1" x14ac:dyDescent="0.25">
      <c r="A330" s="547">
        <v>28042025</v>
      </c>
      <c r="B330" s="33" t="s">
        <v>610</v>
      </c>
      <c r="C330" s="306" t="s">
        <v>660</v>
      </c>
      <c r="D330" s="548">
        <v>45775</v>
      </c>
      <c r="E330" s="306"/>
      <c r="F330" s="306" t="s">
        <v>106</v>
      </c>
      <c r="H330" s="33" t="s">
        <v>279</v>
      </c>
      <c r="K330" s="933">
        <v>29770</v>
      </c>
      <c r="L330" s="933"/>
      <c r="T330" s="33" t="s">
        <v>2050</v>
      </c>
      <c r="U330" s="550">
        <v>0.4236111111111111</v>
      </c>
      <c r="V330" s="550">
        <v>0.59305555555555556</v>
      </c>
    </row>
    <row r="331" spans="1:22" s="926" customFormat="1" x14ac:dyDescent="0.25">
      <c r="A331" s="925">
        <v>29042024</v>
      </c>
      <c r="B331" s="926" t="s">
        <v>608</v>
      </c>
      <c r="C331" s="928" t="s">
        <v>4437</v>
      </c>
      <c r="D331" s="927">
        <v>45776</v>
      </c>
      <c r="E331" s="928"/>
      <c r="F331" s="928" t="s">
        <v>236</v>
      </c>
      <c r="H331" s="926" t="s">
        <v>279</v>
      </c>
      <c r="K331" s="932">
        <v>49173</v>
      </c>
      <c r="L331" s="932"/>
      <c r="T331" s="926" t="s">
        <v>4139</v>
      </c>
      <c r="U331" s="931">
        <v>0.31111111111111112</v>
      </c>
      <c r="V331" s="931">
        <v>0.59305555555555556</v>
      </c>
    </row>
    <row r="332" spans="1:22" s="33" customFormat="1" x14ac:dyDescent="0.25">
      <c r="A332" s="547">
        <v>29042024</v>
      </c>
      <c r="B332" s="33" t="s">
        <v>610</v>
      </c>
      <c r="C332" s="306" t="s">
        <v>660</v>
      </c>
      <c r="D332" s="548">
        <v>45776</v>
      </c>
      <c r="E332" s="306"/>
      <c r="F332" s="306" t="s">
        <v>106</v>
      </c>
      <c r="H332" s="33" t="s">
        <v>279</v>
      </c>
      <c r="K332" s="933">
        <v>29770</v>
      </c>
      <c r="L332" s="933"/>
      <c r="T332" s="33" t="s">
        <v>6078</v>
      </c>
      <c r="U332" s="550">
        <v>0.30416666666666664</v>
      </c>
      <c r="V332" s="550">
        <v>0.45763888888888887</v>
      </c>
    </row>
    <row r="333" spans="1:22" s="33" customFormat="1" x14ac:dyDescent="0.25">
      <c r="A333" s="547">
        <v>29042024</v>
      </c>
      <c r="B333" s="33" t="s">
        <v>4662</v>
      </c>
      <c r="C333" s="306" t="s">
        <v>13</v>
      </c>
      <c r="D333" s="548">
        <v>45776</v>
      </c>
      <c r="E333" s="306"/>
      <c r="F333" s="306" t="s">
        <v>2008</v>
      </c>
      <c r="H333" s="33" t="s">
        <v>279</v>
      </c>
      <c r="K333" s="933">
        <v>47250</v>
      </c>
      <c r="L333" s="933"/>
      <c r="T333" s="33" t="s">
        <v>4853</v>
      </c>
      <c r="U333" s="550">
        <v>0.40833333333333338</v>
      </c>
      <c r="V333" s="550">
        <v>0.67986111111111114</v>
      </c>
    </row>
    <row r="334" spans="1:22" s="926" customFormat="1" hidden="1" x14ac:dyDescent="0.25">
      <c r="A334" s="925">
        <v>29042024</v>
      </c>
      <c r="B334" s="926" t="s">
        <v>930</v>
      </c>
      <c r="C334" s="928" t="s">
        <v>4437</v>
      </c>
      <c r="D334" s="927">
        <v>45776</v>
      </c>
      <c r="E334" s="928"/>
      <c r="F334" s="928" t="s">
        <v>294</v>
      </c>
      <c r="H334" s="926" t="s">
        <v>277</v>
      </c>
      <c r="K334" s="932">
        <v>34011</v>
      </c>
      <c r="L334" s="932"/>
      <c r="T334" s="926" t="s">
        <v>4417</v>
      </c>
      <c r="U334" s="931">
        <v>0.66736111111111107</v>
      </c>
      <c r="V334" s="931">
        <v>0.88541666666666663</v>
      </c>
    </row>
    <row r="335" spans="1:22" s="33" customFormat="1" hidden="1" x14ac:dyDescent="0.25">
      <c r="A335" s="547">
        <v>29042024</v>
      </c>
      <c r="B335" s="33" t="s">
        <v>1720</v>
      </c>
      <c r="C335" s="306" t="s">
        <v>660</v>
      </c>
      <c r="D335" s="548">
        <v>45776</v>
      </c>
      <c r="E335" s="306"/>
      <c r="F335" s="306" t="s">
        <v>545</v>
      </c>
      <c r="H335" s="33" t="s">
        <v>277</v>
      </c>
      <c r="K335" s="933">
        <v>22750</v>
      </c>
      <c r="L335" s="933"/>
      <c r="T335" s="33" t="s">
        <v>4853</v>
      </c>
      <c r="U335" s="550">
        <v>0.72291666666666676</v>
      </c>
      <c r="V335" s="550">
        <v>0.84583333333333333</v>
      </c>
    </row>
    <row r="336" spans="1:22" s="33" customFormat="1" x14ac:dyDescent="0.25">
      <c r="A336" s="547">
        <v>30042024</v>
      </c>
      <c r="B336" s="33" t="s">
        <v>572</v>
      </c>
      <c r="C336" s="306" t="s">
        <v>660</v>
      </c>
      <c r="D336" s="548">
        <v>45777</v>
      </c>
      <c r="E336" s="306"/>
      <c r="F336" s="306" t="s">
        <v>207</v>
      </c>
      <c r="H336" s="33" t="s">
        <v>279</v>
      </c>
      <c r="K336" s="933"/>
      <c r="L336" s="933">
        <v>8968</v>
      </c>
      <c r="T336" s="33" t="s">
        <v>5078</v>
      </c>
      <c r="U336" s="550">
        <v>0.29791666666666666</v>
      </c>
      <c r="V336" s="550">
        <v>0.51250000000000007</v>
      </c>
    </row>
    <row r="337" spans="1:22" s="33" customFormat="1" x14ac:dyDescent="0.25">
      <c r="A337" s="547">
        <v>30042024</v>
      </c>
      <c r="B337" s="33" t="s">
        <v>572</v>
      </c>
      <c r="C337" s="306" t="s">
        <v>13</v>
      </c>
      <c r="D337" s="548">
        <v>45777</v>
      </c>
      <c r="E337" s="306"/>
      <c r="F337" s="306" t="s">
        <v>207</v>
      </c>
      <c r="H337" s="33" t="s">
        <v>279</v>
      </c>
      <c r="K337" s="933"/>
      <c r="L337" s="933">
        <v>8968</v>
      </c>
      <c r="T337" s="33" t="s">
        <v>2050</v>
      </c>
      <c r="U337" s="550">
        <v>0.5493055555555556</v>
      </c>
      <c r="V337" s="550">
        <v>0.73541666666666661</v>
      </c>
    </row>
    <row r="338" spans="1:22" s="33" customFormat="1" x14ac:dyDescent="0.25">
      <c r="A338" s="547">
        <v>30042024</v>
      </c>
      <c r="B338" s="33" t="s">
        <v>3383</v>
      </c>
      <c r="C338" s="306" t="s">
        <v>13</v>
      </c>
      <c r="D338" s="548">
        <v>45777</v>
      </c>
      <c r="E338" s="306"/>
      <c r="F338" s="306" t="s">
        <v>861</v>
      </c>
      <c r="H338" s="33" t="s">
        <v>279</v>
      </c>
      <c r="K338" s="933">
        <v>34500</v>
      </c>
      <c r="L338" s="933"/>
      <c r="T338" s="33" t="s">
        <v>5020</v>
      </c>
      <c r="U338" s="550">
        <v>0.26597222222222222</v>
      </c>
      <c r="V338" s="550">
        <v>0.49027777777777781</v>
      </c>
    </row>
    <row r="339" spans="1:22" s="33" customFormat="1" x14ac:dyDescent="0.25">
      <c r="A339" s="547">
        <v>30042024</v>
      </c>
      <c r="B339" s="33" t="s">
        <v>875</v>
      </c>
      <c r="C339" s="306" t="s">
        <v>4437</v>
      </c>
      <c r="D339" s="548">
        <v>45777</v>
      </c>
      <c r="E339" s="306"/>
      <c r="F339" s="306" t="s">
        <v>2036</v>
      </c>
      <c r="H339" s="33" t="s">
        <v>279</v>
      </c>
      <c r="K339" s="933">
        <v>23500</v>
      </c>
      <c r="L339" s="933"/>
      <c r="T339" s="33" t="s">
        <v>2050</v>
      </c>
      <c r="U339" s="550">
        <v>0.51527777777777783</v>
      </c>
      <c r="V339" s="550">
        <v>0.68402777777777779</v>
      </c>
    </row>
    <row r="340" spans="1:22" hidden="1" x14ac:dyDescent="0.25">
      <c r="A340" s="483"/>
      <c r="D340" s="233"/>
      <c r="K340" s="798"/>
      <c r="L340" s="798"/>
    </row>
    <row r="341" spans="1:22" hidden="1" x14ac:dyDescent="0.25">
      <c r="A341" s="483"/>
      <c r="D341" s="233"/>
      <c r="K341" s="798"/>
      <c r="L341" s="798"/>
    </row>
    <row r="342" spans="1:22" hidden="1" x14ac:dyDescent="0.25">
      <c r="A342" s="483"/>
      <c r="D342" s="233"/>
      <c r="K342" s="798"/>
      <c r="L342" s="798"/>
    </row>
    <row r="343" spans="1:22" hidden="1" x14ac:dyDescent="0.25">
      <c r="A343" s="483"/>
      <c r="D343" s="233"/>
      <c r="K343" s="798"/>
      <c r="L343" s="798"/>
    </row>
    <row r="344" spans="1:22" hidden="1" x14ac:dyDescent="0.25">
      <c r="A344" s="483"/>
      <c r="D344" s="233"/>
      <c r="K344" s="798"/>
      <c r="L344" s="798"/>
    </row>
    <row r="345" spans="1:22" hidden="1" x14ac:dyDescent="0.25">
      <c r="A345" s="483"/>
      <c r="D345" s="233"/>
      <c r="K345" s="798"/>
      <c r="L345" s="798"/>
    </row>
    <row r="346" spans="1:22" hidden="1" x14ac:dyDescent="0.25">
      <c r="A346" s="483"/>
      <c r="D346" s="233"/>
      <c r="F346" s="61"/>
      <c r="K346" s="798"/>
      <c r="L346" s="798"/>
    </row>
    <row r="347" spans="1:22" hidden="1" x14ac:dyDescent="0.25">
      <c r="A347" s="483"/>
      <c r="D347" s="233"/>
      <c r="K347" s="798"/>
      <c r="L347" s="798"/>
    </row>
    <row r="348" spans="1:22" ht="15.75" hidden="1" thickBot="1" x14ac:dyDescent="0.3">
      <c r="A348" s="483"/>
      <c r="D348" s="233"/>
      <c r="G348" s="149"/>
      <c r="K348" s="953">
        <f>SUM(K254:K347)</f>
        <v>2945993.0999999996</v>
      </c>
      <c r="L348" s="953">
        <f>SUM(L254:L347)</f>
        <v>87761</v>
      </c>
    </row>
    <row r="349" spans="1:22" hidden="1" x14ac:dyDescent="0.25">
      <c r="A349" s="483"/>
      <c r="D349" s="233"/>
      <c r="K349" s="558"/>
      <c r="L349" s="558"/>
    </row>
    <row r="350" spans="1:22" hidden="1" x14ac:dyDescent="0.25">
      <c r="A350" s="483"/>
      <c r="D350" s="233"/>
      <c r="K350" s="558"/>
      <c r="L350" s="558"/>
    </row>
    <row r="351" spans="1:22" hidden="1" x14ac:dyDescent="0.25">
      <c r="A351" s="483"/>
      <c r="D351" s="233"/>
      <c r="K351" s="558"/>
      <c r="L351" s="558"/>
    </row>
    <row r="352" spans="1:22" s="1003" customFormat="1" x14ac:dyDescent="0.25">
      <c r="A352" s="1002" t="s">
        <v>6103</v>
      </c>
      <c r="B352" s="1003" t="s">
        <v>6110</v>
      </c>
      <c r="C352" s="1004" t="s">
        <v>660</v>
      </c>
      <c r="D352" s="1005">
        <v>45778</v>
      </c>
      <c r="E352" s="1004"/>
      <c r="F352" s="1004" t="s">
        <v>143</v>
      </c>
      <c r="H352" s="1003" t="s">
        <v>279</v>
      </c>
      <c r="K352" s="1006"/>
      <c r="L352" s="1007">
        <v>8400</v>
      </c>
      <c r="T352" s="1003" t="s">
        <v>4138</v>
      </c>
      <c r="U352" s="1008">
        <v>7.41</v>
      </c>
      <c r="V352" s="1009">
        <v>0.51111111111111118</v>
      </c>
    </row>
    <row r="353" spans="1:22" s="926" customFormat="1" x14ac:dyDescent="0.25">
      <c r="A353" s="925" t="s">
        <v>6103</v>
      </c>
      <c r="B353" s="926" t="s">
        <v>614</v>
      </c>
      <c r="C353" s="928" t="s">
        <v>4437</v>
      </c>
      <c r="D353" s="927">
        <v>45778</v>
      </c>
      <c r="E353" s="928"/>
      <c r="F353" s="928" t="s">
        <v>68</v>
      </c>
      <c r="H353" s="926" t="s">
        <v>279</v>
      </c>
      <c r="K353" s="932">
        <v>49843.199999999997</v>
      </c>
      <c r="L353" s="932"/>
      <c r="T353" s="926" t="s">
        <v>4853</v>
      </c>
      <c r="U353" s="931">
        <v>0.35138888888888892</v>
      </c>
      <c r="V353" s="931">
        <v>0.5805555555555556</v>
      </c>
    </row>
    <row r="354" spans="1:22" s="926" customFormat="1" x14ac:dyDescent="0.25">
      <c r="A354" s="925" t="s">
        <v>6103</v>
      </c>
      <c r="B354" s="926" t="s">
        <v>608</v>
      </c>
      <c r="C354" s="928" t="s">
        <v>13</v>
      </c>
      <c r="D354" s="927">
        <v>45778</v>
      </c>
      <c r="E354" s="928"/>
      <c r="F354" s="928" t="s">
        <v>236</v>
      </c>
      <c r="H354" s="926" t="s">
        <v>279</v>
      </c>
      <c r="K354" s="932">
        <v>58231</v>
      </c>
      <c r="L354" s="932"/>
      <c r="T354" s="926" t="s">
        <v>5078</v>
      </c>
      <c r="U354" s="931">
        <v>0.43263888888888885</v>
      </c>
      <c r="V354" s="931">
        <v>0.6972222222222223</v>
      </c>
    </row>
    <row r="355" spans="1:22" s="926" customFormat="1" x14ac:dyDescent="0.25">
      <c r="A355" s="925" t="s">
        <v>6103</v>
      </c>
      <c r="B355" s="926" t="s">
        <v>2407</v>
      </c>
      <c r="C355" s="928" t="s">
        <v>660</v>
      </c>
      <c r="D355" s="927">
        <v>45778</v>
      </c>
      <c r="E355" s="928"/>
      <c r="F355" s="928" t="s">
        <v>207</v>
      </c>
      <c r="H355" s="926" t="s">
        <v>279</v>
      </c>
      <c r="K355" s="932"/>
      <c r="L355" s="932">
        <v>9440</v>
      </c>
      <c r="T355" s="926" t="s">
        <v>4138</v>
      </c>
      <c r="U355" s="931">
        <v>0.55555555555555558</v>
      </c>
      <c r="V355" s="931">
        <v>0.7729166666666667</v>
      </c>
    </row>
    <row r="356" spans="1:22" s="926" customFormat="1" x14ac:dyDescent="0.25">
      <c r="A356" s="925" t="s">
        <v>6105</v>
      </c>
      <c r="B356" s="926" t="s">
        <v>610</v>
      </c>
      <c r="C356" s="928" t="s">
        <v>13</v>
      </c>
      <c r="D356" s="927">
        <v>45779</v>
      </c>
      <c r="E356" s="928"/>
      <c r="F356" s="928" t="s">
        <v>106</v>
      </c>
      <c r="H356" s="926" t="s">
        <v>279</v>
      </c>
      <c r="K356" s="932">
        <v>29770</v>
      </c>
      <c r="L356" s="932"/>
      <c r="T356" s="926" t="s">
        <v>6104</v>
      </c>
      <c r="U356" s="931">
        <v>0.29097222222222224</v>
      </c>
      <c r="V356" s="931">
        <v>0.48888888888888887</v>
      </c>
    </row>
    <row r="357" spans="1:22" s="926" customFormat="1" x14ac:dyDescent="0.25">
      <c r="A357" s="925" t="s">
        <v>6105</v>
      </c>
      <c r="B357" s="926" t="s">
        <v>614</v>
      </c>
      <c r="C357" s="928" t="s">
        <v>660</v>
      </c>
      <c r="D357" s="927">
        <v>45779</v>
      </c>
      <c r="E357" s="928"/>
      <c r="F357" s="928" t="s">
        <v>106</v>
      </c>
      <c r="H357" s="926" t="s">
        <v>279</v>
      </c>
      <c r="K357" s="932">
        <v>31152</v>
      </c>
      <c r="L357" s="930"/>
      <c r="T357" s="926" t="s">
        <v>5021</v>
      </c>
      <c r="U357" s="931">
        <v>0.25972222222222224</v>
      </c>
      <c r="V357" s="931">
        <v>0.48402777777777778</v>
      </c>
    </row>
    <row r="358" spans="1:22" s="926" customFormat="1" x14ac:dyDescent="0.25">
      <c r="A358" s="925" t="s">
        <v>6105</v>
      </c>
      <c r="B358" s="926" t="s">
        <v>875</v>
      </c>
      <c r="C358" s="928" t="s">
        <v>660</v>
      </c>
      <c r="D358" s="927">
        <v>45779</v>
      </c>
      <c r="E358" s="928"/>
      <c r="F358" s="928" t="s">
        <v>2036</v>
      </c>
      <c r="H358" s="926" t="s">
        <v>279</v>
      </c>
      <c r="K358" s="929">
        <v>23500</v>
      </c>
      <c r="L358" s="930"/>
      <c r="T358" s="926" t="s">
        <v>5021</v>
      </c>
      <c r="U358" s="931">
        <v>0.51597222222222217</v>
      </c>
      <c r="V358" s="931">
        <v>0.6645833333333333</v>
      </c>
    </row>
    <row r="359" spans="1:22" s="926" customFormat="1" x14ac:dyDescent="0.25">
      <c r="A359" s="925" t="s">
        <v>6105</v>
      </c>
      <c r="B359" s="926" t="s">
        <v>614</v>
      </c>
      <c r="C359" s="928" t="s">
        <v>13</v>
      </c>
      <c r="D359" s="927">
        <v>45779</v>
      </c>
      <c r="E359" s="928"/>
      <c r="F359" s="928" t="s">
        <v>2107</v>
      </c>
      <c r="H359" s="926" t="s">
        <v>279</v>
      </c>
      <c r="K359" s="932">
        <v>44651.199999999997</v>
      </c>
      <c r="L359" s="932"/>
      <c r="T359" s="926" t="s">
        <v>6104</v>
      </c>
      <c r="U359" s="931">
        <v>0.55694444444444446</v>
      </c>
      <c r="V359" s="931">
        <v>0.69444444444444453</v>
      </c>
    </row>
    <row r="360" spans="1:22" s="1150" customFormat="1" x14ac:dyDescent="0.25">
      <c r="A360" s="1149" t="s">
        <v>6105</v>
      </c>
      <c r="B360" s="1150" t="s">
        <v>6111</v>
      </c>
      <c r="C360" s="1151" t="s">
        <v>4437</v>
      </c>
      <c r="D360" s="1152">
        <v>45779</v>
      </c>
      <c r="E360" s="1151"/>
      <c r="F360" s="1151" t="s">
        <v>143</v>
      </c>
      <c r="H360" s="1150" t="s">
        <v>279</v>
      </c>
      <c r="K360" s="1153">
        <v>37665</v>
      </c>
      <c r="L360" s="1153"/>
      <c r="T360" s="1150" t="s">
        <v>4139</v>
      </c>
      <c r="U360" s="1154">
        <v>0.3659722222222222</v>
      </c>
      <c r="V360" s="1154">
        <v>2.361111111111111E-2</v>
      </c>
    </row>
    <row r="361" spans="1:22" s="1150" customFormat="1" x14ac:dyDescent="0.25">
      <c r="A361" s="1149" t="s">
        <v>6106</v>
      </c>
      <c r="B361" s="1150" t="s">
        <v>6109</v>
      </c>
      <c r="C361" s="1151" t="s">
        <v>13</v>
      </c>
      <c r="D361" s="1152">
        <v>45780</v>
      </c>
      <c r="E361" s="1151"/>
      <c r="F361" s="1151" t="s">
        <v>207</v>
      </c>
      <c r="H361" s="1150" t="s">
        <v>279</v>
      </c>
      <c r="K361" s="1153"/>
      <c r="L361" s="1153">
        <v>10620</v>
      </c>
      <c r="T361" s="1150" t="s">
        <v>5026</v>
      </c>
      <c r="U361" s="1154">
        <v>0.25486111111111109</v>
      </c>
      <c r="V361" s="1154">
        <v>0.45624999999999999</v>
      </c>
    </row>
    <row r="362" spans="1:22" s="393" customFormat="1" x14ac:dyDescent="0.25">
      <c r="A362" s="581" t="s">
        <v>6106</v>
      </c>
      <c r="B362" s="393" t="s">
        <v>3238</v>
      </c>
      <c r="C362" s="174" t="s">
        <v>660</v>
      </c>
      <c r="D362" s="582">
        <v>45780</v>
      </c>
      <c r="E362" s="174"/>
      <c r="F362" s="174" t="s">
        <v>425</v>
      </c>
      <c r="H362" s="393" t="s">
        <v>279</v>
      </c>
      <c r="K362" s="1124"/>
      <c r="L362" s="1124">
        <f>6630*1.18</f>
        <v>7823.4</v>
      </c>
      <c r="T362" s="393" t="s">
        <v>5026</v>
      </c>
      <c r="U362" s="584">
        <v>0.53194444444444444</v>
      </c>
      <c r="V362" s="584">
        <v>0.74513888888888891</v>
      </c>
    </row>
    <row r="363" spans="1:22" s="926" customFormat="1" x14ac:dyDescent="0.25">
      <c r="A363" s="925" t="s">
        <v>6106</v>
      </c>
      <c r="B363" s="926" t="s">
        <v>875</v>
      </c>
      <c r="C363" s="928" t="s">
        <v>278</v>
      </c>
      <c r="D363" s="927">
        <v>45780</v>
      </c>
      <c r="E363" s="928"/>
      <c r="F363" s="928" t="s">
        <v>2036</v>
      </c>
      <c r="H363" s="926" t="s">
        <v>279</v>
      </c>
      <c r="K363" s="932">
        <v>23500</v>
      </c>
      <c r="L363" s="932"/>
      <c r="T363" s="926" t="s">
        <v>6067</v>
      </c>
      <c r="U363" s="931">
        <v>0.58402777777777781</v>
      </c>
      <c r="V363" s="931">
        <v>0.72638888888888886</v>
      </c>
    </row>
    <row r="364" spans="1:22" s="926" customFormat="1" x14ac:dyDescent="0.25">
      <c r="A364" s="925" t="s">
        <v>6106</v>
      </c>
      <c r="B364" s="926" t="s">
        <v>1720</v>
      </c>
      <c r="C364" s="928" t="s">
        <v>4437</v>
      </c>
      <c r="D364" s="927">
        <v>45780</v>
      </c>
      <c r="E364" s="928"/>
      <c r="F364" s="928" t="s">
        <v>545</v>
      </c>
      <c r="H364" s="926" t="s">
        <v>279</v>
      </c>
      <c r="K364" s="932">
        <v>32250</v>
      </c>
      <c r="L364" s="932"/>
      <c r="T364" s="926" t="s">
        <v>6067</v>
      </c>
      <c r="U364" s="931">
        <v>0.78680555555555554</v>
      </c>
      <c r="V364" s="931">
        <v>0.96527777777777779</v>
      </c>
    </row>
    <row r="365" spans="1:22" s="926" customFormat="1" x14ac:dyDescent="0.25">
      <c r="A365" s="925" t="s">
        <v>6108</v>
      </c>
      <c r="B365" s="926" t="s">
        <v>614</v>
      </c>
      <c r="C365" s="928" t="s">
        <v>278</v>
      </c>
      <c r="D365" s="927">
        <v>45781</v>
      </c>
      <c r="E365" s="928"/>
      <c r="F365" s="928" t="s">
        <v>285</v>
      </c>
      <c r="H365" s="926" t="s">
        <v>279</v>
      </c>
      <c r="K365" s="932">
        <v>51920</v>
      </c>
      <c r="L365" s="932"/>
      <c r="T365" s="926" t="s">
        <v>6107</v>
      </c>
      <c r="U365" s="931">
        <v>0.29444444444444445</v>
      </c>
      <c r="V365" s="931">
        <v>0.55347222222222225</v>
      </c>
    </row>
    <row r="366" spans="1:22" s="998" customFormat="1" x14ac:dyDescent="0.25">
      <c r="A366" s="925" t="s">
        <v>6108</v>
      </c>
      <c r="B366" s="947" t="s">
        <v>614</v>
      </c>
      <c r="C366" s="948" t="s">
        <v>660</v>
      </c>
      <c r="D366" s="949">
        <v>45781</v>
      </c>
      <c r="E366" s="948"/>
      <c r="F366" s="948" t="s">
        <v>106</v>
      </c>
      <c r="G366" s="947"/>
      <c r="H366" s="947" t="s">
        <v>279</v>
      </c>
      <c r="I366" s="947"/>
      <c r="J366" s="947"/>
      <c r="K366" s="950">
        <v>31152</v>
      </c>
      <c r="L366" s="950"/>
      <c r="T366" s="998" t="s">
        <v>3765</v>
      </c>
      <c r="U366" s="999">
        <v>0.55069444444444449</v>
      </c>
      <c r="V366" s="999">
        <v>0.69166666666666676</v>
      </c>
    </row>
    <row r="367" spans="1:22" s="998" customFormat="1" x14ac:dyDescent="0.25">
      <c r="A367" s="925" t="s">
        <v>6102</v>
      </c>
      <c r="B367" s="947" t="s">
        <v>572</v>
      </c>
      <c r="C367" s="948" t="s">
        <v>278</v>
      </c>
      <c r="D367" s="949">
        <v>45782</v>
      </c>
      <c r="E367" s="948"/>
      <c r="F367" s="948" t="s">
        <v>207</v>
      </c>
      <c r="G367" s="947"/>
      <c r="H367" s="947" t="s">
        <v>279</v>
      </c>
      <c r="I367" s="947"/>
      <c r="J367" s="947"/>
      <c r="K367" s="950"/>
      <c r="L367" s="950">
        <v>8968</v>
      </c>
      <c r="T367" s="998" t="s">
        <v>4853</v>
      </c>
      <c r="U367" s="999">
        <v>0.45277777777777778</v>
      </c>
      <c r="V367" s="999">
        <v>0.67361111111111116</v>
      </c>
    </row>
    <row r="368" spans="1:22" s="998" customFormat="1" x14ac:dyDescent="0.25">
      <c r="A368" s="925" t="s">
        <v>6102</v>
      </c>
      <c r="B368" s="947" t="s">
        <v>2129</v>
      </c>
      <c r="C368" s="948" t="s">
        <v>4437</v>
      </c>
      <c r="D368" s="949">
        <v>45782</v>
      </c>
      <c r="E368" s="948"/>
      <c r="F368" s="948" t="s">
        <v>236</v>
      </c>
      <c r="G368" s="947"/>
      <c r="H368" s="947" t="s">
        <v>279</v>
      </c>
      <c r="I368" s="947"/>
      <c r="J368" s="947"/>
      <c r="K368" s="950">
        <v>62540</v>
      </c>
      <c r="L368" s="950"/>
      <c r="T368" s="998" t="s">
        <v>1506</v>
      </c>
      <c r="U368" s="1000">
        <v>16.010000000000002</v>
      </c>
      <c r="V368" s="999">
        <v>0.95000000000000007</v>
      </c>
    </row>
    <row r="369" spans="1:22" s="926" customFormat="1" hidden="1" x14ac:dyDescent="0.25">
      <c r="A369" s="925" t="s">
        <v>6125</v>
      </c>
      <c r="B369" s="947" t="s">
        <v>930</v>
      </c>
      <c r="C369" s="948" t="s">
        <v>4437</v>
      </c>
      <c r="D369" s="949">
        <v>45783</v>
      </c>
      <c r="E369" s="948"/>
      <c r="F369" s="948" t="s">
        <v>294</v>
      </c>
      <c r="G369" s="947"/>
      <c r="H369" s="947" t="s">
        <v>277</v>
      </c>
      <c r="I369" s="947"/>
      <c r="J369" s="947"/>
      <c r="K369" s="950">
        <v>24886</v>
      </c>
      <c r="L369" s="950"/>
      <c r="T369" s="926" t="s">
        <v>5393</v>
      </c>
      <c r="U369" s="931">
        <v>0.2902777777777778</v>
      </c>
      <c r="V369" s="931">
        <v>0.48333333333333334</v>
      </c>
    </row>
    <row r="370" spans="1:22" s="926" customFormat="1" x14ac:dyDescent="0.25">
      <c r="A370" s="925" t="s">
        <v>6125</v>
      </c>
      <c r="B370" s="947" t="s">
        <v>875</v>
      </c>
      <c r="C370" s="948" t="s">
        <v>278</v>
      </c>
      <c r="D370" s="949">
        <v>45783</v>
      </c>
      <c r="E370" s="948"/>
      <c r="F370" s="948" t="s">
        <v>2036</v>
      </c>
      <c r="G370" s="947"/>
      <c r="H370" s="947" t="s">
        <v>279</v>
      </c>
      <c r="I370" s="947"/>
      <c r="J370" s="947"/>
      <c r="K370" s="950">
        <v>23500</v>
      </c>
      <c r="L370" s="950"/>
      <c r="T370" s="926" t="s">
        <v>4853</v>
      </c>
      <c r="U370" s="931">
        <v>0.36944444444444446</v>
      </c>
      <c r="V370" s="931">
        <v>0.52083333333333337</v>
      </c>
    </row>
    <row r="371" spans="1:22" s="926" customFormat="1" x14ac:dyDescent="0.25">
      <c r="A371" s="925" t="s">
        <v>6125</v>
      </c>
      <c r="B371" s="947" t="s">
        <v>875</v>
      </c>
      <c r="C371" s="948" t="s">
        <v>660</v>
      </c>
      <c r="D371" s="949">
        <v>45783</v>
      </c>
      <c r="E371" s="948"/>
      <c r="F371" s="948" t="s">
        <v>2036</v>
      </c>
      <c r="G371" s="947"/>
      <c r="H371" s="947" t="s">
        <v>279</v>
      </c>
      <c r="I371" s="947"/>
      <c r="J371" s="947"/>
      <c r="K371" s="950">
        <v>23500</v>
      </c>
      <c r="L371" s="950"/>
      <c r="T371" s="926" t="s">
        <v>3765</v>
      </c>
      <c r="U371" s="931">
        <v>0.51111111111111118</v>
      </c>
      <c r="V371" s="931">
        <v>0.6645833333333333</v>
      </c>
    </row>
    <row r="372" spans="1:22" s="926" customFormat="1" x14ac:dyDescent="0.25">
      <c r="A372" s="925" t="s">
        <v>6130</v>
      </c>
      <c r="B372" s="947" t="s">
        <v>614</v>
      </c>
      <c r="C372" s="948" t="s">
        <v>660</v>
      </c>
      <c r="D372" s="949">
        <v>45784</v>
      </c>
      <c r="E372" s="948"/>
      <c r="F372" s="948" t="s">
        <v>2008</v>
      </c>
      <c r="G372" s="947"/>
      <c r="H372" s="947" t="s">
        <v>279</v>
      </c>
      <c r="I372" s="947"/>
      <c r="J372" s="947"/>
      <c r="K372" s="950">
        <v>55035.199999999997</v>
      </c>
      <c r="L372" s="950"/>
      <c r="T372" s="926" t="s">
        <v>5891</v>
      </c>
      <c r="U372" s="931">
        <v>0.3215277777777778</v>
      </c>
      <c r="V372" s="931">
        <v>0.62361111111111112</v>
      </c>
    </row>
    <row r="373" spans="1:22" s="393" customFormat="1" x14ac:dyDescent="0.25">
      <c r="A373" s="581" t="s">
        <v>6130</v>
      </c>
      <c r="B373" s="1127" t="s">
        <v>4662</v>
      </c>
      <c r="C373" s="1128" t="s">
        <v>4437</v>
      </c>
      <c r="D373" s="1129">
        <v>45784</v>
      </c>
      <c r="E373" s="1128"/>
      <c r="F373" s="1128" t="s">
        <v>2008</v>
      </c>
      <c r="G373" s="1127"/>
      <c r="H373" s="1127" t="s">
        <v>279</v>
      </c>
      <c r="I373" s="1127"/>
      <c r="J373" s="1127"/>
      <c r="K373" s="1130">
        <v>47250</v>
      </c>
      <c r="L373" s="1130"/>
      <c r="T373" s="393" t="s">
        <v>5004</v>
      </c>
      <c r="U373" s="584">
        <v>0.40763888888888888</v>
      </c>
      <c r="V373" s="584">
        <v>0.67361111111111116</v>
      </c>
    </row>
    <row r="374" spans="1:22" s="998" customFormat="1" x14ac:dyDescent="0.25">
      <c r="A374" s="925" t="s">
        <v>6130</v>
      </c>
      <c r="B374" s="947" t="s">
        <v>608</v>
      </c>
      <c r="C374" s="948" t="s">
        <v>660</v>
      </c>
      <c r="D374" s="949">
        <v>45784</v>
      </c>
      <c r="E374" s="948"/>
      <c r="F374" s="948" t="s">
        <v>236</v>
      </c>
      <c r="G374" s="947"/>
      <c r="H374" s="947" t="s">
        <v>279</v>
      </c>
      <c r="I374" s="947"/>
      <c r="J374" s="947"/>
      <c r="K374" s="950">
        <v>58231</v>
      </c>
      <c r="L374" s="950"/>
      <c r="T374" s="998" t="s">
        <v>3765</v>
      </c>
      <c r="U374" s="999">
        <v>0.74722222222222223</v>
      </c>
      <c r="V374" s="1000">
        <v>0.21</v>
      </c>
    </row>
    <row r="375" spans="1:22" s="926" customFormat="1" x14ac:dyDescent="0.25">
      <c r="A375" s="925" t="s">
        <v>6144</v>
      </c>
      <c r="B375" s="926" t="s">
        <v>3880</v>
      </c>
      <c r="C375" s="928" t="s">
        <v>4437</v>
      </c>
      <c r="D375" s="927">
        <v>45785</v>
      </c>
      <c r="E375" s="928"/>
      <c r="F375" s="928" t="s">
        <v>545</v>
      </c>
      <c r="H375" s="926" t="s">
        <v>279</v>
      </c>
      <c r="K375" s="932">
        <v>32284.400000000001</v>
      </c>
      <c r="L375" s="932"/>
      <c r="T375" s="926" t="s">
        <v>4911</v>
      </c>
      <c r="U375" s="931">
        <v>0.71597222222222223</v>
      </c>
      <c r="V375" s="931">
        <v>0.89513888888888893</v>
      </c>
    </row>
    <row r="376" spans="1:22" s="926" customFormat="1" x14ac:dyDescent="0.25">
      <c r="A376" s="925" t="s">
        <v>6144</v>
      </c>
      <c r="B376" s="926" t="s">
        <v>614</v>
      </c>
      <c r="C376" s="928" t="s">
        <v>278</v>
      </c>
      <c r="D376" s="927">
        <v>45785</v>
      </c>
      <c r="E376" s="928"/>
      <c r="F376" s="928" t="s">
        <v>68</v>
      </c>
      <c r="H376" s="926" t="s">
        <v>279</v>
      </c>
      <c r="K376" s="932">
        <v>49843.199999999997</v>
      </c>
      <c r="L376" s="932"/>
      <c r="T376" s="926" t="s">
        <v>6145</v>
      </c>
      <c r="U376" s="931">
        <v>0.73333333333333339</v>
      </c>
      <c r="V376" s="931">
        <v>0.98125000000000007</v>
      </c>
    </row>
    <row r="377" spans="1:22" s="926" customFormat="1" x14ac:dyDescent="0.25">
      <c r="A377" s="925" t="s">
        <v>6146</v>
      </c>
      <c r="B377" s="926" t="s">
        <v>875</v>
      </c>
      <c r="C377" s="928" t="s">
        <v>660</v>
      </c>
      <c r="D377" s="927">
        <v>45786</v>
      </c>
      <c r="E377" s="928"/>
      <c r="F377" s="928" t="s">
        <v>2036</v>
      </c>
      <c r="H377" s="926" t="s">
        <v>279</v>
      </c>
      <c r="I377" s="33"/>
      <c r="J377" s="33"/>
      <c r="K377" s="932">
        <v>23500</v>
      </c>
      <c r="L377" s="932"/>
      <c r="N377" s="33"/>
      <c r="O377" s="33"/>
      <c r="T377" s="926" t="s">
        <v>6147</v>
      </c>
      <c r="U377" s="931">
        <v>0.4368055555555555</v>
      </c>
      <c r="V377" s="931">
        <v>0.59722222222222221</v>
      </c>
    </row>
    <row r="378" spans="1:22" s="926" customFormat="1" x14ac:dyDescent="0.25">
      <c r="A378" s="925" t="s">
        <v>6146</v>
      </c>
      <c r="B378" s="926" t="s">
        <v>614</v>
      </c>
      <c r="C378" s="928" t="s">
        <v>278</v>
      </c>
      <c r="D378" s="927">
        <v>45786</v>
      </c>
      <c r="E378" s="928"/>
      <c r="F378" s="928" t="s">
        <v>68</v>
      </c>
      <c r="H378" s="926" t="s">
        <v>279</v>
      </c>
      <c r="K378" s="932">
        <v>49843.199999999997</v>
      </c>
      <c r="L378" s="932"/>
      <c r="T378" s="926" t="s">
        <v>6147</v>
      </c>
      <c r="U378" s="931">
        <v>0.6381944444444444</v>
      </c>
      <c r="V378" s="931">
        <v>0.87708333333333333</v>
      </c>
    </row>
    <row r="379" spans="1:22" s="33" customFormat="1" ht="15" customHeight="1" x14ac:dyDescent="0.25">
      <c r="A379" s="547" t="s">
        <v>6156</v>
      </c>
      <c r="B379" s="33" t="s">
        <v>6159</v>
      </c>
      <c r="C379" s="306" t="s">
        <v>4437</v>
      </c>
      <c r="D379" s="548">
        <v>45787</v>
      </c>
      <c r="E379" s="306"/>
      <c r="F379" s="306" t="s">
        <v>2253</v>
      </c>
      <c r="H379" s="33" t="s">
        <v>279</v>
      </c>
      <c r="K379" s="933">
        <v>58824</v>
      </c>
      <c r="L379" s="933"/>
      <c r="T379" s="33" t="s">
        <v>4297</v>
      </c>
      <c r="U379" s="550">
        <v>0.25277777777777777</v>
      </c>
      <c r="V379" s="550" t="s">
        <v>6154</v>
      </c>
    </row>
    <row r="380" spans="1:22" s="926" customFormat="1" x14ac:dyDescent="0.25">
      <c r="A380" s="925" t="s">
        <v>6156</v>
      </c>
      <c r="B380" s="926" t="s">
        <v>614</v>
      </c>
      <c r="C380" s="928" t="s">
        <v>278</v>
      </c>
      <c r="D380" s="927">
        <v>45787</v>
      </c>
      <c r="E380" s="928"/>
      <c r="F380" s="928" t="s">
        <v>2595</v>
      </c>
      <c r="H380" s="926" t="s">
        <v>279</v>
      </c>
      <c r="K380" s="932">
        <v>44651.199999999997</v>
      </c>
      <c r="L380" s="932"/>
      <c r="T380" s="926" t="s">
        <v>6151</v>
      </c>
      <c r="U380" s="931">
        <v>0.43541666666666662</v>
      </c>
      <c r="V380" s="931"/>
    </row>
    <row r="381" spans="1:22" s="926" customFormat="1" x14ac:dyDescent="0.25">
      <c r="A381" s="925" t="s">
        <v>6156</v>
      </c>
      <c r="B381" s="926" t="s">
        <v>930</v>
      </c>
      <c r="C381" s="928" t="s">
        <v>278</v>
      </c>
      <c r="D381" s="927">
        <v>45787</v>
      </c>
      <c r="E381" s="928"/>
      <c r="F381" s="928" t="s">
        <v>294</v>
      </c>
      <c r="H381" s="926" t="s">
        <v>279</v>
      </c>
      <c r="K381" s="932">
        <v>33182</v>
      </c>
      <c r="L381" s="932"/>
      <c r="T381" s="926" t="s">
        <v>6151</v>
      </c>
      <c r="U381" s="931"/>
      <c r="V381" s="931">
        <v>0.7631944444444444</v>
      </c>
    </row>
    <row r="382" spans="1:22" s="926" customFormat="1" x14ac:dyDescent="0.25">
      <c r="A382" s="925" t="s">
        <v>6156</v>
      </c>
      <c r="B382" s="926" t="s">
        <v>2527</v>
      </c>
      <c r="C382" s="928" t="s">
        <v>6152</v>
      </c>
      <c r="D382" s="927">
        <v>45787</v>
      </c>
      <c r="E382" s="928"/>
      <c r="F382" s="928" t="s">
        <v>285</v>
      </c>
      <c r="H382" s="926" t="s">
        <v>279</v>
      </c>
      <c r="K382" s="932">
        <v>45428.75</v>
      </c>
      <c r="L382" s="932"/>
      <c r="T382" s="926" t="s">
        <v>6150</v>
      </c>
      <c r="U382" s="931">
        <v>0.2638888888888889</v>
      </c>
      <c r="V382" s="931">
        <v>0.56874999999999998</v>
      </c>
    </row>
    <row r="383" spans="1:22" s="926" customFormat="1" x14ac:dyDescent="0.25">
      <c r="A383" s="925" t="s">
        <v>6156</v>
      </c>
      <c r="B383" s="926" t="s">
        <v>608</v>
      </c>
      <c r="C383" s="928" t="s">
        <v>6152</v>
      </c>
      <c r="D383" s="927">
        <v>45787</v>
      </c>
      <c r="E383" s="928"/>
      <c r="F383" s="928" t="s">
        <v>236</v>
      </c>
      <c r="H383" s="926" t="s">
        <v>279</v>
      </c>
      <c r="K383" s="932">
        <v>58231</v>
      </c>
      <c r="L383" s="932"/>
      <c r="T383" s="926" t="s">
        <v>5004</v>
      </c>
      <c r="U383" s="931">
        <v>0.65</v>
      </c>
      <c r="V383" s="944">
        <v>21.55</v>
      </c>
    </row>
    <row r="384" spans="1:22" s="926" customFormat="1" hidden="1" x14ac:dyDescent="0.25">
      <c r="A384" s="925" t="s">
        <v>6156</v>
      </c>
      <c r="B384" s="926" t="s">
        <v>1720</v>
      </c>
      <c r="C384" s="928" t="s">
        <v>3294</v>
      </c>
      <c r="D384" s="927">
        <v>45787</v>
      </c>
      <c r="E384" s="928"/>
      <c r="F384" s="928" t="s">
        <v>545</v>
      </c>
      <c r="H384" s="926" t="s">
        <v>277</v>
      </c>
      <c r="K384" s="932">
        <v>22750</v>
      </c>
      <c r="L384" s="932"/>
      <c r="T384" s="926" t="s">
        <v>6153</v>
      </c>
      <c r="U384" s="931">
        <v>0.67708333333333337</v>
      </c>
      <c r="V384" s="931">
        <v>0.73611111111111116</v>
      </c>
    </row>
    <row r="385" spans="1:22" s="926" customFormat="1" hidden="1" x14ac:dyDescent="0.25">
      <c r="A385" s="925" t="s">
        <v>6157</v>
      </c>
      <c r="B385" s="926" t="s">
        <v>1720</v>
      </c>
      <c r="C385" s="928" t="s">
        <v>3294</v>
      </c>
      <c r="D385" s="927">
        <v>45788</v>
      </c>
      <c r="E385" s="928"/>
      <c r="F385" s="928" t="s">
        <v>545</v>
      </c>
      <c r="H385" s="926" t="s">
        <v>277</v>
      </c>
      <c r="K385" s="932">
        <v>22750</v>
      </c>
      <c r="L385" s="932"/>
      <c r="T385" s="926" t="s">
        <v>6155</v>
      </c>
      <c r="U385" s="931">
        <v>0.64166666666666672</v>
      </c>
      <c r="V385" s="931">
        <v>0.6972222222222223</v>
      </c>
    </row>
    <row r="386" spans="1:22" s="926" customFormat="1" x14ac:dyDescent="0.25">
      <c r="A386" s="925" t="s">
        <v>6158</v>
      </c>
      <c r="B386" s="926" t="s">
        <v>614</v>
      </c>
      <c r="C386" s="928" t="s">
        <v>6152</v>
      </c>
      <c r="D386" s="927">
        <v>45789</v>
      </c>
      <c r="E386" s="928"/>
      <c r="F386" s="928" t="s">
        <v>106</v>
      </c>
      <c r="H386" s="926" t="s">
        <v>279</v>
      </c>
      <c r="K386" s="932">
        <v>31152</v>
      </c>
      <c r="L386" s="932"/>
      <c r="T386" s="926" t="s">
        <v>4911</v>
      </c>
      <c r="U386" s="931">
        <v>0.28263888888888888</v>
      </c>
      <c r="V386" s="931">
        <v>0.42569444444444443</v>
      </c>
    </row>
    <row r="387" spans="1:22" s="33" customFormat="1" x14ac:dyDescent="0.25">
      <c r="A387" s="547" t="s">
        <v>6158</v>
      </c>
      <c r="B387" s="33" t="s">
        <v>2227</v>
      </c>
      <c r="C387" s="306" t="s">
        <v>6152</v>
      </c>
      <c r="D387" s="548">
        <v>45789</v>
      </c>
      <c r="E387" s="306"/>
      <c r="F387" s="306" t="s">
        <v>106</v>
      </c>
      <c r="H387" s="33" t="s">
        <v>279</v>
      </c>
      <c r="K387" s="933">
        <v>28000</v>
      </c>
      <c r="L387" s="933"/>
      <c r="T387" s="33" t="s">
        <v>4911</v>
      </c>
      <c r="U387" s="550">
        <v>0.42569444444444443</v>
      </c>
      <c r="V387" s="550">
        <v>0.64930555555555558</v>
      </c>
    </row>
    <row r="388" spans="1:22" s="926" customFormat="1" hidden="1" x14ac:dyDescent="0.25">
      <c r="A388" s="925" t="s">
        <v>6158</v>
      </c>
      <c r="B388" s="926" t="s">
        <v>1720</v>
      </c>
      <c r="C388" s="928" t="s">
        <v>3294</v>
      </c>
      <c r="D388" s="927">
        <v>45789</v>
      </c>
      <c r="E388" s="928"/>
      <c r="F388" s="928" t="s">
        <v>545</v>
      </c>
      <c r="H388" s="926" t="s">
        <v>277</v>
      </c>
      <c r="K388" s="932">
        <v>25016</v>
      </c>
      <c r="L388" s="932"/>
      <c r="T388" s="926" t="s">
        <v>6155</v>
      </c>
      <c r="U388" s="931">
        <v>0.6694444444444444</v>
      </c>
      <c r="V388" s="944">
        <v>17.260000000000002</v>
      </c>
    </row>
    <row r="389" spans="1:22" s="926" customFormat="1" ht="16.5" customHeight="1" x14ac:dyDescent="0.25">
      <c r="A389" s="925" t="s">
        <v>6170</v>
      </c>
      <c r="B389" s="926" t="s">
        <v>608</v>
      </c>
      <c r="C389" s="928" t="s">
        <v>4437</v>
      </c>
      <c r="D389" s="927">
        <v>45790</v>
      </c>
      <c r="E389" s="928"/>
      <c r="F389" s="928" t="s">
        <v>236</v>
      </c>
      <c r="H389" s="926" t="s">
        <v>279</v>
      </c>
      <c r="K389" s="932">
        <v>58231</v>
      </c>
      <c r="L389" s="932"/>
      <c r="T389" s="926" t="s">
        <v>5004</v>
      </c>
      <c r="U389" s="931">
        <v>0.26597222222222222</v>
      </c>
      <c r="V389" s="944">
        <v>13.39</v>
      </c>
    </row>
    <row r="390" spans="1:22" s="926" customFormat="1" x14ac:dyDescent="0.25">
      <c r="A390" s="925" t="s">
        <v>6170</v>
      </c>
      <c r="B390" s="926" t="s">
        <v>2129</v>
      </c>
      <c r="C390" s="928" t="s">
        <v>6152</v>
      </c>
      <c r="D390" s="927">
        <v>45790</v>
      </c>
      <c r="E390" s="928"/>
      <c r="F390" s="928" t="s">
        <v>236</v>
      </c>
      <c r="H390" s="926" t="s">
        <v>279</v>
      </c>
      <c r="K390" s="932">
        <v>62540</v>
      </c>
      <c r="L390" s="932"/>
      <c r="T390" s="926" t="s">
        <v>4297</v>
      </c>
      <c r="U390" s="931">
        <v>0.28819444444444448</v>
      </c>
      <c r="V390" s="931">
        <v>0.62222222222222223</v>
      </c>
    </row>
    <row r="391" spans="1:22" s="926" customFormat="1" x14ac:dyDescent="0.25">
      <c r="A391" s="925" t="s">
        <v>6170</v>
      </c>
      <c r="B391" s="926" t="s">
        <v>608</v>
      </c>
      <c r="C391" s="928" t="s">
        <v>4437</v>
      </c>
      <c r="D391" s="927">
        <v>45790</v>
      </c>
      <c r="E391" s="928"/>
      <c r="F391" s="928" t="s">
        <v>236</v>
      </c>
      <c r="H391" s="926" t="s">
        <v>279</v>
      </c>
      <c r="K391" s="932">
        <v>58231</v>
      </c>
      <c r="L391" s="930"/>
      <c r="T391" s="926" t="s">
        <v>6171</v>
      </c>
      <c r="U391" s="931">
        <v>0.65763888888888888</v>
      </c>
      <c r="V391" s="931">
        <v>0.93819444444444444</v>
      </c>
    </row>
    <row r="392" spans="1:22" s="926" customFormat="1" x14ac:dyDescent="0.25">
      <c r="A392" s="925" t="s">
        <v>6170</v>
      </c>
      <c r="B392" s="926" t="s">
        <v>608</v>
      </c>
      <c r="C392" s="928" t="s">
        <v>660</v>
      </c>
      <c r="D392" s="927">
        <v>45790</v>
      </c>
      <c r="E392" s="928"/>
      <c r="F392" s="928" t="s">
        <v>236</v>
      </c>
      <c r="H392" s="926" t="s">
        <v>279</v>
      </c>
      <c r="K392" s="932">
        <v>58231</v>
      </c>
      <c r="L392" s="930"/>
      <c r="T392" s="926" t="s">
        <v>4911</v>
      </c>
      <c r="U392" s="931">
        <v>0.74722222222222223</v>
      </c>
      <c r="V392" s="931">
        <v>3.4027777777777775E-2</v>
      </c>
    </row>
    <row r="393" spans="1:22" s="33" customFormat="1" x14ac:dyDescent="0.25">
      <c r="A393" s="547" t="s">
        <v>6213</v>
      </c>
      <c r="B393" s="33" t="s">
        <v>614</v>
      </c>
      <c r="C393" s="306" t="s">
        <v>660</v>
      </c>
      <c r="D393" s="548">
        <v>45791</v>
      </c>
      <c r="E393" s="306"/>
      <c r="F393" s="306" t="s">
        <v>207</v>
      </c>
      <c r="H393" s="33" t="s">
        <v>279</v>
      </c>
      <c r="K393" s="933">
        <v>41536</v>
      </c>
      <c r="L393" s="279"/>
      <c r="T393" s="33" t="s">
        <v>5131</v>
      </c>
      <c r="U393" s="550">
        <v>0.52916666666666667</v>
      </c>
      <c r="V393" s="550">
        <v>0.71875</v>
      </c>
    </row>
    <row r="394" spans="1:22" s="33" customFormat="1" x14ac:dyDescent="0.25">
      <c r="A394" s="547" t="s">
        <v>6213</v>
      </c>
      <c r="B394" s="33" t="s">
        <v>3276</v>
      </c>
      <c r="C394" s="306" t="s">
        <v>4437</v>
      </c>
      <c r="D394" s="548">
        <v>45791</v>
      </c>
      <c r="E394" s="306"/>
      <c r="F394" s="306" t="s">
        <v>872</v>
      </c>
      <c r="H394" s="33" t="s">
        <v>279</v>
      </c>
      <c r="K394" s="933">
        <v>39800</v>
      </c>
      <c r="L394" s="279"/>
      <c r="T394" s="33" t="s">
        <v>4138</v>
      </c>
      <c r="U394" s="550">
        <v>0.51527777777777772</v>
      </c>
      <c r="V394" s="550">
        <v>0.73611111111111116</v>
      </c>
    </row>
    <row r="395" spans="1:22" s="926" customFormat="1" x14ac:dyDescent="0.25">
      <c r="A395" s="925" t="s">
        <v>6213</v>
      </c>
      <c r="B395" s="926" t="s">
        <v>608</v>
      </c>
      <c r="C395" s="928" t="s">
        <v>660</v>
      </c>
      <c r="D395" s="927">
        <v>45791</v>
      </c>
      <c r="E395" s="928"/>
      <c r="F395" s="928" t="s">
        <v>236</v>
      </c>
      <c r="H395" s="926" t="s">
        <v>279</v>
      </c>
      <c r="K395" s="932">
        <v>58231</v>
      </c>
      <c r="L395" s="930"/>
      <c r="T395" s="926" t="s">
        <v>6214</v>
      </c>
      <c r="U395" s="931">
        <v>0.79583333333333328</v>
      </c>
      <c r="V395" s="931">
        <v>0.57222222222222219</v>
      </c>
    </row>
    <row r="396" spans="1:22" s="926" customFormat="1" x14ac:dyDescent="0.25">
      <c r="A396" s="925" t="s">
        <v>6215</v>
      </c>
      <c r="B396" s="926" t="s">
        <v>875</v>
      </c>
      <c r="C396" s="928" t="s">
        <v>4437</v>
      </c>
      <c r="D396" s="927">
        <v>45792</v>
      </c>
      <c r="E396" s="928"/>
      <c r="F396" s="928" t="s">
        <v>2036</v>
      </c>
      <c r="H396" s="926" t="s">
        <v>279</v>
      </c>
      <c r="K396" s="932">
        <v>23500</v>
      </c>
      <c r="L396" s="930"/>
      <c r="T396" s="926" t="s">
        <v>5004</v>
      </c>
      <c r="U396" s="931">
        <v>0.37152777777777773</v>
      </c>
      <c r="V396" s="931">
        <v>0.5444444444444444</v>
      </c>
    </row>
    <row r="397" spans="1:22" s="926" customFormat="1" x14ac:dyDescent="0.25">
      <c r="A397" s="925" t="s">
        <v>6215</v>
      </c>
      <c r="B397" s="926" t="s">
        <v>3880</v>
      </c>
      <c r="C397" s="928" t="s">
        <v>660</v>
      </c>
      <c r="D397" s="927">
        <v>45792</v>
      </c>
      <c r="E397" s="928"/>
      <c r="F397" s="928" t="s">
        <v>545</v>
      </c>
      <c r="H397" s="926" t="s">
        <v>279</v>
      </c>
      <c r="K397" s="932">
        <v>32284.400000000001</v>
      </c>
      <c r="L397" s="930"/>
      <c r="T397" s="926" t="s">
        <v>5004</v>
      </c>
      <c r="U397" s="931">
        <v>0.58750000000000002</v>
      </c>
      <c r="V397" s="931">
        <v>0.7597222222222223</v>
      </c>
    </row>
    <row r="398" spans="1:22" s="926" customFormat="1" hidden="1" x14ac:dyDescent="0.25">
      <c r="A398" s="925" t="s">
        <v>6215</v>
      </c>
      <c r="B398" s="926" t="s">
        <v>1720</v>
      </c>
      <c r="C398" s="928" t="s">
        <v>660</v>
      </c>
      <c r="D398" s="927">
        <v>45792</v>
      </c>
      <c r="E398" s="928"/>
      <c r="F398" s="928" t="s">
        <v>545</v>
      </c>
      <c r="H398" s="926" t="s">
        <v>277</v>
      </c>
      <c r="K398" s="932">
        <v>25016</v>
      </c>
      <c r="L398" s="930"/>
      <c r="T398" s="926" t="s">
        <v>4297</v>
      </c>
      <c r="U398" s="931">
        <v>0.39861111111111108</v>
      </c>
      <c r="V398" s="931">
        <v>9.0277777777777787E-3</v>
      </c>
    </row>
    <row r="399" spans="1:22" s="926" customFormat="1" x14ac:dyDescent="0.25">
      <c r="A399" s="925" t="s">
        <v>6229</v>
      </c>
      <c r="B399" s="926" t="s">
        <v>608</v>
      </c>
      <c r="C399" s="928" t="s">
        <v>660</v>
      </c>
      <c r="D399" s="927">
        <v>45793</v>
      </c>
      <c r="E399" s="928"/>
      <c r="F399" s="928" t="s">
        <v>236</v>
      </c>
      <c r="H399" s="926" t="s">
        <v>279</v>
      </c>
      <c r="K399" s="932">
        <v>58231</v>
      </c>
      <c r="L399" s="930"/>
      <c r="T399" s="926" t="s">
        <v>4911</v>
      </c>
      <c r="U399" s="931">
        <v>0.3263888888888889</v>
      </c>
      <c r="V399" s="931">
        <v>0.61736111111111114</v>
      </c>
    </row>
    <row r="400" spans="1:22" s="33" customFormat="1" x14ac:dyDescent="0.25">
      <c r="A400" s="547" t="s">
        <v>6229</v>
      </c>
      <c r="B400" s="33" t="s">
        <v>6228</v>
      </c>
      <c r="C400" s="306" t="s">
        <v>278</v>
      </c>
      <c r="D400" s="548">
        <v>45793</v>
      </c>
      <c r="E400" s="306"/>
      <c r="F400" s="306" t="s">
        <v>106</v>
      </c>
      <c r="H400" s="33" t="s">
        <v>279</v>
      </c>
      <c r="K400" s="933">
        <v>28000</v>
      </c>
      <c r="L400" s="279"/>
      <c r="T400" s="33" t="s">
        <v>5026</v>
      </c>
      <c r="U400" s="550">
        <v>0.39374999999999999</v>
      </c>
      <c r="V400" s="550">
        <v>0.54236111111111118</v>
      </c>
    </row>
    <row r="401" spans="1:22" s="926" customFormat="1" x14ac:dyDescent="0.25">
      <c r="A401" s="925" t="s">
        <v>6229</v>
      </c>
      <c r="B401" s="926" t="s">
        <v>875</v>
      </c>
      <c r="C401" s="928" t="s">
        <v>278</v>
      </c>
      <c r="D401" s="927">
        <v>45793</v>
      </c>
      <c r="E401" s="928"/>
      <c r="F401" s="928" t="s">
        <v>2036</v>
      </c>
      <c r="H401" s="926" t="s">
        <v>279</v>
      </c>
      <c r="I401" s="926">
        <v>23500</v>
      </c>
      <c r="J401" s="926">
        <f>+I401-ROUND(I401*0.12,0)</f>
        <v>20680</v>
      </c>
      <c r="K401" s="932">
        <v>23500</v>
      </c>
      <c r="L401" s="930"/>
      <c r="T401" s="926" t="s">
        <v>5026</v>
      </c>
      <c r="U401" s="931">
        <v>0.58750000000000002</v>
      </c>
      <c r="V401" s="931">
        <v>0.71250000000000002</v>
      </c>
    </row>
    <row r="402" spans="1:22" s="926" customFormat="1" x14ac:dyDescent="0.25">
      <c r="A402" s="925" t="s">
        <v>6229</v>
      </c>
      <c r="B402" s="926" t="s">
        <v>3236</v>
      </c>
      <c r="C402" s="928" t="s">
        <v>4437</v>
      </c>
      <c r="D402" s="927">
        <v>45793</v>
      </c>
      <c r="E402" s="928"/>
      <c r="F402" s="928" t="s">
        <v>68</v>
      </c>
      <c r="H402" s="926" t="s">
        <v>279</v>
      </c>
      <c r="K402" s="932">
        <f>9123.2+34526.8</f>
        <v>43650</v>
      </c>
      <c r="L402" s="930"/>
      <c r="T402" s="926" t="s">
        <v>6145</v>
      </c>
      <c r="U402" s="931">
        <v>0.7055555555555556</v>
      </c>
      <c r="V402" s="931">
        <v>0.97361111111111109</v>
      </c>
    </row>
    <row r="403" spans="1:22" s="926" customFormat="1" x14ac:dyDescent="0.25">
      <c r="A403" s="925" t="s">
        <v>6229</v>
      </c>
      <c r="B403" s="926" t="s">
        <v>1720</v>
      </c>
      <c r="C403" s="928" t="s">
        <v>660</v>
      </c>
      <c r="D403" s="927">
        <v>45793</v>
      </c>
      <c r="E403" s="928"/>
      <c r="F403" s="928" t="s">
        <v>545</v>
      </c>
      <c r="H403" s="926" t="s">
        <v>279</v>
      </c>
      <c r="K403" s="932">
        <v>34456</v>
      </c>
      <c r="L403" s="930"/>
      <c r="T403" s="926" t="s">
        <v>4138</v>
      </c>
      <c r="U403" s="931">
        <v>0.82847222222222217</v>
      </c>
      <c r="V403" s="931">
        <v>23.43</v>
      </c>
    </row>
    <row r="404" spans="1:22" s="33" customFormat="1" x14ac:dyDescent="0.25">
      <c r="A404" s="547" t="s">
        <v>6236</v>
      </c>
      <c r="B404" s="33" t="s">
        <v>6240</v>
      </c>
      <c r="C404" s="306" t="s">
        <v>4437</v>
      </c>
      <c r="D404" s="548">
        <v>45794</v>
      </c>
      <c r="E404" s="306"/>
      <c r="F404" s="306" t="s">
        <v>798</v>
      </c>
      <c r="H404" s="33" t="s">
        <v>279</v>
      </c>
      <c r="I404" s="33">
        <v>26950</v>
      </c>
      <c r="J404" s="33">
        <f>+I404*0.88</f>
        <v>23716</v>
      </c>
      <c r="K404" s="933">
        <v>26950</v>
      </c>
      <c r="L404" s="279"/>
      <c r="T404" s="33" t="s">
        <v>5131</v>
      </c>
      <c r="U404" s="550">
        <v>0.3666666666666667</v>
      </c>
      <c r="V404" s="550">
        <v>0.50486111111111109</v>
      </c>
    </row>
    <row r="405" spans="1:22" s="926" customFormat="1" x14ac:dyDescent="0.25">
      <c r="A405" s="925" t="s">
        <v>6236</v>
      </c>
      <c r="B405" s="926" t="s">
        <v>875</v>
      </c>
      <c r="C405" s="928" t="s">
        <v>660</v>
      </c>
      <c r="D405" s="927">
        <v>45794</v>
      </c>
      <c r="E405" s="928"/>
      <c r="F405" s="928" t="s">
        <v>2036</v>
      </c>
      <c r="H405" s="926" t="s">
        <v>279</v>
      </c>
      <c r="K405" s="932">
        <v>23500</v>
      </c>
      <c r="L405" s="930"/>
      <c r="T405" s="926" t="s">
        <v>4911</v>
      </c>
      <c r="U405" s="931">
        <v>0.4826388888888889</v>
      </c>
      <c r="V405" s="931">
        <v>0.60833333333333328</v>
      </c>
    </row>
    <row r="406" spans="1:22" s="926" customFormat="1" x14ac:dyDescent="0.25">
      <c r="A406" s="925" t="s">
        <v>6236</v>
      </c>
      <c r="B406" s="926" t="s">
        <v>2469</v>
      </c>
      <c r="C406" s="928" t="s">
        <v>4437</v>
      </c>
      <c r="D406" s="927">
        <v>45794</v>
      </c>
      <c r="E406" s="928"/>
      <c r="F406" s="928" t="s">
        <v>294</v>
      </c>
      <c r="H406" s="926" t="s">
        <v>279</v>
      </c>
      <c r="K406" s="932">
        <v>36350</v>
      </c>
      <c r="L406" s="930"/>
      <c r="T406" s="926" t="s">
        <v>5131</v>
      </c>
      <c r="U406" s="931">
        <v>13.57</v>
      </c>
      <c r="V406" s="931">
        <v>0.79999999999999993</v>
      </c>
    </row>
    <row r="407" spans="1:22" s="926" customFormat="1" x14ac:dyDescent="0.25">
      <c r="A407" s="925" t="s">
        <v>6237</v>
      </c>
      <c r="B407" s="926" t="s">
        <v>1720</v>
      </c>
      <c r="C407" s="928" t="s">
        <v>660</v>
      </c>
      <c r="D407" s="927">
        <v>45795</v>
      </c>
      <c r="E407" s="928"/>
      <c r="F407" s="928" t="s">
        <v>545</v>
      </c>
      <c r="H407" s="926" t="s">
        <v>279</v>
      </c>
      <c r="K407" s="932">
        <v>34456</v>
      </c>
      <c r="L407" s="930"/>
      <c r="T407" s="926" t="s">
        <v>5026</v>
      </c>
      <c r="U407" s="931">
        <v>0.30694444444444441</v>
      </c>
      <c r="V407" s="931">
        <v>0.47291666666666665</v>
      </c>
    </row>
    <row r="408" spans="1:22" s="926" customFormat="1" hidden="1" x14ac:dyDescent="0.25">
      <c r="A408" s="925" t="s">
        <v>6237</v>
      </c>
      <c r="B408" s="926" t="s">
        <v>1720</v>
      </c>
      <c r="C408" s="928" t="s">
        <v>4437</v>
      </c>
      <c r="D408" s="927">
        <v>45795</v>
      </c>
      <c r="E408" s="928"/>
      <c r="F408" s="928" t="s">
        <v>545</v>
      </c>
      <c r="H408" s="926" t="s">
        <v>277</v>
      </c>
      <c r="K408" s="932">
        <v>25016</v>
      </c>
      <c r="L408" s="930"/>
      <c r="T408" s="926" t="s">
        <v>5026</v>
      </c>
      <c r="U408" s="931">
        <v>0.5229166666666667</v>
      </c>
      <c r="V408" s="931">
        <v>0.65625</v>
      </c>
    </row>
    <row r="409" spans="1:22" s="33" customFormat="1" x14ac:dyDescent="0.25">
      <c r="A409" s="547" t="s">
        <v>6237</v>
      </c>
      <c r="B409" s="33" t="s">
        <v>3083</v>
      </c>
      <c r="C409" s="306" t="s">
        <v>278</v>
      </c>
      <c r="D409" s="548">
        <v>45795</v>
      </c>
      <c r="E409" s="306"/>
      <c r="F409" s="306" t="s">
        <v>2253</v>
      </c>
      <c r="H409" s="33" t="s">
        <v>279</v>
      </c>
      <c r="K409" s="933">
        <v>58824</v>
      </c>
      <c r="L409" s="279"/>
      <c r="T409" s="33" t="s">
        <v>4911</v>
      </c>
      <c r="U409" s="550" t="s">
        <v>6238</v>
      </c>
      <c r="V409" s="550">
        <v>0.92013888888888884</v>
      </c>
    </row>
    <row r="410" spans="1:22" s="926" customFormat="1" x14ac:dyDescent="0.25">
      <c r="A410" s="925" t="s">
        <v>6239</v>
      </c>
      <c r="B410" s="926" t="s">
        <v>572</v>
      </c>
      <c r="C410" s="928" t="s">
        <v>4437</v>
      </c>
      <c r="D410" s="927">
        <v>45796</v>
      </c>
      <c r="E410" s="928"/>
      <c r="F410" s="928" t="s">
        <v>317</v>
      </c>
      <c r="H410" s="926" t="s">
        <v>279</v>
      </c>
      <c r="K410" s="929"/>
      <c r="L410" s="932">
        <v>11658.4</v>
      </c>
      <c r="T410" s="926" t="s">
        <v>4297</v>
      </c>
      <c r="U410" s="931">
        <v>0.31041666666666667</v>
      </c>
      <c r="V410" s="931">
        <v>0.51180555555555551</v>
      </c>
    </row>
    <row r="411" spans="1:22" s="33" customFormat="1" x14ac:dyDescent="0.25">
      <c r="A411" s="547" t="s">
        <v>6239</v>
      </c>
      <c r="B411" s="33" t="s">
        <v>614</v>
      </c>
      <c r="C411" s="306" t="s">
        <v>278</v>
      </c>
      <c r="D411" s="548">
        <v>45796</v>
      </c>
      <c r="E411" s="306"/>
      <c r="F411" s="306" t="s">
        <v>68</v>
      </c>
      <c r="H411" s="33" t="s">
        <v>279</v>
      </c>
      <c r="K411" s="933">
        <v>49843.199999999997</v>
      </c>
      <c r="L411" s="279"/>
      <c r="T411" s="33" t="s">
        <v>5026</v>
      </c>
      <c r="U411" s="550">
        <v>0.76527777777777783</v>
      </c>
      <c r="V411" s="550">
        <v>1.2499999999999999E-2</v>
      </c>
    </row>
    <row r="412" spans="1:22" s="926" customFormat="1" hidden="1" x14ac:dyDescent="0.25">
      <c r="A412" s="925">
        <v>20052025</v>
      </c>
      <c r="B412" s="926" t="s">
        <v>608</v>
      </c>
      <c r="C412" s="928" t="s">
        <v>4437</v>
      </c>
      <c r="D412" s="927">
        <v>45797</v>
      </c>
      <c r="E412" s="928"/>
      <c r="F412" s="928" t="s">
        <v>236</v>
      </c>
      <c r="H412" s="926" t="s">
        <v>5224</v>
      </c>
      <c r="K412" s="932">
        <v>49173</v>
      </c>
      <c r="L412" s="930"/>
      <c r="T412" s="926" t="s">
        <v>5078</v>
      </c>
      <c r="U412" s="931">
        <v>0.26111111111111113</v>
      </c>
      <c r="V412" s="931">
        <v>0.54583333333333328</v>
      </c>
    </row>
    <row r="413" spans="1:22" s="926" customFormat="1" x14ac:dyDescent="0.25">
      <c r="A413" s="925">
        <v>20052025</v>
      </c>
      <c r="B413" s="926" t="s">
        <v>875</v>
      </c>
      <c r="C413" s="928" t="s">
        <v>660</v>
      </c>
      <c r="D413" s="927">
        <v>45797</v>
      </c>
      <c r="E413" s="928"/>
      <c r="F413" s="928" t="s">
        <v>2036</v>
      </c>
      <c r="H413" s="926" t="s">
        <v>279</v>
      </c>
      <c r="K413" s="932">
        <v>23500</v>
      </c>
      <c r="L413" s="930"/>
      <c r="T413" s="926" t="s">
        <v>1644</v>
      </c>
      <c r="U413" s="931">
        <v>0.59722222222222221</v>
      </c>
      <c r="V413" s="931">
        <v>0.73888888888888893</v>
      </c>
    </row>
    <row r="414" spans="1:22" s="33" customFormat="1" x14ac:dyDescent="0.25">
      <c r="A414" s="547">
        <v>21052025</v>
      </c>
      <c r="B414" s="33" t="s">
        <v>614</v>
      </c>
      <c r="C414" s="306" t="s">
        <v>4437</v>
      </c>
      <c r="D414" s="548">
        <v>45798</v>
      </c>
      <c r="E414" s="306"/>
      <c r="F414" s="306" t="s">
        <v>5326</v>
      </c>
      <c r="H414" s="33" t="s">
        <v>279</v>
      </c>
      <c r="K414" s="933">
        <v>39459.199999999997</v>
      </c>
      <c r="L414" s="279"/>
      <c r="T414" s="33" t="s">
        <v>6147</v>
      </c>
      <c r="U414" s="550">
        <v>0.25763888888888892</v>
      </c>
      <c r="V414" s="550">
        <v>0.46527777777777773</v>
      </c>
    </row>
    <row r="415" spans="1:22" s="33" customFormat="1" x14ac:dyDescent="0.25">
      <c r="A415" s="547">
        <v>21052025</v>
      </c>
      <c r="B415" s="33" t="s">
        <v>614</v>
      </c>
      <c r="C415" s="306" t="s">
        <v>660</v>
      </c>
      <c r="D415" s="548">
        <v>45798</v>
      </c>
      <c r="E415" s="306"/>
      <c r="F415" s="306" t="s">
        <v>294</v>
      </c>
      <c r="H415" s="33" t="s">
        <v>279</v>
      </c>
      <c r="K415" s="933">
        <v>62304</v>
      </c>
      <c r="L415" s="279"/>
      <c r="T415" s="33" t="s">
        <v>4140</v>
      </c>
      <c r="U415" s="550">
        <v>0.41041666666666665</v>
      </c>
      <c r="V415" s="550">
        <v>0.85277777777777775</v>
      </c>
    </row>
    <row r="416" spans="1:22" s="33" customFormat="1" x14ac:dyDescent="0.25">
      <c r="A416" s="547">
        <v>21052025</v>
      </c>
      <c r="B416" s="33" t="s">
        <v>2227</v>
      </c>
      <c r="C416" s="306" t="s">
        <v>4437</v>
      </c>
      <c r="D416" s="548">
        <v>45798</v>
      </c>
      <c r="E416" s="306"/>
      <c r="F416" s="306" t="s">
        <v>106</v>
      </c>
      <c r="H416" s="33" t="s">
        <v>279</v>
      </c>
      <c r="K416" s="933">
        <v>28000</v>
      </c>
      <c r="L416" s="279"/>
      <c r="T416" s="33" t="s">
        <v>6147</v>
      </c>
      <c r="U416" s="550">
        <v>0.55277777777777781</v>
      </c>
      <c r="V416" s="550">
        <v>0.74513888888888891</v>
      </c>
    </row>
    <row r="417" spans="1:22" s="33" customFormat="1" x14ac:dyDescent="0.25">
      <c r="A417" s="547">
        <v>21052025</v>
      </c>
      <c r="B417" s="33" t="s">
        <v>6266</v>
      </c>
      <c r="C417" s="306" t="s">
        <v>278</v>
      </c>
      <c r="D417" s="548">
        <v>45798</v>
      </c>
      <c r="E417" s="306"/>
      <c r="F417" s="306" t="s">
        <v>143</v>
      </c>
      <c r="H417" s="33" t="s">
        <v>279</v>
      </c>
      <c r="K417" s="933">
        <v>38150</v>
      </c>
      <c r="L417" s="279"/>
      <c r="T417" s="33" t="s">
        <v>5078</v>
      </c>
      <c r="U417" s="550">
        <v>0.93263888888888891</v>
      </c>
      <c r="V417" s="550">
        <v>0.15</v>
      </c>
    </row>
    <row r="418" spans="1:22" s="926" customFormat="1" x14ac:dyDescent="0.25">
      <c r="A418" s="925">
        <v>22052025</v>
      </c>
      <c r="B418" s="926" t="s">
        <v>608</v>
      </c>
      <c r="C418" s="928" t="s">
        <v>660</v>
      </c>
      <c r="D418" s="927">
        <v>45799</v>
      </c>
      <c r="E418" s="928"/>
      <c r="F418" s="928" t="s">
        <v>236</v>
      </c>
      <c r="H418" s="926" t="s">
        <v>279</v>
      </c>
      <c r="K418" s="932">
        <v>58231</v>
      </c>
      <c r="L418" s="930"/>
      <c r="T418" s="926" t="s">
        <v>6147</v>
      </c>
      <c r="U418" s="931">
        <v>0.2722222222222222</v>
      </c>
      <c r="V418" s="931">
        <v>0.54027777777777775</v>
      </c>
    </row>
    <row r="419" spans="1:22" s="33" customFormat="1" x14ac:dyDescent="0.25">
      <c r="A419" s="547">
        <v>22052025</v>
      </c>
      <c r="B419" s="33" t="s">
        <v>6269</v>
      </c>
      <c r="C419" s="306" t="s">
        <v>278</v>
      </c>
      <c r="D419" s="548">
        <v>45799</v>
      </c>
      <c r="E419" s="306"/>
      <c r="F419" s="306" t="s">
        <v>317</v>
      </c>
      <c r="H419" s="33" t="s">
        <v>279</v>
      </c>
      <c r="K419" s="933">
        <v>48427</v>
      </c>
      <c r="L419" s="279"/>
      <c r="T419" s="33" t="s">
        <v>4911</v>
      </c>
      <c r="U419" s="550">
        <v>0.29722222222222222</v>
      </c>
      <c r="V419" s="550">
        <v>0.65763888888888888</v>
      </c>
    </row>
    <row r="420" spans="1:22" s="33" customFormat="1" x14ac:dyDescent="0.25">
      <c r="A420" s="547">
        <v>22052025</v>
      </c>
      <c r="B420" s="33" t="s">
        <v>3276</v>
      </c>
      <c r="C420" s="306" t="s">
        <v>4437</v>
      </c>
      <c r="D420" s="548">
        <v>45799</v>
      </c>
      <c r="E420" s="306"/>
      <c r="F420" s="306" t="s">
        <v>872</v>
      </c>
      <c r="H420" s="33" t="s">
        <v>279</v>
      </c>
      <c r="K420" s="933">
        <v>39800</v>
      </c>
      <c r="L420" s="279"/>
      <c r="T420" s="33" t="s">
        <v>4297</v>
      </c>
      <c r="U420" s="550">
        <v>0.36041666666666666</v>
      </c>
      <c r="V420" s="550">
        <v>0.56111111111111112</v>
      </c>
    </row>
    <row r="421" spans="1:22" s="33" customFormat="1" x14ac:dyDescent="0.25">
      <c r="A421" s="547">
        <v>23052025</v>
      </c>
      <c r="B421" s="33" t="s">
        <v>3276</v>
      </c>
      <c r="C421" s="306" t="s">
        <v>660</v>
      </c>
      <c r="D421" s="548">
        <v>45800</v>
      </c>
      <c r="E421" s="306"/>
      <c r="F421" s="306" t="s">
        <v>872</v>
      </c>
      <c r="H421" s="33" t="s">
        <v>279</v>
      </c>
      <c r="K421" s="933">
        <v>39800</v>
      </c>
      <c r="L421" s="279"/>
      <c r="T421" s="33" t="s">
        <v>4911</v>
      </c>
      <c r="U421" s="550">
        <v>0.35902777777777778</v>
      </c>
      <c r="V421" s="550">
        <v>0.53541666666666665</v>
      </c>
    </row>
    <row r="422" spans="1:22" s="926" customFormat="1" x14ac:dyDescent="0.25">
      <c r="A422" s="925">
        <v>23052025</v>
      </c>
      <c r="B422" s="926" t="s">
        <v>6276</v>
      </c>
      <c r="C422" s="928" t="s">
        <v>4437</v>
      </c>
      <c r="D422" s="927">
        <v>45800</v>
      </c>
      <c r="E422" s="928"/>
      <c r="F422" s="928" t="s">
        <v>143</v>
      </c>
      <c r="H422" s="926" t="s">
        <v>279</v>
      </c>
      <c r="K422" s="932">
        <v>36700</v>
      </c>
      <c r="L422" s="930"/>
      <c r="T422" s="926" t="s">
        <v>5131</v>
      </c>
      <c r="U422" s="931">
        <v>0.34375</v>
      </c>
      <c r="V422" s="931">
        <v>0.53888888888888886</v>
      </c>
    </row>
    <row r="423" spans="1:22" s="926" customFormat="1" x14ac:dyDescent="0.25">
      <c r="A423" s="925">
        <v>23052025</v>
      </c>
      <c r="B423" s="926" t="s">
        <v>6276</v>
      </c>
      <c r="C423" s="928" t="s">
        <v>4437</v>
      </c>
      <c r="D423" s="927">
        <v>45800</v>
      </c>
      <c r="E423" s="928"/>
      <c r="F423" s="928" t="s">
        <v>143</v>
      </c>
      <c r="H423" s="926" t="s">
        <v>279</v>
      </c>
      <c r="K423" s="932">
        <v>36700</v>
      </c>
      <c r="T423" s="926" t="s">
        <v>6214</v>
      </c>
      <c r="U423" s="931">
        <v>0.58194444444444449</v>
      </c>
      <c r="V423" s="931">
        <v>0.76874999999999993</v>
      </c>
    </row>
    <row r="424" spans="1:22" s="33" customFormat="1" x14ac:dyDescent="0.25">
      <c r="A424" s="547">
        <v>23052025</v>
      </c>
      <c r="B424" s="33" t="s">
        <v>614</v>
      </c>
      <c r="C424" s="306" t="s">
        <v>278</v>
      </c>
      <c r="D424" s="548">
        <v>45800</v>
      </c>
      <c r="E424" s="306"/>
      <c r="F424" s="306" t="s">
        <v>68</v>
      </c>
      <c r="H424" s="33" t="s">
        <v>279</v>
      </c>
      <c r="K424" s="933">
        <v>49843.199999999997</v>
      </c>
      <c r="L424" s="279"/>
      <c r="T424" s="33" t="s">
        <v>5131</v>
      </c>
      <c r="U424" s="550">
        <v>0.44375000000000003</v>
      </c>
      <c r="V424" s="550">
        <v>0.69097222222222221</v>
      </c>
    </row>
    <row r="425" spans="1:22" s="33" customFormat="1" x14ac:dyDescent="0.25">
      <c r="A425" s="547">
        <v>23052025</v>
      </c>
      <c r="B425" s="33" t="s">
        <v>6277</v>
      </c>
      <c r="C425" s="306" t="s">
        <v>660</v>
      </c>
      <c r="D425" s="548">
        <v>45800</v>
      </c>
      <c r="E425" s="306"/>
      <c r="F425" s="306" t="s">
        <v>1931</v>
      </c>
      <c r="H425" s="33" t="s">
        <v>279</v>
      </c>
      <c r="K425" s="933">
        <v>55224</v>
      </c>
      <c r="L425" s="279"/>
      <c r="T425" s="33" t="s">
        <v>4139</v>
      </c>
      <c r="U425" s="550">
        <v>0.68819444444444444</v>
      </c>
      <c r="V425" s="550">
        <v>1.4583333333333332E-2</v>
      </c>
    </row>
    <row r="426" spans="1:22" s="926" customFormat="1" x14ac:dyDescent="0.25">
      <c r="A426" s="925">
        <v>24052025</v>
      </c>
      <c r="B426" s="926" t="s">
        <v>6280</v>
      </c>
      <c r="C426" s="928" t="s">
        <v>278</v>
      </c>
      <c r="D426" s="927">
        <v>45801</v>
      </c>
      <c r="E426" s="928"/>
      <c r="F426" s="928" t="s">
        <v>236</v>
      </c>
      <c r="H426" s="926" t="s">
        <v>279</v>
      </c>
      <c r="K426" s="932">
        <v>62540</v>
      </c>
      <c r="L426" s="930"/>
      <c r="T426" s="926" t="s">
        <v>4911</v>
      </c>
      <c r="U426" s="931">
        <v>0.26874999999999999</v>
      </c>
      <c r="V426" s="931">
        <v>0.54999999999999993</v>
      </c>
    </row>
    <row r="427" spans="1:22" s="33" customFormat="1" x14ac:dyDescent="0.25">
      <c r="A427" s="547">
        <v>24052025</v>
      </c>
      <c r="B427" s="33" t="s">
        <v>6281</v>
      </c>
      <c r="C427" s="306" t="s">
        <v>4437</v>
      </c>
      <c r="D427" s="548">
        <v>45801</v>
      </c>
      <c r="E427" s="306"/>
      <c r="F427" s="306" t="s">
        <v>143</v>
      </c>
      <c r="H427" s="33" t="s">
        <v>279</v>
      </c>
      <c r="K427" s="933">
        <v>37170</v>
      </c>
      <c r="L427" s="279"/>
      <c r="T427" s="33" t="s">
        <v>6282</v>
      </c>
      <c r="U427" s="550">
        <v>0.25694444444444448</v>
      </c>
      <c r="V427" s="550">
        <v>11.4</v>
      </c>
    </row>
    <row r="428" spans="1:22" s="926" customFormat="1" x14ac:dyDescent="0.25">
      <c r="A428" s="925">
        <v>24052025</v>
      </c>
      <c r="B428" s="926" t="s">
        <v>875</v>
      </c>
      <c r="C428" s="928" t="s">
        <v>660</v>
      </c>
      <c r="D428" s="927">
        <v>45801</v>
      </c>
      <c r="E428" s="928"/>
      <c r="F428" s="928" t="s">
        <v>2036</v>
      </c>
      <c r="H428" s="926" t="s">
        <v>279</v>
      </c>
      <c r="K428" s="932">
        <v>23500</v>
      </c>
      <c r="L428" s="930"/>
      <c r="T428" s="926" t="s">
        <v>5026</v>
      </c>
      <c r="U428" s="931">
        <v>0.36944444444444446</v>
      </c>
      <c r="V428" s="931">
        <v>0.49444444444444446</v>
      </c>
    </row>
    <row r="429" spans="1:22" s="33" customFormat="1" x14ac:dyDescent="0.25">
      <c r="A429" s="547">
        <v>24052025</v>
      </c>
      <c r="B429" s="33" t="s">
        <v>608</v>
      </c>
      <c r="C429" s="306" t="s">
        <v>278</v>
      </c>
      <c r="D429" s="548">
        <v>45801</v>
      </c>
      <c r="E429" s="306"/>
      <c r="F429" s="306" t="s">
        <v>236</v>
      </c>
      <c r="H429" s="33" t="s">
        <v>279</v>
      </c>
      <c r="K429" s="933">
        <v>58231</v>
      </c>
      <c r="L429" s="279"/>
      <c r="T429" s="33" t="s">
        <v>4297</v>
      </c>
      <c r="U429" s="550">
        <v>0.65486111111111112</v>
      </c>
      <c r="V429" s="550">
        <v>0.94236111111111109</v>
      </c>
    </row>
    <row r="430" spans="1:22" s="33" customFormat="1" x14ac:dyDescent="0.25">
      <c r="A430" s="547">
        <v>24052025</v>
      </c>
      <c r="B430" s="33" t="s">
        <v>614</v>
      </c>
      <c r="C430" s="306" t="s">
        <v>4437</v>
      </c>
      <c r="D430" s="548">
        <v>45801</v>
      </c>
      <c r="E430" s="306"/>
      <c r="F430" s="306" t="s">
        <v>2008</v>
      </c>
      <c r="H430" s="33" t="s">
        <v>279</v>
      </c>
      <c r="K430" s="933">
        <v>55035.199999999997</v>
      </c>
      <c r="L430" s="279"/>
      <c r="T430" s="33" t="s">
        <v>5026</v>
      </c>
      <c r="U430" s="550">
        <v>0.54652777777777783</v>
      </c>
      <c r="V430" s="550">
        <v>0.78541666666666676</v>
      </c>
    </row>
    <row r="431" spans="1:22" s="418" customFormat="1" x14ac:dyDescent="0.25">
      <c r="A431" s="624">
        <v>25052025</v>
      </c>
      <c r="B431" s="418" t="s">
        <v>6281</v>
      </c>
      <c r="C431" s="420" t="s">
        <v>660</v>
      </c>
      <c r="D431" s="602">
        <v>45802</v>
      </c>
      <c r="E431" s="420"/>
      <c r="F431" s="420" t="s">
        <v>143</v>
      </c>
      <c r="H431" s="418" t="s">
        <v>279</v>
      </c>
      <c r="K431" s="1079">
        <v>37170</v>
      </c>
      <c r="L431" s="422"/>
      <c r="T431" s="418" t="s">
        <v>4853</v>
      </c>
      <c r="U431" s="604">
        <v>0.25694444444444448</v>
      </c>
      <c r="V431" s="604">
        <v>0.4909722222222222</v>
      </c>
    </row>
    <row r="432" spans="1:22" s="33" customFormat="1" x14ac:dyDescent="0.25">
      <c r="A432" s="547">
        <v>25052025</v>
      </c>
      <c r="B432" s="33" t="s">
        <v>572</v>
      </c>
      <c r="C432" s="306" t="s">
        <v>278</v>
      </c>
      <c r="D432" s="548">
        <v>45802</v>
      </c>
      <c r="E432" s="306"/>
      <c r="F432" s="306" t="s">
        <v>207</v>
      </c>
      <c r="H432" s="33" t="s">
        <v>279</v>
      </c>
      <c r="K432" s="933"/>
      <c r="L432" s="279">
        <v>8968</v>
      </c>
      <c r="T432" s="33" t="s">
        <v>4911</v>
      </c>
      <c r="U432" s="550">
        <v>0.27013888888888887</v>
      </c>
      <c r="V432" s="550">
        <v>0.49722222222222223</v>
      </c>
    </row>
    <row r="433" spans="1:22" s="16" customFormat="1" hidden="1" x14ac:dyDescent="0.25">
      <c r="A433" s="681">
        <v>26052025</v>
      </c>
      <c r="B433" s="16" t="s">
        <v>6283</v>
      </c>
      <c r="C433" s="355" t="s">
        <v>278</v>
      </c>
      <c r="D433" s="682">
        <v>45803</v>
      </c>
      <c r="E433" s="355"/>
      <c r="F433" s="355" t="s">
        <v>545</v>
      </c>
      <c r="K433" s="982"/>
      <c r="T433" s="16" t="s">
        <v>4983</v>
      </c>
      <c r="U433" s="683"/>
      <c r="V433" s="683"/>
    </row>
    <row r="434" spans="1:22" s="33" customFormat="1" x14ac:dyDescent="0.25">
      <c r="A434" s="547">
        <v>26052025</v>
      </c>
      <c r="B434" s="33" t="s">
        <v>2227</v>
      </c>
      <c r="C434" s="306" t="s">
        <v>4437</v>
      </c>
      <c r="D434" s="548">
        <v>45803</v>
      </c>
      <c r="E434" s="306"/>
      <c r="F434" s="306" t="s">
        <v>106</v>
      </c>
      <c r="H434" s="33" t="s">
        <v>279</v>
      </c>
      <c r="K434" s="933">
        <v>28000</v>
      </c>
      <c r="L434" s="279"/>
      <c r="T434" s="33" t="s">
        <v>4983</v>
      </c>
      <c r="U434" s="550">
        <v>0.51597222222222217</v>
      </c>
      <c r="V434" s="550">
        <v>0.70347222222222217</v>
      </c>
    </row>
    <row r="435" spans="1:22" s="926" customFormat="1" x14ac:dyDescent="0.25">
      <c r="A435" s="925">
        <v>27052025</v>
      </c>
      <c r="B435" s="926" t="s">
        <v>611</v>
      </c>
      <c r="C435" s="928" t="s">
        <v>278</v>
      </c>
      <c r="D435" s="927">
        <v>45804</v>
      </c>
      <c r="E435" s="928"/>
      <c r="F435" s="928" t="s">
        <v>143</v>
      </c>
      <c r="H435" s="926" t="s">
        <v>279</v>
      </c>
      <c r="K435" s="932">
        <v>36700</v>
      </c>
      <c r="L435" s="930"/>
      <c r="T435" s="926" t="s">
        <v>5078</v>
      </c>
      <c r="U435" s="931">
        <v>0.26458333333333334</v>
      </c>
      <c r="V435" s="931">
        <v>0.4597222222222222</v>
      </c>
    </row>
    <row r="436" spans="1:22" s="926" customFormat="1" x14ac:dyDescent="0.25">
      <c r="A436" s="925">
        <v>27052025</v>
      </c>
      <c r="B436" s="926" t="s">
        <v>608</v>
      </c>
      <c r="C436" s="928" t="s">
        <v>4437</v>
      </c>
      <c r="D436" s="927">
        <v>45804</v>
      </c>
      <c r="E436" s="928"/>
      <c r="F436" s="928" t="s">
        <v>236</v>
      </c>
      <c r="H436" s="926" t="s">
        <v>279</v>
      </c>
      <c r="K436" s="932">
        <v>58231</v>
      </c>
      <c r="L436" s="930"/>
      <c r="T436" s="926" t="s">
        <v>6294</v>
      </c>
      <c r="U436" s="931">
        <v>0.26666666666666666</v>
      </c>
      <c r="V436" s="931">
        <v>0.54861111111111105</v>
      </c>
    </row>
    <row r="437" spans="1:22" s="926" customFormat="1" x14ac:dyDescent="0.25">
      <c r="A437" s="925">
        <v>28052025</v>
      </c>
      <c r="B437" s="926" t="s">
        <v>611</v>
      </c>
      <c r="C437" s="928" t="s">
        <v>660</v>
      </c>
      <c r="D437" s="927">
        <v>45805</v>
      </c>
      <c r="E437" s="928"/>
      <c r="F437" s="928" t="s">
        <v>143</v>
      </c>
      <c r="H437" s="926" t="s">
        <v>279</v>
      </c>
      <c r="K437" s="932">
        <v>36700</v>
      </c>
      <c r="L437" s="930"/>
      <c r="T437" s="926" t="s">
        <v>6300</v>
      </c>
      <c r="U437" s="931">
        <v>0.25486111111111109</v>
      </c>
      <c r="V437" s="931">
        <v>0.4465277777777778</v>
      </c>
    </row>
    <row r="438" spans="1:22" s="33" customFormat="1" x14ac:dyDescent="0.25">
      <c r="A438" s="547">
        <v>28052025</v>
      </c>
      <c r="B438" s="33" t="s">
        <v>6301</v>
      </c>
      <c r="C438" s="306" t="s">
        <v>278</v>
      </c>
      <c r="D438" s="548">
        <v>45805</v>
      </c>
      <c r="E438" s="306"/>
      <c r="F438" s="306" t="s">
        <v>1744</v>
      </c>
      <c r="H438" s="33" t="s">
        <v>279</v>
      </c>
      <c r="K438" s="933">
        <v>48427.199999999997</v>
      </c>
      <c r="L438" s="279"/>
      <c r="T438" s="33" t="s">
        <v>4297</v>
      </c>
      <c r="U438" s="550">
        <v>0.39097222222222222</v>
      </c>
      <c r="V438" s="550">
        <v>0.62777777777777777</v>
      </c>
    </row>
    <row r="439" spans="1:22" s="33" customFormat="1" x14ac:dyDescent="0.25">
      <c r="A439" s="547">
        <v>28052025</v>
      </c>
      <c r="B439" s="33" t="s">
        <v>3457</v>
      </c>
      <c r="C439" s="306" t="s">
        <v>4437</v>
      </c>
      <c r="D439" s="548">
        <v>45805</v>
      </c>
      <c r="E439" s="306"/>
      <c r="F439" s="306" t="s">
        <v>317</v>
      </c>
      <c r="H439" s="33" t="s">
        <v>279</v>
      </c>
      <c r="K439" s="933">
        <v>48427</v>
      </c>
      <c r="L439" s="279"/>
      <c r="T439" s="33" t="s">
        <v>6067</v>
      </c>
      <c r="U439" s="550">
        <v>0.40625</v>
      </c>
      <c r="V439" s="550">
        <v>0.78402777777777777</v>
      </c>
    </row>
    <row r="440" spans="1:22" s="926" customFormat="1" hidden="1" x14ac:dyDescent="0.25">
      <c r="A440" s="925">
        <v>28052025</v>
      </c>
      <c r="B440" s="926" t="s">
        <v>1720</v>
      </c>
      <c r="C440" s="928" t="s">
        <v>278</v>
      </c>
      <c r="D440" s="927">
        <v>45805</v>
      </c>
      <c r="E440" s="928"/>
      <c r="F440" s="928" t="s">
        <v>545</v>
      </c>
      <c r="H440" s="926" t="s">
        <v>277</v>
      </c>
      <c r="K440" s="932">
        <v>25016</v>
      </c>
      <c r="L440" s="930"/>
      <c r="T440" s="926" t="s">
        <v>4297</v>
      </c>
      <c r="U440" s="931">
        <v>0.69027777777777777</v>
      </c>
      <c r="V440" s="931">
        <v>0.81180555555555556</v>
      </c>
    </row>
    <row r="441" spans="1:22" s="926" customFormat="1" x14ac:dyDescent="0.25">
      <c r="A441" s="925">
        <v>28052025</v>
      </c>
      <c r="B441" s="926" t="s">
        <v>1720</v>
      </c>
      <c r="C441" s="928" t="s">
        <v>660</v>
      </c>
      <c r="D441" s="927">
        <v>45805</v>
      </c>
      <c r="E441" s="928"/>
      <c r="F441" s="928" t="s">
        <v>545</v>
      </c>
      <c r="H441" s="926" t="s">
        <v>279</v>
      </c>
      <c r="K441" s="932">
        <v>34456</v>
      </c>
      <c r="L441" s="930"/>
      <c r="T441" s="926" t="s">
        <v>4911</v>
      </c>
      <c r="U441" s="931">
        <v>0.65972222222222221</v>
      </c>
      <c r="V441" s="931">
        <v>0.83472222222222225</v>
      </c>
    </row>
    <row r="442" spans="1:22" s="33" customFormat="1" x14ac:dyDescent="0.25">
      <c r="A442" s="547">
        <v>29052025</v>
      </c>
      <c r="B442" s="33" t="s">
        <v>610</v>
      </c>
      <c r="C442" s="306" t="s">
        <v>4437</v>
      </c>
      <c r="D442" s="548">
        <v>45806</v>
      </c>
      <c r="E442" s="306"/>
      <c r="F442" s="306" t="s">
        <v>106</v>
      </c>
      <c r="H442" s="33" t="s">
        <v>279</v>
      </c>
      <c r="K442" s="933">
        <v>29770</v>
      </c>
      <c r="L442" s="279"/>
      <c r="T442" s="33" t="s">
        <v>6214</v>
      </c>
      <c r="U442" s="550">
        <v>0.54027777777777775</v>
      </c>
      <c r="V442" s="550">
        <v>0.69305555555555554</v>
      </c>
    </row>
    <row r="443" spans="1:22" s="926" customFormat="1" x14ac:dyDescent="0.25">
      <c r="A443" s="925">
        <v>30052025</v>
      </c>
      <c r="B443" s="926" t="s">
        <v>1720</v>
      </c>
      <c r="C443" s="928" t="s">
        <v>278</v>
      </c>
      <c r="D443" s="927">
        <v>45807</v>
      </c>
      <c r="E443" s="928"/>
      <c r="F443" s="928" t="s">
        <v>545</v>
      </c>
      <c r="H443" s="926" t="s">
        <v>279</v>
      </c>
      <c r="K443" s="932">
        <v>34456</v>
      </c>
      <c r="L443" s="930"/>
      <c r="T443" s="926" t="s">
        <v>4297</v>
      </c>
      <c r="U443" s="931">
        <v>0.61388888888888882</v>
      </c>
      <c r="V443" s="931">
        <v>0.66180555555555554</v>
      </c>
    </row>
    <row r="444" spans="1:22" s="926" customFormat="1" x14ac:dyDescent="0.25">
      <c r="A444" s="925">
        <v>30052025</v>
      </c>
      <c r="B444" s="926" t="s">
        <v>1720</v>
      </c>
      <c r="C444" s="928" t="s">
        <v>278</v>
      </c>
      <c r="D444" s="927">
        <v>45807</v>
      </c>
      <c r="E444" s="928"/>
      <c r="F444" s="928" t="s">
        <v>545</v>
      </c>
      <c r="H444" s="926" t="s">
        <v>279</v>
      </c>
      <c r="K444" s="932">
        <v>34456</v>
      </c>
      <c r="L444" s="930"/>
      <c r="T444" s="926" t="s">
        <v>4297</v>
      </c>
      <c r="U444" s="931">
        <v>0.81111111111111101</v>
      </c>
      <c r="V444" s="931">
        <v>0.8652777777777777</v>
      </c>
    </row>
    <row r="445" spans="1:22" s="33" customFormat="1" x14ac:dyDescent="0.25">
      <c r="A445" s="547">
        <v>30052025</v>
      </c>
      <c r="B445" s="33" t="s">
        <v>614</v>
      </c>
      <c r="C445" s="306" t="s">
        <v>660</v>
      </c>
      <c r="D445" s="548">
        <v>45807</v>
      </c>
      <c r="E445" s="306"/>
      <c r="F445" s="306" t="s">
        <v>2036</v>
      </c>
      <c r="H445" s="33" t="s">
        <v>279</v>
      </c>
      <c r="K445" s="933">
        <v>31152</v>
      </c>
      <c r="L445" s="279"/>
      <c r="T445" s="33" t="s">
        <v>6307</v>
      </c>
      <c r="U445" s="550">
        <v>0.5756944444444444</v>
      </c>
      <c r="V445" s="550">
        <v>0.71180555555555547</v>
      </c>
    </row>
    <row r="446" spans="1:22" s="393" customFormat="1" x14ac:dyDescent="0.25">
      <c r="A446" s="581">
        <v>31052025</v>
      </c>
      <c r="B446" s="393" t="s">
        <v>6329</v>
      </c>
      <c r="C446" s="174" t="s">
        <v>278</v>
      </c>
      <c r="D446" s="582">
        <v>45808</v>
      </c>
      <c r="E446" s="174"/>
      <c r="F446" s="174" t="s">
        <v>143</v>
      </c>
      <c r="H446" s="393" t="s">
        <v>279</v>
      </c>
      <c r="K446" s="1124"/>
      <c r="L446" s="396">
        <v>9912</v>
      </c>
      <c r="T446" s="393" t="s">
        <v>5026</v>
      </c>
      <c r="U446" s="584">
        <v>0.25972222222222224</v>
      </c>
      <c r="V446" s="584">
        <v>0.48402777777777778</v>
      </c>
    </row>
    <row r="447" spans="1:22" s="33" customFormat="1" hidden="1" x14ac:dyDescent="0.25">
      <c r="A447" s="547">
        <v>31052025</v>
      </c>
      <c r="B447" s="33" t="s">
        <v>4193</v>
      </c>
      <c r="C447" s="306" t="s">
        <v>660</v>
      </c>
      <c r="D447" s="548">
        <v>45808</v>
      </c>
      <c r="E447" s="306"/>
      <c r="F447" s="306" t="s">
        <v>236</v>
      </c>
      <c r="H447" s="33" t="s">
        <v>5224</v>
      </c>
      <c r="K447" s="279"/>
      <c r="L447" s="279">
        <v>14160</v>
      </c>
      <c r="T447" s="33" t="s">
        <v>4911</v>
      </c>
      <c r="U447" s="550">
        <v>6.33</v>
      </c>
      <c r="V447" s="550">
        <v>0.87777777777777777</v>
      </c>
    </row>
    <row r="448" spans="1:22" s="33" customFormat="1" x14ac:dyDescent="0.25">
      <c r="A448" s="547">
        <v>31052025</v>
      </c>
      <c r="B448" s="33" t="s">
        <v>2527</v>
      </c>
      <c r="C448" s="306" t="s">
        <v>4437</v>
      </c>
      <c r="D448" s="548">
        <v>45808</v>
      </c>
      <c r="E448" s="306"/>
      <c r="F448" s="306" t="s">
        <v>285</v>
      </c>
      <c r="H448" s="33" t="s">
        <v>279</v>
      </c>
      <c r="K448" s="933">
        <f>9086+36342.75</f>
        <v>45428.75</v>
      </c>
      <c r="L448" s="279"/>
      <c r="T448" s="33" t="s">
        <v>6307</v>
      </c>
      <c r="U448" s="550">
        <v>0.40486111111111112</v>
      </c>
      <c r="V448" s="432">
        <v>17.23</v>
      </c>
    </row>
    <row r="449" spans="1:22" s="33" customFormat="1" x14ac:dyDescent="0.25">
      <c r="A449" s="547">
        <v>31052025</v>
      </c>
      <c r="B449" s="33" t="s">
        <v>608</v>
      </c>
      <c r="C449" s="306" t="s">
        <v>278</v>
      </c>
      <c r="D449" s="548">
        <v>45808</v>
      </c>
      <c r="E449" s="306"/>
      <c r="F449" s="306" t="s">
        <v>236</v>
      </c>
      <c r="H449" s="33" t="s">
        <v>279</v>
      </c>
      <c r="K449" s="933">
        <v>49173</v>
      </c>
      <c r="L449" s="279"/>
      <c r="T449" s="33" t="s">
        <v>5989</v>
      </c>
      <c r="U449" s="550">
        <v>0.6069444444444444</v>
      </c>
      <c r="V449" s="550">
        <v>0.87777777777777777</v>
      </c>
    </row>
    <row r="450" spans="1:22" s="33" customFormat="1" x14ac:dyDescent="0.25">
      <c r="A450" s="547">
        <v>31052025</v>
      </c>
      <c r="B450" s="33" t="s">
        <v>1720</v>
      </c>
      <c r="C450" s="306" t="s">
        <v>660</v>
      </c>
      <c r="D450" s="548">
        <v>45808</v>
      </c>
      <c r="E450" s="306"/>
      <c r="F450" s="306" t="s">
        <v>545</v>
      </c>
      <c r="H450" s="33" t="s">
        <v>279</v>
      </c>
      <c r="K450" s="933">
        <v>34456</v>
      </c>
      <c r="L450" s="279"/>
      <c r="T450" s="33" t="s">
        <v>5021</v>
      </c>
      <c r="U450" s="550">
        <v>0.64097222222222217</v>
      </c>
      <c r="V450" s="550">
        <v>0.80902777777777779</v>
      </c>
    </row>
    <row r="451" spans="1:22" hidden="1" x14ac:dyDescent="0.25">
      <c r="A451" s="483"/>
      <c r="D451" s="233"/>
      <c r="K451" s="798"/>
      <c r="L451" s="88"/>
    </row>
    <row r="452" spans="1:22" hidden="1" x14ac:dyDescent="0.25">
      <c r="A452" s="483"/>
      <c r="D452" s="233"/>
      <c r="K452" s="798"/>
      <c r="L452" s="798"/>
    </row>
    <row r="453" spans="1:22" ht="15.75" hidden="1" thickBot="1" x14ac:dyDescent="0.3">
      <c r="A453" s="483"/>
      <c r="D453" s="233"/>
      <c r="K453" s="960">
        <f>SUM(K352:K452)</f>
        <v>3588215.5000000005</v>
      </c>
      <c r="L453" s="960">
        <f>SUM(L352:L452)</f>
        <v>89949.8</v>
      </c>
    </row>
    <row r="454" spans="1:22" hidden="1" x14ac:dyDescent="0.25">
      <c r="A454" s="483"/>
      <c r="D454" s="233"/>
      <c r="K454" s="798"/>
      <c r="L454" s="798"/>
    </row>
    <row r="455" spans="1:22" hidden="1" x14ac:dyDescent="0.25">
      <c r="A455" s="483"/>
      <c r="D455" s="233"/>
      <c r="J455" s="32"/>
      <c r="K455" s="798">
        <v>14319573</v>
      </c>
      <c r="L455" s="798">
        <f>+L92+L160+L250+L348+L453</f>
        <v>376217.1</v>
      </c>
    </row>
    <row r="456" spans="1:22" hidden="1" x14ac:dyDescent="0.25">
      <c r="A456" s="483"/>
      <c r="D456" s="233"/>
      <c r="K456" s="798"/>
      <c r="L456" s="798"/>
    </row>
    <row r="457" spans="1:22" hidden="1" x14ac:dyDescent="0.25">
      <c r="A457" s="483"/>
      <c r="D457" s="233"/>
      <c r="K457" s="1453">
        <f>1777615/K455</f>
        <v>0.12413882732397118</v>
      </c>
      <c r="L457" s="798"/>
    </row>
    <row r="458" spans="1:22" hidden="1" x14ac:dyDescent="0.25">
      <c r="A458" s="483"/>
      <c r="D458" s="233"/>
      <c r="K458" s="798"/>
      <c r="L458" s="798"/>
    </row>
    <row r="459" spans="1:22" s="926" customFormat="1" x14ac:dyDescent="0.25">
      <c r="A459" s="925" t="s">
        <v>6308</v>
      </c>
      <c r="B459" s="926" t="s">
        <v>4736</v>
      </c>
      <c r="C459" s="928" t="s">
        <v>278</v>
      </c>
      <c r="D459" s="927">
        <v>45810</v>
      </c>
      <c r="E459" s="928"/>
      <c r="F459" s="928" t="s">
        <v>798</v>
      </c>
      <c r="H459" s="926" t="s">
        <v>279</v>
      </c>
      <c r="K459" s="932">
        <v>26950</v>
      </c>
      <c r="L459" s="932"/>
      <c r="N459"/>
      <c r="O459"/>
      <c r="T459" s="926" t="s">
        <v>5891</v>
      </c>
      <c r="U459" s="931">
        <v>0.41180555555555554</v>
      </c>
      <c r="V459" s="931">
        <v>0.54583333333333328</v>
      </c>
    </row>
    <row r="460" spans="1:22" s="5" customFormat="1" x14ac:dyDescent="0.25">
      <c r="A460" s="495" t="s">
        <v>6308</v>
      </c>
      <c r="B460" s="5" t="s">
        <v>3812</v>
      </c>
      <c r="C460" s="127" t="s">
        <v>4437</v>
      </c>
      <c r="D460" s="494">
        <v>45810</v>
      </c>
      <c r="E460" s="127"/>
      <c r="F460" s="127" t="s">
        <v>143</v>
      </c>
      <c r="H460" s="5" t="s">
        <v>279</v>
      </c>
      <c r="K460" s="935">
        <v>37170</v>
      </c>
      <c r="L460" s="935"/>
      <c r="N460"/>
      <c r="O460"/>
      <c r="T460" s="5" t="s">
        <v>5393</v>
      </c>
      <c r="U460" s="496">
        <v>0.42222222222222222</v>
      </c>
      <c r="V460" s="496">
        <v>0.63472222222222219</v>
      </c>
    </row>
    <row r="461" spans="1:22" s="926" customFormat="1" x14ac:dyDescent="0.25">
      <c r="A461" s="925" t="s">
        <v>6308</v>
      </c>
      <c r="B461" s="926" t="s">
        <v>6331</v>
      </c>
      <c r="C461" s="928" t="s">
        <v>278</v>
      </c>
      <c r="D461" s="927">
        <v>45810</v>
      </c>
      <c r="E461" s="928"/>
      <c r="F461" s="928" t="s">
        <v>425</v>
      </c>
      <c r="H461" s="926" t="s">
        <v>279</v>
      </c>
      <c r="K461" s="932">
        <v>33040</v>
      </c>
      <c r="L461" s="932"/>
      <c r="N461"/>
      <c r="O461"/>
      <c r="T461" s="926" t="s">
        <v>4853</v>
      </c>
      <c r="U461" s="931">
        <v>0.73819444444444438</v>
      </c>
      <c r="V461" s="931">
        <v>0.94930555555555562</v>
      </c>
    </row>
    <row r="462" spans="1:22" s="926" customFormat="1" hidden="1" x14ac:dyDescent="0.25">
      <c r="A462" s="925" t="s">
        <v>6308</v>
      </c>
      <c r="B462" s="926" t="s">
        <v>1720</v>
      </c>
      <c r="C462" s="928" t="s">
        <v>4437</v>
      </c>
      <c r="D462" s="927">
        <v>45810</v>
      </c>
      <c r="E462" s="928"/>
      <c r="F462" s="928" t="s">
        <v>545</v>
      </c>
      <c r="H462" s="926" t="s">
        <v>277</v>
      </c>
      <c r="K462" s="932">
        <v>25016</v>
      </c>
      <c r="L462" s="932"/>
      <c r="N462"/>
      <c r="O462"/>
      <c r="T462" s="926" t="s">
        <v>5393</v>
      </c>
      <c r="U462" s="931">
        <v>0.71388888888888891</v>
      </c>
      <c r="V462" s="931">
        <v>0.85416666666666663</v>
      </c>
    </row>
    <row r="463" spans="1:22" s="926" customFormat="1" x14ac:dyDescent="0.25">
      <c r="A463" s="925" t="s">
        <v>6308</v>
      </c>
      <c r="B463" s="926" t="s">
        <v>1720</v>
      </c>
      <c r="C463" s="928" t="s">
        <v>660</v>
      </c>
      <c r="D463" s="927">
        <v>45810</v>
      </c>
      <c r="E463" s="928"/>
      <c r="F463" s="928" t="s">
        <v>545</v>
      </c>
      <c r="H463" s="926" t="s">
        <v>279</v>
      </c>
      <c r="K463" s="932">
        <v>34456</v>
      </c>
      <c r="L463" s="932"/>
      <c r="N463"/>
      <c r="O463"/>
      <c r="T463" s="926" t="s">
        <v>6294</v>
      </c>
      <c r="U463" s="931">
        <v>0.84097222222222223</v>
      </c>
      <c r="V463" s="931">
        <v>2.2916666666666669E-2</v>
      </c>
    </row>
    <row r="464" spans="1:22" s="926" customFormat="1" x14ac:dyDescent="0.25">
      <c r="A464" s="925" t="s">
        <v>6332</v>
      </c>
      <c r="B464" s="926" t="s">
        <v>614</v>
      </c>
      <c r="C464" s="928" t="s">
        <v>278</v>
      </c>
      <c r="D464" s="927">
        <v>45811</v>
      </c>
      <c r="E464" s="928"/>
      <c r="F464" s="928" t="s">
        <v>207</v>
      </c>
      <c r="H464" s="926" t="s">
        <v>279</v>
      </c>
      <c r="K464" s="932">
        <v>41536</v>
      </c>
      <c r="L464" s="932"/>
      <c r="N464"/>
      <c r="O464"/>
      <c r="T464" s="926" t="s">
        <v>4911</v>
      </c>
      <c r="U464" s="931">
        <v>0.31111111111111112</v>
      </c>
      <c r="V464" s="931">
        <v>0.54722222222222217</v>
      </c>
    </row>
    <row r="465" spans="1:22" s="926" customFormat="1" x14ac:dyDescent="0.25">
      <c r="A465" s="925" t="s">
        <v>6345</v>
      </c>
      <c r="B465" s="926" t="s">
        <v>2227</v>
      </c>
      <c r="C465" s="928" t="s">
        <v>278</v>
      </c>
      <c r="D465" s="927">
        <v>45812</v>
      </c>
      <c r="E465" s="928"/>
      <c r="F465" s="928" t="s">
        <v>106</v>
      </c>
      <c r="H465" s="926" t="s">
        <v>279</v>
      </c>
      <c r="K465" s="932">
        <v>28000</v>
      </c>
      <c r="L465" s="932"/>
      <c r="N465"/>
      <c r="O465"/>
      <c r="T465" s="926" t="s">
        <v>6145</v>
      </c>
      <c r="U465" s="931">
        <v>0.28333333333333333</v>
      </c>
      <c r="V465" s="931">
        <v>0.44166666666666665</v>
      </c>
    </row>
    <row r="466" spans="1:22" s="926" customFormat="1" hidden="1" x14ac:dyDescent="0.25">
      <c r="A466" s="925" t="s">
        <v>6346</v>
      </c>
      <c r="B466" s="926" t="s">
        <v>930</v>
      </c>
      <c r="C466" s="928" t="s">
        <v>660</v>
      </c>
      <c r="D466" s="927">
        <v>45813</v>
      </c>
      <c r="E466" s="928"/>
      <c r="F466" s="928" t="s">
        <v>294</v>
      </c>
      <c r="H466" s="926" t="s">
        <v>277</v>
      </c>
      <c r="K466" s="932">
        <v>24886</v>
      </c>
      <c r="L466" s="932"/>
      <c r="N466"/>
      <c r="O466"/>
      <c r="T466" s="926" t="s">
        <v>4911</v>
      </c>
      <c r="U466" s="931">
        <v>0.28541666666666665</v>
      </c>
      <c r="V466" s="931">
        <v>0.44375000000000003</v>
      </c>
    </row>
    <row r="467" spans="1:22" s="926" customFormat="1" x14ac:dyDescent="0.25">
      <c r="A467" s="925" t="s">
        <v>6346</v>
      </c>
      <c r="B467" s="926" t="s">
        <v>608</v>
      </c>
      <c r="C467" s="928" t="s">
        <v>278</v>
      </c>
      <c r="D467" s="927">
        <v>45813</v>
      </c>
      <c r="E467" s="928"/>
      <c r="F467" s="928" t="s">
        <v>236</v>
      </c>
      <c r="H467" s="926" t="s">
        <v>279</v>
      </c>
      <c r="K467" s="932">
        <v>58231</v>
      </c>
      <c r="L467" s="932"/>
      <c r="N467"/>
      <c r="O467"/>
      <c r="T467" s="926" t="s">
        <v>6150</v>
      </c>
      <c r="U467" s="931">
        <v>0.28750000000000003</v>
      </c>
      <c r="V467" s="931">
        <v>0.59444444444444444</v>
      </c>
    </row>
    <row r="468" spans="1:22" s="926" customFormat="1" x14ac:dyDescent="0.25">
      <c r="A468" s="925" t="s">
        <v>6346</v>
      </c>
      <c r="B468" s="926" t="s">
        <v>614</v>
      </c>
      <c r="C468" s="928" t="s">
        <v>4437</v>
      </c>
      <c r="D468" s="927">
        <v>45813</v>
      </c>
      <c r="E468" s="928"/>
      <c r="F468" s="928" t="s">
        <v>294</v>
      </c>
      <c r="H468" s="926" t="s">
        <v>279</v>
      </c>
      <c r="K468" s="932">
        <v>44651.199999999997</v>
      </c>
      <c r="L468" s="932"/>
      <c r="N468"/>
      <c r="O468"/>
      <c r="T468" s="926" t="s">
        <v>6347</v>
      </c>
      <c r="U468" s="931">
        <v>0.29444444444444445</v>
      </c>
      <c r="V468" s="931">
        <v>0.49305555555555558</v>
      </c>
    </row>
    <row r="469" spans="1:22" s="926" customFormat="1" x14ac:dyDescent="0.25">
      <c r="A469" s="925" t="s">
        <v>6346</v>
      </c>
      <c r="B469" s="926" t="s">
        <v>2469</v>
      </c>
      <c r="C469" s="928" t="s">
        <v>660</v>
      </c>
      <c r="D469" s="927">
        <v>45813</v>
      </c>
      <c r="E469" s="928"/>
      <c r="F469" s="928" t="s">
        <v>294</v>
      </c>
      <c r="H469" s="926" t="s">
        <v>279</v>
      </c>
      <c r="K469" s="932">
        <v>36350</v>
      </c>
      <c r="L469" s="932"/>
      <c r="N469"/>
      <c r="O469"/>
      <c r="T469" s="926" t="s">
        <v>6347</v>
      </c>
      <c r="U469" s="931">
        <v>0.54513888888888895</v>
      </c>
      <c r="V469" s="931">
        <v>0.74097222222222225</v>
      </c>
    </row>
    <row r="470" spans="1:22" s="926" customFormat="1" x14ac:dyDescent="0.25">
      <c r="A470" s="925" t="s">
        <v>6348</v>
      </c>
      <c r="B470" s="926" t="s">
        <v>3880</v>
      </c>
      <c r="C470" s="928" t="s">
        <v>278</v>
      </c>
      <c r="D470" s="927">
        <v>45814</v>
      </c>
      <c r="E470" s="928"/>
      <c r="F470" s="928" t="s">
        <v>545</v>
      </c>
      <c r="H470" s="926" t="s">
        <v>279</v>
      </c>
      <c r="K470" s="932">
        <v>32284.400000000001</v>
      </c>
      <c r="L470" s="932"/>
      <c r="N470"/>
      <c r="O470"/>
      <c r="T470" s="926" t="s">
        <v>5004</v>
      </c>
      <c r="U470" s="931">
        <v>0.41944444444444445</v>
      </c>
      <c r="V470" s="944">
        <v>14.28</v>
      </c>
    </row>
    <row r="471" spans="1:22" s="1150" customFormat="1" x14ac:dyDescent="0.25">
      <c r="A471" s="1149" t="s">
        <v>6348</v>
      </c>
      <c r="B471" s="1150" t="s">
        <v>4464</v>
      </c>
      <c r="C471" s="1151" t="s">
        <v>4437</v>
      </c>
      <c r="D471" s="1152">
        <v>45814</v>
      </c>
      <c r="E471" s="1151"/>
      <c r="F471" s="1151" t="s">
        <v>2008</v>
      </c>
      <c r="H471" s="1150" t="s">
        <v>279</v>
      </c>
      <c r="K471" s="1153">
        <v>47250</v>
      </c>
      <c r="L471" s="1153"/>
      <c r="T471" s="1150" t="s">
        <v>6349</v>
      </c>
      <c r="U471" s="1154">
        <v>0.52777777777777779</v>
      </c>
      <c r="V471" s="1154">
        <v>0.7993055555555556</v>
      </c>
    </row>
    <row r="472" spans="1:22" s="926" customFormat="1" x14ac:dyDescent="0.25">
      <c r="A472" s="925" t="s">
        <v>6348</v>
      </c>
      <c r="B472" s="926" t="s">
        <v>6350</v>
      </c>
      <c r="C472" s="928" t="s">
        <v>660</v>
      </c>
      <c r="D472" s="927">
        <v>45814</v>
      </c>
      <c r="E472" s="928"/>
      <c r="F472" s="928" t="s">
        <v>2253</v>
      </c>
      <c r="H472" s="926" t="s">
        <v>279</v>
      </c>
      <c r="K472" s="932">
        <v>55050</v>
      </c>
      <c r="L472" s="932"/>
      <c r="N472"/>
      <c r="O472"/>
      <c r="T472" s="926" t="s">
        <v>5026</v>
      </c>
      <c r="U472" s="931">
        <v>0.54375000000000007</v>
      </c>
      <c r="V472" s="931">
        <v>0.88263888888888886</v>
      </c>
    </row>
    <row r="473" spans="1:22" s="926" customFormat="1" x14ac:dyDescent="0.25">
      <c r="A473" s="925" t="s">
        <v>6351</v>
      </c>
      <c r="B473" s="926" t="s">
        <v>614</v>
      </c>
      <c r="C473" s="928" t="s">
        <v>278</v>
      </c>
      <c r="D473" s="927">
        <v>45815</v>
      </c>
      <c r="E473" s="928"/>
      <c r="F473" s="928" t="s">
        <v>285</v>
      </c>
      <c r="H473" s="926" t="s">
        <v>279</v>
      </c>
      <c r="K473" s="932">
        <v>51920</v>
      </c>
      <c r="L473" s="932"/>
      <c r="N473"/>
      <c r="O473"/>
      <c r="T473" s="926" t="s">
        <v>5021</v>
      </c>
      <c r="U473" s="931">
        <v>0.29375000000000001</v>
      </c>
      <c r="V473" s="931">
        <v>0.56111111111111112</v>
      </c>
    </row>
    <row r="474" spans="1:22" s="926" customFormat="1" ht="15" hidden="1" customHeight="1" x14ac:dyDescent="0.25">
      <c r="A474" s="925" t="s">
        <v>6351</v>
      </c>
      <c r="B474" s="926" t="s">
        <v>930</v>
      </c>
      <c r="C474" s="928" t="s">
        <v>4437</v>
      </c>
      <c r="D474" s="927">
        <v>45815</v>
      </c>
      <c r="E474" s="928"/>
      <c r="F474" s="928" t="s">
        <v>294</v>
      </c>
      <c r="H474" s="926" t="s">
        <v>277</v>
      </c>
      <c r="K474" s="932">
        <v>24886</v>
      </c>
      <c r="L474" s="932"/>
      <c r="N474"/>
      <c r="O474"/>
      <c r="T474" s="926" t="s">
        <v>6349</v>
      </c>
      <c r="U474" s="931">
        <v>0.29236111111111113</v>
      </c>
      <c r="V474" s="931">
        <v>0.44861111111111113</v>
      </c>
    </row>
    <row r="475" spans="1:22" s="947" customFormat="1" x14ac:dyDescent="0.25">
      <c r="A475" s="946" t="s">
        <v>6351</v>
      </c>
      <c r="B475" s="947" t="s">
        <v>608</v>
      </c>
      <c r="C475" s="948" t="s">
        <v>660</v>
      </c>
      <c r="D475" s="949">
        <v>45815</v>
      </c>
      <c r="E475" s="948"/>
      <c r="F475" s="948" t="s">
        <v>236</v>
      </c>
      <c r="H475" s="947" t="s">
        <v>279</v>
      </c>
      <c r="I475" s="926"/>
      <c r="K475" s="950">
        <v>58231</v>
      </c>
      <c r="L475" s="950"/>
      <c r="N475" s="21"/>
      <c r="O475" s="21"/>
      <c r="T475" s="947" t="s">
        <v>6145</v>
      </c>
      <c r="U475" s="951">
        <v>0.29652777777777778</v>
      </c>
      <c r="V475" s="951">
        <v>0.66666666666666663</v>
      </c>
    </row>
    <row r="476" spans="1:22" s="926" customFormat="1" x14ac:dyDescent="0.25">
      <c r="A476" s="925" t="s">
        <v>6351</v>
      </c>
      <c r="B476" s="926" t="s">
        <v>2227</v>
      </c>
      <c r="C476" s="928" t="s">
        <v>4437</v>
      </c>
      <c r="D476" s="927">
        <v>45815</v>
      </c>
      <c r="E476" s="928"/>
      <c r="F476" s="928" t="s">
        <v>106</v>
      </c>
      <c r="H476" s="926" t="s">
        <v>279</v>
      </c>
      <c r="K476" s="932">
        <v>28000</v>
      </c>
      <c r="L476" s="932"/>
      <c r="N476"/>
      <c r="O476"/>
      <c r="T476" s="926" t="s">
        <v>6349</v>
      </c>
      <c r="U476" s="931">
        <v>0.5</v>
      </c>
      <c r="V476" s="931">
        <v>0.66805555555555562</v>
      </c>
    </row>
    <row r="477" spans="1:22" s="33" customFormat="1" x14ac:dyDescent="0.25">
      <c r="A477" s="547" t="s">
        <v>6351</v>
      </c>
      <c r="B477" s="33" t="s">
        <v>3640</v>
      </c>
      <c r="C477" s="306" t="s">
        <v>278</v>
      </c>
      <c r="D477" s="548">
        <v>45815</v>
      </c>
      <c r="E477" s="306"/>
      <c r="F477" s="306" t="s">
        <v>236</v>
      </c>
      <c r="H477" s="33" t="s">
        <v>279</v>
      </c>
      <c r="K477" s="933"/>
      <c r="L477" s="933">
        <v>14160</v>
      </c>
      <c r="N477"/>
      <c r="O477"/>
      <c r="T477" s="33" t="s">
        <v>5026</v>
      </c>
      <c r="U477" s="550">
        <v>0.61527777777777781</v>
      </c>
      <c r="V477" s="550">
        <v>0.88750000000000007</v>
      </c>
    </row>
    <row r="478" spans="1:22" s="926" customFormat="1" x14ac:dyDescent="0.25">
      <c r="A478" s="925" t="s">
        <v>6355</v>
      </c>
      <c r="B478" s="926" t="s">
        <v>930</v>
      </c>
      <c r="C478" s="928" t="s">
        <v>4437</v>
      </c>
      <c r="D478" s="927">
        <v>45816</v>
      </c>
      <c r="E478" s="928"/>
      <c r="F478" s="928" t="s">
        <v>294</v>
      </c>
      <c r="H478" s="926" t="s">
        <v>279</v>
      </c>
      <c r="K478" s="932">
        <v>33182</v>
      </c>
      <c r="L478" s="932"/>
      <c r="N478"/>
      <c r="O478"/>
      <c r="T478" s="926" t="s">
        <v>6356</v>
      </c>
      <c r="U478" s="931">
        <v>0.29305555555555557</v>
      </c>
      <c r="V478" s="931">
        <v>0.46875</v>
      </c>
    </row>
    <row r="479" spans="1:22" s="926" customFormat="1" x14ac:dyDescent="0.25">
      <c r="A479" s="925" t="s">
        <v>6355</v>
      </c>
      <c r="B479" s="926" t="s">
        <v>1720</v>
      </c>
      <c r="C479" s="928" t="s">
        <v>4437</v>
      </c>
      <c r="D479" s="927">
        <v>45816</v>
      </c>
      <c r="E479" s="928"/>
      <c r="F479" s="928" t="s">
        <v>545</v>
      </c>
      <c r="H479" s="926" t="s">
        <v>279</v>
      </c>
      <c r="K479" s="932">
        <v>34456</v>
      </c>
      <c r="L479" s="932"/>
      <c r="N479"/>
      <c r="O479"/>
      <c r="T479" s="926" t="s">
        <v>6356</v>
      </c>
      <c r="U479" s="931">
        <v>0.54652777777777783</v>
      </c>
      <c r="V479" s="931">
        <v>0.71319444444444446</v>
      </c>
    </row>
    <row r="480" spans="1:22" s="926" customFormat="1" x14ac:dyDescent="0.25">
      <c r="A480" s="925" t="s">
        <v>6354</v>
      </c>
      <c r="B480" s="926" t="s">
        <v>610</v>
      </c>
      <c r="C480" s="928" t="s">
        <v>278</v>
      </c>
      <c r="D480" s="927">
        <v>45817</v>
      </c>
      <c r="E480" s="928"/>
      <c r="F480" s="928" t="s">
        <v>106</v>
      </c>
      <c r="H480" s="926" t="s">
        <v>279</v>
      </c>
      <c r="K480" s="930">
        <v>29770</v>
      </c>
      <c r="L480" s="932"/>
      <c r="N480"/>
      <c r="O480" t="s">
        <v>6150</v>
      </c>
      <c r="P480" s="944"/>
      <c r="Q480" s="944"/>
      <c r="T480" s="926" t="s">
        <v>6150</v>
      </c>
      <c r="U480" s="931">
        <v>0.47222222222222227</v>
      </c>
      <c r="V480" s="931">
        <v>0.6430555555555556</v>
      </c>
    </row>
    <row r="481" spans="1:22" s="926" customFormat="1" x14ac:dyDescent="0.25">
      <c r="A481" s="925" t="s">
        <v>6371</v>
      </c>
      <c r="B481" s="926" t="s">
        <v>614</v>
      </c>
      <c r="C481" s="928" t="s">
        <v>278</v>
      </c>
      <c r="D481" s="927">
        <v>45818</v>
      </c>
      <c r="E481" s="928"/>
      <c r="F481" s="928" t="s">
        <v>285</v>
      </c>
      <c r="H481" s="926" t="s">
        <v>279</v>
      </c>
      <c r="K481" s="932">
        <v>46020</v>
      </c>
      <c r="L481" s="932"/>
      <c r="N481"/>
      <c r="O481"/>
      <c r="T481" s="926" t="s">
        <v>5021</v>
      </c>
      <c r="U481" s="931">
        <v>0.30208333333333331</v>
      </c>
      <c r="V481" s="931">
        <v>0.53680555555555554</v>
      </c>
    </row>
    <row r="482" spans="1:22" s="926" customFormat="1" x14ac:dyDescent="0.25">
      <c r="A482" s="925" t="s">
        <v>6371</v>
      </c>
      <c r="B482" s="926" t="s">
        <v>614</v>
      </c>
      <c r="C482" s="928" t="s">
        <v>660</v>
      </c>
      <c r="D482" s="927">
        <v>45818</v>
      </c>
      <c r="E482" s="928"/>
      <c r="F482" s="928" t="s">
        <v>285</v>
      </c>
      <c r="H482" s="926" t="s">
        <v>279</v>
      </c>
      <c r="K482" s="932">
        <v>46020</v>
      </c>
      <c r="L482" s="932"/>
      <c r="N482"/>
      <c r="O482"/>
      <c r="T482" s="926" t="s">
        <v>6282</v>
      </c>
      <c r="U482" s="931">
        <v>0.34097222222222223</v>
      </c>
      <c r="V482" s="931">
        <v>0.56597222222222221</v>
      </c>
    </row>
    <row r="483" spans="1:22" s="926" customFormat="1" x14ac:dyDescent="0.25">
      <c r="A483" s="925" t="s">
        <v>6371</v>
      </c>
      <c r="B483" s="926" t="s">
        <v>1720</v>
      </c>
      <c r="C483" s="928" t="s">
        <v>278</v>
      </c>
      <c r="D483" s="927">
        <v>45818</v>
      </c>
      <c r="E483" s="928"/>
      <c r="F483" s="928" t="s">
        <v>545</v>
      </c>
      <c r="H483" s="926" t="s">
        <v>279</v>
      </c>
      <c r="K483" s="932">
        <v>34456</v>
      </c>
      <c r="L483" s="932"/>
      <c r="N483"/>
      <c r="O483"/>
      <c r="T483" s="926" t="s">
        <v>5393</v>
      </c>
      <c r="U483" s="931">
        <v>0.64097222222222217</v>
      </c>
      <c r="V483" s="931">
        <v>0.81458333333333333</v>
      </c>
    </row>
    <row r="484" spans="1:22" s="926" customFormat="1" x14ac:dyDescent="0.25">
      <c r="A484" s="925" t="s">
        <v>6372</v>
      </c>
      <c r="B484" s="926" t="s">
        <v>1720</v>
      </c>
      <c r="C484" s="928" t="s">
        <v>660</v>
      </c>
      <c r="D484" s="927">
        <v>45819</v>
      </c>
      <c r="E484" s="928"/>
      <c r="F484" s="928" t="s">
        <v>545</v>
      </c>
      <c r="H484" s="926" t="s">
        <v>279</v>
      </c>
      <c r="K484" s="932">
        <v>34456</v>
      </c>
      <c r="L484" s="932"/>
      <c r="N484"/>
      <c r="O484"/>
      <c r="T484" s="926" t="s">
        <v>6349</v>
      </c>
      <c r="U484" s="931">
        <v>0.75416666666666676</v>
      </c>
      <c r="V484" s="931">
        <v>0.92152777777777783</v>
      </c>
    </row>
    <row r="485" spans="1:22" s="926" customFormat="1" x14ac:dyDescent="0.25">
      <c r="A485" s="925" t="s">
        <v>6373</v>
      </c>
      <c r="B485" s="926" t="s">
        <v>875</v>
      </c>
      <c r="C485" s="928" t="s">
        <v>278</v>
      </c>
      <c r="D485" s="927">
        <v>45820</v>
      </c>
      <c r="E485" s="928"/>
      <c r="F485" s="928" t="s">
        <v>2036</v>
      </c>
      <c r="H485" s="926" t="s">
        <v>279</v>
      </c>
      <c r="K485" s="932">
        <v>58231</v>
      </c>
      <c r="L485" s="932"/>
      <c r="N485"/>
      <c r="O485"/>
      <c r="T485" s="926" t="s">
        <v>6150</v>
      </c>
      <c r="U485" s="931">
        <v>0.31180555555555556</v>
      </c>
      <c r="V485" s="931">
        <v>0.4513888888888889</v>
      </c>
    </row>
    <row r="486" spans="1:22" s="926" customFormat="1" x14ac:dyDescent="0.25">
      <c r="A486" s="925" t="s">
        <v>6373</v>
      </c>
      <c r="B486" s="926" t="s">
        <v>875</v>
      </c>
      <c r="C486" s="928" t="s">
        <v>4437</v>
      </c>
      <c r="D486" s="927">
        <v>45820</v>
      </c>
      <c r="E486" s="928"/>
      <c r="F486" s="928" t="s">
        <v>2036</v>
      </c>
      <c r="H486" s="926" t="s">
        <v>279</v>
      </c>
      <c r="K486" s="932">
        <v>58231</v>
      </c>
      <c r="L486" s="932"/>
      <c r="N486"/>
      <c r="O486"/>
      <c r="T486" s="926" t="s">
        <v>6214</v>
      </c>
      <c r="U486" s="931">
        <v>0.31875000000000003</v>
      </c>
      <c r="V486" s="931">
        <v>0.4777777777777778</v>
      </c>
    </row>
    <row r="487" spans="1:22" s="926" customFormat="1" hidden="1" x14ac:dyDescent="0.25">
      <c r="A487" s="925" t="s">
        <v>6373</v>
      </c>
      <c r="B487" s="926" t="s">
        <v>608</v>
      </c>
      <c r="C487" s="928" t="s">
        <v>278</v>
      </c>
      <c r="D487" s="927">
        <v>45820</v>
      </c>
      <c r="E487" s="928"/>
      <c r="F487" s="928" t="s">
        <v>236</v>
      </c>
      <c r="H487" s="926" t="s">
        <v>5224</v>
      </c>
      <c r="K487" s="932">
        <v>49173</v>
      </c>
      <c r="L487" s="932"/>
      <c r="N487"/>
      <c r="O487"/>
      <c r="T487" s="926" t="s">
        <v>6349</v>
      </c>
      <c r="U487" s="931">
        <v>0.52638888888888891</v>
      </c>
      <c r="V487" s="944">
        <v>20.27</v>
      </c>
    </row>
    <row r="488" spans="1:22" s="926" customFormat="1" x14ac:dyDescent="0.25">
      <c r="A488" s="925" t="s">
        <v>6373</v>
      </c>
      <c r="B488" s="926" t="s">
        <v>1720</v>
      </c>
      <c r="C488" s="928" t="s">
        <v>4437</v>
      </c>
      <c r="D488" s="927">
        <v>45820</v>
      </c>
      <c r="E488" s="928"/>
      <c r="F488" s="928" t="s">
        <v>545</v>
      </c>
      <c r="H488" s="926" t="s">
        <v>279</v>
      </c>
      <c r="K488" s="932">
        <v>34456</v>
      </c>
      <c r="L488" s="932"/>
      <c r="N488"/>
      <c r="O488"/>
      <c r="T488" s="926" t="s">
        <v>1506</v>
      </c>
      <c r="U488" s="931">
        <v>0.7270833333333333</v>
      </c>
      <c r="V488" s="931">
        <v>0.90763888888888899</v>
      </c>
    </row>
    <row r="489" spans="1:22" s="926" customFormat="1" x14ac:dyDescent="0.25">
      <c r="A489" s="925" t="s">
        <v>6382</v>
      </c>
      <c r="B489" s="926" t="s">
        <v>608</v>
      </c>
      <c r="C489" s="928" t="s">
        <v>278</v>
      </c>
      <c r="D489" s="927">
        <v>45821</v>
      </c>
      <c r="E489" s="928"/>
      <c r="F489" s="928" t="s">
        <v>236</v>
      </c>
      <c r="H489" s="926" t="s">
        <v>279</v>
      </c>
      <c r="K489" s="932">
        <v>58231</v>
      </c>
      <c r="L489" s="932"/>
      <c r="N489"/>
      <c r="O489"/>
      <c r="T489" s="926" t="s">
        <v>5393</v>
      </c>
      <c r="U489" s="931">
        <v>0.42222222222222222</v>
      </c>
      <c r="V489" s="931">
        <v>0.70138888888888884</v>
      </c>
    </row>
    <row r="490" spans="1:22" s="926" customFormat="1" x14ac:dyDescent="0.25">
      <c r="A490" s="925" t="s">
        <v>6382</v>
      </c>
      <c r="B490" s="926" t="s">
        <v>608</v>
      </c>
      <c r="C490" s="928" t="s">
        <v>4437</v>
      </c>
      <c r="D490" s="927">
        <v>45821</v>
      </c>
      <c r="E490" s="928"/>
      <c r="F490" s="928" t="s">
        <v>236</v>
      </c>
      <c r="H490" s="926" t="s">
        <v>279</v>
      </c>
      <c r="K490" s="932">
        <v>58231</v>
      </c>
      <c r="L490" s="932"/>
      <c r="N490"/>
      <c r="O490"/>
      <c r="T490" s="926" t="s">
        <v>6347</v>
      </c>
      <c r="U490" s="931">
        <v>0.64583333333333337</v>
      </c>
      <c r="V490" s="931">
        <v>0.91875000000000007</v>
      </c>
    </row>
    <row r="491" spans="1:22" s="926" customFormat="1" x14ac:dyDescent="0.25">
      <c r="A491" s="925" t="s">
        <v>6417</v>
      </c>
      <c r="B491" s="926" t="s">
        <v>610</v>
      </c>
      <c r="C491" s="928" t="s">
        <v>278</v>
      </c>
      <c r="D491" s="927">
        <v>45822</v>
      </c>
      <c r="E491" s="928"/>
      <c r="F491" s="928" t="s">
        <v>106</v>
      </c>
      <c r="H491" s="926" t="s">
        <v>279</v>
      </c>
      <c r="K491" s="932">
        <v>29770</v>
      </c>
      <c r="L491" s="932"/>
      <c r="N491"/>
      <c r="O491"/>
      <c r="T491" s="926" t="s">
        <v>5131</v>
      </c>
      <c r="U491" s="931">
        <v>0.2673611111111111</v>
      </c>
      <c r="V491" s="931">
        <v>0.46597222222222223</v>
      </c>
    </row>
    <row r="492" spans="1:22" s="926" customFormat="1" x14ac:dyDescent="0.25">
      <c r="A492" s="925" t="s">
        <v>6417</v>
      </c>
      <c r="B492" s="926" t="s">
        <v>930</v>
      </c>
      <c r="C492" s="928" t="s">
        <v>4437</v>
      </c>
      <c r="D492" s="927">
        <v>45822</v>
      </c>
      <c r="E492" s="928"/>
      <c r="F492" s="928" t="s">
        <v>294</v>
      </c>
      <c r="H492" s="926" t="s">
        <v>279</v>
      </c>
      <c r="K492" s="932">
        <v>33182</v>
      </c>
      <c r="L492" s="932"/>
      <c r="N492"/>
      <c r="O492"/>
      <c r="T492" s="926" t="s">
        <v>4853</v>
      </c>
      <c r="U492" s="931">
        <v>0.30902777777777779</v>
      </c>
      <c r="V492" s="931">
        <v>0.50347222222222221</v>
      </c>
    </row>
    <row r="493" spans="1:22" s="926" customFormat="1" x14ac:dyDescent="0.25">
      <c r="A493" s="925" t="s">
        <v>6417</v>
      </c>
      <c r="B493" s="926" t="s">
        <v>614</v>
      </c>
      <c r="C493" s="928" t="s">
        <v>660</v>
      </c>
      <c r="D493" s="927">
        <v>45822</v>
      </c>
      <c r="E493" s="928"/>
      <c r="F493" s="928" t="s">
        <v>68</v>
      </c>
      <c r="H493" s="926" t="s">
        <v>279</v>
      </c>
      <c r="K493" s="932">
        <v>44840</v>
      </c>
      <c r="L493" s="932"/>
      <c r="N493"/>
      <c r="O493"/>
      <c r="T493" s="926" t="s">
        <v>5891</v>
      </c>
      <c r="U493" s="931">
        <v>0.33263888888888887</v>
      </c>
      <c r="V493" s="931">
        <v>0.57986111111111105</v>
      </c>
    </row>
    <row r="494" spans="1:22" s="926" customFormat="1" x14ac:dyDescent="0.25">
      <c r="A494" s="925" t="s">
        <v>6417</v>
      </c>
      <c r="B494" s="926" t="s">
        <v>3007</v>
      </c>
      <c r="C494" s="928" t="s">
        <v>278</v>
      </c>
      <c r="D494" s="927">
        <v>45822</v>
      </c>
      <c r="E494" s="928"/>
      <c r="F494" s="928" t="s">
        <v>106</v>
      </c>
      <c r="H494" s="926" t="s">
        <v>279</v>
      </c>
      <c r="J494" s="1076"/>
      <c r="K494" s="932">
        <v>28000</v>
      </c>
      <c r="L494" s="932"/>
      <c r="N494"/>
      <c r="O494"/>
      <c r="T494" s="926" t="s">
        <v>5131</v>
      </c>
      <c r="U494" s="931">
        <v>0.53472222222222221</v>
      </c>
      <c r="V494" s="931">
        <v>0.67638888888888893</v>
      </c>
    </row>
    <row r="495" spans="1:22" s="926" customFormat="1" hidden="1" x14ac:dyDescent="0.25">
      <c r="A495" s="925" t="s">
        <v>6417</v>
      </c>
      <c r="B495" s="926" t="s">
        <v>1720</v>
      </c>
      <c r="C495" s="928" t="s">
        <v>278</v>
      </c>
      <c r="D495" s="927">
        <v>45822</v>
      </c>
      <c r="E495" s="928"/>
      <c r="F495" s="928" t="s">
        <v>545</v>
      </c>
      <c r="H495" s="926" t="s">
        <v>277</v>
      </c>
      <c r="K495" s="932">
        <v>25016</v>
      </c>
      <c r="L495" s="932"/>
      <c r="N495"/>
      <c r="O495"/>
      <c r="T495" s="926" t="s">
        <v>6145</v>
      </c>
      <c r="U495" s="931">
        <v>0.85833333333333339</v>
      </c>
      <c r="V495" s="931">
        <v>0.99444444444444446</v>
      </c>
    </row>
    <row r="496" spans="1:22" s="926" customFormat="1" x14ac:dyDescent="0.25">
      <c r="A496" s="925" t="s">
        <v>6418</v>
      </c>
      <c r="B496" s="926" t="s">
        <v>6420</v>
      </c>
      <c r="C496" s="928" t="s">
        <v>4437</v>
      </c>
      <c r="D496" s="927">
        <v>45824</v>
      </c>
      <c r="E496" s="928"/>
      <c r="F496" s="928" t="s">
        <v>68</v>
      </c>
      <c r="H496" s="926" t="s">
        <v>279</v>
      </c>
      <c r="K496" s="932"/>
      <c r="L496" s="932">
        <v>11210</v>
      </c>
      <c r="N496"/>
      <c r="O496"/>
      <c r="T496" s="926" t="s">
        <v>4140</v>
      </c>
      <c r="U496" s="931">
        <v>0.3430555555555555</v>
      </c>
      <c r="V496" s="931">
        <v>0.62222222222222223</v>
      </c>
    </row>
    <row r="497" spans="1:22" s="926" customFormat="1" x14ac:dyDescent="0.25">
      <c r="A497" s="925" t="s">
        <v>6418</v>
      </c>
      <c r="B497" s="926" t="s">
        <v>6420</v>
      </c>
      <c r="C497" s="928" t="s">
        <v>278</v>
      </c>
      <c r="D497" s="927">
        <v>45824</v>
      </c>
      <c r="E497" s="928"/>
      <c r="F497" s="928" t="s">
        <v>113</v>
      </c>
      <c r="H497" s="926" t="s">
        <v>279</v>
      </c>
      <c r="K497" s="932"/>
      <c r="L497" s="932">
        <v>9640.6</v>
      </c>
      <c r="N497"/>
      <c r="O497"/>
      <c r="T497" s="926" t="s">
        <v>6419</v>
      </c>
      <c r="U497" s="931">
        <v>0.37708333333333338</v>
      </c>
      <c r="V497" s="931">
        <v>0.59583333333333333</v>
      </c>
    </row>
    <row r="498" spans="1:22" s="926" customFormat="1" x14ac:dyDescent="0.25">
      <c r="A498" s="925" t="s">
        <v>6447</v>
      </c>
      <c r="B498" s="926" t="s">
        <v>875</v>
      </c>
      <c r="C498" s="928" t="s">
        <v>4437</v>
      </c>
      <c r="D498" s="927">
        <v>45825</v>
      </c>
      <c r="E498" s="928"/>
      <c r="F498" s="928" t="s">
        <v>2036</v>
      </c>
      <c r="H498" s="926" t="s">
        <v>279</v>
      </c>
      <c r="K498" s="932">
        <v>26904</v>
      </c>
      <c r="L498" s="932"/>
      <c r="N498"/>
      <c r="O498"/>
      <c r="T498" s="926" t="s">
        <v>5131</v>
      </c>
      <c r="U498" s="931">
        <v>0.39027777777777778</v>
      </c>
      <c r="V498" s="931">
        <v>0.52916666666666667</v>
      </c>
    </row>
    <row r="499" spans="1:22" s="33" customFormat="1" x14ac:dyDescent="0.25">
      <c r="A499" s="547" t="s">
        <v>6447</v>
      </c>
      <c r="B499" s="33" t="s">
        <v>3083</v>
      </c>
      <c r="C499" s="306" t="s">
        <v>278</v>
      </c>
      <c r="D499" s="548">
        <v>45825</v>
      </c>
      <c r="E499" s="306"/>
      <c r="F499" s="306" t="s">
        <v>2253</v>
      </c>
      <c r="H499" s="33" t="s">
        <v>279</v>
      </c>
      <c r="K499" s="933">
        <v>58824</v>
      </c>
      <c r="L499" s="933"/>
      <c r="N499"/>
      <c r="O499"/>
      <c r="T499" s="33" t="s">
        <v>5989</v>
      </c>
      <c r="U499" s="550">
        <v>0.4201388888888889</v>
      </c>
      <c r="V499" s="432">
        <v>19.29</v>
      </c>
    </row>
    <row r="500" spans="1:22" s="926" customFormat="1" x14ac:dyDescent="0.25">
      <c r="A500" s="925" t="s">
        <v>6447</v>
      </c>
      <c r="B500" s="926" t="s">
        <v>6448</v>
      </c>
      <c r="C500" s="928" t="s">
        <v>660</v>
      </c>
      <c r="D500" s="927">
        <v>45825</v>
      </c>
      <c r="E500" s="928"/>
      <c r="F500" s="928" t="s">
        <v>113</v>
      </c>
      <c r="H500" s="926" t="s">
        <v>279</v>
      </c>
      <c r="K500" s="932">
        <v>39069</v>
      </c>
      <c r="L500" s="932"/>
      <c r="N500"/>
      <c r="O500"/>
      <c r="T500" s="926" t="s">
        <v>6349</v>
      </c>
      <c r="U500" s="931">
        <v>0.4465277777777778</v>
      </c>
      <c r="V500" s="931">
        <v>0.65694444444444444</v>
      </c>
    </row>
    <row r="501" spans="1:22" s="926" customFormat="1" x14ac:dyDescent="0.25">
      <c r="A501" s="925" t="s">
        <v>6447</v>
      </c>
      <c r="B501" s="926" t="s">
        <v>608</v>
      </c>
      <c r="C501" s="928" t="s">
        <v>4437</v>
      </c>
      <c r="D501" s="927">
        <v>45825</v>
      </c>
      <c r="E501" s="928"/>
      <c r="F501" s="928" t="s">
        <v>236</v>
      </c>
      <c r="H501" s="926" t="s">
        <v>279</v>
      </c>
      <c r="K501" s="932">
        <v>58231</v>
      </c>
      <c r="L501" s="932"/>
      <c r="N501"/>
      <c r="O501"/>
      <c r="T501" s="926" t="s">
        <v>5131</v>
      </c>
      <c r="U501" s="931">
        <v>0.5708333333333333</v>
      </c>
      <c r="V501" s="931">
        <v>0.84097222222222223</v>
      </c>
    </row>
    <row r="502" spans="1:22" s="926" customFormat="1" hidden="1" x14ac:dyDescent="0.25">
      <c r="A502" s="925" t="s">
        <v>6450</v>
      </c>
      <c r="B502" s="926" t="s">
        <v>608</v>
      </c>
      <c r="C502" s="928" t="s">
        <v>660</v>
      </c>
      <c r="D502" s="927">
        <v>45826</v>
      </c>
      <c r="E502" s="928"/>
      <c r="F502" s="928" t="s">
        <v>236</v>
      </c>
      <c r="H502" s="926" t="s">
        <v>5224</v>
      </c>
      <c r="K502" s="932">
        <v>49173</v>
      </c>
      <c r="L502" s="932"/>
      <c r="N502"/>
      <c r="O502"/>
      <c r="T502" s="926" t="s">
        <v>6145</v>
      </c>
      <c r="U502" s="931">
        <v>0.38472222222222219</v>
      </c>
      <c r="V502" s="931">
        <v>0.21388888888888891</v>
      </c>
    </row>
    <row r="503" spans="1:22" s="33" customFormat="1" x14ac:dyDescent="0.25">
      <c r="A503" s="547" t="s">
        <v>6450</v>
      </c>
      <c r="B503" s="33" t="s">
        <v>4736</v>
      </c>
      <c r="C503" s="306" t="s">
        <v>4437</v>
      </c>
      <c r="D503" s="548">
        <v>45826</v>
      </c>
      <c r="E503" s="306"/>
      <c r="F503" s="306" t="s">
        <v>798</v>
      </c>
      <c r="H503" s="33" t="s">
        <v>279</v>
      </c>
      <c r="K503" s="933">
        <v>26950</v>
      </c>
      <c r="L503" s="933"/>
      <c r="N503"/>
      <c r="O503"/>
      <c r="T503" s="33" t="s">
        <v>5891</v>
      </c>
      <c r="U503" s="550">
        <v>0.41666666666666669</v>
      </c>
      <c r="V503" s="550">
        <v>0.5805555555555556</v>
      </c>
    </row>
    <row r="504" spans="1:22" s="926" customFormat="1" x14ac:dyDescent="0.25">
      <c r="A504" s="925" t="s">
        <v>6450</v>
      </c>
      <c r="B504" s="926" t="s">
        <v>2938</v>
      </c>
      <c r="C504" s="928" t="s">
        <v>660</v>
      </c>
      <c r="D504" s="927">
        <v>45826</v>
      </c>
      <c r="E504" s="928"/>
      <c r="F504" s="928" t="s">
        <v>113</v>
      </c>
      <c r="H504" s="926" t="s">
        <v>279</v>
      </c>
      <c r="K504" s="932">
        <v>38565</v>
      </c>
      <c r="L504" s="932"/>
      <c r="N504"/>
      <c r="O504"/>
      <c r="T504" s="926" t="s">
        <v>4867</v>
      </c>
      <c r="U504" s="931">
        <v>0.37708333333333338</v>
      </c>
      <c r="V504" s="931">
        <v>0.53611111111111109</v>
      </c>
    </row>
    <row r="505" spans="1:22" s="926" customFormat="1" hidden="1" x14ac:dyDescent="0.25">
      <c r="A505" s="925" t="s">
        <v>6450</v>
      </c>
      <c r="B505" s="926" t="s">
        <v>6451</v>
      </c>
      <c r="C505" s="928" t="s">
        <v>660</v>
      </c>
      <c r="D505" s="927">
        <v>45826</v>
      </c>
      <c r="E505" s="928"/>
      <c r="F505" s="928" t="s">
        <v>294</v>
      </c>
      <c r="H505" s="926" t="s">
        <v>277</v>
      </c>
      <c r="K505" s="932">
        <v>24886</v>
      </c>
      <c r="L505" s="932"/>
      <c r="N505"/>
      <c r="O505"/>
      <c r="T505" s="926" t="s">
        <v>4867</v>
      </c>
      <c r="U505" s="931">
        <v>0.58194444444444449</v>
      </c>
      <c r="V505" s="931">
        <v>0.75</v>
      </c>
    </row>
    <row r="506" spans="1:22" s="926" customFormat="1" x14ac:dyDescent="0.25">
      <c r="A506" s="925" t="s">
        <v>6452</v>
      </c>
      <c r="B506" s="926" t="s">
        <v>5093</v>
      </c>
      <c r="C506" s="928" t="s">
        <v>278</v>
      </c>
      <c r="D506" s="927">
        <v>45827</v>
      </c>
      <c r="E506" s="928"/>
      <c r="F506" s="928" t="s">
        <v>5326</v>
      </c>
      <c r="H506" s="926" t="s">
        <v>279</v>
      </c>
      <c r="K506" s="932">
        <v>34500</v>
      </c>
      <c r="L506" s="932"/>
      <c r="N506"/>
      <c r="O506"/>
      <c r="T506" s="926" t="s">
        <v>4297</v>
      </c>
      <c r="U506" s="931">
        <v>0.35555555555555557</v>
      </c>
      <c r="V506" s="931">
        <v>0.59513888888888888</v>
      </c>
    </row>
    <row r="507" spans="1:22" s="926" customFormat="1" x14ac:dyDescent="0.25">
      <c r="A507" s="925">
        <v>20062025</v>
      </c>
      <c r="B507" s="926" t="s">
        <v>6466</v>
      </c>
      <c r="C507" s="928" t="s">
        <v>4437</v>
      </c>
      <c r="D507" s="927">
        <v>45828</v>
      </c>
      <c r="E507" s="928"/>
      <c r="F507" s="928" t="s">
        <v>1931</v>
      </c>
      <c r="H507" s="926" t="s">
        <v>279</v>
      </c>
      <c r="K507" s="932">
        <v>55224</v>
      </c>
      <c r="L507" s="932"/>
      <c r="N507"/>
      <c r="O507"/>
      <c r="T507" s="926" t="s">
        <v>6151</v>
      </c>
      <c r="U507" s="931">
        <v>0.32291666666666669</v>
      </c>
      <c r="V507" s="931">
        <v>0.65833333333333333</v>
      </c>
    </row>
    <row r="508" spans="1:22" s="926" customFormat="1" hidden="1" x14ac:dyDescent="0.25">
      <c r="A508" s="925">
        <v>20062025</v>
      </c>
      <c r="B508" s="926" t="s">
        <v>1720</v>
      </c>
      <c r="C508" s="928" t="s">
        <v>660</v>
      </c>
      <c r="D508" s="927">
        <v>45828</v>
      </c>
      <c r="E508" s="928"/>
      <c r="F508" s="927" t="s">
        <v>545</v>
      </c>
      <c r="H508" s="926" t="s">
        <v>277</v>
      </c>
      <c r="K508" s="932">
        <v>25016</v>
      </c>
      <c r="L508" s="932"/>
      <c r="N508"/>
      <c r="O508"/>
      <c r="T508" s="926" t="s">
        <v>5131</v>
      </c>
      <c r="U508" s="931">
        <v>0.65833333333333333</v>
      </c>
      <c r="V508" s="931">
        <v>0.76944444444444438</v>
      </c>
    </row>
    <row r="509" spans="1:22" s="33" customFormat="1" x14ac:dyDescent="0.25">
      <c r="A509" s="547">
        <v>20062025</v>
      </c>
      <c r="B509" s="33" t="s">
        <v>930</v>
      </c>
      <c r="C509" s="306" t="s">
        <v>4437</v>
      </c>
      <c r="D509" s="548">
        <v>45828</v>
      </c>
      <c r="E509" s="306"/>
      <c r="F509" s="306" t="s">
        <v>295</v>
      </c>
      <c r="H509" s="33" t="s">
        <v>279</v>
      </c>
      <c r="K509" s="933">
        <v>43450</v>
      </c>
      <c r="L509" s="933"/>
      <c r="N509"/>
      <c r="O509"/>
      <c r="T509" s="33" t="s">
        <v>6356</v>
      </c>
      <c r="U509" s="550">
        <v>0.72013888888888899</v>
      </c>
      <c r="V509" s="550">
        <v>4.4444444444444446E-2</v>
      </c>
    </row>
    <row r="510" spans="1:22" s="926" customFormat="1" x14ac:dyDescent="0.25">
      <c r="A510" s="925">
        <v>21062025</v>
      </c>
      <c r="B510" s="926" t="s">
        <v>4137</v>
      </c>
      <c r="C510" s="928" t="s">
        <v>278</v>
      </c>
      <c r="D510" s="927">
        <v>45829</v>
      </c>
      <c r="E510" s="928"/>
      <c r="F510" s="928" t="s">
        <v>106</v>
      </c>
      <c r="H510" s="926" t="s">
        <v>279</v>
      </c>
      <c r="K510" s="932">
        <v>28000</v>
      </c>
      <c r="L510" s="932"/>
      <c r="N510"/>
      <c r="O510"/>
      <c r="T510" s="926" t="s">
        <v>4297</v>
      </c>
      <c r="U510" s="931">
        <v>0.3125</v>
      </c>
      <c r="V510" s="931">
        <v>0.46666666666666662</v>
      </c>
    </row>
    <row r="511" spans="1:22" s="283" customFormat="1" x14ac:dyDescent="0.25">
      <c r="A511" s="598">
        <v>21062025</v>
      </c>
      <c r="B511" s="283" t="s">
        <v>2527</v>
      </c>
      <c r="C511" s="308" t="s">
        <v>660</v>
      </c>
      <c r="D511" s="599">
        <v>45829</v>
      </c>
      <c r="E511" s="308"/>
      <c r="F511" s="308" t="s">
        <v>285</v>
      </c>
      <c r="H511" s="283" t="s">
        <v>279</v>
      </c>
      <c r="K511" s="1077">
        <v>45428.75</v>
      </c>
      <c r="L511" s="1077"/>
      <c r="N511" s="13"/>
      <c r="O511" s="13"/>
      <c r="T511" s="283" t="s">
        <v>4983</v>
      </c>
      <c r="U511" s="600">
        <v>0.31944444444444448</v>
      </c>
      <c r="V511" s="600">
        <v>0.75347222222222221</v>
      </c>
    </row>
    <row r="512" spans="1:22" s="926" customFormat="1" x14ac:dyDescent="0.25">
      <c r="A512" s="925">
        <v>21062025</v>
      </c>
      <c r="B512" s="926" t="s">
        <v>608</v>
      </c>
      <c r="C512" s="928" t="s">
        <v>4437</v>
      </c>
      <c r="D512" s="927">
        <v>45829</v>
      </c>
      <c r="E512" s="928"/>
      <c r="F512" s="928" t="s">
        <v>236</v>
      </c>
      <c r="H512" s="926" t="s">
        <v>279</v>
      </c>
      <c r="K512" s="932">
        <v>58231</v>
      </c>
      <c r="L512" s="932"/>
      <c r="N512"/>
      <c r="O512"/>
      <c r="T512" s="926" t="s">
        <v>6282</v>
      </c>
      <c r="U512" s="931">
        <v>0.41805555555555557</v>
      </c>
      <c r="V512" s="931">
        <v>0.70624999999999993</v>
      </c>
    </row>
    <row r="513" spans="1:22" s="926" customFormat="1" x14ac:dyDescent="0.25">
      <c r="A513" s="925">
        <v>21062025</v>
      </c>
      <c r="B513" s="926" t="s">
        <v>3880</v>
      </c>
      <c r="C513" s="928" t="s">
        <v>278</v>
      </c>
      <c r="D513" s="927">
        <v>45829</v>
      </c>
      <c r="E513" s="928"/>
      <c r="F513" s="928" t="s">
        <v>545</v>
      </c>
      <c r="H513" s="926" t="s">
        <v>279</v>
      </c>
      <c r="K513" s="932">
        <v>32284.400000000001</v>
      </c>
      <c r="L513" s="932"/>
      <c r="N513"/>
      <c r="O513"/>
      <c r="T513" s="926" t="s">
        <v>6419</v>
      </c>
      <c r="U513" s="931">
        <v>0.75208333333333333</v>
      </c>
      <c r="V513" s="931">
        <v>0.92847222222222225</v>
      </c>
    </row>
    <row r="514" spans="1:22" s="926" customFormat="1" x14ac:dyDescent="0.25">
      <c r="A514" s="925">
        <v>22062025</v>
      </c>
      <c r="B514" s="926" t="s">
        <v>3880</v>
      </c>
      <c r="C514" s="928" t="s">
        <v>4437</v>
      </c>
      <c r="D514" s="927">
        <v>45830</v>
      </c>
      <c r="E514" s="928"/>
      <c r="F514" s="928" t="s">
        <v>545</v>
      </c>
      <c r="H514" s="926" t="s">
        <v>279</v>
      </c>
      <c r="K514" s="932">
        <v>32284.400000000001</v>
      </c>
      <c r="L514" s="932"/>
      <c r="N514"/>
      <c r="O514"/>
      <c r="T514" s="926" t="s">
        <v>6419</v>
      </c>
      <c r="U514" s="931">
        <v>0.44375000000000003</v>
      </c>
      <c r="V514" s="931">
        <v>3.4722222222222224E-2</v>
      </c>
    </row>
    <row r="515" spans="1:22" s="1278" customFormat="1" x14ac:dyDescent="0.25">
      <c r="A515" s="1277">
        <v>22062025</v>
      </c>
      <c r="B515" s="1278" t="s">
        <v>5910</v>
      </c>
      <c r="C515" s="1279" t="s">
        <v>278</v>
      </c>
      <c r="D515" s="1280">
        <v>45830</v>
      </c>
      <c r="E515" s="1279"/>
      <c r="F515" s="1279" t="s">
        <v>113</v>
      </c>
      <c r="H515" s="1278" t="s">
        <v>279</v>
      </c>
      <c r="K515" s="1284">
        <v>39255</v>
      </c>
      <c r="T515" s="1278" t="s">
        <v>4297</v>
      </c>
      <c r="U515" s="1285">
        <v>0.36388888888888887</v>
      </c>
      <c r="V515" s="1285">
        <v>0.56041666666666667</v>
      </c>
    </row>
    <row r="516" spans="1:22" s="33" customFormat="1" x14ac:dyDescent="0.25">
      <c r="A516" s="547">
        <v>22062025</v>
      </c>
      <c r="B516" s="33" t="s">
        <v>3640</v>
      </c>
      <c r="C516" s="306" t="s">
        <v>4437</v>
      </c>
      <c r="D516" s="548">
        <v>45830</v>
      </c>
      <c r="E516" s="306"/>
      <c r="F516" s="306" t="s">
        <v>2036</v>
      </c>
      <c r="H516" s="33" t="s">
        <v>279</v>
      </c>
      <c r="K516" s="933"/>
      <c r="L516" s="933">
        <v>7080</v>
      </c>
      <c r="N516"/>
      <c r="O516"/>
      <c r="T516" s="33" t="s">
        <v>3765</v>
      </c>
      <c r="U516" s="432">
        <v>11.16</v>
      </c>
      <c r="V516" s="550">
        <v>0.61597222222222225</v>
      </c>
    </row>
    <row r="517" spans="1:22" s="926" customFormat="1" x14ac:dyDescent="0.25">
      <c r="A517" s="925">
        <v>23062025</v>
      </c>
      <c r="B517" s="926" t="s">
        <v>572</v>
      </c>
      <c r="C517" s="928" t="s">
        <v>4437</v>
      </c>
      <c r="D517" s="927">
        <v>45831</v>
      </c>
      <c r="E517" s="928"/>
      <c r="F517" s="928" t="s">
        <v>68</v>
      </c>
      <c r="H517" s="926" t="s">
        <v>279</v>
      </c>
      <c r="K517" s="932"/>
      <c r="L517" s="932">
        <v>11800</v>
      </c>
      <c r="N517"/>
      <c r="O517"/>
      <c r="T517" s="926" t="s">
        <v>6419</v>
      </c>
      <c r="U517" s="944">
        <v>7.34</v>
      </c>
      <c r="V517" s="931">
        <v>0.64236111111111105</v>
      </c>
    </row>
    <row r="518" spans="1:22" s="926" customFormat="1" x14ac:dyDescent="0.25">
      <c r="A518" s="925">
        <v>23062025</v>
      </c>
      <c r="B518" s="926" t="s">
        <v>875</v>
      </c>
      <c r="C518" s="928" t="s">
        <v>278</v>
      </c>
      <c r="D518" s="927">
        <v>45831</v>
      </c>
      <c r="E518" s="928"/>
      <c r="F518" s="928" t="s">
        <v>2036</v>
      </c>
      <c r="H518" s="926" t="s">
        <v>279</v>
      </c>
      <c r="K518" s="932">
        <v>26904</v>
      </c>
      <c r="L518" s="932"/>
      <c r="N518"/>
      <c r="O518"/>
      <c r="T518" s="926" t="s">
        <v>4983</v>
      </c>
      <c r="U518" s="931">
        <v>0.41666666666666669</v>
      </c>
      <c r="V518" s="931">
        <v>0.57222222222222219</v>
      </c>
    </row>
    <row r="519" spans="1:22" s="926" customFormat="1" x14ac:dyDescent="0.25">
      <c r="A519" s="925">
        <v>24062025</v>
      </c>
      <c r="B519" s="926" t="s">
        <v>2956</v>
      </c>
      <c r="C519" s="928" t="s">
        <v>278</v>
      </c>
      <c r="D519" s="927">
        <v>45832</v>
      </c>
      <c r="E519" s="928"/>
      <c r="F519" s="928" t="s">
        <v>113</v>
      </c>
      <c r="H519" s="926" t="s">
        <v>279</v>
      </c>
      <c r="K519" s="932">
        <v>38565</v>
      </c>
      <c r="L519" s="932"/>
      <c r="N519"/>
      <c r="O519"/>
      <c r="T519" s="926" t="s">
        <v>4297</v>
      </c>
      <c r="U519" s="931">
        <v>0.39652777777777781</v>
      </c>
      <c r="V519" s="931">
        <v>0.57152777777777775</v>
      </c>
    </row>
    <row r="520" spans="1:22" s="33" customFormat="1" x14ac:dyDescent="0.25">
      <c r="A520" s="547">
        <v>24062025</v>
      </c>
      <c r="B520" s="33" t="s">
        <v>930</v>
      </c>
      <c r="C520" s="306" t="s">
        <v>4437</v>
      </c>
      <c r="D520" s="548">
        <v>45832</v>
      </c>
      <c r="E520" s="306"/>
      <c r="F520" s="306" t="s">
        <v>294</v>
      </c>
      <c r="H520" s="33" t="s">
        <v>279</v>
      </c>
      <c r="K520" s="933">
        <v>33182</v>
      </c>
      <c r="L520" s="933"/>
      <c r="N520"/>
      <c r="O520"/>
      <c r="T520" s="33" t="s">
        <v>6214</v>
      </c>
      <c r="U520" s="550">
        <v>0.43472222222222223</v>
      </c>
      <c r="V520" s="550">
        <v>0.69097222222222221</v>
      </c>
    </row>
    <row r="521" spans="1:22" s="926" customFormat="1" x14ac:dyDescent="0.25">
      <c r="A521" s="925">
        <v>24062025</v>
      </c>
      <c r="B521" s="926" t="s">
        <v>4193</v>
      </c>
      <c r="C521" s="928" t="s">
        <v>4437</v>
      </c>
      <c r="D521" s="927">
        <v>45832</v>
      </c>
      <c r="E521" s="928"/>
      <c r="F521" s="928" t="s">
        <v>236</v>
      </c>
      <c r="H521" s="926" t="s">
        <v>279</v>
      </c>
      <c r="K521" s="932">
        <v>51060.959999999999</v>
      </c>
      <c r="L521" s="932"/>
      <c r="N521"/>
      <c r="O521"/>
      <c r="T521" s="926" t="s">
        <v>4867</v>
      </c>
      <c r="U521" s="931">
        <v>0.76458333333333339</v>
      </c>
      <c r="V521" s="931">
        <v>4.3055555555555562E-2</v>
      </c>
    </row>
    <row r="522" spans="1:22" s="926" customFormat="1" x14ac:dyDescent="0.25">
      <c r="A522" s="925">
        <v>25062025</v>
      </c>
      <c r="B522" s="926" t="s">
        <v>2407</v>
      </c>
      <c r="C522" s="928" t="s">
        <v>4437</v>
      </c>
      <c r="D522" s="927">
        <v>45833</v>
      </c>
      <c r="E522" s="928"/>
      <c r="F522" s="928" t="s">
        <v>285</v>
      </c>
      <c r="H522" s="926" t="s">
        <v>279</v>
      </c>
      <c r="K522" s="932"/>
      <c r="L522" s="932">
        <v>11800</v>
      </c>
      <c r="N522"/>
      <c r="O522"/>
      <c r="T522" s="926" t="s">
        <v>3765</v>
      </c>
      <c r="U522" s="931">
        <v>0.31319444444444444</v>
      </c>
      <c r="V522" s="931">
        <v>0.58402777777777781</v>
      </c>
    </row>
    <row r="523" spans="1:22" s="33" customFormat="1" x14ac:dyDescent="0.25">
      <c r="A523" s="547">
        <v>25062025</v>
      </c>
      <c r="B523" s="33" t="s">
        <v>859</v>
      </c>
      <c r="C523" s="306" t="s">
        <v>278</v>
      </c>
      <c r="D523" s="548">
        <v>45833</v>
      </c>
      <c r="E523" s="306"/>
      <c r="F523" s="306" t="s">
        <v>5326</v>
      </c>
      <c r="H523" s="33" t="s">
        <v>279</v>
      </c>
      <c r="K523" s="933">
        <v>34500</v>
      </c>
      <c r="L523" s="933"/>
      <c r="N523"/>
      <c r="O523"/>
      <c r="T523" s="33" t="s">
        <v>6214</v>
      </c>
      <c r="U523" s="550">
        <v>0.31180555555555556</v>
      </c>
      <c r="V523" s="550">
        <v>0.48541666666666666</v>
      </c>
    </row>
    <row r="524" spans="1:22" s="33" customFormat="1" x14ac:dyDescent="0.25">
      <c r="A524" s="547">
        <v>25062025</v>
      </c>
      <c r="B524" s="33" t="s">
        <v>614</v>
      </c>
      <c r="C524" s="306" t="s">
        <v>278</v>
      </c>
      <c r="D524" s="548">
        <v>45833</v>
      </c>
      <c r="E524" s="306"/>
      <c r="F524" s="306" t="s">
        <v>106</v>
      </c>
      <c r="H524" s="33" t="s">
        <v>279</v>
      </c>
      <c r="K524" s="933">
        <v>31152</v>
      </c>
      <c r="L524" s="933"/>
      <c r="N524"/>
      <c r="O524"/>
      <c r="T524" s="33" t="s">
        <v>6214</v>
      </c>
      <c r="U524" s="550">
        <v>0.6333333333333333</v>
      </c>
      <c r="V524" s="550">
        <v>0.75277777777777777</v>
      </c>
    </row>
    <row r="525" spans="1:22" s="926" customFormat="1" x14ac:dyDescent="0.25">
      <c r="A525" s="925">
        <v>25062025</v>
      </c>
      <c r="B525" s="926" t="s">
        <v>608</v>
      </c>
      <c r="C525" s="928" t="s">
        <v>4437</v>
      </c>
      <c r="D525" s="927">
        <v>45833</v>
      </c>
      <c r="E525" s="928"/>
      <c r="F525" s="928" t="s">
        <v>236</v>
      </c>
      <c r="H525" s="926" t="s">
        <v>279</v>
      </c>
      <c r="K525" s="932">
        <v>58231</v>
      </c>
      <c r="L525" s="932"/>
      <c r="N525"/>
      <c r="O525"/>
      <c r="T525" s="926" t="s">
        <v>5021</v>
      </c>
      <c r="U525" s="931">
        <v>0.72222222222222221</v>
      </c>
      <c r="V525" s="931">
        <v>0</v>
      </c>
    </row>
    <row r="526" spans="1:22" s="926" customFormat="1" x14ac:dyDescent="0.25">
      <c r="A526" s="925">
        <v>26062025</v>
      </c>
      <c r="B526" s="926" t="s">
        <v>4137</v>
      </c>
      <c r="C526" s="928" t="s">
        <v>278</v>
      </c>
      <c r="D526" s="927">
        <v>45834</v>
      </c>
      <c r="E526" s="928"/>
      <c r="F526" s="928" t="s">
        <v>106</v>
      </c>
      <c r="H526" s="926" t="s">
        <v>279</v>
      </c>
      <c r="K526" s="932">
        <v>28000</v>
      </c>
      <c r="L526" s="932"/>
      <c r="N526"/>
      <c r="O526"/>
      <c r="T526" s="926" t="s">
        <v>6356</v>
      </c>
      <c r="U526" s="931">
        <v>0.26874999999999999</v>
      </c>
      <c r="V526" s="931">
        <v>0.42222222222222222</v>
      </c>
    </row>
    <row r="527" spans="1:22" s="926" customFormat="1" x14ac:dyDescent="0.25">
      <c r="A527" s="925">
        <v>26062025</v>
      </c>
      <c r="B527" s="926" t="s">
        <v>6491</v>
      </c>
      <c r="C527" s="928" t="s">
        <v>4437</v>
      </c>
      <c r="D527" s="927">
        <v>45834</v>
      </c>
      <c r="E527" s="928"/>
      <c r="F527" s="928" t="s">
        <v>285</v>
      </c>
      <c r="H527" s="926" t="s">
        <v>279</v>
      </c>
      <c r="K527" s="932">
        <f>41950+3150</f>
        <v>45100</v>
      </c>
      <c r="L527" s="932"/>
      <c r="N527"/>
      <c r="O527"/>
      <c r="T527" s="926" t="s">
        <v>4139</v>
      </c>
      <c r="U527" s="931">
        <v>0.39999999999999997</v>
      </c>
      <c r="V527" s="931">
        <v>0.72083333333333333</v>
      </c>
    </row>
    <row r="528" spans="1:22" s="33" customFormat="1" x14ac:dyDescent="0.25">
      <c r="A528" s="547">
        <v>27062025</v>
      </c>
      <c r="B528" s="33" t="s">
        <v>565</v>
      </c>
      <c r="C528" s="306" t="s">
        <v>278</v>
      </c>
      <c r="D528" s="548">
        <v>45835</v>
      </c>
      <c r="E528" s="306"/>
      <c r="F528" s="306" t="s">
        <v>545</v>
      </c>
      <c r="H528" s="33" t="s">
        <v>279</v>
      </c>
      <c r="K528" s="933">
        <v>32285</v>
      </c>
      <c r="L528" s="933"/>
      <c r="N528"/>
      <c r="O528"/>
      <c r="T528" s="33" t="s">
        <v>5020</v>
      </c>
      <c r="U528" s="550">
        <v>0.55763888888888891</v>
      </c>
      <c r="V528" s="550">
        <v>0.72986111111111107</v>
      </c>
    </row>
    <row r="529" spans="1:22" s="33" customFormat="1" x14ac:dyDescent="0.25">
      <c r="A529" s="547">
        <v>27062025</v>
      </c>
      <c r="B529" s="33" t="s">
        <v>2769</v>
      </c>
      <c r="C529" s="306" t="s">
        <v>4437</v>
      </c>
      <c r="D529" s="548">
        <v>45835</v>
      </c>
      <c r="E529" s="306"/>
      <c r="F529" s="306" t="s">
        <v>236</v>
      </c>
      <c r="H529" s="33" t="s">
        <v>279</v>
      </c>
      <c r="K529" s="933">
        <v>62540</v>
      </c>
      <c r="L529" s="933"/>
      <c r="N529"/>
      <c r="O529"/>
      <c r="T529" s="33" t="s">
        <v>4297</v>
      </c>
      <c r="U529" s="550">
        <v>0.74513888888888891</v>
      </c>
      <c r="V529" s="550">
        <v>2.7083333333333334E-2</v>
      </c>
    </row>
    <row r="530" spans="1:22" s="33" customFormat="1" x14ac:dyDescent="0.25">
      <c r="A530" s="547">
        <v>28062025</v>
      </c>
      <c r="B530" s="33" t="s">
        <v>1800</v>
      </c>
      <c r="C530" s="306" t="s">
        <v>4437</v>
      </c>
      <c r="D530" s="548">
        <v>45836</v>
      </c>
      <c r="E530" s="306"/>
      <c r="F530" s="306" t="s">
        <v>285</v>
      </c>
      <c r="H530" s="33" t="s">
        <v>279</v>
      </c>
      <c r="K530" s="933"/>
      <c r="L530" s="933">
        <v>11800</v>
      </c>
      <c r="N530"/>
      <c r="O530"/>
      <c r="T530" s="33" t="s">
        <v>5026</v>
      </c>
      <c r="U530" s="550">
        <v>0.34722222222222227</v>
      </c>
      <c r="V530" s="550">
        <v>0.66666666666666663</v>
      </c>
    </row>
    <row r="531" spans="1:22" s="120" customFormat="1" x14ac:dyDescent="0.25">
      <c r="A531" s="595">
        <v>28062025</v>
      </c>
      <c r="B531" s="120" t="s">
        <v>576</v>
      </c>
      <c r="C531" s="334" t="s">
        <v>278</v>
      </c>
      <c r="D531" s="427">
        <v>45836</v>
      </c>
      <c r="E531" s="334"/>
      <c r="F531" s="334" t="s">
        <v>285</v>
      </c>
      <c r="H531" s="120" t="s">
        <v>279</v>
      </c>
      <c r="K531" s="1001">
        <v>42800</v>
      </c>
      <c r="L531" s="1001"/>
      <c r="T531" s="120" t="s">
        <v>6419</v>
      </c>
      <c r="U531" s="597">
        <v>0.35347222222222219</v>
      </c>
      <c r="V531" s="597">
        <v>0.60555555555555551</v>
      </c>
    </row>
    <row r="532" spans="1:22" s="33" customFormat="1" x14ac:dyDescent="0.25">
      <c r="A532" s="547">
        <v>28062025</v>
      </c>
      <c r="B532" s="33" t="s">
        <v>614</v>
      </c>
      <c r="C532" s="306" t="s">
        <v>278</v>
      </c>
      <c r="D532" s="548">
        <v>45836</v>
      </c>
      <c r="E532" s="306"/>
      <c r="F532" s="306" t="s">
        <v>675</v>
      </c>
      <c r="H532" s="33" t="s">
        <v>279</v>
      </c>
      <c r="K532" s="933">
        <v>44840</v>
      </c>
      <c r="L532" s="933"/>
      <c r="N532"/>
      <c r="O532"/>
      <c r="T532" s="33" t="s">
        <v>4867</v>
      </c>
      <c r="U532" s="550">
        <v>0.73749999999999993</v>
      </c>
      <c r="V532" s="550">
        <v>0.47430555555555554</v>
      </c>
    </row>
    <row r="533" spans="1:22" s="926" customFormat="1" hidden="1" x14ac:dyDescent="0.25">
      <c r="A533" s="925">
        <v>28062025</v>
      </c>
      <c r="B533" s="926" t="s">
        <v>1720</v>
      </c>
      <c r="C533" s="928" t="s">
        <v>4437</v>
      </c>
      <c r="D533" s="927">
        <v>45836</v>
      </c>
      <c r="E533" s="928"/>
      <c r="F533" s="928" t="s">
        <v>545</v>
      </c>
      <c r="H533" s="926" t="s">
        <v>277</v>
      </c>
      <c r="K533" s="932">
        <v>25016</v>
      </c>
      <c r="L533" s="932"/>
      <c r="N533"/>
      <c r="O533"/>
      <c r="T533" s="926" t="s">
        <v>4140</v>
      </c>
      <c r="U533" s="931">
        <v>0.29930555555555555</v>
      </c>
      <c r="V533" s="931">
        <v>0.92083333333333339</v>
      </c>
    </row>
    <row r="534" spans="1:22" s="33" customFormat="1" x14ac:dyDescent="0.25">
      <c r="A534" s="547">
        <v>29062025</v>
      </c>
      <c r="B534" s="33" t="s">
        <v>2938</v>
      </c>
      <c r="C534" s="306" t="s">
        <v>278</v>
      </c>
      <c r="D534" s="548">
        <v>45837</v>
      </c>
      <c r="E534" s="306"/>
      <c r="F534" s="306" t="s">
        <v>113</v>
      </c>
      <c r="H534" s="33" t="s">
        <v>279</v>
      </c>
      <c r="K534" s="933">
        <v>39604</v>
      </c>
      <c r="L534" s="933"/>
      <c r="N534"/>
      <c r="O534"/>
      <c r="T534" s="33" t="s">
        <v>6294</v>
      </c>
      <c r="U534" s="550">
        <v>0.35000000000000003</v>
      </c>
      <c r="V534" s="550">
        <v>0.4993055555555555</v>
      </c>
    </row>
    <row r="535" spans="1:22" s="33" customFormat="1" x14ac:dyDescent="0.25">
      <c r="A535" s="547">
        <v>29062025</v>
      </c>
      <c r="B535" s="33" t="s">
        <v>614</v>
      </c>
      <c r="C535" s="306" t="s">
        <v>4437</v>
      </c>
      <c r="D535" s="548">
        <v>45837</v>
      </c>
      <c r="E535" s="306"/>
      <c r="F535" s="306" t="s">
        <v>2353</v>
      </c>
      <c r="H535" s="33" t="s">
        <v>279</v>
      </c>
      <c r="K535" s="933">
        <v>46020</v>
      </c>
      <c r="L535" s="933"/>
      <c r="N535"/>
      <c r="O535"/>
      <c r="T535" s="33" t="s">
        <v>5026</v>
      </c>
      <c r="U535" s="550">
        <v>0.45069444444444445</v>
      </c>
      <c r="V535" s="550">
        <v>0.72430555555555554</v>
      </c>
    </row>
    <row r="536" spans="1:22" s="33" customFormat="1" x14ac:dyDescent="0.25">
      <c r="A536" s="547">
        <v>30062025</v>
      </c>
      <c r="B536" s="33" t="s">
        <v>3383</v>
      </c>
      <c r="C536" s="306" t="s">
        <v>278</v>
      </c>
      <c r="D536" s="548">
        <v>45838</v>
      </c>
      <c r="E536" s="306"/>
      <c r="F536" s="306" t="s">
        <v>5326</v>
      </c>
      <c r="H536" s="33" t="s">
        <v>279</v>
      </c>
      <c r="K536" s="933">
        <v>34500</v>
      </c>
      <c r="L536" s="933"/>
      <c r="N536"/>
      <c r="O536"/>
      <c r="T536" s="33" t="s">
        <v>6503</v>
      </c>
      <c r="U536" s="550">
        <v>0.30138888888888887</v>
      </c>
      <c r="V536" s="550">
        <v>0.4993055555555555</v>
      </c>
    </row>
    <row r="537" spans="1:22" s="120" customFormat="1" x14ac:dyDescent="0.25">
      <c r="A537" s="595">
        <v>30062025</v>
      </c>
      <c r="B537" s="120" t="s">
        <v>762</v>
      </c>
      <c r="C537" s="334" t="s">
        <v>4437</v>
      </c>
      <c r="D537" s="427">
        <v>45838</v>
      </c>
      <c r="E537" s="334"/>
      <c r="F537" s="334" t="s">
        <v>872</v>
      </c>
      <c r="H537" s="120" t="s">
        <v>279</v>
      </c>
      <c r="K537" s="1001">
        <v>39800</v>
      </c>
      <c r="L537" s="1001"/>
      <c r="T537" s="120" t="s">
        <v>5021</v>
      </c>
      <c r="U537" s="597">
        <v>0.37291666666666662</v>
      </c>
      <c r="V537" s="597">
        <v>0.58958333333333335</v>
      </c>
    </row>
    <row r="538" spans="1:22" s="33" customFormat="1" x14ac:dyDescent="0.25">
      <c r="A538" s="547">
        <v>30062025</v>
      </c>
      <c r="B538" s="33" t="s">
        <v>2174</v>
      </c>
      <c r="C538" s="306" t="s">
        <v>660</v>
      </c>
      <c r="D538" s="548">
        <v>45838</v>
      </c>
      <c r="E538" s="306"/>
      <c r="F538" s="306" t="s">
        <v>294</v>
      </c>
      <c r="H538" s="33" t="s">
        <v>279</v>
      </c>
      <c r="K538" s="933">
        <v>36350</v>
      </c>
      <c r="L538" s="933"/>
      <c r="N538"/>
      <c r="O538"/>
      <c r="T538" s="33" t="s">
        <v>6151</v>
      </c>
      <c r="U538" s="550">
        <v>0.37708333333333338</v>
      </c>
      <c r="V538" s="550">
        <v>0.68125000000000002</v>
      </c>
    </row>
    <row r="539" spans="1:22" s="33" customFormat="1" x14ac:dyDescent="0.25">
      <c r="A539" s="547">
        <v>30062025</v>
      </c>
      <c r="B539" s="33" t="s">
        <v>2174</v>
      </c>
      <c r="C539" s="306" t="s">
        <v>278</v>
      </c>
      <c r="D539" s="548">
        <v>45838</v>
      </c>
      <c r="E539" s="306"/>
      <c r="F539" s="306" t="s">
        <v>294</v>
      </c>
      <c r="H539" s="33" t="s">
        <v>279</v>
      </c>
      <c r="K539" s="933">
        <v>36350</v>
      </c>
      <c r="L539" s="933"/>
      <c r="N539"/>
      <c r="O539"/>
      <c r="T539" s="33" t="s">
        <v>6503</v>
      </c>
      <c r="U539" s="550">
        <v>0.5444444444444444</v>
      </c>
      <c r="V539" s="550">
        <v>0.75902777777777775</v>
      </c>
    </row>
    <row r="540" spans="1:22" hidden="1" x14ac:dyDescent="0.25">
      <c r="A540" s="483"/>
      <c r="K540" s="798"/>
      <c r="L540" s="798"/>
      <c r="T540" s="32"/>
    </row>
    <row r="541" spans="1:22" hidden="1" x14ac:dyDescent="0.25">
      <c r="A541" s="483"/>
      <c r="D541" s="233"/>
      <c r="K541" s="798"/>
      <c r="L541" s="798"/>
    </row>
    <row r="542" spans="1:22" hidden="1" x14ac:dyDescent="0.25">
      <c r="A542" s="483"/>
      <c r="D542" s="233"/>
      <c r="K542" s="798"/>
      <c r="L542" s="798"/>
    </row>
    <row r="543" spans="1:22" ht="15.75" hidden="1" thickBot="1" x14ac:dyDescent="0.3">
      <c r="A543" s="483"/>
      <c r="D543" s="233"/>
      <c r="K543" s="960">
        <f>SUM(K459:K542)</f>
        <v>2926704.11</v>
      </c>
      <c r="L543" s="960">
        <f>SUM(L459:L542)</f>
        <v>77490.600000000006</v>
      </c>
    </row>
    <row r="544" spans="1:22" hidden="1" x14ac:dyDescent="0.25">
      <c r="A544" s="483"/>
      <c r="D544" s="233"/>
      <c r="K544" s="558"/>
      <c r="L544" s="558"/>
    </row>
    <row r="545" spans="1:22" hidden="1" x14ac:dyDescent="0.25">
      <c r="A545" s="483"/>
      <c r="D545" s="233"/>
      <c r="K545" s="558"/>
      <c r="L545" s="558"/>
    </row>
    <row r="546" spans="1:22" hidden="1" x14ac:dyDescent="0.25">
      <c r="A546" s="483"/>
      <c r="D546" s="233"/>
      <c r="K546" s="798"/>
      <c r="L546" s="88"/>
    </row>
    <row r="547" spans="1:22" hidden="1" x14ac:dyDescent="0.25">
      <c r="A547" s="483"/>
      <c r="D547" s="233"/>
      <c r="L547" s="88"/>
    </row>
    <row r="548" spans="1:22" s="926" customFormat="1" x14ac:dyDescent="0.25">
      <c r="A548" s="925" t="s">
        <v>6515</v>
      </c>
      <c r="B548" s="926" t="s">
        <v>6301</v>
      </c>
      <c r="C548" s="928" t="s">
        <v>4437</v>
      </c>
      <c r="D548" s="927">
        <v>45839</v>
      </c>
      <c r="E548" s="928"/>
      <c r="F548" s="928" t="s">
        <v>1744</v>
      </c>
      <c r="H548" s="926" t="s">
        <v>279</v>
      </c>
      <c r="K548" s="932">
        <v>48427.199999999997</v>
      </c>
      <c r="L548" s="932"/>
      <c r="T548" s="926" t="s">
        <v>5004</v>
      </c>
      <c r="U548" s="931">
        <v>0.38333333333333336</v>
      </c>
      <c r="V548" s="931">
        <v>0.59722222222222221</v>
      </c>
    </row>
    <row r="549" spans="1:22" s="926" customFormat="1" x14ac:dyDescent="0.25">
      <c r="A549" s="925" t="s">
        <v>6515</v>
      </c>
      <c r="B549" s="926" t="s">
        <v>565</v>
      </c>
      <c r="C549" s="928" t="s">
        <v>278</v>
      </c>
      <c r="D549" s="927">
        <v>45839</v>
      </c>
      <c r="E549" s="928"/>
      <c r="F549" s="928" t="s">
        <v>6522</v>
      </c>
      <c r="H549" s="926" t="s">
        <v>279</v>
      </c>
      <c r="K549" s="932">
        <v>30500</v>
      </c>
      <c r="L549" s="932"/>
      <c r="T549" s="926" t="s">
        <v>4140</v>
      </c>
      <c r="U549" s="931">
        <v>0.5854166666666667</v>
      </c>
      <c r="V549" s="931">
        <v>0.86527777777777781</v>
      </c>
    </row>
    <row r="550" spans="1:22" s="926" customFormat="1" x14ac:dyDescent="0.25">
      <c r="A550" s="925" t="s">
        <v>6515</v>
      </c>
      <c r="B550" s="926" t="s">
        <v>6517</v>
      </c>
      <c r="C550" s="928" t="s">
        <v>4437</v>
      </c>
      <c r="D550" s="927">
        <v>45839</v>
      </c>
      <c r="E550" s="928"/>
      <c r="F550" s="928" t="s">
        <v>143</v>
      </c>
      <c r="H550" s="926" t="s">
        <v>279</v>
      </c>
      <c r="K550" s="932">
        <v>37450</v>
      </c>
      <c r="L550" s="932"/>
      <c r="N550"/>
      <c r="O550"/>
      <c r="T550" s="926" t="s">
        <v>6356</v>
      </c>
      <c r="U550" s="931">
        <v>0.75486111111111109</v>
      </c>
      <c r="V550" s="931">
        <v>6.9444444444444447E-4</v>
      </c>
    </row>
    <row r="551" spans="1:22" s="926" customFormat="1" x14ac:dyDescent="0.25">
      <c r="A551" s="925" t="s">
        <v>6515</v>
      </c>
      <c r="B551" s="926" t="s">
        <v>565</v>
      </c>
      <c r="C551" s="928" t="s">
        <v>278</v>
      </c>
      <c r="D551" s="927">
        <v>45839</v>
      </c>
      <c r="E551" s="928"/>
      <c r="F551" s="928" t="s">
        <v>545</v>
      </c>
      <c r="H551" s="926" t="s">
        <v>279</v>
      </c>
      <c r="K551" s="932">
        <v>32285</v>
      </c>
      <c r="L551" s="932"/>
      <c r="N551"/>
      <c r="O551"/>
      <c r="T551" s="926" t="s">
        <v>6282</v>
      </c>
      <c r="U551" s="931">
        <v>0.95972222222222225</v>
      </c>
      <c r="V551" s="931">
        <v>0.11944444444444445</v>
      </c>
    </row>
    <row r="552" spans="1:22" s="926" customFormat="1" x14ac:dyDescent="0.25">
      <c r="A552" s="925" t="s">
        <v>6525</v>
      </c>
      <c r="B552" s="926" t="s">
        <v>930</v>
      </c>
      <c r="C552" s="928" t="s">
        <v>4437</v>
      </c>
      <c r="D552" s="927">
        <v>45840</v>
      </c>
      <c r="E552" s="928"/>
      <c r="F552" s="928" t="s">
        <v>294</v>
      </c>
      <c r="H552" s="926" t="s">
        <v>279</v>
      </c>
      <c r="K552" s="932">
        <v>33182</v>
      </c>
      <c r="L552" s="932"/>
      <c r="N552"/>
      <c r="O552"/>
      <c r="T552" s="926" t="s">
        <v>4297</v>
      </c>
      <c r="U552" s="931">
        <v>0.68263888888888891</v>
      </c>
      <c r="V552" s="931">
        <v>0.88541666666666663</v>
      </c>
    </row>
    <row r="553" spans="1:22" s="926" customFormat="1" x14ac:dyDescent="0.25">
      <c r="A553" s="925" t="s">
        <v>6527</v>
      </c>
      <c r="B553" s="926" t="s">
        <v>1720</v>
      </c>
      <c r="C553" s="928" t="s">
        <v>278</v>
      </c>
      <c r="D553" s="927">
        <v>45842</v>
      </c>
      <c r="E553" s="928"/>
      <c r="F553" s="928" t="s">
        <v>545</v>
      </c>
      <c r="H553" s="926" t="s">
        <v>279</v>
      </c>
      <c r="K553" s="932">
        <v>34456</v>
      </c>
      <c r="L553" s="932"/>
      <c r="N553"/>
      <c r="O553"/>
      <c r="T553" s="926" t="s">
        <v>6294</v>
      </c>
      <c r="U553" s="931">
        <v>0.75069444444444444</v>
      </c>
      <c r="V553" s="931">
        <v>0.92847222222222225</v>
      </c>
    </row>
    <row r="554" spans="1:22" s="926" customFormat="1" hidden="1" x14ac:dyDescent="0.25">
      <c r="A554" s="925" t="s">
        <v>6528</v>
      </c>
      <c r="B554" s="926" t="s">
        <v>1720</v>
      </c>
      <c r="C554" s="928" t="s">
        <v>278</v>
      </c>
      <c r="D554" s="927">
        <v>45843</v>
      </c>
      <c r="E554" s="928"/>
      <c r="F554" s="928" t="s">
        <v>545</v>
      </c>
      <c r="H554" s="926" t="s">
        <v>277</v>
      </c>
      <c r="K554" s="932">
        <v>25016</v>
      </c>
      <c r="L554" s="932"/>
      <c r="N554"/>
      <c r="O554"/>
      <c r="T554" s="926" t="s">
        <v>4983</v>
      </c>
      <c r="U554" s="931">
        <v>0.59791666666666665</v>
      </c>
      <c r="V554" s="931">
        <v>0.7284722222222223</v>
      </c>
    </row>
    <row r="555" spans="1:22" s="926" customFormat="1" x14ac:dyDescent="0.25">
      <c r="A555" s="925" t="s">
        <v>6533</v>
      </c>
      <c r="B555" s="926" t="s">
        <v>614</v>
      </c>
      <c r="C555" s="928" t="s">
        <v>4437</v>
      </c>
      <c r="D555" s="927">
        <v>45844</v>
      </c>
      <c r="E555" s="928"/>
      <c r="F555" s="928" t="s">
        <v>3676</v>
      </c>
      <c r="H555" s="926" t="s">
        <v>279</v>
      </c>
      <c r="K555" s="932">
        <v>26998.400000000001</v>
      </c>
      <c r="L555" s="932"/>
      <c r="N555"/>
      <c r="O555"/>
      <c r="T555" s="926" t="s">
        <v>5989</v>
      </c>
      <c r="U555" s="931">
        <v>0.3972222222222222</v>
      </c>
      <c r="V555" s="931">
        <v>0.55069444444444449</v>
      </c>
    </row>
    <row r="556" spans="1:22" s="1150" customFormat="1" x14ac:dyDescent="0.25">
      <c r="A556" s="1149" t="s">
        <v>6541</v>
      </c>
      <c r="B556" s="1150" t="s">
        <v>2469</v>
      </c>
      <c r="C556" s="1151" t="s">
        <v>278</v>
      </c>
      <c r="D556" s="1152">
        <v>45845</v>
      </c>
      <c r="E556" s="1151"/>
      <c r="F556" s="1151" t="s">
        <v>294</v>
      </c>
      <c r="H556" s="1150" t="s">
        <v>279</v>
      </c>
      <c r="K556" s="1153">
        <v>36350</v>
      </c>
      <c r="L556" s="1153"/>
      <c r="T556" s="1150" t="s">
        <v>6151</v>
      </c>
      <c r="U556" s="1154">
        <v>0.67499999999999993</v>
      </c>
      <c r="V556" s="1154">
        <v>0.89166666666666661</v>
      </c>
    </row>
    <row r="557" spans="1:22" s="926" customFormat="1" x14ac:dyDescent="0.25">
      <c r="A557" s="925" t="s">
        <v>6542</v>
      </c>
      <c r="B557" s="926" t="s">
        <v>572</v>
      </c>
      <c r="C557" s="928" t="s">
        <v>4437</v>
      </c>
      <c r="D557" s="927">
        <v>45846</v>
      </c>
      <c r="E557" s="928"/>
      <c r="F557" s="928" t="s">
        <v>285</v>
      </c>
      <c r="H557" s="926" t="s">
        <v>279</v>
      </c>
      <c r="K557" s="932"/>
      <c r="L557" s="932">
        <f>5*2000*1.18</f>
        <v>11800</v>
      </c>
      <c r="N557"/>
      <c r="O557"/>
      <c r="T557" s="926" t="s">
        <v>6419</v>
      </c>
      <c r="U557" s="931">
        <v>0.60833333333333328</v>
      </c>
      <c r="V557" s="931">
        <v>0.82847222222222217</v>
      </c>
    </row>
    <row r="558" spans="1:22" s="926" customFormat="1" hidden="1" x14ac:dyDescent="0.25">
      <c r="A558" s="925" t="s">
        <v>6542</v>
      </c>
      <c r="B558" s="926" t="s">
        <v>1720</v>
      </c>
      <c r="C558" s="928" t="s">
        <v>660</v>
      </c>
      <c r="D558" s="927">
        <v>45846</v>
      </c>
      <c r="E558" s="928"/>
      <c r="F558" s="928" t="s">
        <v>545</v>
      </c>
      <c r="H558" s="926" t="s">
        <v>277</v>
      </c>
      <c r="K558" s="932">
        <v>25016</v>
      </c>
      <c r="L558" s="932"/>
      <c r="N558"/>
      <c r="O558"/>
      <c r="T558" s="926" t="s">
        <v>4345</v>
      </c>
      <c r="U558" s="931">
        <v>0.84305555555555556</v>
      </c>
      <c r="V558" s="931">
        <v>0.96805555555555556</v>
      </c>
    </row>
    <row r="559" spans="1:22" s="926" customFormat="1" hidden="1" x14ac:dyDescent="0.25">
      <c r="A559" s="925" t="s">
        <v>6545</v>
      </c>
      <c r="B559" s="926" t="s">
        <v>930</v>
      </c>
      <c r="C559" s="928" t="s">
        <v>660</v>
      </c>
      <c r="D559" s="927">
        <v>45847</v>
      </c>
      <c r="E559" s="928"/>
      <c r="F559" s="928" t="s">
        <v>294</v>
      </c>
      <c r="H559" s="926" t="s">
        <v>277</v>
      </c>
      <c r="K559" s="932">
        <v>24886</v>
      </c>
      <c r="L559" s="932"/>
      <c r="N559"/>
      <c r="O559"/>
      <c r="T559" s="926" t="s">
        <v>5021</v>
      </c>
      <c r="U559" s="931">
        <v>0.39097222222222222</v>
      </c>
      <c r="V559" s="931">
        <v>0.55486111111111114</v>
      </c>
    </row>
    <row r="560" spans="1:22" s="926" customFormat="1" x14ac:dyDescent="0.25">
      <c r="A560" s="925" t="s">
        <v>6545</v>
      </c>
      <c r="B560" s="926" t="s">
        <v>572</v>
      </c>
      <c r="C560" s="928" t="s">
        <v>4437</v>
      </c>
      <c r="D560" s="927">
        <v>45847</v>
      </c>
      <c r="E560" s="928"/>
      <c r="F560" s="928" t="s">
        <v>5326</v>
      </c>
      <c r="H560" s="926" t="s">
        <v>279</v>
      </c>
      <c r="K560" s="932"/>
      <c r="L560" s="932">
        <v>8970</v>
      </c>
      <c r="N560"/>
      <c r="O560"/>
      <c r="T560" s="926" t="s">
        <v>6145</v>
      </c>
      <c r="U560" s="931">
        <v>0.61597222222222225</v>
      </c>
      <c r="V560" s="931">
        <v>0.78888888888888886</v>
      </c>
    </row>
    <row r="561" spans="1:22" s="926" customFormat="1" x14ac:dyDescent="0.25">
      <c r="A561" s="925" t="s">
        <v>6545</v>
      </c>
      <c r="B561" s="926" t="s">
        <v>572</v>
      </c>
      <c r="C561" s="928" t="s">
        <v>660</v>
      </c>
      <c r="D561" s="927">
        <v>45847</v>
      </c>
      <c r="E561" s="928"/>
      <c r="F561" s="928" t="s">
        <v>207</v>
      </c>
      <c r="H561" s="926" t="s">
        <v>279</v>
      </c>
      <c r="K561" s="932"/>
      <c r="L561" s="932">
        <f>4*2000*1.18</f>
        <v>9440</v>
      </c>
      <c r="N561"/>
      <c r="O561"/>
      <c r="T561" s="926" t="s">
        <v>5021</v>
      </c>
      <c r="U561" s="931">
        <v>0.60347222222222219</v>
      </c>
      <c r="V561" s="931">
        <v>0.77500000000000002</v>
      </c>
    </row>
    <row r="562" spans="1:22" s="926" customFormat="1" hidden="1" x14ac:dyDescent="0.25">
      <c r="A562" s="925" t="s">
        <v>6575</v>
      </c>
      <c r="B562" s="926" t="s">
        <v>930</v>
      </c>
      <c r="C562" s="928" t="s">
        <v>4437</v>
      </c>
      <c r="D562" s="927">
        <v>45848</v>
      </c>
      <c r="E562" s="928"/>
      <c r="F562" s="928" t="s">
        <v>294</v>
      </c>
      <c r="H562" s="926" t="s">
        <v>277</v>
      </c>
      <c r="K562" s="932">
        <v>24886</v>
      </c>
      <c r="L562" s="932"/>
      <c r="N562"/>
      <c r="O562"/>
      <c r="T562" s="926" t="s">
        <v>5891</v>
      </c>
      <c r="U562" s="931">
        <v>0.29305555555555557</v>
      </c>
      <c r="V562" s="1072">
        <v>0.46666666666666662</v>
      </c>
    </row>
    <row r="563" spans="1:22" s="926" customFormat="1" x14ac:dyDescent="0.25">
      <c r="A563" s="925" t="s">
        <v>6575</v>
      </c>
      <c r="B563" s="926" t="s">
        <v>5093</v>
      </c>
      <c r="C563" s="928" t="s">
        <v>4437</v>
      </c>
      <c r="D563" s="927">
        <v>45848</v>
      </c>
      <c r="E563" s="928"/>
      <c r="F563" s="928" t="s">
        <v>5326</v>
      </c>
      <c r="H563" s="926" t="s">
        <v>279</v>
      </c>
      <c r="K563" s="932">
        <v>34500</v>
      </c>
      <c r="L563" s="932"/>
      <c r="T563" s="926" t="s">
        <v>5891</v>
      </c>
      <c r="U563" s="931">
        <v>0.52222222222222225</v>
      </c>
      <c r="V563" s="931">
        <v>0.75624999999999998</v>
      </c>
    </row>
    <row r="564" spans="1:22" s="926" customFormat="1" x14ac:dyDescent="0.25">
      <c r="A564" s="925" t="s">
        <v>6575</v>
      </c>
      <c r="B564" s="926" t="s">
        <v>2938</v>
      </c>
      <c r="C564" s="928" t="s">
        <v>660</v>
      </c>
      <c r="D564" s="927">
        <v>45848</v>
      </c>
      <c r="E564" s="928"/>
      <c r="F564" s="928" t="s">
        <v>113</v>
      </c>
      <c r="H564" s="926" t="s">
        <v>279</v>
      </c>
      <c r="K564" s="932">
        <v>38565</v>
      </c>
      <c r="L564" s="932"/>
      <c r="N564"/>
      <c r="O564"/>
      <c r="T564" s="926" t="s">
        <v>6419</v>
      </c>
      <c r="U564" s="931">
        <v>0.3611111111111111</v>
      </c>
      <c r="V564" s="931">
        <v>0.52916666666666667</v>
      </c>
    </row>
    <row r="565" spans="1:22" s="926" customFormat="1" hidden="1" x14ac:dyDescent="0.25">
      <c r="A565" s="925" t="s">
        <v>6575</v>
      </c>
      <c r="B565" s="926" t="s">
        <v>608</v>
      </c>
      <c r="C565" s="928" t="s">
        <v>660</v>
      </c>
      <c r="D565" s="927">
        <v>45848</v>
      </c>
      <c r="E565" s="928"/>
      <c r="F565" s="928" t="s">
        <v>236</v>
      </c>
      <c r="H565" s="926" t="s">
        <v>5224</v>
      </c>
      <c r="K565" s="932">
        <v>49173</v>
      </c>
      <c r="L565" s="932"/>
      <c r="N565"/>
      <c r="O565"/>
      <c r="T565" s="926" t="s">
        <v>4853</v>
      </c>
      <c r="U565" s="931">
        <v>0.63611111111111118</v>
      </c>
      <c r="V565" s="931">
        <v>0.90833333333333333</v>
      </c>
    </row>
    <row r="566" spans="1:22" s="926" customFormat="1" x14ac:dyDescent="0.25">
      <c r="A566" s="925" t="s">
        <v>6580</v>
      </c>
      <c r="B566" s="926" t="s">
        <v>572</v>
      </c>
      <c r="C566" s="928" t="s">
        <v>660</v>
      </c>
      <c r="D566" s="927">
        <v>45849</v>
      </c>
      <c r="E566" s="928"/>
      <c r="F566" s="928" t="s">
        <v>5326</v>
      </c>
      <c r="H566" s="926" t="s">
        <v>279</v>
      </c>
      <c r="K566" s="932"/>
      <c r="L566" s="932">
        <v>8970</v>
      </c>
      <c r="N566"/>
      <c r="O566"/>
      <c r="T566" s="926" t="s">
        <v>6151</v>
      </c>
      <c r="U566" s="931">
        <v>0.43958333333333338</v>
      </c>
      <c r="V566" s="931">
        <v>0.63402777777777775</v>
      </c>
    </row>
    <row r="567" spans="1:22" s="926" customFormat="1" x14ac:dyDescent="0.25">
      <c r="A567" s="925" t="s">
        <v>6585</v>
      </c>
      <c r="B567" s="926" t="s">
        <v>2407</v>
      </c>
      <c r="C567" s="928" t="s">
        <v>660</v>
      </c>
      <c r="D567" s="927">
        <v>45850</v>
      </c>
      <c r="E567" s="928"/>
      <c r="F567" s="928" t="s">
        <v>207</v>
      </c>
      <c r="H567" s="926" t="s">
        <v>279</v>
      </c>
      <c r="K567" s="932"/>
      <c r="L567" s="932">
        <v>9440</v>
      </c>
      <c r="N567"/>
      <c r="O567"/>
      <c r="T567" s="926" t="s">
        <v>2050</v>
      </c>
      <c r="U567" s="931">
        <v>0.27708333333333335</v>
      </c>
      <c r="V567" s="931">
        <v>0.46458333333333335</v>
      </c>
    </row>
    <row r="568" spans="1:22" s="418" customFormat="1" x14ac:dyDescent="0.25">
      <c r="A568" s="624" t="s">
        <v>6584</v>
      </c>
      <c r="B568" s="418" t="s">
        <v>5796</v>
      </c>
      <c r="C568" s="420" t="s">
        <v>4437</v>
      </c>
      <c r="D568" s="602">
        <v>45851</v>
      </c>
      <c r="E568" s="420"/>
      <c r="F568" s="420" t="s">
        <v>798</v>
      </c>
      <c r="H568" s="418" t="s">
        <v>279</v>
      </c>
      <c r="K568" s="1079">
        <v>27850</v>
      </c>
      <c r="L568" s="1079"/>
      <c r="T568" s="418" t="s">
        <v>5004</v>
      </c>
      <c r="U568" s="604">
        <v>0.51111111111111118</v>
      </c>
      <c r="V568" s="604">
        <v>0.65416666666666667</v>
      </c>
    </row>
    <row r="569" spans="1:22" s="1278" customFormat="1" x14ac:dyDescent="0.25">
      <c r="A569" s="1277" t="s">
        <v>6584</v>
      </c>
      <c r="B569" s="1278" t="s">
        <v>5910</v>
      </c>
      <c r="C569" s="1279" t="s">
        <v>660</v>
      </c>
      <c r="D569" s="1280">
        <v>45851</v>
      </c>
      <c r="E569" s="1279"/>
      <c r="F569" s="1279" t="s">
        <v>113</v>
      </c>
      <c r="H569" s="1278" t="s">
        <v>279</v>
      </c>
      <c r="K569" s="1284">
        <v>39255</v>
      </c>
      <c r="L569" s="1284"/>
      <c r="T569" s="1278" t="s">
        <v>4345</v>
      </c>
      <c r="U569" s="1285">
        <v>0.42083333333333334</v>
      </c>
      <c r="V569" s="1285">
        <v>0.7055555555555556</v>
      </c>
    </row>
    <row r="570" spans="1:22" s="926" customFormat="1" hidden="1" x14ac:dyDescent="0.25">
      <c r="A570" s="925" t="s">
        <v>6583</v>
      </c>
      <c r="B570" s="926" t="s">
        <v>930</v>
      </c>
      <c r="C570" s="928" t="s">
        <v>4437</v>
      </c>
      <c r="D570" s="927">
        <v>45852</v>
      </c>
      <c r="E570" s="928"/>
      <c r="F570" s="928" t="s">
        <v>295</v>
      </c>
      <c r="H570" s="926" t="s">
        <v>277</v>
      </c>
      <c r="K570" s="932">
        <v>34011</v>
      </c>
      <c r="L570" s="932"/>
      <c r="N570"/>
      <c r="O570"/>
      <c r="T570" s="926" t="s">
        <v>6294</v>
      </c>
      <c r="U570" s="931">
        <v>0.28472222222222221</v>
      </c>
      <c r="V570" s="931">
        <v>0.50069444444444444</v>
      </c>
    </row>
    <row r="571" spans="1:22" s="926" customFormat="1" x14ac:dyDescent="0.25">
      <c r="A571" s="925" t="s">
        <v>6583</v>
      </c>
      <c r="B571" s="926" t="s">
        <v>610</v>
      </c>
      <c r="C571" s="928" t="s">
        <v>660</v>
      </c>
      <c r="D571" s="927">
        <v>45852</v>
      </c>
      <c r="E571" s="928"/>
      <c r="F571" s="928" t="s">
        <v>106</v>
      </c>
      <c r="H571" s="926" t="s">
        <v>279</v>
      </c>
      <c r="K571" s="932">
        <v>29770</v>
      </c>
      <c r="L571" s="932"/>
      <c r="N571"/>
      <c r="O571"/>
      <c r="T571" s="926" t="s">
        <v>4345</v>
      </c>
      <c r="U571" s="931">
        <v>0.61458333333333337</v>
      </c>
      <c r="V571" s="931">
        <v>0.75763888888888886</v>
      </c>
    </row>
    <row r="572" spans="1:22" s="926" customFormat="1" x14ac:dyDescent="0.25">
      <c r="A572" s="925" t="s">
        <v>6583</v>
      </c>
      <c r="B572" s="926" t="s">
        <v>608</v>
      </c>
      <c r="C572" s="928" t="s">
        <v>4437</v>
      </c>
      <c r="D572" s="927">
        <v>45852</v>
      </c>
      <c r="E572" s="928"/>
      <c r="F572" s="928" t="s">
        <v>236</v>
      </c>
      <c r="H572" s="926" t="s">
        <v>279</v>
      </c>
      <c r="K572" s="932">
        <v>58231</v>
      </c>
      <c r="L572" s="932"/>
      <c r="N572"/>
      <c r="O572"/>
      <c r="T572" s="926" t="s">
        <v>5004</v>
      </c>
      <c r="U572" s="931">
        <v>0.49236111111111108</v>
      </c>
      <c r="V572" s="931">
        <v>0.2638888888888889</v>
      </c>
    </row>
    <row r="573" spans="1:22" s="33" customFormat="1" hidden="1" x14ac:dyDescent="0.25">
      <c r="A573" s="547" t="s">
        <v>6587</v>
      </c>
      <c r="B573" s="33" t="s">
        <v>930</v>
      </c>
      <c r="C573" s="306" t="s">
        <v>4437</v>
      </c>
      <c r="D573" s="548">
        <v>45853</v>
      </c>
      <c r="E573" s="306"/>
      <c r="F573" s="306" t="s">
        <v>295</v>
      </c>
      <c r="H573" s="33" t="s">
        <v>277</v>
      </c>
      <c r="K573" s="933">
        <v>34011</v>
      </c>
      <c r="L573" s="933"/>
      <c r="T573" s="33" t="s">
        <v>6294</v>
      </c>
      <c r="U573" s="550">
        <v>0.31388888888888888</v>
      </c>
      <c r="V573" s="550">
        <v>0.52916666666666667</v>
      </c>
    </row>
    <row r="574" spans="1:22" s="926" customFormat="1" x14ac:dyDescent="0.25">
      <c r="A574" s="925" t="s">
        <v>6587</v>
      </c>
      <c r="B574" s="926" t="s">
        <v>608</v>
      </c>
      <c r="C574" s="928" t="s">
        <v>660</v>
      </c>
      <c r="D574" s="927">
        <v>45853</v>
      </c>
      <c r="E574" s="928"/>
      <c r="F574" s="928" t="s">
        <v>236</v>
      </c>
      <c r="H574" s="926" t="s">
        <v>279</v>
      </c>
      <c r="K574" s="932">
        <v>58231</v>
      </c>
      <c r="L574" s="932"/>
      <c r="N574"/>
      <c r="O574"/>
      <c r="T574" s="926" t="s">
        <v>6349</v>
      </c>
      <c r="U574" s="931">
        <v>0.31180555555555556</v>
      </c>
      <c r="V574" s="931">
        <v>0.58958333333333335</v>
      </c>
    </row>
    <row r="575" spans="1:22" s="926" customFormat="1" x14ac:dyDescent="0.25">
      <c r="A575" s="925" t="s">
        <v>6587</v>
      </c>
      <c r="B575" s="926" t="s">
        <v>608</v>
      </c>
      <c r="C575" s="928" t="s">
        <v>4437</v>
      </c>
      <c r="D575" s="927">
        <v>45853</v>
      </c>
      <c r="E575" s="928"/>
      <c r="F575" s="928" t="s">
        <v>236</v>
      </c>
      <c r="H575" s="926" t="s">
        <v>279</v>
      </c>
      <c r="K575" s="932">
        <v>58231</v>
      </c>
      <c r="L575" s="932"/>
      <c r="N575"/>
      <c r="O575"/>
      <c r="T575" s="926" t="s">
        <v>5026</v>
      </c>
      <c r="U575" s="931">
        <v>0.65138888888888891</v>
      </c>
      <c r="V575" s="931">
        <v>0.93611111111111101</v>
      </c>
    </row>
    <row r="576" spans="1:22" s="33" customFormat="1" x14ac:dyDescent="0.25">
      <c r="A576" s="547" t="s">
        <v>6595</v>
      </c>
      <c r="B576" s="33" t="s">
        <v>2527</v>
      </c>
      <c r="C576" s="306" t="s">
        <v>4437</v>
      </c>
      <c r="D576" s="548">
        <v>45854</v>
      </c>
      <c r="E576" s="306"/>
      <c r="F576" s="306" t="s">
        <v>285</v>
      </c>
      <c r="H576" s="33" t="s">
        <v>279</v>
      </c>
      <c r="K576" s="933">
        <v>45428.75</v>
      </c>
      <c r="L576" s="933"/>
      <c r="T576" s="33" t="s">
        <v>6151</v>
      </c>
      <c r="U576" s="550">
        <v>0.28888888888888892</v>
      </c>
      <c r="V576" s="550">
        <v>0.53541666666666665</v>
      </c>
    </row>
    <row r="577" spans="1:22" s="926" customFormat="1" hidden="1" x14ac:dyDescent="0.25">
      <c r="A577" s="925" t="s">
        <v>6595</v>
      </c>
      <c r="B577" s="926" t="s">
        <v>608</v>
      </c>
      <c r="C577" s="928" t="s">
        <v>660</v>
      </c>
      <c r="D577" s="927">
        <v>45854</v>
      </c>
      <c r="E577" s="928"/>
      <c r="F577" s="928" t="s">
        <v>236</v>
      </c>
      <c r="H577" s="926" t="s">
        <v>5224</v>
      </c>
      <c r="K577" s="932">
        <v>49173</v>
      </c>
      <c r="L577" s="932"/>
      <c r="N577"/>
      <c r="O577"/>
      <c r="T577" s="926" t="s">
        <v>4297</v>
      </c>
      <c r="U577" s="931">
        <v>0.29652777777777778</v>
      </c>
      <c r="V577" s="931">
        <v>0.58819444444444446</v>
      </c>
    </row>
    <row r="578" spans="1:22" s="926" customFormat="1" x14ac:dyDescent="0.25">
      <c r="A578" s="925" t="s">
        <v>6595</v>
      </c>
      <c r="B578" s="926" t="s">
        <v>572</v>
      </c>
      <c r="C578" s="928" t="s">
        <v>4437</v>
      </c>
      <c r="D578" s="927">
        <v>45854</v>
      </c>
      <c r="E578" s="928"/>
      <c r="F578" s="928" t="s">
        <v>3413</v>
      </c>
      <c r="H578" s="926" t="s">
        <v>279</v>
      </c>
      <c r="K578" s="932"/>
      <c r="L578" s="932">
        <v>7198</v>
      </c>
      <c r="N578"/>
      <c r="O578"/>
      <c r="T578" s="926" t="s">
        <v>6151</v>
      </c>
      <c r="U578" s="931">
        <v>0.59791666666666665</v>
      </c>
      <c r="V578" s="931">
        <v>0.74305555555555547</v>
      </c>
    </row>
    <row r="579" spans="1:22" s="926" customFormat="1" hidden="1" x14ac:dyDescent="0.25">
      <c r="A579" s="925" t="s">
        <v>6595</v>
      </c>
      <c r="B579" s="926" t="s">
        <v>1720</v>
      </c>
      <c r="C579" s="928" t="s">
        <v>4437</v>
      </c>
      <c r="D579" s="927">
        <v>45854</v>
      </c>
      <c r="E579" s="928"/>
      <c r="F579" s="928" t="s">
        <v>545</v>
      </c>
      <c r="H579" s="926" t="s">
        <v>277</v>
      </c>
      <c r="K579" s="932">
        <v>25016</v>
      </c>
      <c r="L579" s="932"/>
      <c r="N579"/>
      <c r="O579"/>
      <c r="T579" s="926" t="s">
        <v>6356</v>
      </c>
      <c r="U579" s="931">
        <v>0.85069444444444453</v>
      </c>
      <c r="V579" s="931">
        <v>1.2499999999999999E-2</v>
      </c>
    </row>
    <row r="580" spans="1:22" s="33" customFormat="1" x14ac:dyDescent="0.25">
      <c r="A580" s="547" t="s">
        <v>6607</v>
      </c>
      <c r="B580" s="33" t="s">
        <v>3881</v>
      </c>
      <c r="C580" s="306" t="s">
        <v>660</v>
      </c>
      <c r="D580" s="548">
        <v>45855</v>
      </c>
      <c r="E580" s="306"/>
      <c r="F580" s="306" t="s">
        <v>5326</v>
      </c>
      <c r="H580" s="33" t="s">
        <v>279</v>
      </c>
      <c r="K580" s="933">
        <v>34500</v>
      </c>
      <c r="L580" s="933"/>
      <c r="T580" s="33" t="s">
        <v>6150</v>
      </c>
      <c r="U580" s="550">
        <v>0.31180555555555556</v>
      </c>
      <c r="V580" s="550">
        <v>0.52083333333333337</v>
      </c>
    </row>
    <row r="581" spans="1:22" s="926" customFormat="1" x14ac:dyDescent="0.25">
      <c r="A581" s="925" t="s">
        <v>6607</v>
      </c>
      <c r="B581" s="926" t="s">
        <v>2938</v>
      </c>
      <c r="C581" s="928" t="s">
        <v>4437</v>
      </c>
      <c r="D581" s="927">
        <v>45855</v>
      </c>
      <c r="E581" s="928"/>
      <c r="F581" s="928" t="s">
        <v>113</v>
      </c>
      <c r="H581" s="926" t="s">
        <v>279</v>
      </c>
      <c r="K581" s="932">
        <v>38565</v>
      </c>
      <c r="L581" s="932"/>
      <c r="N581"/>
      <c r="O581"/>
      <c r="T581" s="926" t="s">
        <v>4139</v>
      </c>
      <c r="U581" s="931">
        <v>0.57708333333333328</v>
      </c>
      <c r="V581" s="931">
        <v>0.73402777777777783</v>
      </c>
    </row>
    <row r="582" spans="1:22" s="926" customFormat="1" x14ac:dyDescent="0.25">
      <c r="A582" s="925" t="s">
        <v>6615</v>
      </c>
      <c r="B582" s="926" t="s">
        <v>1720</v>
      </c>
      <c r="C582" s="928" t="s">
        <v>660</v>
      </c>
      <c r="D582" s="927">
        <v>45856</v>
      </c>
      <c r="E582" s="928"/>
      <c r="F582" s="928" t="s">
        <v>4621</v>
      </c>
      <c r="H582" s="926" t="s">
        <v>279</v>
      </c>
      <c r="K582" s="932">
        <v>30500</v>
      </c>
      <c r="L582" s="932"/>
      <c r="N582"/>
      <c r="O582"/>
      <c r="T582" s="926" t="s">
        <v>6503</v>
      </c>
      <c r="U582" s="931">
        <v>0.35694444444444445</v>
      </c>
      <c r="V582" s="931">
        <v>0.51180555555555551</v>
      </c>
    </row>
    <row r="583" spans="1:22" s="33" customFormat="1" x14ac:dyDescent="0.25">
      <c r="A583" s="547" t="s">
        <v>6615</v>
      </c>
      <c r="B583" s="33" t="s">
        <v>4960</v>
      </c>
      <c r="C583" s="306" t="s">
        <v>4437</v>
      </c>
      <c r="D583" s="548">
        <v>45856</v>
      </c>
      <c r="E583" s="306"/>
      <c r="F583" s="306" t="s">
        <v>2437</v>
      </c>
      <c r="H583" s="33" t="s">
        <v>279</v>
      </c>
      <c r="K583" s="933">
        <v>25842</v>
      </c>
      <c r="L583" s="933"/>
      <c r="T583" s="33" t="s">
        <v>3765</v>
      </c>
      <c r="U583" s="550">
        <v>0.36458333333333331</v>
      </c>
      <c r="V583" s="550">
        <v>0.58194444444444449</v>
      </c>
    </row>
    <row r="584" spans="1:22" s="33" customFormat="1" x14ac:dyDescent="0.25">
      <c r="A584" s="547" t="s">
        <v>6615</v>
      </c>
      <c r="B584" s="33" t="s">
        <v>3918</v>
      </c>
      <c r="C584" s="306" t="s">
        <v>4437</v>
      </c>
      <c r="D584" s="548">
        <v>45856</v>
      </c>
      <c r="E584" s="306"/>
      <c r="F584" s="306" t="s">
        <v>6616</v>
      </c>
      <c r="H584" s="33" t="s">
        <v>279</v>
      </c>
      <c r="K584" s="945">
        <v>29770</v>
      </c>
      <c r="L584" s="933"/>
      <c r="T584" s="33" t="s">
        <v>3765</v>
      </c>
      <c r="U584" s="550">
        <v>0.62638888888888888</v>
      </c>
      <c r="V584" s="550">
        <v>0.69861111111111107</v>
      </c>
    </row>
    <row r="585" spans="1:22" s="926" customFormat="1" hidden="1" x14ac:dyDescent="0.25">
      <c r="A585" s="925" t="s">
        <v>6615</v>
      </c>
      <c r="B585" s="926" t="s">
        <v>1720</v>
      </c>
      <c r="C585" s="928" t="s">
        <v>660</v>
      </c>
      <c r="D585" s="927">
        <v>45856</v>
      </c>
      <c r="E585" s="928"/>
      <c r="F585" s="928" t="s">
        <v>545</v>
      </c>
      <c r="H585" s="926" t="s">
        <v>277</v>
      </c>
      <c r="K585" s="932">
        <v>25016</v>
      </c>
      <c r="L585" s="932"/>
      <c r="N585"/>
      <c r="O585"/>
      <c r="T585" s="926" t="s">
        <v>6503</v>
      </c>
      <c r="U585" s="931">
        <v>0.56041666666666667</v>
      </c>
      <c r="V585" s="931">
        <v>0.69791666666666663</v>
      </c>
    </row>
    <row r="586" spans="1:22" s="926" customFormat="1" x14ac:dyDescent="0.25">
      <c r="A586" s="925" t="s">
        <v>6624</v>
      </c>
      <c r="B586" s="926" t="s">
        <v>318</v>
      </c>
      <c r="C586" s="928" t="s">
        <v>660</v>
      </c>
      <c r="D586" s="927">
        <v>45857</v>
      </c>
      <c r="E586" s="928"/>
      <c r="F586" s="928" t="s">
        <v>68</v>
      </c>
      <c r="H586" s="926" t="s">
        <v>279</v>
      </c>
      <c r="K586" s="932">
        <v>49843</v>
      </c>
      <c r="L586" s="932"/>
      <c r="N586"/>
      <c r="O586"/>
      <c r="T586" s="926" t="s">
        <v>4138</v>
      </c>
      <c r="U586" s="931">
        <v>0.32013888888888892</v>
      </c>
      <c r="V586" s="931">
        <v>0.57222222222222219</v>
      </c>
    </row>
    <row r="587" spans="1:22" s="393" customFormat="1" x14ac:dyDescent="0.25">
      <c r="A587" s="581" t="s">
        <v>6624</v>
      </c>
      <c r="B587" s="393" t="s">
        <v>611</v>
      </c>
      <c r="C587" s="174" t="s">
        <v>4437</v>
      </c>
      <c r="D587" s="582">
        <v>45857</v>
      </c>
      <c r="E587" s="174"/>
      <c r="F587" s="174" t="s">
        <v>143</v>
      </c>
      <c r="H587" s="393" t="s">
        <v>279</v>
      </c>
      <c r="K587" s="1124">
        <v>37665</v>
      </c>
      <c r="L587" s="1124"/>
      <c r="T587" s="393" t="s">
        <v>4853</v>
      </c>
      <c r="U587" s="584">
        <v>0.30972222222222223</v>
      </c>
      <c r="V587" s="584">
        <v>0.51388888888888895</v>
      </c>
    </row>
    <row r="588" spans="1:22" s="926" customFormat="1" ht="15" customHeight="1" x14ac:dyDescent="0.25">
      <c r="A588" s="925" t="s">
        <v>6624</v>
      </c>
      <c r="B588" s="926" t="s">
        <v>572</v>
      </c>
      <c r="C588" s="928" t="s">
        <v>660</v>
      </c>
      <c r="D588" s="927">
        <v>45857</v>
      </c>
      <c r="E588" s="928"/>
      <c r="F588" s="928" t="s">
        <v>207</v>
      </c>
      <c r="H588" s="926" t="s">
        <v>279</v>
      </c>
      <c r="K588" s="932"/>
      <c r="L588" s="930">
        <v>9440</v>
      </c>
      <c r="M588" s="930"/>
      <c r="N588"/>
      <c r="O588"/>
      <c r="T588" s="926" t="s">
        <v>4138</v>
      </c>
      <c r="U588" s="931">
        <v>0.61736111111111114</v>
      </c>
      <c r="V588" s="931">
        <v>0.77638888888888891</v>
      </c>
    </row>
    <row r="589" spans="1:22" s="926" customFormat="1" x14ac:dyDescent="0.25">
      <c r="A589" s="925">
        <v>20072025</v>
      </c>
      <c r="B589" s="926" t="s">
        <v>572</v>
      </c>
      <c r="C589" s="928" t="s">
        <v>660</v>
      </c>
      <c r="D589" s="927">
        <v>45858</v>
      </c>
      <c r="E589" s="928"/>
      <c r="F589" s="928" t="s">
        <v>68</v>
      </c>
      <c r="H589" s="926" t="s">
        <v>279</v>
      </c>
      <c r="K589" s="932"/>
      <c r="L589" s="930">
        <v>11800</v>
      </c>
      <c r="M589" s="930"/>
      <c r="N589"/>
      <c r="O589"/>
      <c r="T589" s="926" t="s">
        <v>5021</v>
      </c>
      <c r="U589" s="931">
        <v>17.510000000000002</v>
      </c>
      <c r="V589" s="931">
        <v>0.99652777777777779</v>
      </c>
    </row>
    <row r="590" spans="1:22" s="926" customFormat="1" x14ac:dyDescent="0.25">
      <c r="A590" s="925">
        <v>21072025</v>
      </c>
      <c r="B590" s="926" t="s">
        <v>572</v>
      </c>
      <c r="C590" s="928" t="s">
        <v>660</v>
      </c>
      <c r="D590" s="927">
        <v>45859</v>
      </c>
      <c r="E590" s="928"/>
      <c r="F590" s="928" t="s">
        <v>106</v>
      </c>
      <c r="H590" s="926" t="s">
        <v>279</v>
      </c>
      <c r="K590" s="932"/>
      <c r="L590" s="932">
        <v>7080</v>
      </c>
      <c r="M590" s="930"/>
      <c r="N590"/>
      <c r="O590"/>
      <c r="T590" s="926" t="s">
        <v>6349</v>
      </c>
      <c r="U590" s="931">
        <v>0.30763888888888891</v>
      </c>
      <c r="V590" s="931">
        <v>0.4909722222222222</v>
      </c>
    </row>
    <row r="591" spans="1:22" s="926" customFormat="1" hidden="1" x14ac:dyDescent="0.25">
      <c r="A591" s="925">
        <v>21072025</v>
      </c>
      <c r="B591" s="926" t="s">
        <v>1720</v>
      </c>
      <c r="C591" s="928" t="s">
        <v>660</v>
      </c>
      <c r="D591" s="927">
        <v>45859</v>
      </c>
      <c r="E591" s="928"/>
      <c r="F591" s="928" t="s">
        <v>545</v>
      </c>
      <c r="H591" s="926" t="s">
        <v>277</v>
      </c>
      <c r="K591" s="932">
        <v>25016</v>
      </c>
      <c r="L591" s="932"/>
      <c r="M591" s="930"/>
      <c r="N591"/>
      <c r="O591"/>
      <c r="T591" s="926" t="s">
        <v>5004</v>
      </c>
      <c r="U591" s="931">
        <v>0.70624999999999993</v>
      </c>
      <c r="V591" s="931">
        <v>0.91111111111111109</v>
      </c>
    </row>
    <row r="592" spans="1:22" s="33" customFormat="1" x14ac:dyDescent="0.25">
      <c r="A592" s="547">
        <v>22072025</v>
      </c>
      <c r="B592" s="33" t="s">
        <v>2303</v>
      </c>
      <c r="C592" s="306" t="s">
        <v>660</v>
      </c>
      <c r="D592" s="548">
        <v>45860</v>
      </c>
      <c r="E592" s="306"/>
      <c r="F592" s="306" t="s">
        <v>1744</v>
      </c>
      <c r="H592" s="33" t="s">
        <v>279</v>
      </c>
      <c r="K592" s="933">
        <v>48427.199999999997</v>
      </c>
      <c r="L592" s="933"/>
      <c r="T592" s="33" t="s">
        <v>6214</v>
      </c>
      <c r="U592" s="550">
        <v>0.33958333333333335</v>
      </c>
      <c r="V592" s="550">
        <v>0.59236111111111112</v>
      </c>
    </row>
    <row r="593" spans="1:23" s="926" customFormat="1" x14ac:dyDescent="0.25">
      <c r="A593" s="925">
        <v>22072025</v>
      </c>
      <c r="B593" s="926" t="s">
        <v>614</v>
      </c>
      <c r="C593" s="928" t="s">
        <v>4437</v>
      </c>
      <c r="D593" s="927">
        <v>45860</v>
      </c>
      <c r="E593" s="928"/>
      <c r="F593" s="928" t="s">
        <v>2036</v>
      </c>
      <c r="H593" s="926" t="s">
        <v>279</v>
      </c>
      <c r="K593" s="932">
        <v>31152</v>
      </c>
      <c r="L593" s="932"/>
      <c r="M593" s="930"/>
      <c r="N593"/>
      <c r="O593"/>
      <c r="T593" s="926" t="s">
        <v>5989</v>
      </c>
      <c r="U593" s="931">
        <v>0.4458333333333333</v>
      </c>
      <c r="V593" s="931">
        <v>0.60347222222222219</v>
      </c>
    </row>
    <row r="594" spans="1:23" s="926" customFormat="1" x14ac:dyDescent="0.25">
      <c r="A594" s="925">
        <v>22072025</v>
      </c>
      <c r="B594" s="926" t="s">
        <v>614</v>
      </c>
      <c r="C594" s="928" t="s">
        <v>4437</v>
      </c>
      <c r="D594" s="927">
        <v>45860</v>
      </c>
      <c r="E594" s="928"/>
      <c r="F594" s="928" t="s">
        <v>545</v>
      </c>
      <c r="H594" s="926" t="s">
        <v>279</v>
      </c>
      <c r="K594" s="932">
        <v>37382.400000000001</v>
      </c>
      <c r="L594" s="932"/>
      <c r="M594" s="930"/>
      <c r="N594"/>
      <c r="O594"/>
      <c r="T594" s="926" t="s">
        <v>6678</v>
      </c>
      <c r="U594" s="931">
        <v>0.6958333333333333</v>
      </c>
      <c r="V594" s="931">
        <v>0.8618055555555556</v>
      </c>
    </row>
    <row r="595" spans="1:23" s="33" customFormat="1" x14ac:dyDescent="0.25">
      <c r="A595" s="547">
        <v>22072025</v>
      </c>
      <c r="B595" s="33" t="s">
        <v>608</v>
      </c>
      <c r="C595" s="306" t="s">
        <v>660</v>
      </c>
      <c r="D595" s="548">
        <v>45860</v>
      </c>
      <c r="E595" s="306"/>
      <c r="F595" s="306" t="s">
        <v>236</v>
      </c>
      <c r="H595" s="33" t="s">
        <v>279</v>
      </c>
      <c r="I595" s="279"/>
      <c r="K595" s="933">
        <v>58231</v>
      </c>
      <c r="L595" s="933"/>
      <c r="M595" s="279"/>
      <c r="T595" s="33" t="s">
        <v>3765</v>
      </c>
      <c r="U595" s="550">
        <v>0.63472222222222219</v>
      </c>
      <c r="V595" s="550">
        <v>0.9243055555555556</v>
      </c>
    </row>
    <row r="596" spans="1:23" s="926" customFormat="1" x14ac:dyDescent="0.25">
      <c r="A596" s="925">
        <v>23072025</v>
      </c>
      <c r="B596" s="926" t="s">
        <v>614</v>
      </c>
      <c r="C596" s="928" t="s">
        <v>4437</v>
      </c>
      <c r="D596" s="927">
        <v>45861</v>
      </c>
      <c r="E596" s="928"/>
      <c r="F596" s="928" t="s">
        <v>2008</v>
      </c>
      <c r="H596" s="926" t="s">
        <v>279</v>
      </c>
      <c r="K596" s="932">
        <v>55035.199999999997</v>
      </c>
      <c r="L596" s="932"/>
      <c r="M596" s="930"/>
      <c r="N596"/>
      <c r="O596"/>
      <c r="T596" s="926" t="s">
        <v>4867</v>
      </c>
      <c r="U596" s="931">
        <v>0.32361111111111113</v>
      </c>
      <c r="V596" s="931">
        <v>0.57847222222222217</v>
      </c>
    </row>
    <row r="597" spans="1:23" s="33" customFormat="1" hidden="1" x14ac:dyDescent="0.25">
      <c r="A597" s="547">
        <v>23072025</v>
      </c>
      <c r="B597" s="33" t="s">
        <v>930</v>
      </c>
      <c r="C597" s="306" t="s">
        <v>278</v>
      </c>
      <c r="D597" s="548">
        <v>45861</v>
      </c>
      <c r="E597" s="306"/>
      <c r="F597" s="306" t="s">
        <v>295</v>
      </c>
      <c r="H597" s="33" t="s">
        <v>277</v>
      </c>
      <c r="I597" s="279"/>
      <c r="K597" s="933">
        <v>34011</v>
      </c>
      <c r="L597" s="933"/>
      <c r="M597" s="279"/>
      <c r="T597" s="33" t="s">
        <v>4139</v>
      </c>
      <c r="U597" s="550">
        <v>0.4916666666666667</v>
      </c>
      <c r="V597" s="550">
        <v>0.76111111111111107</v>
      </c>
    </row>
    <row r="598" spans="1:23" s="33" customFormat="1" x14ac:dyDescent="0.25">
      <c r="A598" s="547">
        <v>23072025</v>
      </c>
      <c r="B598" s="33" t="s">
        <v>6679</v>
      </c>
      <c r="C598" s="306" t="s">
        <v>660</v>
      </c>
      <c r="D598" s="548">
        <v>45861</v>
      </c>
      <c r="E598" s="306"/>
      <c r="F598" s="306" t="s">
        <v>285</v>
      </c>
      <c r="H598" s="33" t="s">
        <v>279</v>
      </c>
      <c r="I598" s="279"/>
      <c r="K598" s="933">
        <v>45840</v>
      </c>
      <c r="L598" s="933"/>
      <c r="M598" s="279"/>
      <c r="T598" s="33" t="s">
        <v>6347</v>
      </c>
      <c r="U598" s="550">
        <v>0.53333333333333333</v>
      </c>
      <c r="V598" s="550">
        <v>0.81597222222222221</v>
      </c>
    </row>
    <row r="599" spans="1:23" s="33" customFormat="1" x14ac:dyDescent="0.25">
      <c r="A599" s="547">
        <v>24072025</v>
      </c>
      <c r="B599" s="33" t="s">
        <v>572</v>
      </c>
      <c r="C599" s="306" t="s">
        <v>660</v>
      </c>
      <c r="D599" s="548">
        <v>45862</v>
      </c>
      <c r="E599" s="306"/>
      <c r="F599" s="306" t="s">
        <v>317</v>
      </c>
      <c r="H599" s="33" t="s">
        <v>279</v>
      </c>
      <c r="I599" s="279"/>
      <c r="K599" s="933"/>
      <c r="L599" s="933">
        <v>12272</v>
      </c>
      <c r="M599" s="279"/>
      <c r="T599" s="33" t="s">
        <v>5004</v>
      </c>
      <c r="U599" s="550">
        <v>0.31666666666666665</v>
      </c>
      <c r="V599" s="550">
        <v>0.71388888888888891</v>
      </c>
    </row>
    <row r="600" spans="1:23" s="33" customFormat="1" x14ac:dyDescent="0.25">
      <c r="A600" s="547">
        <v>24072025</v>
      </c>
      <c r="B600" s="33" t="s">
        <v>1740</v>
      </c>
      <c r="C600" s="306" t="s">
        <v>278</v>
      </c>
      <c r="D600" s="548">
        <v>45862</v>
      </c>
      <c r="E600" s="306"/>
      <c r="F600" s="306" t="s">
        <v>317</v>
      </c>
      <c r="H600" s="33" t="s">
        <v>279</v>
      </c>
      <c r="I600" s="279"/>
      <c r="K600" s="933">
        <v>46634</v>
      </c>
      <c r="L600" s="933"/>
      <c r="M600" s="279"/>
      <c r="T600" s="33" t="s">
        <v>5131</v>
      </c>
      <c r="U600" s="550">
        <v>0.33402777777777781</v>
      </c>
      <c r="V600" s="550">
        <v>0.70208333333333339</v>
      </c>
    </row>
    <row r="601" spans="1:23" s="33" customFormat="1" x14ac:dyDescent="0.25">
      <c r="A601" s="547">
        <v>25072025</v>
      </c>
      <c r="B601" s="33" t="s">
        <v>2227</v>
      </c>
      <c r="C601" s="306" t="s">
        <v>278</v>
      </c>
      <c r="D601" s="548">
        <v>45863</v>
      </c>
      <c r="E601" s="306"/>
      <c r="F601" s="306" t="s">
        <v>106</v>
      </c>
      <c r="H601" s="33" t="s">
        <v>279</v>
      </c>
      <c r="I601" s="279"/>
      <c r="K601" s="933">
        <v>28000</v>
      </c>
      <c r="L601" s="933"/>
      <c r="M601" s="279"/>
      <c r="T601" s="33" t="s">
        <v>6347</v>
      </c>
      <c r="U601" s="550">
        <v>0.30416666666666664</v>
      </c>
      <c r="V601" s="550"/>
    </row>
    <row r="602" spans="1:23" s="120" customFormat="1" x14ac:dyDescent="0.25">
      <c r="A602" s="595">
        <v>25072025</v>
      </c>
      <c r="B602" s="120" t="s">
        <v>611</v>
      </c>
      <c r="C602" s="334" t="s">
        <v>4437</v>
      </c>
      <c r="D602" s="427">
        <v>45863</v>
      </c>
      <c r="E602" s="334"/>
      <c r="F602" s="334" t="s">
        <v>143</v>
      </c>
      <c r="H602" s="120" t="s">
        <v>279</v>
      </c>
      <c r="K602" s="1001">
        <v>37665</v>
      </c>
      <c r="L602" s="1001"/>
      <c r="M602" s="150"/>
      <c r="T602" s="120" t="s">
        <v>5004</v>
      </c>
      <c r="U602" s="597">
        <v>0.3034722222222222</v>
      </c>
      <c r="V602" s="597">
        <v>0.48125000000000001</v>
      </c>
    </row>
    <row r="603" spans="1:23" s="33" customFormat="1" hidden="1" x14ac:dyDescent="0.25">
      <c r="A603" s="547">
        <v>25072025</v>
      </c>
      <c r="B603" s="33" t="s">
        <v>608</v>
      </c>
      <c r="C603" s="306" t="s">
        <v>4437</v>
      </c>
      <c r="D603" s="548">
        <v>45863</v>
      </c>
      <c r="E603" s="306"/>
      <c r="F603" s="306" t="s">
        <v>236</v>
      </c>
      <c r="H603" s="33" t="s">
        <v>5224</v>
      </c>
      <c r="I603" s="279"/>
      <c r="K603" s="933">
        <v>49173</v>
      </c>
      <c r="L603" s="933"/>
      <c r="M603" s="279"/>
      <c r="T603" s="33" t="s">
        <v>6688</v>
      </c>
      <c r="U603" s="550">
        <v>0.76944444444444449</v>
      </c>
      <c r="V603" s="550">
        <v>5.7638888888888892E-2</v>
      </c>
      <c r="W603" s="33" t="s">
        <v>6689</v>
      </c>
    </row>
    <row r="604" spans="1:23" s="33" customFormat="1" x14ac:dyDescent="0.25">
      <c r="A604" s="547">
        <v>26072025</v>
      </c>
      <c r="B604" s="33" t="s">
        <v>608</v>
      </c>
      <c r="C604" s="306" t="s">
        <v>4218</v>
      </c>
      <c r="D604" s="1122">
        <v>45864</v>
      </c>
      <c r="E604" s="306"/>
      <c r="F604" s="306" t="s">
        <v>236</v>
      </c>
      <c r="H604" s="1109" t="s">
        <v>279</v>
      </c>
      <c r="I604" s="279"/>
      <c r="K604" s="933">
        <v>58231</v>
      </c>
      <c r="L604" s="933"/>
      <c r="M604" s="279"/>
      <c r="T604" s="33" t="s">
        <v>4297</v>
      </c>
      <c r="U604" s="550">
        <v>0.28680555555555554</v>
      </c>
      <c r="V604" s="550">
        <v>0.56805555555555554</v>
      </c>
    </row>
    <row r="605" spans="1:23" s="926" customFormat="1" x14ac:dyDescent="0.25">
      <c r="A605" s="925">
        <v>26072025</v>
      </c>
      <c r="B605" s="926" t="s">
        <v>614</v>
      </c>
      <c r="C605" s="928" t="s">
        <v>13</v>
      </c>
      <c r="D605" s="1074">
        <v>45864</v>
      </c>
      <c r="E605" s="928"/>
      <c r="F605" s="928" t="s">
        <v>317</v>
      </c>
      <c r="H605" s="1075" t="s">
        <v>279</v>
      </c>
      <c r="K605" s="932">
        <v>53996.800000000003</v>
      </c>
      <c r="L605" s="932"/>
      <c r="M605" s="930"/>
      <c r="T605" s="926" t="s">
        <v>4867</v>
      </c>
      <c r="U605" s="931">
        <v>0.35625000000000001</v>
      </c>
      <c r="V605" s="931">
        <v>0.60763888888888884</v>
      </c>
    </row>
    <row r="606" spans="1:23" s="33" customFormat="1" x14ac:dyDescent="0.25">
      <c r="A606" s="547">
        <v>26072025</v>
      </c>
      <c r="B606" s="33" t="s">
        <v>762</v>
      </c>
      <c r="C606" s="306" t="s">
        <v>410</v>
      </c>
      <c r="D606" s="1122">
        <v>45864</v>
      </c>
      <c r="E606" s="306"/>
      <c r="F606" s="306" t="s">
        <v>872</v>
      </c>
      <c r="H606" s="1109" t="s">
        <v>279</v>
      </c>
      <c r="I606" s="279"/>
      <c r="K606" s="933">
        <v>39800</v>
      </c>
      <c r="L606" s="933"/>
      <c r="M606" s="279"/>
      <c r="T606" s="33" t="s">
        <v>6685</v>
      </c>
      <c r="U606" s="550">
        <v>0.54513888888888884</v>
      </c>
      <c r="V606" s="550">
        <v>0.75694444444444442</v>
      </c>
    </row>
    <row r="607" spans="1:23" s="33" customFormat="1" hidden="1" x14ac:dyDescent="0.25">
      <c r="A607" s="547">
        <v>26072025</v>
      </c>
      <c r="B607" s="33" t="s">
        <v>1720</v>
      </c>
      <c r="C607" s="306" t="s">
        <v>410</v>
      </c>
      <c r="D607" s="1122">
        <v>45864</v>
      </c>
      <c r="E607" s="306"/>
      <c r="F607" s="306" t="s">
        <v>545</v>
      </c>
      <c r="H607" s="1109" t="s">
        <v>277</v>
      </c>
      <c r="I607" s="279"/>
      <c r="K607" s="933">
        <v>25016</v>
      </c>
      <c r="L607" s="933"/>
      <c r="M607" s="279"/>
      <c r="T607" s="33" t="s">
        <v>6685</v>
      </c>
      <c r="U607" s="550">
        <v>0.78749999999999998</v>
      </c>
      <c r="V607" s="550">
        <v>0.92986111111111114</v>
      </c>
    </row>
    <row r="608" spans="1:23" s="33" customFormat="1" hidden="1" x14ac:dyDescent="0.25">
      <c r="A608" s="547">
        <v>27072025</v>
      </c>
      <c r="B608" s="33" t="s">
        <v>608</v>
      </c>
      <c r="C608" s="306" t="s">
        <v>4218</v>
      </c>
      <c r="D608" s="1122">
        <v>45865</v>
      </c>
      <c r="E608" s="306"/>
      <c r="F608" s="306" t="s">
        <v>236</v>
      </c>
      <c r="H608" s="1109" t="s">
        <v>5224</v>
      </c>
      <c r="I608" s="279"/>
      <c r="K608" s="933">
        <v>49173</v>
      </c>
      <c r="L608" s="933"/>
      <c r="M608" s="279"/>
      <c r="T608" s="33" t="s">
        <v>6686</v>
      </c>
      <c r="U608" s="550">
        <v>0.3923611111111111</v>
      </c>
      <c r="V608" s="550">
        <v>0.65763888888888888</v>
      </c>
    </row>
    <row r="609" spans="1:22" s="33" customFormat="1" x14ac:dyDescent="0.25">
      <c r="A609" s="547">
        <v>27072025</v>
      </c>
      <c r="B609" s="33" t="s">
        <v>762</v>
      </c>
      <c r="C609" s="306" t="s">
        <v>13</v>
      </c>
      <c r="D609" s="1122">
        <v>45865</v>
      </c>
      <c r="E609" s="306"/>
      <c r="F609" s="306" t="s">
        <v>1984</v>
      </c>
      <c r="H609" s="1109" t="s">
        <v>279</v>
      </c>
      <c r="I609" s="279"/>
      <c r="K609" s="933">
        <v>45236</v>
      </c>
      <c r="L609" s="933"/>
      <c r="M609" s="279"/>
      <c r="T609" s="33" t="s">
        <v>4139</v>
      </c>
      <c r="U609" s="550">
        <v>0.46597222222222223</v>
      </c>
      <c r="V609" s="550">
        <v>0.79791666666666672</v>
      </c>
    </row>
    <row r="610" spans="1:22" s="33" customFormat="1" x14ac:dyDescent="0.25">
      <c r="A610" s="547">
        <v>28072025</v>
      </c>
      <c r="B610" s="33" t="s">
        <v>762</v>
      </c>
      <c r="C610" s="306" t="s">
        <v>13</v>
      </c>
      <c r="D610" s="1122">
        <v>45866</v>
      </c>
      <c r="E610" s="306"/>
      <c r="F610" s="306" t="s">
        <v>872</v>
      </c>
      <c r="H610" s="1109" t="s">
        <v>279</v>
      </c>
      <c r="I610" s="279"/>
      <c r="K610" s="933">
        <v>39800</v>
      </c>
      <c r="L610" s="933"/>
      <c r="M610" s="279"/>
      <c r="T610" s="33" t="s">
        <v>6686</v>
      </c>
      <c r="U610" s="550">
        <v>0.35</v>
      </c>
      <c r="V610" s="550">
        <v>0.60069444444444442</v>
      </c>
    </row>
    <row r="611" spans="1:22" s="33" customFormat="1" x14ac:dyDescent="0.25">
      <c r="A611" s="547">
        <v>29072025</v>
      </c>
      <c r="B611" s="33" t="s">
        <v>4736</v>
      </c>
      <c r="C611" s="306" t="s">
        <v>13</v>
      </c>
      <c r="D611" s="1122">
        <v>45867</v>
      </c>
      <c r="E611" s="306"/>
      <c r="F611" s="306" t="s">
        <v>798</v>
      </c>
      <c r="H611" s="1109" t="s">
        <v>279</v>
      </c>
      <c r="I611" s="279"/>
      <c r="K611" s="933">
        <v>26950</v>
      </c>
      <c r="L611" s="933"/>
      <c r="M611" s="279"/>
      <c r="T611" s="33" t="s">
        <v>4867</v>
      </c>
      <c r="U611" s="550">
        <v>0.52916666666666667</v>
      </c>
      <c r="V611" s="550">
        <v>0.67222222222222228</v>
      </c>
    </row>
    <row r="612" spans="1:22" s="33" customFormat="1" x14ac:dyDescent="0.25">
      <c r="A612" s="547">
        <v>30072025</v>
      </c>
      <c r="B612" s="33" t="s">
        <v>608</v>
      </c>
      <c r="C612" s="306" t="s">
        <v>13</v>
      </c>
      <c r="D612" s="548">
        <v>45868</v>
      </c>
      <c r="E612" s="306"/>
      <c r="F612" s="306" t="s">
        <v>236</v>
      </c>
      <c r="H612" s="1109" t="s">
        <v>279</v>
      </c>
      <c r="I612" s="279"/>
      <c r="K612" s="933">
        <v>58231</v>
      </c>
      <c r="L612" s="933"/>
      <c r="M612" s="279"/>
      <c r="T612" s="33" t="s">
        <v>6687</v>
      </c>
      <c r="U612" s="550">
        <v>16.16</v>
      </c>
      <c r="V612" s="550">
        <v>0.9506944444444444</v>
      </c>
    </row>
    <row r="613" spans="1:22" hidden="1" x14ac:dyDescent="0.25"/>
    <row r="614" spans="1:22" hidden="1" x14ac:dyDescent="0.25">
      <c r="H614" s="32"/>
      <c r="I614" s="32"/>
      <c r="J614" s="32"/>
      <c r="V614" s="368"/>
    </row>
    <row r="615" spans="1:22" hidden="1" x14ac:dyDescent="0.25">
      <c r="A615" s="483"/>
      <c r="D615" s="233"/>
      <c r="K615" s="798"/>
      <c r="L615" s="798"/>
      <c r="T615" s="32"/>
    </row>
    <row r="616" spans="1:22" ht="15.75" hidden="1" thickBot="1" x14ac:dyDescent="0.3">
      <c r="A616" s="483"/>
      <c r="D616" s="233"/>
      <c r="K616" s="960">
        <f>SUM(K548:K615)</f>
        <v>2125599.9500000002</v>
      </c>
      <c r="L616" s="960">
        <f>SUM(L548:L615)</f>
        <v>96410</v>
      </c>
      <c r="T616" s="32"/>
    </row>
    <row r="617" spans="1:22" hidden="1" x14ac:dyDescent="0.25">
      <c r="A617" s="483"/>
      <c r="D617" s="233"/>
      <c r="K617" s="558"/>
      <c r="L617" s="558"/>
      <c r="T617" s="32"/>
    </row>
    <row r="618" spans="1:22" hidden="1" x14ac:dyDescent="0.25">
      <c r="A618" s="483"/>
      <c r="D618" s="233"/>
      <c r="I618" s="32"/>
      <c r="J618" s="32"/>
      <c r="K618" s="798"/>
      <c r="L618" s="798"/>
      <c r="M618" s="32"/>
      <c r="U618" s="360"/>
      <c r="V618" s="360"/>
    </row>
    <row r="619" spans="1:22" hidden="1" x14ac:dyDescent="0.25">
      <c r="A619" s="483"/>
      <c r="D619" s="233"/>
      <c r="K619" s="798"/>
      <c r="L619" s="558"/>
    </row>
    <row r="620" spans="1:22" s="926" customFormat="1" x14ac:dyDescent="0.25">
      <c r="A620" s="925" t="s">
        <v>6695</v>
      </c>
      <c r="B620" s="926" t="s">
        <v>614</v>
      </c>
      <c r="C620" s="928" t="s">
        <v>4218</v>
      </c>
      <c r="D620" s="927">
        <v>45870</v>
      </c>
      <c r="E620" s="928"/>
      <c r="F620" s="928" t="s">
        <v>2029</v>
      </c>
      <c r="H620" s="1075" t="s">
        <v>279</v>
      </c>
      <c r="I620" s="930"/>
      <c r="J620" s="930"/>
      <c r="K620" s="932">
        <v>31152</v>
      </c>
      <c r="L620" s="932"/>
      <c r="M620" s="930"/>
      <c r="T620" s="926" t="s">
        <v>6349</v>
      </c>
      <c r="U620" s="931">
        <v>0.33958333333333335</v>
      </c>
      <c r="V620" s="931">
        <v>0.52361111111111114</v>
      </c>
    </row>
    <row r="621" spans="1:22" s="926" customFormat="1" x14ac:dyDescent="0.25">
      <c r="A621" s="925" t="s">
        <v>6695</v>
      </c>
      <c r="B621" s="926" t="s">
        <v>610</v>
      </c>
      <c r="C621" s="928" t="s">
        <v>410</v>
      </c>
      <c r="D621" s="927">
        <v>45870</v>
      </c>
      <c r="E621" s="928"/>
      <c r="F621" s="928" t="s">
        <v>106</v>
      </c>
      <c r="H621" s="1075" t="s">
        <v>279</v>
      </c>
      <c r="I621" s="930"/>
      <c r="J621" s="930"/>
      <c r="K621" s="932">
        <v>29770</v>
      </c>
      <c r="L621" s="932"/>
      <c r="M621" s="930"/>
      <c r="T621" s="926" t="s">
        <v>6214</v>
      </c>
      <c r="U621" s="931">
        <v>0.42152777777777778</v>
      </c>
      <c r="V621" s="931">
        <v>0.58333333333333337</v>
      </c>
    </row>
    <row r="622" spans="1:22" s="926" customFormat="1" x14ac:dyDescent="0.25">
      <c r="A622" s="925" t="s">
        <v>6695</v>
      </c>
      <c r="B622" s="926" t="s">
        <v>2407</v>
      </c>
      <c r="C622" s="928" t="s">
        <v>13</v>
      </c>
      <c r="D622" s="927">
        <v>45870</v>
      </c>
      <c r="E622" s="928"/>
      <c r="F622" s="928" t="s">
        <v>207</v>
      </c>
      <c r="H622" s="1075" t="s">
        <v>279</v>
      </c>
      <c r="I622" s="930"/>
      <c r="J622" s="930"/>
      <c r="K622" s="932"/>
      <c r="L622" s="932">
        <v>9440</v>
      </c>
      <c r="M622" s="930"/>
      <c r="T622" s="926" t="s">
        <v>6150</v>
      </c>
      <c r="U622" s="931">
        <v>0.30416666666666664</v>
      </c>
      <c r="V622" s="931">
        <v>0.51736111111111105</v>
      </c>
    </row>
    <row r="623" spans="1:22" s="926" customFormat="1" x14ac:dyDescent="0.25">
      <c r="A623" s="925" t="s">
        <v>6705</v>
      </c>
      <c r="B623" s="926" t="s">
        <v>4515</v>
      </c>
      <c r="C623" s="928" t="s">
        <v>410</v>
      </c>
      <c r="D623" s="927">
        <v>45871</v>
      </c>
      <c r="E623" s="928"/>
      <c r="F623" s="928" t="s">
        <v>113</v>
      </c>
      <c r="H623" s="1075" t="s">
        <v>279</v>
      </c>
      <c r="I623" s="930"/>
      <c r="J623" s="930"/>
      <c r="K623" s="932"/>
      <c r="L623" s="932">
        <v>10148</v>
      </c>
      <c r="M623" s="930"/>
      <c r="T623" s="926" t="s">
        <v>4345</v>
      </c>
      <c r="U623" s="931">
        <v>0.34722222222222227</v>
      </c>
      <c r="V623" s="931">
        <v>0.56111111111111112</v>
      </c>
    </row>
    <row r="624" spans="1:22" s="926" customFormat="1" x14ac:dyDescent="0.25">
      <c r="A624" s="925" t="s">
        <v>6705</v>
      </c>
      <c r="B624" s="926" t="s">
        <v>2407</v>
      </c>
      <c r="C624" s="928" t="s">
        <v>13</v>
      </c>
      <c r="D624" s="927">
        <v>45871</v>
      </c>
      <c r="E624" s="928"/>
      <c r="F624" s="928" t="s">
        <v>294</v>
      </c>
      <c r="H624" s="1075" t="s">
        <v>279</v>
      </c>
      <c r="I624" s="930"/>
      <c r="J624" s="930"/>
      <c r="K624" s="932"/>
      <c r="L624" s="932">
        <v>9440</v>
      </c>
      <c r="M624" s="930"/>
      <c r="T624" s="926" t="s">
        <v>6349</v>
      </c>
      <c r="U624" s="931">
        <v>0.40972222222222227</v>
      </c>
      <c r="V624" s="931">
        <v>0.6020833333333333</v>
      </c>
    </row>
    <row r="625" spans="1:22" s="926" customFormat="1" hidden="1" x14ac:dyDescent="0.25">
      <c r="A625" s="925" t="s">
        <v>6705</v>
      </c>
      <c r="B625" s="926" t="s">
        <v>1720</v>
      </c>
      <c r="C625" s="928" t="s">
        <v>410</v>
      </c>
      <c r="D625" s="927">
        <v>45871</v>
      </c>
      <c r="E625" s="928"/>
      <c r="F625" s="928" t="s">
        <v>545</v>
      </c>
      <c r="H625" s="1075" t="s">
        <v>277</v>
      </c>
      <c r="I625" s="930"/>
      <c r="J625" s="930"/>
      <c r="K625" s="932">
        <v>25016</v>
      </c>
      <c r="L625" s="932"/>
      <c r="M625" s="930"/>
      <c r="T625" s="926" t="s">
        <v>4345</v>
      </c>
      <c r="U625" s="931">
        <v>0.60347222222222219</v>
      </c>
      <c r="V625" s="931">
        <v>0.77916666666666667</v>
      </c>
    </row>
    <row r="626" spans="1:22" s="926" customFormat="1" x14ac:dyDescent="0.25">
      <c r="A626" s="925" t="s">
        <v>6706</v>
      </c>
      <c r="B626" s="926" t="s">
        <v>7351</v>
      </c>
      <c r="C626" s="928" t="s">
        <v>13</v>
      </c>
      <c r="D626" s="927">
        <v>45872</v>
      </c>
      <c r="E626" s="928"/>
      <c r="F626" s="928" t="s">
        <v>207</v>
      </c>
      <c r="H626" s="1075" t="s">
        <v>279</v>
      </c>
      <c r="I626" s="930"/>
      <c r="J626" s="930"/>
      <c r="K626" s="932"/>
      <c r="L626" s="932">
        <v>10620</v>
      </c>
      <c r="M626" s="930"/>
      <c r="T626" s="926" t="s">
        <v>6151</v>
      </c>
      <c r="U626" s="931">
        <v>0.29444444444444445</v>
      </c>
      <c r="V626" s="931">
        <v>0.52083333333333337</v>
      </c>
    </row>
    <row r="627" spans="1:22" s="926" customFormat="1" x14ac:dyDescent="0.25">
      <c r="A627" s="925" t="s">
        <v>6706</v>
      </c>
      <c r="B627" s="926" t="s">
        <v>4193</v>
      </c>
      <c r="C627" s="928" t="s">
        <v>4218</v>
      </c>
      <c r="D627" s="927">
        <v>45872</v>
      </c>
      <c r="E627" s="928"/>
      <c r="F627" s="928" t="s">
        <v>285</v>
      </c>
      <c r="H627" s="1075" t="s">
        <v>279</v>
      </c>
      <c r="I627" s="930"/>
      <c r="J627" s="930"/>
      <c r="K627" s="932"/>
      <c r="L627" s="932">
        <v>11800</v>
      </c>
      <c r="M627" s="930"/>
      <c r="T627" s="926" t="s">
        <v>5131</v>
      </c>
      <c r="U627" s="931">
        <v>0.31041666666666667</v>
      </c>
      <c r="V627" s="931">
        <v>0.54861111111111105</v>
      </c>
    </row>
    <row r="628" spans="1:22" s="431" customFormat="1" x14ac:dyDescent="0.25">
      <c r="A628" s="1232" t="s">
        <v>6707</v>
      </c>
      <c r="B628" s="431" t="s">
        <v>3276</v>
      </c>
      <c r="C628" s="492" t="s">
        <v>4218</v>
      </c>
      <c r="D628" s="569">
        <v>45873</v>
      </c>
      <c r="E628" s="492"/>
      <c r="F628" s="492" t="s">
        <v>872</v>
      </c>
      <c r="H628" s="1233" t="s">
        <v>279</v>
      </c>
      <c r="I628" s="526"/>
      <c r="J628" s="526"/>
      <c r="K628" s="1234">
        <v>39800</v>
      </c>
      <c r="L628" s="1234"/>
      <c r="M628" s="526"/>
      <c r="T628" s="431" t="s">
        <v>6503</v>
      </c>
      <c r="U628" s="570">
        <v>0.34236111111111112</v>
      </c>
      <c r="V628" s="570">
        <v>0.54791666666666672</v>
      </c>
    </row>
    <row r="629" spans="1:22" s="926" customFormat="1" hidden="1" x14ac:dyDescent="0.25">
      <c r="A629" s="925" t="s">
        <v>6707</v>
      </c>
      <c r="B629" s="926" t="s">
        <v>930</v>
      </c>
      <c r="C629" s="928" t="s">
        <v>13</v>
      </c>
      <c r="D629" s="927">
        <v>45873</v>
      </c>
      <c r="E629" s="928"/>
      <c r="F629" s="928" t="s">
        <v>295</v>
      </c>
      <c r="H629" s="1075" t="s">
        <v>277</v>
      </c>
      <c r="I629" s="930"/>
      <c r="J629" s="930"/>
      <c r="K629" s="932">
        <v>34011</v>
      </c>
      <c r="L629" s="932"/>
      <c r="M629" s="930"/>
      <c r="T629" s="926" t="s">
        <v>6294</v>
      </c>
      <c r="U629" s="931">
        <v>0.49305555555555558</v>
      </c>
      <c r="V629" s="931">
        <v>0.75486111111111109</v>
      </c>
    </row>
    <row r="630" spans="1:22" s="926" customFormat="1" x14ac:dyDescent="0.25">
      <c r="A630" s="925" t="s">
        <v>6707</v>
      </c>
      <c r="B630" s="926" t="s">
        <v>572</v>
      </c>
      <c r="C630" s="928" t="s">
        <v>410</v>
      </c>
      <c r="D630" s="927">
        <v>45873</v>
      </c>
      <c r="E630" s="928"/>
      <c r="F630" s="928" t="s">
        <v>317</v>
      </c>
      <c r="H630" s="1075" t="s">
        <v>279</v>
      </c>
      <c r="I630" s="930"/>
      <c r="J630" s="930"/>
      <c r="K630" s="932"/>
      <c r="L630" s="932">
        <v>12272</v>
      </c>
      <c r="M630" s="930"/>
      <c r="T630" s="926" t="s">
        <v>5026</v>
      </c>
      <c r="U630" s="931">
        <v>0.62708333333333333</v>
      </c>
      <c r="V630" s="931">
        <v>0.8666666666666667</v>
      </c>
    </row>
    <row r="631" spans="1:22" s="926" customFormat="1" hidden="1" x14ac:dyDescent="0.25">
      <c r="A631" s="925" t="s">
        <v>6707</v>
      </c>
      <c r="B631" s="926" t="s">
        <v>1720</v>
      </c>
      <c r="C631" s="928" t="s">
        <v>809</v>
      </c>
      <c r="D631" s="927">
        <v>45873</v>
      </c>
      <c r="E631" s="928"/>
      <c r="F631" s="928" t="s">
        <v>545</v>
      </c>
      <c r="H631" s="1075" t="s">
        <v>277</v>
      </c>
      <c r="I631" s="930"/>
      <c r="J631" s="930"/>
      <c r="K631" s="932">
        <v>25016</v>
      </c>
      <c r="L631" s="932"/>
      <c r="M631" s="930"/>
      <c r="T631" s="926" t="s">
        <v>6708</v>
      </c>
      <c r="U631" s="931">
        <v>0.66041666666666665</v>
      </c>
      <c r="V631" s="931">
        <v>0.72013888888888899</v>
      </c>
    </row>
    <row r="632" spans="1:22" s="926" customFormat="1" x14ac:dyDescent="0.25">
      <c r="A632" s="925" t="s">
        <v>6707</v>
      </c>
      <c r="B632" s="926" t="s">
        <v>608</v>
      </c>
      <c r="C632" s="928" t="s">
        <v>4218</v>
      </c>
      <c r="D632" s="927">
        <v>45873</v>
      </c>
      <c r="E632" s="928"/>
      <c r="F632" s="928" t="s">
        <v>236</v>
      </c>
      <c r="H632" s="1075" t="s">
        <v>279</v>
      </c>
      <c r="I632" s="930"/>
      <c r="J632" s="930"/>
      <c r="K632" s="929">
        <v>58231</v>
      </c>
      <c r="L632" s="932"/>
      <c r="M632" s="930"/>
      <c r="T632" s="926" t="s">
        <v>4140</v>
      </c>
      <c r="U632" s="931">
        <v>0.73819444444444438</v>
      </c>
      <c r="V632" s="931">
        <v>3.5416666666666666E-2</v>
      </c>
    </row>
    <row r="633" spans="1:22" s="1278" customFormat="1" x14ac:dyDescent="0.25">
      <c r="A633" s="1277" t="s">
        <v>6709</v>
      </c>
      <c r="B633" s="1278" t="s">
        <v>5780</v>
      </c>
      <c r="C633" s="1279" t="s">
        <v>4218</v>
      </c>
      <c r="D633" s="1280">
        <v>45874</v>
      </c>
      <c r="E633" s="1279"/>
      <c r="F633" s="1279" t="s">
        <v>113</v>
      </c>
      <c r="H633" s="1281" t="s">
        <v>279</v>
      </c>
      <c r="I633" s="1282"/>
      <c r="J633" s="1282"/>
      <c r="K633" s="1283">
        <v>38100</v>
      </c>
      <c r="L633" s="1284"/>
      <c r="M633" s="1282"/>
      <c r="T633" s="1278" t="s">
        <v>6294</v>
      </c>
      <c r="U633" s="1285">
        <v>0.33958333333333335</v>
      </c>
      <c r="V633" s="1285">
        <v>0.53472222222222221</v>
      </c>
    </row>
    <row r="634" spans="1:22" s="926" customFormat="1" x14ac:dyDescent="0.25">
      <c r="A634" s="925" t="s">
        <v>6710</v>
      </c>
      <c r="B634" s="926" t="s">
        <v>572</v>
      </c>
      <c r="C634" s="928" t="s">
        <v>4218</v>
      </c>
      <c r="D634" s="927">
        <v>45875</v>
      </c>
      <c r="E634" s="928"/>
      <c r="F634" s="928" t="s">
        <v>68</v>
      </c>
      <c r="H634" s="1075" t="s">
        <v>279</v>
      </c>
      <c r="I634" s="930"/>
      <c r="J634" s="930"/>
      <c r="K634" s="929"/>
      <c r="L634" s="932">
        <v>11800</v>
      </c>
      <c r="M634" s="930"/>
      <c r="T634" s="926" t="s">
        <v>6347</v>
      </c>
      <c r="U634" s="931">
        <v>0.30972222222222223</v>
      </c>
      <c r="V634" s="931">
        <v>0.55277777777777781</v>
      </c>
    </row>
    <row r="635" spans="1:22" s="926" customFormat="1" x14ac:dyDescent="0.25">
      <c r="A635" s="925" t="s">
        <v>6710</v>
      </c>
      <c r="B635" s="926" t="s">
        <v>1720</v>
      </c>
      <c r="C635" s="928" t="s">
        <v>13</v>
      </c>
      <c r="D635" s="927">
        <v>45875</v>
      </c>
      <c r="E635" s="928"/>
      <c r="F635" s="928" t="s">
        <v>545</v>
      </c>
      <c r="H635" s="1075" t="s">
        <v>279</v>
      </c>
      <c r="I635" s="930"/>
      <c r="J635" s="930"/>
      <c r="K635" s="929">
        <v>34456</v>
      </c>
      <c r="L635" s="932"/>
      <c r="M635" s="930"/>
      <c r="T635" s="926" t="s">
        <v>5989</v>
      </c>
      <c r="U635" s="931">
        <v>0.36041666666666666</v>
      </c>
      <c r="V635" s="931">
        <v>0.53472222222222221</v>
      </c>
    </row>
    <row r="636" spans="1:22" s="926" customFormat="1" x14ac:dyDescent="0.25">
      <c r="A636" s="925" t="s">
        <v>6710</v>
      </c>
      <c r="B636" s="926" t="s">
        <v>614</v>
      </c>
      <c r="C636" s="928" t="s">
        <v>410</v>
      </c>
      <c r="D636" s="927">
        <v>45875</v>
      </c>
      <c r="E636" s="928"/>
      <c r="F636" s="928" t="s">
        <v>4562</v>
      </c>
      <c r="H636" s="1075" t="s">
        <v>279</v>
      </c>
      <c r="I636" s="930"/>
      <c r="J636" s="930"/>
      <c r="K636" s="929">
        <v>31152</v>
      </c>
      <c r="L636" s="932"/>
      <c r="M636" s="930"/>
      <c r="T636" s="926" t="s">
        <v>6151</v>
      </c>
      <c r="U636" s="931">
        <v>0.46875</v>
      </c>
      <c r="V636" s="931">
        <v>0.6166666666666667</v>
      </c>
    </row>
    <row r="637" spans="1:22" s="926" customFormat="1" x14ac:dyDescent="0.25">
      <c r="A637" s="925" t="s">
        <v>6711</v>
      </c>
      <c r="B637" s="926" t="s">
        <v>614</v>
      </c>
      <c r="C637" s="928" t="s">
        <v>410</v>
      </c>
      <c r="D637" s="927">
        <v>45876</v>
      </c>
      <c r="E637" s="928"/>
      <c r="F637" s="928" t="s">
        <v>1931</v>
      </c>
      <c r="H637" s="1075" t="s">
        <v>279</v>
      </c>
      <c r="I637" s="930"/>
      <c r="J637" s="930"/>
      <c r="K637" s="929">
        <v>62304</v>
      </c>
      <c r="L637" s="932"/>
      <c r="M637" s="930"/>
      <c r="T637" s="926" t="s">
        <v>5026</v>
      </c>
      <c r="U637" s="931">
        <v>0.70694444444444438</v>
      </c>
      <c r="V637" s="931">
        <v>2.2916666666666669E-2</v>
      </c>
    </row>
    <row r="638" spans="1:22" s="926" customFormat="1" x14ac:dyDescent="0.25">
      <c r="A638" s="925" t="s">
        <v>6711</v>
      </c>
      <c r="B638" s="926" t="s">
        <v>3880</v>
      </c>
      <c r="C638" s="928" t="s">
        <v>4218</v>
      </c>
      <c r="D638" s="927">
        <v>45876</v>
      </c>
      <c r="E638" s="928"/>
      <c r="F638" s="928" t="s">
        <v>545</v>
      </c>
      <c r="H638" s="1075" t="s">
        <v>279</v>
      </c>
      <c r="I638" s="930"/>
      <c r="J638" s="930"/>
      <c r="K638" s="929">
        <v>32284.400000000001</v>
      </c>
      <c r="L638" s="932"/>
      <c r="M638" s="930"/>
      <c r="T638" s="926" t="s">
        <v>4140</v>
      </c>
      <c r="U638" s="931">
        <v>0.68611111111111101</v>
      </c>
      <c r="V638" s="931">
        <v>0.8520833333333333</v>
      </c>
    </row>
    <row r="639" spans="1:22" s="926" customFormat="1" x14ac:dyDescent="0.25">
      <c r="A639" s="925" t="s">
        <v>6717</v>
      </c>
      <c r="B639" s="926" t="s">
        <v>2527</v>
      </c>
      <c r="C639" s="928" t="s">
        <v>4218</v>
      </c>
      <c r="D639" s="927">
        <v>45877</v>
      </c>
      <c r="E639" s="928"/>
      <c r="F639" s="928" t="s">
        <v>285</v>
      </c>
      <c r="H639" s="1075" t="s">
        <v>279</v>
      </c>
      <c r="I639" s="930"/>
      <c r="J639" s="930"/>
      <c r="K639" s="929">
        <f>36342.75+9086</f>
        <v>45428.75</v>
      </c>
      <c r="L639" s="932"/>
      <c r="M639" s="930"/>
      <c r="T639" s="926" t="s">
        <v>6294</v>
      </c>
      <c r="U639" s="931">
        <v>0.29166666666666669</v>
      </c>
      <c r="V639" s="931">
        <v>0.53125</v>
      </c>
    </row>
    <row r="640" spans="1:22" s="418" customFormat="1" x14ac:dyDescent="0.25">
      <c r="A640" s="624" t="s">
        <v>6765</v>
      </c>
      <c r="B640" s="418" t="s">
        <v>4849</v>
      </c>
      <c r="C640" s="420" t="s">
        <v>13</v>
      </c>
      <c r="D640" s="602">
        <v>45878</v>
      </c>
      <c r="E640" s="420"/>
      <c r="F640" s="420" t="s">
        <v>2008</v>
      </c>
      <c r="H640" s="1147" t="s">
        <v>279</v>
      </c>
      <c r="I640" s="422"/>
      <c r="J640" s="422"/>
      <c r="K640" s="421">
        <v>47250</v>
      </c>
      <c r="L640" s="1079"/>
      <c r="M640" s="422"/>
      <c r="T640" s="418" t="s">
        <v>5026</v>
      </c>
      <c r="U640" s="604">
        <v>0.3354166666666667</v>
      </c>
      <c r="V640" s="604">
        <v>0.59583333333333333</v>
      </c>
    </row>
    <row r="641" spans="1:22" s="926" customFormat="1" x14ac:dyDescent="0.25">
      <c r="A641" s="925" t="s">
        <v>6765</v>
      </c>
      <c r="B641" s="926" t="s">
        <v>614</v>
      </c>
      <c r="C641" s="928" t="s">
        <v>4218</v>
      </c>
      <c r="D641" s="927">
        <v>45878</v>
      </c>
      <c r="E641" s="928"/>
      <c r="F641" s="928" t="s">
        <v>4622</v>
      </c>
      <c r="H641" s="1075" t="s">
        <v>279</v>
      </c>
      <c r="I641" s="930"/>
      <c r="J641" s="930"/>
      <c r="K641" s="929">
        <v>31152</v>
      </c>
      <c r="L641" s="932"/>
      <c r="M641" s="930"/>
      <c r="T641" s="926" t="s">
        <v>6349</v>
      </c>
      <c r="U641" s="931">
        <v>0.3444444444444445</v>
      </c>
      <c r="V641" s="931">
        <v>0.49305555555555558</v>
      </c>
    </row>
    <row r="642" spans="1:22" s="33" customFormat="1" x14ac:dyDescent="0.25">
      <c r="A642" s="547" t="s">
        <v>6765</v>
      </c>
      <c r="B642" s="33" t="s">
        <v>3276</v>
      </c>
      <c r="C642" s="306" t="s">
        <v>410</v>
      </c>
      <c r="D642" s="548">
        <v>45878</v>
      </c>
      <c r="E642" s="306"/>
      <c r="F642" s="306" t="s">
        <v>872</v>
      </c>
      <c r="H642" s="1109" t="s">
        <v>279</v>
      </c>
      <c r="I642" s="279"/>
      <c r="J642" s="279"/>
      <c r="K642" s="312">
        <v>39800</v>
      </c>
      <c r="L642" s="933"/>
      <c r="M642" s="279"/>
      <c r="T642" s="33" t="s">
        <v>4297</v>
      </c>
      <c r="U642" s="550">
        <v>0.4680555555555555</v>
      </c>
      <c r="V642" s="550">
        <v>0.71875</v>
      </c>
    </row>
    <row r="643" spans="1:22" s="926" customFormat="1" x14ac:dyDescent="0.25">
      <c r="A643" s="925" t="s">
        <v>6765</v>
      </c>
      <c r="B643" s="926" t="s">
        <v>3880</v>
      </c>
      <c r="C643" s="928" t="s">
        <v>4218</v>
      </c>
      <c r="D643" s="927">
        <v>45878</v>
      </c>
      <c r="E643" s="928"/>
      <c r="F643" s="928" t="s">
        <v>545</v>
      </c>
      <c r="H643" s="1075" t="s">
        <v>279</v>
      </c>
      <c r="I643" s="930"/>
      <c r="J643" s="930"/>
      <c r="K643" s="929">
        <v>32284.400000000001</v>
      </c>
      <c r="L643" s="932"/>
      <c r="M643" s="930"/>
      <c r="T643" s="926" t="s">
        <v>6147</v>
      </c>
      <c r="U643" s="931">
        <v>0.83333333333333337</v>
      </c>
      <c r="V643" s="931">
        <v>7.6388888888888886E-3</v>
      </c>
    </row>
    <row r="644" spans="1:22" s="926" customFormat="1" x14ac:dyDescent="0.25">
      <c r="A644" s="925" t="s">
        <v>6766</v>
      </c>
      <c r="B644" s="926" t="s">
        <v>930</v>
      </c>
      <c r="C644" s="928" t="s">
        <v>410</v>
      </c>
      <c r="D644" s="927">
        <v>45879</v>
      </c>
      <c r="E644" s="928"/>
      <c r="F644" s="928" t="s">
        <v>294</v>
      </c>
      <c r="H644" s="1075" t="s">
        <v>279</v>
      </c>
      <c r="I644" s="930"/>
      <c r="J644" s="930"/>
      <c r="K644" s="929">
        <v>33182</v>
      </c>
      <c r="L644" s="932"/>
      <c r="M644" s="930"/>
      <c r="T644" s="926" t="s">
        <v>6349</v>
      </c>
      <c r="U644" s="931">
        <v>0.29791666666666666</v>
      </c>
      <c r="V644" s="931">
        <v>0.50624999999999998</v>
      </c>
    </row>
    <row r="645" spans="1:22" s="926" customFormat="1" x14ac:dyDescent="0.25">
      <c r="A645" s="925" t="s">
        <v>6766</v>
      </c>
      <c r="B645" s="926" t="s">
        <v>572</v>
      </c>
      <c r="C645" s="928" t="s">
        <v>13</v>
      </c>
      <c r="D645" s="927">
        <v>45879</v>
      </c>
      <c r="E645" s="928"/>
      <c r="F645" s="928" t="s">
        <v>317</v>
      </c>
      <c r="H645" s="1075" t="s">
        <v>279</v>
      </c>
      <c r="I645" s="930"/>
      <c r="J645" s="930"/>
      <c r="K645" s="929"/>
      <c r="L645" s="932">
        <v>12272</v>
      </c>
      <c r="M645" s="930"/>
      <c r="T645" s="926" t="s">
        <v>4297</v>
      </c>
      <c r="U645" s="931">
        <v>0.33194444444444443</v>
      </c>
      <c r="V645" s="931">
        <v>0.62916666666666665</v>
      </c>
    </row>
    <row r="646" spans="1:22" s="926" customFormat="1" x14ac:dyDescent="0.25">
      <c r="A646" s="925" t="s">
        <v>6766</v>
      </c>
      <c r="B646" s="926" t="s">
        <v>608</v>
      </c>
      <c r="C646" s="928" t="s">
        <v>410</v>
      </c>
      <c r="D646" s="927">
        <v>45879</v>
      </c>
      <c r="E646" s="928"/>
      <c r="F646" s="928" t="s">
        <v>236</v>
      </c>
      <c r="H646" s="1075" t="s">
        <v>279</v>
      </c>
      <c r="I646" s="930"/>
      <c r="J646" s="930"/>
      <c r="K646" s="929">
        <v>58231</v>
      </c>
      <c r="L646" s="932"/>
      <c r="M646" s="930"/>
      <c r="T646" s="926" t="s">
        <v>5393</v>
      </c>
      <c r="U646" s="931">
        <v>0.56388888888888888</v>
      </c>
      <c r="V646" s="931">
        <v>0.8256944444444444</v>
      </c>
    </row>
    <row r="647" spans="1:22" s="926" customFormat="1" x14ac:dyDescent="0.25">
      <c r="A647" s="925" t="s">
        <v>6767</v>
      </c>
      <c r="B647" s="926" t="s">
        <v>614</v>
      </c>
      <c r="C647" s="928" t="s">
        <v>13</v>
      </c>
      <c r="D647" s="927">
        <v>45880</v>
      </c>
      <c r="E647" s="928"/>
      <c r="F647" s="928" t="s">
        <v>2253</v>
      </c>
      <c r="H647" s="1075" t="s">
        <v>279</v>
      </c>
      <c r="I647" s="930"/>
      <c r="J647" s="930"/>
      <c r="K647" s="929">
        <v>62304</v>
      </c>
      <c r="L647" s="932"/>
      <c r="M647" s="930"/>
      <c r="T647" s="926" t="s">
        <v>4297</v>
      </c>
      <c r="U647" s="931">
        <v>0.32222222222222224</v>
      </c>
      <c r="V647" s="931">
        <v>15.31</v>
      </c>
    </row>
    <row r="648" spans="1:22" s="926" customFormat="1" x14ac:dyDescent="0.25">
      <c r="A648" s="925" t="s">
        <v>6767</v>
      </c>
      <c r="B648" s="926" t="s">
        <v>610</v>
      </c>
      <c r="C648" s="928" t="s">
        <v>410</v>
      </c>
      <c r="D648" s="927">
        <v>45880</v>
      </c>
      <c r="E648" s="928"/>
      <c r="F648" s="928" t="s">
        <v>106</v>
      </c>
      <c r="H648" s="1075" t="s">
        <v>279</v>
      </c>
      <c r="I648" s="930"/>
      <c r="J648" s="930"/>
      <c r="K648" s="929">
        <v>29770</v>
      </c>
      <c r="L648" s="932"/>
      <c r="M648" s="930"/>
      <c r="T648" s="926" t="s">
        <v>6214</v>
      </c>
      <c r="U648" s="931">
        <v>0.51736111111111105</v>
      </c>
      <c r="V648" s="931">
        <v>0.66388888888888886</v>
      </c>
    </row>
    <row r="649" spans="1:22" s="926" customFormat="1" x14ac:dyDescent="0.25">
      <c r="A649" s="925" t="s">
        <v>6778</v>
      </c>
      <c r="B649" s="926" t="s">
        <v>614</v>
      </c>
      <c r="C649" s="928" t="s">
        <v>13</v>
      </c>
      <c r="D649" s="927">
        <v>45881</v>
      </c>
      <c r="E649" s="928"/>
      <c r="F649" s="928" t="s">
        <v>2036</v>
      </c>
      <c r="H649" s="1075" t="s">
        <v>279</v>
      </c>
      <c r="I649" s="930"/>
      <c r="J649" s="930"/>
      <c r="K649" s="929">
        <v>31152</v>
      </c>
      <c r="L649" s="932"/>
      <c r="M649" s="930"/>
      <c r="T649" s="926" t="s">
        <v>5026</v>
      </c>
      <c r="U649" s="931">
        <v>0.36805555555555558</v>
      </c>
      <c r="V649" s="931">
        <v>0.48819444444444443</v>
      </c>
    </row>
    <row r="650" spans="1:22" s="926" customFormat="1" x14ac:dyDescent="0.25">
      <c r="A650" s="925" t="s">
        <v>6778</v>
      </c>
      <c r="B650" s="926" t="s">
        <v>2497</v>
      </c>
      <c r="C650" s="928" t="s">
        <v>410</v>
      </c>
      <c r="D650" s="927">
        <v>45881</v>
      </c>
      <c r="E650" s="928"/>
      <c r="F650" s="928" t="s">
        <v>143</v>
      </c>
      <c r="H650" s="1075" t="s">
        <v>279</v>
      </c>
      <c r="I650" s="930"/>
      <c r="J650" s="930"/>
      <c r="K650" s="929">
        <v>37252</v>
      </c>
      <c r="L650" s="932"/>
      <c r="M650" s="930"/>
      <c r="T650" s="926" t="s">
        <v>6349</v>
      </c>
      <c r="U650" s="931">
        <v>0.37361111111111112</v>
      </c>
      <c r="V650" s="931">
        <v>0.61249999999999993</v>
      </c>
    </row>
    <row r="651" spans="1:22" s="926" customFormat="1" x14ac:dyDescent="0.25">
      <c r="A651" s="925" t="s">
        <v>6778</v>
      </c>
      <c r="B651" s="926" t="s">
        <v>2129</v>
      </c>
      <c r="C651" s="928" t="s">
        <v>13</v>
      </c>
      <c r="D651" s="927">
        <v>45881</v>
      </c>
      <c r="E651" s="928"/>
      <c r="F651" s="928" t="s">
        <v>236</v>
      </c>
      <c r="H651" s="1075" t="s">
        <v>279</v>
      </c>
      <c r="I651" s="930"/>
      <c r="J651" s="930"/>
      <c r="K651" s="929">
        <v>62540</v>
      </c>
      <c r="L651" s="932"/>
      <c r="M651" s="930"/>
      <c r="T651" s="926" t="s">
        <v>5989</v>
      </c>
      <c r="U651" s="931">
        <v>0.72986111111111107</v>
      </c>
      <c r="V651" s="931">
        <v>1.5972222222222224E-2</v>
      </c>
    </row>
    <row r="652" spans="1:22" s="926" customFormat="1" x14ac:dyDescent="0.25">
      <c r="A652" s="925" t="s">
        <v>6786</v>
      </c>
      <c r="B652" s="926" t="s">
        <v>6269</v>
      </c>
      <c r="C652" s="928" t="s">
        <v>13</v>
      </c>
      <c r="D652" s="927">
        <v>45882</v>
      </c>
      <c r="E652" s="928"/>
      <c r="F652" s="928" t="s">
        <v>317</v>
      </c>
      <c r="H652" s="1075" t="s">
        <v>279</v>
      </c>
      <c r="I652" s="930"/>
      <c r="J652" s="930"/>
      <c r="K652" s="929">
        <v>46634</v>
      </c>
      <c r="L652" s="932"/>
      <c r="M652" s="930"/>
      <c r="T652" s="926" t="s">
        <v>6294</v>
      </c>
      <c r="U652" s="931">
        <v>0.29375000000000001</v>
      </c>
      <c r="V652" s="931">
        <v>0.57152777777777775</v>
      </c>
    </row>
    <row r="653" spans="1:22" s="33" customFormat="1" x14ac:dyDescent="0.25">
      <c r="A653" s="547" t="s">
        <v>6786</v>
      </c>
      <c r="B653" s="33" t="s">
        <v>3276</v>
      </c>
      <c r="C653" s="306" t="s">
        <v>410</v>
      </c>
      <c r="D653" s="548">
        <v>45882</v>
      </c>
      <c r="E653" s="306"/>
      <c r="F653" s="306" t="s">
        <v>872</v>
      </c>
      <c r="H653" s="1109" t="s">
        <v>279</v>
      </c>
      <c r="I653" s="279"/>
      <c r="J653" s="279"/>
      <c r="K653" s="312">
        <v>39800</v>
      </c>
      <c r="L653" s="933"/>
      <c r="M653" s="279"/>
      <c r="T653" s="33" t="s">
        <v>6787</v>
      </c>
      <c r="U653" s="550">
        <v>0.35138888888888892</v>
      </c>
      <c r="V653" s="550">
        <v>0.63055555555555554</v>
      </c>
    </row>
    <row r="654" spans="1:22" s="926" customFormat="1" hidden="1" x14ac:dyDescent="0.25">
      <c r="A654" s="925" t="s">
        <v>6786</v>
      </c>
      <c r="B654" s="926" t="s">
        <v>608</v>
      </c>
      <c r="C654" s="928" t="s">
        <v>13</v>
      </c>
      <c r="D654" s="927">
        <v>45882</v>
      </c>
      <c r="E654" s="928"/>
      <c r="F654" s="928" t="s">
        <v>236</v>
      </c>
      <c r="H654" s="1075" t="s">
        <v>5224</v>
      </c>
      <c r="I654" s="930"/>
      <c r="J654" s="930"/>
      <c r="K654" s="929">
        <v>49173</v>
      </c>
      <c r="L654" s="932"/>
      <c r="M654" s="930"/>
      <c r="T654" s="926" t="s">
        <v>4138</v>
      </c>
      <c r="U654" s="931">
        <v>0.82847222222222217</v>
      </c>
      <c r="V654" s="931">
        <v>9.7222222222222224E-3</v>
      </c>
    </row>
    <row r="655" spans="1:22" s="926" customFormat="1" x14ac:dyDescent="0.25">
      <c r="A655" s="925" t="s">
        <v>6796</v>
      </c>
      <c r="B655" s="926" t="s">
        <v>576</v>
      </c>
      <c r="C655" s="928" t="s">
        <v>13</v>
      </c>
      <c r="D655" s="927">
        <v>45883</v>
      </c>
      <c r="E655" s="928"/>
      <c r="F655" s="928" t="s">
        <v>285</v>
      </c>
      <c r="H655" s="1075" t="s">
        <v>279</v>
      </c>
      <c r="I655" s="930"/>
      <c r="J655" s="930"/>
      <c r="K655" s="929">
        <v>42800</v>
      </c>
      <c r="L655" s="932"/>
      <c r="M655" s="930"/>
      <c r="T655" s="926" t="s">
        <v>5131</v>
      </c>
      <c r="U655" s="931">
        <v>0.30833333333333335</v>
      </c>
      <c r="V655" s="931">
        <v>0.53263888888888888</v>
      </c>
    </row>
    <row r="656" spans="1:22" s="998" customFormat="1" x14ac:dyDescent="0.25">
      <c r="A656" s="925" t="s">
        <v>6796</v>
      </c>
      <c r="B656" s="926" t="s">
        <v>2527</v>
      </c>
      <c r="C656" s="928" t="s">
        <v>410</v>
      </c>
      <c r="D656" s="927">
        <v>45883</v>
      </c>
      <c r="E656" s="928"/>
      <c r="F656" s="928" t="s">
        <v>285</v>
      </c>
      <c r="G656" s="926"/>
      <c r="H656" s="1075" t="s">
        <v>279</v>
      </c>
      <c r="I656" s="1111"/>
      <c r="J656" s="1111"/>
      <c r="K656" s="1112">
        <v>45428.75</v>
      </c>
      <c r="L656" s="1113"/>
      <c r="M656" s="1111"/>
      <c r="T656" s="926" t="s">
        <v>6151</v>
      </c>
      <c r="U656" s="931">
        <v>0.43472222222222223</v>
      </c>
      <c r="V656" s="951">
        <v>0.70625000000000004</v>
      </c>
    </row>
    <row r="657" spans="1:22" s="33" customFormat="1" x14ac:dyDescent="0.25">
      <c r="A657" s="547" t="s">
        <v>6796</v>
      </c>
      <c r="B657" s="33" t="s">
        <v>5093</v>
      </c>
      <c r="C657" s="306" t="s">
        <v>13</v>
      </c>
      <c r="D657" s="548">
        <v>45883</v>
      </c>
      <c r="E657" s="306"/>
      <c r="F657" s="306" t="s">
        <v>5326</v>
      </c>
      <c r="H657" s="1109" t="s">
        <v>279</v>
      </c>
      <c r="I657" s="279"/>
      <c r="J657" s="279"/>
      <c r="K657" s="312">
        <v>34500</v>
      </c>
      <c r="L657" s="933"/>
      <c r="M657" s="279"/>
      <c r="T657" s="33" t="s">
        <v>6347</v>
      </c>
      <c r="U657" s="550">
        <v>0.59305555555555556</v>
      </c>
      <c r="V657" s="550">
        <v>0.77777777777777779</v>
      </c>
    </row>
    <row r="658" spans="1:22" s="33" customFormat="1" x14ac:dyDescent="0.25">
      <c r="A658" s="547" t="s">
        <v>6797</v>
      </c>
      <c r="B658" s="33" t="s">
        <v>5093</v>
      </c>
      <c r="C658" s="306" t="s">
        <v>13</v>
      </c>
      <c r="D658" s="548">
        <v>45884</v>
      </c>
      <c r="E658" s="306"/>
      <c r="F658" s="306" t="s">
        <v>5326</v>
      </c>
      <c r="H658" s="1109" t="s">
        <v>279</v>
      </c>
      <c r="I658" s="279"/>
      <c r="J658" s="279"/>
      <c r="K658" s="312">
        <v>34500</v>
      </c>
      <c r="L658" s="933"/>
      <c r="M658" s="279"/>
      <c r="T658" s="33" t="s">
        <v>4140</v>
      </c>
      <c r="U658" s="550">
        <v>0.3125</v>
      </c>
      <c r="V658" s="550" t="s">
        <v>6798</v>
      </c>
    </row>
    <row r="659" spans="1:22" s="33" customFormat="1" x14ac:dyDescent="0.25">
      <c r="A659" s="547" t="s">
        <v>6797</v>
      </c>
      <c r="B659" s="33" t="s">
        <v>614</v>
      </c>
      <c r="C659" s="306" t="s">
        <v>410</v>
      </c>
      <c r="D659" s="548">
        <v>45884</v>
      </c>
      <c r="E659" s="306"/>
      <c r="F659" s="306" t="s">
        <v>1931</v>
      </c>
      <c r="H659" s="1109" t="s">
        <v>279</v>
      </c>
      <c r="I659" s="279"/>
      <c r="J659" s="279"/>
      <c r="K659" s="312">
        <v>62304</v>
      </c>
      <c r="L659" s="933"/>
      <c r="M659" s="279"/>
      <c r="T659" s="33" t="s">
        <v>6294</v>
      </c>
      <c r="U659" s="550">
        <v>0.31944444444444442</v>
      </c>
      <c r="V659" s="550">
        <v>0.63055555555555554</v>
      </c>
    </row>
    <row r="660" spans="1:22" s="926" customFormat="1" x14ac:dyDescent="0.25">
      <c r="A660" s="925" t="s">
        <v>6797</v>
      </c>
      <c r="B660" s="926" t="s">
        <v>930</v>
      </c>
      <c r="C660" s="928" t="s">
        <v>13</v>
      </c>
      <c r="D660" s="927">
        <v>45884</v>
      </c>
      <c r="E660" s="928"/>
      <c r="F660" s="928" t="s">
        <v>294</v>
      </c>
      <c r="H660" s="1075" t="s">
        <v>279</v>
      </c>
      <c r="I660" s="930"/>
      <c r="J660" s="930"/>
      <c r="K660" s="929">
        <v>33182</v>
      </c>
      <c r="L660" s="932"/>
      <c r="M660" s="930"/>
      <c r="T660" s="926" t="s">
        <v>4140</v>
      </c>
      <c r="U660" s="931">
        <v>0.55277777777777781</v>
      </c>
      <c r="V660" s="931">
        <v>0.74861111111111112</v>
      </c>
    </row>
    <row r="661" spans="1:22" s="926" customFormat="1" x14ac:dyDescent="0.25">
      <c r="A661" s="925" t="s">
        <v>6799</v>
      </c>
      <c r="B661" s="926" t="s">
        <v>3298</v>
      </c>
      <c r="C661" s="928" t="s">
        <v>410</v>
      </c>
      <c r="D661" s="927">
        <v>45885</v>
      </c>
      <c r="E661" s="928"/>
      <c r="F661" s="928" t="s">
        <v>68</v>
      </c>
      <c r="H661" s="1075" t="s">
        <v>279</v>
      </c>
      <c r="I661" s="930"/>
      <c r="J661" s="930"/>
      <c r="K661" s="932">
        <v>44000</v>
      </c>
      <c r="L661" s="932"/>
      <c r="M661" s="930"/>
      <c r="T661" s="926" t="s">
        <v>6503</v>
      </c>
      <c r="U661" s="931">
        <v>0.34722222222222221</v>
      </c>
      <c r="V661" s="931">
        <v>0.62430555555555556</v>
      </c>
    </row>
    <row r="662" spans="1:22" s="33" customFormat="1" x14ac:dyDescent="0.25">
      <c r="A662" s="547" t="s">
        <v>6799</v>
      </c>
      <c r="B662" s="33" t="s">
        <v>614</v>
      </c>
      <c r="C662" s="306" t="s">
        <v>13</v>
      </c>
      <c r="D662" s="548">
        <v>45885</v>
      </c>
      <c r="E662" s="306"/>
      <c r="F662" s="306" t="s">
        <v>6803</v>
      </c>
      <c r="H662" s="1109" t="s">
        <v>279</v>
      </c>
      <c r="I662" s="279"/>
      <c r="J662" s="279"/>
      <c r="K662" s="933">
        <v>56425</v>
      </c>
      <c r="L662" s="933"/>
      <c r="M662" s="279"/>
      <c r="T662" s="33" t="s">
        <v>6214</v>
      </c>
      <c r="U662" s="550">
        <v>0.4777777777777778</v>
      </c>
      <c r="V662" s="550">
        <v>0.72152777777777777</v>
      </c>
    </row>
    <row r="663" spans="1:22" s="33" customFormat="1" x14ac:dyDescent="0.25">
      <c r="A663" s="547" t="s">
        <v>6799</v>
      </c>
      <c r="B663" s="33" t="s">
        <v>614</v>
      </c>
      <c r="C663" s="306" t="s">
        <v>13</v>
      </c>
      <c r="D663" s="548">
        <v>45885</v>
      </c>
      <c r="E663" s="306"/>
      <c r="F663" s="306" t="s">
        <v>2253</v>
      </c>
      <c r="H663" s="1109" t="s">
        <v>279</v>
      </c>
      <c r="I663" s="279"/>
      <c r="J663" s="279"/>
      <c r="K663" s="312">
        <v>62304</v>
      </c>
      <c r="L663" s="933"/>
      <c r="M663" s="279"/>
      <c r="T663" s="33" t="s">
        <v>6214</v>
      </c>
      <c r="U663" s="550">
        <v>18.489999999999998</v>
      </c>
      <c r="V663" s="550">
        <v>0.89513888888888893</v>
      </c>
    </row>
    <row r="664" spans="1:22" s="926" customFormat="1" x14ac:dyDescent="0.25">
      <c r="A664" s="925" t="s">
        <v>6800</v>
      </c>
      <c r="B664" s="926" t="s">
        <v>610</v>
      </c>
      <c r="C664" s="928" t="s">
        <v>410</v>
      </c>
      <c r="D664" s="927">
        <v>45886</v>
      </c>
      <c r="E664" s="928"/>
      <c r="F664" s="928" t="s">
        <v>106</v>
      </c>
      <c r="H664" s="1075" t="s">
        <v>279</v>
      </c>
      <c r="I664" s="930"/>
      <c r="J664" s="930"/>
      <c r="K664" s="929">
        <v>29770</v>
      </c>
      <c r="L664" s="932"/>
      <c r="M664" s="930"/>
      <c r="T664" s="926" t="s">
        <v>4983</v>
      </c>
      <c r="U664" s="931">
        <v>0.32708333333333334</v>
      </c>
      <c r="V664" s="931">
        <v>0.47291666666666665</v>
      </c>
    </row>
    <row r="665" spans="1:22" s="926" customFormat="1" x14ac:dyDescent="0.25">
      <c r="A665" s="925" t="s">
        <v>6819</v>
      </c>
      <c r="B665" s="926" t="s">
        <v>2407</v>
      </c>
      <c r="C665" s="928" t="s">
        <v>410</v>
      </c>
      <c r="D665" s="927">
        <v>45888</v>
      </c>
      <c r="E665" s="928"/>
      <c r="F665" s="928" t="s">
        <v>5326</v>
      </c>
      <c r="H665" s="1075" t="s">
        <v>279</v>
      </c>
      <c r="I665" s="930"/>
      <c r="J665" s="930"/>
      <c r="K665" s="929"/>
      <c r="L665" s="932">
        <v>8968</v>
      </c>
      <c r="M665" s="930"/>
      <c r="T665" s="926" t="s">
        <v>6349</v>
      </c>
      <c r="U665" s="931">
        <v>0.32291666666666669</v>
      </c>
      <c r="V665" s="931">
        <v>0.54375000000000007</v>
      </c>
    </row>
    <row r="666" spans="1:22" s="33" customFormat="1" x14ac:dyDescent="0.25">
      <c r="A666" s="547">
        <v>20082025</v>
      </c>
      <c r="B666" s="33" t="s">
        <v>614</v>
      </c>
      <c r="C666" s="306" t="s">
        <v>410</v>
      </c>
      <c r="D666" s="548">
        <v>45889</v>
      </c>
      <c r="E666" s="306"/>
      <c r="F666" s="306" t="s">
        <v>1931</v>
      </c>
      <c r="H666" s="1109" t="s">
        <v>279</v>
      </c>
      <c r="I666" s="279"/>
      <c r="J666" s="279"/>
      <c r="K666" s="312">
        <v>62304</v>
      </c>
      <c r="M666" s="279"/>
      <c r="T666" s="33" t="s">
        <v>4983</v>
      </c>
      <c r="U666" s="550">
        <v>0.32569444444444445</v>
      </c>
      <c r="V666" s="550">
        <v>0.66041666666666665</v>
      </c>
    </row>
    <row r="667" spans="1:22" s="926" customFormat="1" x14ac:dyDescent="0.25">
      <c r="A667" s="925">
        <v>20082025</v>
      </c>
      <c r="B667" s="926" t="s">
        <v>572</v>
      </c>
      <c r="C667" s="928" t="s">
        <v>13</v>
      </c>
      <c r="D667" s="927">
        <v>45889</v>
      </c>
      <c r="E667" s="928"/>
      <c r="F667" s="928" t="s">
        <v>207</v>
      </c>
      <c r="H667" s="1075" t="s">
        <v>279</v>
      </c>
      <c r="J667" s="930"/>
      <c r="K667" s="932"/>
      <c r="L667" s="932">
        <v>9440</v>
      </c>
      <c r="M667" s="930"/>
      <c r="T667" s="926" t="s">
        <v>6294</v>
      </c>
      <c r="U667" s="931">
        <v>0.28472222222222221</v>
      </c>
      <c r="V667" s="931">
        <v>0.50694444444444442</v>
      </c>
    </row>
    <row r="668" spans="1:22" s="926" customFormat="1" x14ac:dyDescent="0.25">
      <c r="A668" s="925">
        <v>20082025</v>
      </c>
      <c r="B668" s="926" t="s">
        <v>3880</v>
      </c>
      <c r="C668" s="928" t="s">
        <v>13</v>
      </c>
      <c r="D668" s="927">
        <v>45889</v>
      </c>
      <c r="E668" s="928"/>
      <c r="F668" s="928" t="s">
        <v>545</v>
      </c>
      <c r="H668" s="1075" t="s">
        <v>279</v>
      </c>
      <c r="I668" s="930"/>
      <c r="J668" s="930"/>
      <c r="K668" s="932">
        <v>32284.400000000001</v>
      </c>
      <c r="L668" s="932"/>
      <c r="M668" s="930"/>
      <c r="T668" s="926" t="s">
        <v>6294</v>
      </c>
      <c r="U668" s="931">
        <v>0.57291666666666663</v>
      </c>
      <c r="V668" s="931">
        <v>0.73888888888888893</v>
      </c>
    </row>
    <row r="669" spans="1:22" s="926" customFormat="1" x14ac:dyDescent="0.25">
      <c r="A669" s="925">
        <v>21082025</v>
      </c>
      <c r="B669" s="926" t="s">
        <v>572</v>
      </c>
      <c r="C669" s="928" t="s">
        <v>13</v>
      </c>
      <c r="D669" s="927">
        <v>45890</v>
      </c>
      <c r="E669" s="928"/>
      <c r="F669" s="928" t="s">
        <v>207</v>
      </c>
      <c r="H669" s="1075" t="s">
        <v>279</v>
      </c>
      <c r="J669" s="930"/>
      <c r="K669" s="932"/>
      <c r="L669" s="932">
        <v>9440</v>
      </c>
      <c r="M669" s="930"/>
      <c r="T669" s="926" t="s">
        <v>6150</v>
      </c>
      <c r="U669" s="931">
        <v>0.27291666666666664</v>
      </c>
      <c r="V669" s="931">
        <v>0.48749999999999999</v>
      </c>
    </row>
    <row r="670" spans="1:22" s="33" customFormat="1" x14ac:dyDescent="0.25">
      <c r="A670" s="547">
        <v>21082025</v>
      </c>
      <c r="B670" s="33" t="s">
        <v>6277</v>
      </c>
      <c r="C670" s="306" t="s">
        <v>410</v>
      </c>
      <c r="D670" s="548">
        <v>45890</v>
      </c>
      <c r="E670" s="306"/>
      <c r="F670" s="306" t="s">
        <v>1931</v>
      </c>
      <c r="H670" s="1109" t="s">
        <v>279</v>
      </c>
      <c r="I670" s="279"/>
      <c r="J670" s="279"/>
      <c r="K670" s="933">
        <v>56359</v>
      </c>
      <c r="L670" s="933"/>
      <c r="M670" s="279"/>
      <c r="T670" s="33" t="s">
        <v>4345</v>
      </c>
      <c r="U670" s="550">
        <v>14.53</v>
      </c>
      <c r="V670" s="550">
        <v>0.92291666666666661</v>
      </c>
    </row>
    <row r="671" spans="1:22" s="926" customFormat="1" x14ac:dyDescent="0.25">
      <c r="A671" s="925">
        <v>21082025</v>
      </c>
      <c r="B671" s="926" t="s">
        <v>608</v>
      </c>
      <c r="C671" s="928" t="s">
        <v>13</v>
      </c>
      <c r="D671" s="927">
        <v>45890</v>
      </c>
      <c r="E671" s="928"/>
      <c r="F671" s="928" t="s">
        <v>236</v>
      </c>
      <c r="H671" s="1075" t="s">
        <v>279</v>
      </c>
      <c r="I671" s="930"/>
      <c r="J671" s="930"/>
      <c r="K671" s="932">
        <v>58231</v>
      </c>
      <c r="L671" s="932"/>
      <c r="M671" s="930"/>
      <c r="T671" s="926" t="s">
        <v>6349</v>
      </c>
      <c r="U671" s="931">
        <v>0.66180555555555554</v>
      </c>
      <c r="V671" s="931">
        <v>0.95624999999999993</v>
      </c>
    </row>
    <row r="672" spans="1:22" s="926" customFormat="1" x14ac:dyDescent="0.25">
      <c r="A672" s="925">
        <v>22082025</v>
      </c>
      <c r="B672" s="926" t="s">
        <v>2938</v>
      </c>
      <c r="C672" s="928" t="s">
        <v>13</v>
      </c>
      <c r="D672" s="927">
        <v>45891</v>
      </c>
      <c r="E672" s="928"/>
      <c r="F672" s="1110" t="s">
        <v>113</v>
      </c>
      <c r="H672" s="1075" t="s">
        <v>279</v>
      </c>
      <c r="I672" s="930"/>
      <c r="J672" s="930"/>
      <c r="K672" s="932">
        <v>38565</v>
      </c>
      <c r="L672" s="932"/>
      <c r="M672" s="930"/>
      <c r="T672" s="926" t="s">
        <v>4867</v>
      </c>
      <c r="U672" s="931">
        <v>0.55347222222222225</v>
      </c>
      <c r="V672" s="931">
        <v>0.80763888888888891</v>
      </c>
    </row>
    <row r="673" spans="1:22" s="926" customFormat="1" x14ac:dyDescent="0.25">
      <c r="A673" s="925">
        <v>22082025</v>
      </c>
      <c r="B673" s="926" t="s">
        <v>608</v>
      </c>
      <c r="C673" s="928" t="s">
        <v>410</v>
      </c>
      <c r="D673" s="927">
        <v>45891</v>
      </c>
      <c r="E673" s="928"/>
      <c r="F673" s="928" t="s">
        <v>236</v>
      </c>
      <c r="H673" s="1075" t="s">
        <v>279</v>
      </c>
      <c r="I673" s="930"/>
      <c r="J673" s="930"/>
      <c r="K673" s="932">
        <v>58231</v>
      </c>
      <c r="L673" s="932"/>
      <c r="M673" s="930"/>
      <c r="T673" s="926" t="s">
        <v>6503</v>
      </c>
      <c r="U673" s="931">
        <v>0.85069444444444453</v>
      </c>
      <c r="V673" s="931">
        <v>0.14444444444444446</v>
      </c>
    </row>
    <row r="674" spans="1:22" s="926" customFormat="1" x14ac:dyDescent="0.25">
      <c r="A674" s="925">
        <v>23082025</v>
      </c>
      <c r="B674" s="926" t="s">
        <v>608</v>
      </c>
      <c r="C674" s="928" t="s">
        <v>13</v>
      </c>
      <c r="D674" s="927">
        <v>45892</v>
      </c>
      <c r="E674" s="928"/>
      <c r="F674" s="928" t="s">
        <v>236</v>
      </c>
      <c r="H674" s="1075" t="s">
        <v>279</v>
      </c>
      <c r="I674" s="930"/>
      <c r="J674" s="930"/>
      <c r="K674" s="932">
        <v>58231</v>
      </c>
      <c r="L674" s="932"/>
      <c r="M674" s="930"/>
      <c r="T674" s="926" t="s">
        <v>5026</v>
      </c>
      <c r="U674" s="931">
        <v>0.28125</v>
      </c>
      <c r="V674" s="931">
        <v>0.54999999999999993</v>
      </c>
    </row>
    <row r="675" spans="1:22" s="393" customFormat="1" x14ac:dyDescent="0.25">
      <c r="A675" s="581">
        <v>23082025</v>
      </c>
      <c r="B675" s="393" t="s">
        <v>875</v>
      </c>
      <c r="C675" s="174" t="s">
        <v>410</v>
      </c>
      <c r="D675" s="582">
        <v>45892</v>
      </c>
      <c r="E675" s="174"/>
      <c r="F675" s="174" t="s">
        <v>2036</v>
      </c>
      <c r="H675" s="1136" t="s">
        <v>279</v>
      </c>
      <c r="I675" s="396"/>
      <c r="J675" s="396"/>
      <c r="K675" s="1124">
        <v>26904</v>
      </c>
      <c r="L675" s="1124"/>
      <c r="M675" s="396"/>
      <c r="T675" s="393" t="s">
        <v>6294</v>
      </c>
      <c r="U675" s="584">
        <v>0.54583333333333328</v>
      </c>
      <c r="V675" s="584">
        <v>0.68611111111111101</v>
      </c>
    </row>
    <row r="676" spans="1:22" s="33" customFormat="1" x14ac:dyDescent="0.25">
      <c r="A676" s="547">
        <v>24082025</v>
      </c>
      <c r="B676" s="33" t="s">
        <v>6842</v>
      </c>
      <c r="C676" s="306" t="s">
        <v>13</v>
      </c>
      <c r="D676" s="548">
        <v>45893</v>
      </c>
      <c r="E676" s="306"/>
      <c r="F676" s="306" t="s">
        <v>207</v>
      </c>
      <c r="H676" s="1109" t="s">
        <v>279</v>
      </c>
      <c r="I676" s="279"/>
      <c r="J676" s="279"/>
      <c r="K676" s="933">
        <v>35872</v>
      </c>
      <c r="L676" s="933"/>
      <c r="M676" s="279"/>
      <c r="T676" s="33" t="s">
        <v>4983</v>
      </c>
      <c r="U676" s="550">
        <v>0.32222222222222224</v>
      </c>
      <c r="V676" s="550">
        <v>0.58819444444444446</v>
      </c>
    </row>
    <row r="677" spans="1:22" s="926" customFormat="1" x14ac:dyDescent="0.25">
      <c r="A677" s="925">
        <v>24082025</v>
      </c>
      <c r="B677" s="926" t="s">
        <v>576</v>
      </c>
      <c r="C677" s="928" t="s">
        <v>410</v>
      </c>
      <c r="D677" s="927">
        <v>45893</v>
      </c>
      <c r="E677" s="928"/>
      <c r="F677" s="928" t="s">
        <v>285</v>
      </c>
      <c r="H677" s="1075" t="s">
        <v>279</v>
      </c>
      <c r="I677" s="930"/>
      <c r="J677" s="930"/>
      <c r="K677" s="932">
        <v>42800</v>
      </c>
      <c r="L677" s="932"/>
      <c r="M677" s="930"/>
      <c r="T677" s="926" t="s">
        <v>6147</v>
      </c>
      <c r="U677" s="931">
        <v>0.41111111111111115</v>
      </c>
      <c r="V677" s="931">
        <v>0.63888888888888895</v>
      </c>
    </row>
    <row r="678" spans="1:22" s="33" customFormat="1" x14ac:dyDescent="0.25">
      <c r="A678" s="547">
        <v>25082025</v>
      </c>
      <c r="B678" s="33" t="s">
        <v>614</v>
      </c>
      <c r="C678" s="306" t="s">
        <v>410</v>
      </c>
      <c r="D678" s="548">
        <v>45894</v>
      </c>
      <c r="E678" s="306"/>
      <c r="F678" s="306" t="s">
        <v>106</v>
      </c>
      <c r="H678" s="1109" t="s">
        <v>279</v>
      </c>
      <c r="I678" s="279"/>
      <c r="J678" s="279"/>
      <c r="K678" s="933">
        <v>31152</v>
      </c>
      <c r="L678" s="933"/>
      <c r="M678" s="279"/>
      <c r="T678" s="33" t="s">
        <v>6294</v>
      </c>
      <c r="U678" s="432">
        <v>9.18</v>
      </c>
      <c r="V678" s="550">
        <v>0.54791666666666672</v>
      </c>
    </row>
    <row r="679" spans="1:22" s="33" customFormat="1" x14ac:dyDescent="0.25">
      <c r="A679" s="547">
        <v>25082025</v>
      </c>
      <c r="B679" s="33" t="s">
        <v>2129</v>
      </c>
      <c r="C679" s="306" t="s">
        <v>13</v>
      </c>
      <c r="D679" s="548">
        <v>45894</v>
      </c>
      <c r="E679" s="306"/>
      <c r="F679" s="306" t="s">
        <v>236</v>
      </c>
      <c r="H679" s="1109" t="s">
        <v>279</v>
      </c>
      <c r="I679" s="279"/>
      <c r="J679" s="279"/>
      <c r="K679" s="312">
        <v>62540</v>
      </c>
      <c r="L679" s="933"/>
      <c r="M679" s="279"/>
      <c r="T679" s="33" t="s">
        <v>5989</v>
      </c>
      <c r="U679" s="550">
        <v>0.40625</v>
      </c>
      <c r="V679" s="550">
        <v>0.68472222222222223</v>
      </c>
    </row>
    <row r="680" spans="1:22" s="33" customFormat="1" x14ac:dyDescent="0.25">
      <c r="A680" s="547">
        <v>26082025</v>
      </c>
      <c r="B680" s="33" t="s">
        <v>3298</v>
      </c>
      <c r="C680" s="306" t="s">
        <v>13</v>
      </c>
      <c r="D680" s="548">
        <v>45895</v>
      </c>
      <c r="E680" s="306"/>
      <c r="F680" s="306" t="s">
        <v>68</v>
      </c>
      <c r="H680" s="1109" t="s">
        <v>279</v>
      </c>
      <c r="I680" s="279"/>
      <c r="J680" s="279"/>
      <c r="K680" s="312">
        <v>44000</v>
      </c>
      <c r="L680" s="933"/>
      <c r="M680" s="279"/>
      <c r="T680" s="33" t="s">
        <v>5131</v>
      </c>
      <c r="U680" s="550">
        <v>0.32083333333333336</v>
      </c>
      <c r="V680" s="550">
        <v>0.63055555555555554</v>
      </c>
    </row>
    <row r="681" spans="1:22" s="926" customFormat="1" x14ac:dyDescent="0.25">
      <c r="A681" s="925">
        <v>26082025</v>
      </c>
      <c r="B681" s="926" t="s">
        <v>930</v>
      </c>
      <c r="C681" s="928" t="s">
        <v>4218</v>
      </c>
      <c r="D681" s="927">
        <v>45895</v>
      </c>
      <c r="E681" s="928"/>
      <c r="F681" s="928" t="s">
        <v>294</v>
      </c>
      <c r="H681" s="1075" t="s">
        <v>279</v>
      </c>
      <c r="I681" s="930"/>
      <c r="J681" s="930"/>
      <c r="K681" s="929">
        <v>33182</v>
      </c>
      <c r="L681" s="932"/>
      <c r="M681" s="930"/>
      <c r="T681" s="926" t="s">
        <v>6151</v>
      </c>
      <c r="U681" s="931">
        <v>0.4826388888888889</v>
      </c>
      <c r="V681" s="931">
        <v>0.71388888888888891</v>
      </c>
    </row>
    <row r="682" spans="1:22" s="926" customFormat="1" x14ac:dyDescent="0.25">
      <c r="A682" s="925">
        <v>26082025</v>
      </c>
      <c r="B682" s="926" t="s">
        <v>930</v>
      </c>
      <c r="C682" s="928" t="s">
        <v>410</v>
      </c>
      <c r="D682" s="927">
        <v>45895</v>
      </c>
      <c r="E682" s="928"/>
      <c r="F682" s="928" t="s">
        <v>294</v>
      </c>
      <c r="H682" s="1075" t="s">
        <v>279</v>
      </c>
      <c r="I682" s="930"/>
      <c r="J682" s="930"/>
      <c r="K682" s="929">
        <v>33182</v>
      </c>
      <c r="L682" s="932"/>
      <c r="M682" s="930"/>
      <c r="T682" s="926" t="s">
        <v>6503</v>
      </c>
      <c r="U682" s="931">
        <v>0.63124999999999998</v>
      </c>
      <c r="V682" s="931">
        <v>0.83472222222222225</v>
      </c>
    </row>
    <row r="683" spans="1:22" s="926" customFormat="1" x14ac:dyDescent="0.25">
      <c r="A683" s="925">
        <v>27082025</v>
      </c>
      <c r="B683" s="926" t="s">
        <v>608</v>
      </c>
      <c r="C683" s="928" t="s">
        <v>410</v>
      </c>
      <c r="D683" s="927">
        <v>45896</v>
      </c>
      <c r="E683" s="928"/>
      <c r="F683" s="928" t="s">
        <v>236</v>
      </c>
      <c r="H683" s="1075" t="s">
        <v>279</v>
      </c>
      <c r="I683" s="930"/>
      <c r="J683" s="930"/>
      <c r="K683" s="929">
        <v>58231</v>
      </c>
      <c r="L683" s="932"/>
      <c r="M683" s="930"/>
      <c r="T683" s="926" t="s">
        <v>4853</v>
      </c>
      <c r="U683" s="931">
        <v>0.35000000000000003</v>
      </c>
      <c r="V683" s="931">
        <v>0.64444444444444449</v>
      </c>
    </row>
    <row r="684" spans="1:22" s="926" customFormat="1" x14ac:dyDescent="0.25">
      <c r="A684" s="925">
        <v>27082025</v>
      </c>
      <c r="B684" s="926" t="s">
        <v>610</v>
      </c>
      <c r="C684" s="928" t="s">
        <v>13</v>
      </c>
      <c r="D684" s="927">
        <v>45896</v>
      </c>
      <c r="E684" s="928"/>
      <c r="F684" s="928" t="s">
        <v>106</v>
      </c>
      <c r="H684" s="1075" t="s">
        <v>279</v>
      </c>
      <c r="I684" s="930"/>
      <c r="J684" s="930"/>
      <c r="K684" s="929">
        <v>29770</v>
      </c>
      <c r="L684" s="932"/>
      <c r="M684" s="930"/>
      <c r="T684" s="926" t="s">
        <v>4138</v>
      </c>
      <c r="U684" s="931">
        <v>0.60486111111111118</v>
      </c>
      <c r="V684" s="931">
        <v>0.74583333333333324</v>
      </c>
    </row>
    <row r="685" spans="1:22" s="33" customFormat="1" x14ac:dyDescent="0.25">
      <c r="A685" s="547">
        <v>27082025</v>
      </c>
      <c r="B685" s="33" t="s">
        <v>2129</v>
      </c>
      <c r="C685" s="306" t="s">
        <v>4218</v>
      </c>
      <c r="D685" s="548">
        <v>45896</v>
      </c>
      <c r="E685" s="306"/>
      <c r="F685" s="306" t="s">
        <v>236</v>
      </c>
      <c r="H685" s="1109" t="s">
        <v>279</v>
      </c>
      <c r="I685" s="279"/>
      <c r="J685" s="279"/>
      <c r="K685" s="312">
        <v>62540</v>
      </c>
      <c r="L685" s="933"/>
      <c r="M685" s="279"/>
      <c r="T685" s="33" t="s">
        <v>3765</v>
      </c>
      <c r="U685" s="550">
        <v>0.72916666666666663</v>
      </c>
      <c r="V685" s="550">
        <v>1.8749999999999999E-2</v>
      </c>
    </row>
    <row r="686" spans="1:22" s="33" customFormat="1" x14ac:dyDescent="0.25">
      <c r="A686" s="547">
        <v>28082025</v>
      </c>
      <c r="B686" s="33" t="s">
        <v>576</v>
      </c>
      <c r="C686" s="306" t="s">
        <v>410</v>
      </c>
      <c r="D686" s="548">
        <v>45897</v>
      </c>
      <c r="E686" s="306"/>
      <c r="F686" s="306" t="s">
        <v>285</v>
      </c>
      <c r="H686" s="1109" t="s">
        <v>279</v>
      </c>
      <c r="I686" s="279"/>
      <c r="J686" s="279"/>
      <c r="K686" s="312">
        <v>42800</v>
      </c>
      <c r="L686" s="933"/>
      <c r="M686" s="279"/>
      <c r="T686" s="33" t="s">
        <v>6294</v>
      </c>
      <c r="U686" s="550">
        <v>0.29444444444444445</v>
      </c>
      <c r="V686" s="550">
        <v>0.54166666666666663</v>
      </c>
    </row>
    <row r="687" spans="1:22" s="33" customFormat="1" hidden="1" x14ac:dyDescent="0.25">
      <c r="A687" s="547">
        <v>28082025</v>
      </c>
      <c r="B687" s="33" t="s">
        <v>565</v>
      </c>
      <c r="C687" s="306" t="s">
        <v>410</v>
      </c>
      <c r="D687" s="548">
        <v>45897</v>
      </c>
      <c r="E687" s="306"/>
      <c r="F687" s="306" t="s">
        <v>545</v>
      </c>
      <c r="H687" s="1109" t="s">
        <v>277</v>
      </c>
      <c r="I687" s="279"/>
      <c r="J687" s="279"/>
      <c r="K687" s="312">
        <v>23650</v>
      </c>
      <c r="L687" s="933"/>
      <c r="M687" s="279"/>
      <c r="T687" s="33" t="s">
        <v>4138</v>
      </c>
      <c r="U687" s="550">
        <v>0.61041666666666672</v>
      </c>
      <c r="V687" s="550">
        <v>0.76666666666666661</v>
      </c>
    </row>
    <row r="688" spans="1:22" s="33" customFormat="1" x14ac:dyDescent="0.25">
      <c r="A688" s="547">
        <v>28082025</v>
      </c>
      <c r="B688" s="33" t="s">
        <v>565</v>
      </c>
      <c r="C688" s="306" t="s">
        <v>13</v>
      </c>
      <c r="D688" s="548">
        <v>45897</v>
      </c>
      <c r="E688" s="306"/>
      <c r="F688" s="306" t="s">
        <v>545</v>
      </c>
      <c r="H688" s="1109" t="s">
        <v>279</v>
      </c>
      <c r="I688" s="279"/>
      <c r="J688" s="279"/>
      <c r="K688" s="312">
        <v>32285</v>
      </c>
      <c r="L688" s="933"/>
      <c r="M688" s="279"/>
      <c r="T688" s="33" t="s">
        <v>4853</v>
      </c>
      <c r="U688" s="550">
        <v>0.75</v>
      </c>
      <c r="V688" s="550">
        <v>0.92638888888888893</v>
      </c>
    </row>
    <row r="689" spans="1:22" s="393" customFormat="1" x14ac:dyDescent="0.25">
      <c r="A689" s="581">
        <v>31082025</v>
      </c>
      <c r="B689" s="393" t="s">
        <v>6871</v>
      </c>
      <c r="C689" s="174" t="s">
        <v>13</v>
      </c>
      <c r="D689" s="582">
        <v>45900</v>
      </c>
      <c r="E689" s="174"/>
      <c r="F689" s="174" t="s">
        <v>207</v>
      </c>
      <c r="H689" s="1136" t="s">
        <v>279</v>
      </c>
      <c r="I689" s="396"/>
      <c r="J689" s="396"/>
      <c r="K689" s="395">
        <v>35872</v>
      </c>
      <c r="L689" s="1124"/>
      <c r="M689" s="396"/>
      <c r="T689" s="393" t="s">
        <v>6678</v>
      </c>
      <c r="U689" s="584">
        <v>0.30069444444444443</v>
      </c>
      <c r="V689" s="584">
        <v>0.50416666666666665</v>
      </c>
    </row>
    <row r="690" spans="1:22" hidden="1" x14ac:dyDescent="0.25">
      <c r="A690" s="483"/>
      <c r="D690" s="233"/>
      <c r="H690" s="1067"/>
      <c r="I690" s="88"/>
      <c r="J690" s="88"/>
      <c r="K690" s="313"/>
      <c r="L690" s="798"/>
      <c r="M690" s="32"/>
      <c r="U690" s="360"/>
      <c r="V690" s="360"/>
    </row>
    <row r="691" spans="1:22" hidden="1" x14ac:dyDescent="0.25">
      <c r="A691" s="483"/>
      <c r="D691" s="233"/>
      <c r="H691" s="1067"/>
      <c r="I691" s="88"/>
      <c r="J691" s="88"/>
      <c r="K691" s="313"/>
      <c r="L691" s="798"/>
      <c r="M691" s="32"/>
      <c r="U691" s="360"/>
      <c r="V691" s="360"/>
    </row>
    <row r="692" spans="1:22" ht="15.75" hidden="1" thickBot="1" x14ac:dyDescent="0.3">
      <c r="A692" s="483"/>
      <c r="D692" s="233"/>
      <c r="H692" s="1067"/>
      <c r="I692" s="32"/>
      <c r="J692" s="32"/>
      <c r="K692" s="960">
        <f>SUM(K620:K691)</f>
        <v>2491444.7000000002</v>
      </c>
      <c r="L692" s="960">
        <f>SUM(L620:L691)</f>
        <v>115640</v>
      </c>
      <c r="M692" s="32"/>
      <c r="U692" s="360"/>
      <c r="V692" s="360"/>
    </row>
    <row r="693" spans="1:22" hidden="1" x14ac:dyDescent="0.25">
      <c r="D693" s="233"/>
      <c r="H693" s="1067"/>
      <c r="I693" s="88"/>
      <c r="J693" s="88"/>
      <c r="K693" s="313"/>
      <c r="L693" s="798"/>
      <c r="M693" s="32"/>
      <c r="U693" s="360"/>
      <c r="V693" s="360"/>
    </row>
    <row r="694" spans="1:22" hidden="1" x14ac:dyDescent="0.25">
      <c r="D694" s="233"/>
      <c r="H694" s="1067"/>
      <c r="I694" s="88"/>
      <c r="J694" s="88"/>
      <c r="K694" s="313"/>
      <c r="L694" s="798"/>
      <c r="M694" s="32"/>
      <c r="U694" s="360"/>
      <c r="V694" s="360"/>
    </row>
    <row r="695" spans="1:22" s="926" customFormat="1" x14ac:dyDescent="0.25">
      <c r="A695" s="925" t="s">
        <v>6872</v>
      </c>
      <c r="B695" s="926" t="s">
        <v>3880</v>
      </c>
      <c r="C695" s="928" t="s">
        <v>13</v>
      </c>
      <c r="D695" s="927">
        <v>45901</v>
      </c>
      <c r="E695" s="928"/>
      <c r="F695" s="928" t="s">
        <v>545</v>
      </c>
      <c r="H695" s="1075" t="s">
        <v>279</v>
      </c>
      <c r="I695" s="930"/>
      <c r="J695" s="930"/>
      <c r="K695" s="929">
        <v>32284.400000000001</v>
      </c>
      <c r="L695" s="932"/>
      <c r="M695" s="930"/>
      <c r="T695" s="926" t="s">
        <v>4853</v>
      </c>
      <c r="U695" s="931">
        <v>0.71458333333333324</v>
      </c>
      <c r="V695" s="931">
        <v>0.90277777777777779</v>
      </c>
    </row>
    <row r="696" spans="1:22" s="926" customFormat="1" x14ac:dyDescent="0.25">
      <c r="A696" s="925" t="s">
        <v>6873</v>
      </c>
      <c r="B696" s="926" t="s">
        <v>614</v>
      </c>
      <c r="C696" s="928" t="s">
        <v>13</v>
      </c>
      <c r="D696" s="927">
        <v>45902</v>
      </c>
      <c r="E696" s="928"/>
      <c r="F696" s="928" t="s">
        <v>2008</v>
      </c>
      <c r="H696" s="1075" t="s">
        <v>279</v>
      </c>
      <c r="I696" s="930"/>
      <c r="J696" s="930"/>
      <c r="K696" s="929">
        <v>55035</v>
      </c>
      <c r="L696" s="932"/>
      <c r="M696" s="930"/>
      <c r="T696" s="926" t="s">
        <v>6294</v>
      </c>
      <c r="U696" s="931">
        <v>0.48819444444444443</v>
      </c>
      <c r="V696" s="931">
        <v>0.73402777777777783</v>
      </c>
    </row>
    <row r="697" spans="1:22" s="926" customFormat="1" x14ac:dyDescent="0.25">
      <c r="A697" s="925" t="s">
        <v>6873</v>
      </c>
      <c r="B697" s="926" t="s">
        <v>608</v>
      </c>
      <c r="C697" s="928" t="s">
        <v>4218</v>
      </c>
      <c r="D697" s="927">
        <v>45902</v>
      </c>
      <c r="E697" s="928"/>
      <c r="F697" s="928" t="s">
        <v>236</v>
      </c>
      <c r="H697" s="1075" t="s">
        <v>279</v>
      </c>
      <c r="I697" s="930"/>
      <c r="J697" s="930"/>
      <c r="K697" s="929">
        <v>58231</v>
      </c>
      <c r="L697" s="932"/>
      <c r="M697" s="930"/>
      <c r="T697" s="926" t="s">
        <v>6874</v>
      </c>
      <c r="U697" s="931">
        <v>0.83472222222222225</v>
      </c>
      <c r="V697" s="931">
        <v>0.10555555555555556</v>
      </c>
    </row>
    <row r="698" spans="1:22" s="926" customFormat="1" x14ac:dyDescent="0.25">
      <c r="A698" s="925" t="s">
        <v>6875</v>
      </c>
      <c r="B698" s="926" t="s">
        <v>614</v>
      </c>
      <c r="C698" s="928" t="s">
        <v>4218</v>
      </c>
      <c r="D698" s="927">
        <v>45903</v>
      </c>
      <c r="E698" s="928"/>
      <c r="F698" s="928" t="s">
        <v>545</v>
      </c>
      <c r="H698" s="1075" t="s">
        <v>279</v>
      </c>
      <c r="I698" s="930"/>
      <c r="J698" s="930"/>
      <c r="K698" s="929">
        <v>37382.400000000001</v>
      </c>
      <c r="L698" s="932"/>
      <c r="M698" s="930"/>
      <c r="T698" s="926" t="s">
        <v>6294</v>
      </c>
      <c r="U698" s="931">
        <v>0.29722222222222222</v>
      </c>
      <c r="V698" s="931">
        <v>0.4694444444444445</v>
      </c>
    </row>
    <row r="699" spans="1:22" s="393" customFormat="1" x14ac:dyDescent="0.25">
      <c r="A699" s="581" t="s">
        <v>6875</v>
      </c>
      <c r="B699" s="393" t="s">
        <v>582</v>
      </c>
      <c r="C699" s="174" t="s">
        <v>13</v>
      </c>
      <c r="D699" s="582">
        <v>45903</v>
      </c>
      <c r="E699" s="174" t="s">
        <v>7619</v>
      </c>
      <c r="F699" s="174" t="s">
        <v>285</v>
      </c>
      <c r="H699" s="1136" t="s">
        <v>279</v>
      </c>
      <c r="I699" s="396"/>
      <c r="J699" s="396"/>
      <c r="K699" s="395">
        <v>42500</v>
      </c>
      <c r="L699" s="1124"/>
      <c r="M699" s="396"/>
      <c r="N699" s="5"/>
      <c r="O699" s="5"/>
      <c r="T699" s="393" t="s">
        <v>4983</v>
      </c>
      <c r="U699" s="584">
        <v>0.30902777777777779</v>
      </c>
      <c r="V699" s="584">
        <v>0.54166666666666663</v>
      </c>
    </row>
    <row r="700" spans="1:22" s="926" customFormat="1" x14ac:dyDescent="0.25">
      <c r="A700" s="925" t="s">
        <v>6877</v>
      </c>
      <c r="B700" s="926" t="s">
        <v>930</v>
      </c>
      <c r="C700" s="928" t="s">
        <v>13</v>
      </c>
      <c r="D700" s="927">
        <v>45904</v>
      </c>
      <c r="E700" s="928"/>
      <c r="F700" s="928" t="s">
        <v>294</v>
      </c>
      <c r="H700" s="1075" t="s">
        <v>279</v>
      </c>
      <c r="I700" s="930"/>
      <c r="J700" s="930"/>
      <c r="K700" s="929">
        <v>33182</v>
      </c>
      <c r="L700" s="932"/>
      <c r="M700" s="930"/>
      <c r="T700" s="926" t="s">
        <v>4853</v>
      </c>
      <c r="U700" s="931">
        <v>0.3</v>
      </c>
      <c r="V700" s="931">
        <v>0.50208333333333333</v>
      </c>
    </row>
    <row r="701" spans="1:22" s="926" customFormat="1" x14ac:dyDescent="0.25">
      <c r="A701" s="925" t="s">
        <v>6877</v>
      </c>
      <c r="B701" s="926" t="s">
        <v>930</v>
      </c>
      <c r="C701" s="928" t="s">
        <v>4218</v>
      </c>
      <c r="D701" s="927">
        <v>45904</v>
      </c>
      <c r="E701" s="928"/>
      <c r="F701" s="928" t="s">
        <v>295</v>
      </c>
      <c r="H701" s="1075" t="s">
        <v>279</v>
      </c>
      <c r="I701" s="930"/>
      <c r="J701" s="930"/>
      <c r="K701" s="929">
        <v>43450</v>
      </c>
      <c r="L701" s="932"/>
      <c r="M701" s="930"/>
      <c r="T701" s="926" t="s">
        <v>6151</v>
      </c>
      <c r="U701" s="931">
        <v>0.28888888888888892</v>
      </c>
      <c r="V701" s="931">
        <v>0.44861111111111113</v>
      </c>
    </row>
    <row r="702" spans="1:22" s="33" customFormat="1" x14ac:dyDescent="0.25">
      <c r="A702" s="547" t="s">
        <v>6877</v>
      </c>
      <c r="B702" s="33" t="s">
        <v>859</v>
      </c>
      <c r="C702" s="306" t="s">
        <v>410</v>
      </c>
      <c r="D702" s="548">
        <v>45904</v>
      </c>
      <c r="E702" s="306"/>
      <c r="F702" s="306" t="s">
        <v>5326</v>
      </c>
      <c r="H702" s="1109" t="s">
        <v>279</v>
      </c>
      <c r="I702" s="279"/>
      <c r="J702" s="279"/>
      <c r="K702" s="312">
        <v>34500</v>
      </c>
      <c r="L702" s="933"/>
      <c r="M702" s="279"/>
      <c r="T702" s="33" t="s">
        <v>6874</v>
      </c>
      <c r="U702" s="550">
        <v>0.3520833333333333</v>
      </c>
      <c r="V702" s="550">
        <v>0.4770833333333333</v>
      </c>
    </row>
    <row r="703" spans="1:22" s="926" customFormat="1" x14ac:dyDescent="0.25">
      <c r="A703" s="925" t="s">
        <v>6877</v>
      </c>
      <c r="B703" s="926" t="s">
        <v>5708</v>
      </c>
      <c r="C703" s="928" t="s">
        <v>4218</v>
      </c>
      <c r="D703" s="927">
        <v>45904</v>
      </c>
      <c r="E703" s="928"/>
      <c r="F703" s="928" t="s">
        <v>4562</v>
      </c>
      <c r="H703" s="1075" t="s">
        <v>279</v>
      </c>
      <c r="I703" s="930"/>
      <c r="J703" s="930"/>
      <c r="K703" s="929">
        <v>26950</v>
      </c>
      <c r="L703" s="932"/>
      <c r="M703" s="930"/>
      <c r="T703" s="926" t="s">
        <v>6151</v>
      </c>
      <c r="U703" s="931">
        <v>0.49722222222222223</v>
      </c>
      <c r="V703" s="931">
        <v>0.66249999999999998</v>
      </c>
    </row>
    <row r="704" spans="1:22" s="926" customFormat="1" x14ac:dyDescent="0.25">
      <c r="A704" s="925" t="s">
        <v>6877</v>
      </c>
      <c r="B704" s="926" t="s">
        <v>2497</v>
      </c>
      <c r="C704" s="928" t="s">
        <v>13</v>
      </c>
      <c r="D704" s="927">
        <v>45904</v>
      </c>
      <c r="E704" s="928"/>
      <c r="F704" s="928" t="s">
        <v>143</v>
      </c>
      <c r="H704" s="1075" t="s">
        <v>279</v>
      </c>
      <c r="I704" s="930"/>
      <c r="J704" s="930"/>
      <c r="K704" s="929">
        <v>37252</v>
      </c>
      <c r="L704" s="932"/>
      <c r="M704" s="930"/>
      <c r="T704" s="926" t="s">
        <v>4853</v>
      </c>
      <c r="U704" s="931">
        <v>0.56666666666666665</v>
      </c>
      <c r="V704" s="931">
        <v>0.80486111111111114</v>
      </c>
    </row>
    <row r="705" spans="1:22" s="926" customFormat="1" x14ac:dyDescent="0.25">
      <c r="A705" s="925" t="s">
        <v>6877</v>
      </c>
      <c r="B705" s="926" t="s">
        <v>930</v>
      </c>
      <c r="C705" s="928" t="s">
        <v>4218</v>
      </c>
      <c r="D705" s="927">
        <v>45904</v>
      </c>
      <c r="E705" s="928"/>
      <c r="F705" s="928" t="s">
        <v>294</v>
      </c>
      <c r="H705" s="1075" t="s">
        <v>279</v>
      </c>
      <c r="I705" s="930"/>
      <c r="J705" s="930"/>
      <c r="K705" s="929">
        <v>33182</v>
      </c>
      <c r="L705" s="932"/>
      <c r="M705" s="930"/>
      <c r="T705" s="926" t="s">
        <v>5989</v>
      </c>
      <c r="U705" s="931">
        <v>0.74930555555555556</v>
      </c>
      <c r="V705" s="931">
        <v>0.95138888888888884</v>
      </c>
    </row>
    <row r="706" spans="1:22" s="393" customFormat="1" x14ac:dyDescent="0.25">
      <c r="A706" s="581" t="s">
        <v>6881</v>
      </c>
      <c r="B706" s="393" t="s">
        <v>3331</v>
      </c>
      <c r="C706" s="174" t="s">
        <v>4218</v>
      </c>
      <c r="D706" s="582">
        <v>45905</v>
      </c>
      <c r="E706" s="174"/>
      <c r="F706" s="174" t="s">
        <v>2008</v>
      </c>
      <c r="H706" s="1136" t="s">
        <v>279</v>
      </c>
      <c r="I706" s="396"/>
      <c r="J706" s="396"/>
      <c r="K706" s="395">
        <v>47250</v>
      </c>
      <c r="L706" s="1124"/>
      <c r="M706" s="396"/>
      <c r="T706" s="393" t="s">
        <v>6151</v>
      </c>
      <c r="U706" s="584">
        <v>0.36388888888888887</v>
      </c>
      <c r="V706" s="584">
        <v>0.61597222222222225</v>
      </c>
    </row>
    <row r="707" spans="1:22" s="926" customFormat="1" x14ac:dyDescent="0.25">
      <c r="A707" s="925" t="s">
        <v>6881</v>
      </c>
      <c r="B707" s="926" t="s">
        <v>614</v>
      </c>
      <c r="C707" s="928" t="s">
        <v>410</v>
      </c>
      <c r="D707" s="927">
        <v>45905</v>
      </c>
      <c r="E707" s="928"/>
      <c r="F707" s="928" t="s">
        <v>317</v>
      </c>
      <c r="H707" s="1075" t="s">
        <v>279</v>
      </c>
      <c r="I707" s="930"/>
      <c r="J707" s="930"/>
      <c r="K707" s="929">
        <v>53996.800000000003</v>
      </c>
      <c r="L707" s="932"/>
      <c r="M707" s="930"/>
      <c r="T707" s="926" t="s">
        <v>6678</v>
      </c>
      <c r="U707" s="931">
        <v>0.29444444444444445</v>
      </c>
      <c r="V707" s="931">
        <v>0.5444444444444444</v>
      </c>
    </row>
    <row r="708" spans="1:22" s="926" customFormat="1" x14ac:dyDescent="0.25">
      <c r="A708" s="925" t="s">
        <v>6886</v>
      </c>
      <c r="B708" s="926" t="s">
        <v>572</v>
      </c>
      <c r="C708" s="928" t="s">
        <v>410</v>
      </c>
      <c r="D708" s="927">
        <v>45906</v>
      </c>
      <c r="E708" s="928"/>
      <c r="F708" s="928" t="s">
        <v>2008</v>
      </c>
      <c r="H708" s="1075" t="s">
        <v>279</v>
      </c>
      <c r="I708" s="930"/>
      <c r="J708" s="930"/>
      <c r="K708" s="929"/>
      <c r="L708" s="932">
        <v>12272</v>
      </c>
      <c r="M708" s="930"/>
      <c r="T708" s="926" t="s">
        <v>6874</v>
      </c>
      <c r="U708" s="931">
        <v>0.42638888888888887</v>
      </c>
      <c r="V708" s="931">
        <v>0.67222222222222217</v>
      </c>
    </row>
    <row r="709" spans="1:22" s="926" customFormat="1" x14ac:dyDescent="0.25">
      <c r="A709" s="925" t="s">
        <v>6886</v>
      </c>
      <c r="B709" s="926" t="s">
        <v>608</v>
      </c>
      <c r="C709" s="928" t="s">
        <v>4218</v>
      </c>
      <c r="D709" s="927">
        <v>45906</v>
      </c>
      <c r="E709" s="928"/>
      <c r="F709" s="928" t="s">
        <v>236</v>
      </c>
      <c r="H709" s="1075" t="s">
        <v>279</v>
      </c>
      <c r="I709" s="930"/>
      <c r="J709" s="930"/>
      <c r="K709" s="929">
        <v>58231</v>
      </c>
      <c r="L709" s="932"/>
      <c r="M709" s="930"/>
      <c r="T709" s="926" t="s">
        <v>4345</v>
      </c>
      <c r="U709" s="931">
        <v>0.60902777777777783</v>
      </c>
      <c r="V709" s="931">
        <v>0.87083333333333324</v>
      </c>
    </row>
    <row r="710" spans="1:22" s="33" customFormat="1" x14ac:dyDescent="0.25">
      <c r="A710" s="547" t="s">
        <v>6887</v>
      </c>
      <c r="B710" s="33" t="s">
        <v>5708</v>
      </c>
      <c r="C710" s="306" t="s">
        <v>410</v>
      </c>
      <c r="D710" s="548">
        <v>45907</v>
      </c>
      <c r="E710" s="306"/>
      <c r="F710" s="306" t="s">
        <v>6888</v>
      </c>
      <c r="H710" s="1109" t="s">
        <v>279</v>
      </c>
      <c r="I710" s="279"/>
      <c r="J710" s="279"/>
      <c r="K710" s="312">
        <v>29075</v>
      </c>
      <c r="L710" s="933"/>
      <c r="M710" s="279"/>
      <c r="T710" s="33" t="s">
        <v>4297</v>
      </c>
      <c r="U710" s="550">
        <v>0.42291666666666666</v>
      </c>
      <c r="V710" s="550">
        <v>0.57222222222222219</v>
      </c>
    </row>
    <row r="711" spans="1:22" s="926" customFormat="1" x14ac:dyDescent="0.25">
      <c r="A711" s="925" t="s">
        <v>6887</v>
      </c>
      <c r="B711" s="926" t="s">
        <v>762</v>
      </c>
      <c r="C711" s="928" t="s">
        <v>13</v>
      </c>
      <c r="D711" s="927">
        <v>45907</v>
      </c>
      <c r="E711" s="928"/>
      <c r="F711" s="928" t="s">
        <v>294</v>
      </c>
      <c r="H711" s="1075" t="s">
        <v>279</v>
      </c>
      <c r="I711" s="930"/>
      <c r="J711" s="930"/>
      <c r="K711" s="929">
        <v>35685</v>
      </c>
      <c r="L711" s="932"/>
      <c r="M711" s="930"/>
      <c r="T711" s="926" t="s">
        <v>6889</v>
      </c>
      <c r="U711" s="931">
        <v>0.64583333333333337</v>
      </c>
      <c r="V711" s="931">
        <v>0.80833333333333324</v>
      </c>
    </row>
    <row r="712" spans="1:22" s="926" customFormat="1" x14ac:dyDescent="0.25">
      <c r="A712" s="925" t="s">
        <v>6890</v>
      </c>
      <c r="B712" s="926" t="s">
        <v>610</v>
      </c>
      <c r="C712" s="928" t="s">
        <v>13</v>
      </c>
      <c r="D712" s="927">
        <v>45908</v>
      </c>
      <c r="E712" s="928"/>
      <c r="F712" s="928" t="s">
        <v>106</v>
      </c>
      <c r="H712" s="1075" t="s">
        <v>279</v>
      </c>
      <c r="I712" s="930"/>
      <c r="J712" s="930"/>
      <c r="K712" s="929">
        <v>29770</v>
      </c>
      <c r="L712" s="932"/>
      <c r="M712" s="930"/>
      <c r="T712" s="926" t="s">
        <v>6503</v>
      </c>
      <c r="U712" s="931">
        <v>0.47361111111111115</v>
      </c>
      <c r="V712" s="931">
        <v>0.63124999999999998</v>
      </c>
    </row>
    <row r="713" spans="1:22" s="926" customFormat="1" x14ac:dyDescent="0.25">
      <c r="A713" s="925" t="s">
        <v>6891</v>
      </c>
      <c r="B713" s="926" t="s">
        <v>614</v>
      </c>
      <c r="C713" s="928" t="s">
        <v>13</v>
      </c>
      <c r="D713" s="927">
        <v>45909</v>
      </c>
      <c r="E713" s="928"/>
      <c r="F713" s="928" t="s">
        <v>143</v>
      </c>
      <c r="H713" s="1075" t="s">
        <v>279</v>
      </c>
      <c r="I713" s="930"/>
      <c r="J713" s="930"/>
      <c r="K713" s="929">
        <v>43612.800000000003</v>
      </c>
      <c r="L713" s="932"/>
      <c r="M713" s="930"/>
      <c r="T713" s="926" t="s">
        <v>5989</v>
      </c>
      <c r="U713" s="931">
        <v>0.3034722222222222</v>
      </c>
      <c r="V713" s="931">
        <v>0.51527777777777783</v>
      </c>
    </row>
    <row r="714" spans="1:22" s="926" customFormat="1" x14ac:dyDescent="0.25">
      <c r="A714" s="925" t="s">
        <v>6891</v>
      </c>
      <c r="B714" s="926" t="s">
        <v>2938</v>
      </c>
      <c r="C714" s="928" t="s">
        <v>410</v>
      </c>
      <c r="D714" s="927">
        <v>45909</v>
      </c>
      <c r="E714" s="928"/>
      <c r="F714" s="928" t="s">
        <v>143</v>
      </c>
      <c r="H714" s="1075" t="s">
        <v>279</v>
      </c>
      <c r="I714" s="930"/>
      <c r="J714" s="930"/>
      <c r="K714" s="929">
        <v>36675</v>
      </c>
      <c r="L714" s="932"/>
      <c r="M714" s="930"/>
      <c r="T714" s="926" t="s">
        <v>6898</v>
      </c>
      <c r="U714" s="931">
        <v>0.76597222222222217</v>
      </c>
      <c r="V714" s="931">
        <v>0.94444444444444453</v>
      </c>
    </row>
    <row r="715" spans="1:22" s="926" customFormat="1" x14ac:dyDescent="0.25">
      <c r="A715" s="925" t="s">
        <v>6891</v>
      </c>
      <c r="B715" s="926" t="s">
        <v>608</v>
      </c>
      <c r="C715" s="928" t="s">
        <v>13</v>
      </c>
      <c r="D715" s="927">
        <v>45909</v>
      </c>
      <c r="E715" s="928"/>
      <c r="F715" s="928" t="s">
        <v>236</v>
      </c>
      <c r="H715" s="1075" t="s">
        <v>279</v>
      </c>
      <c r="I715" s="930"/>
      <c r="J715" s="930"/>
      <c r="K715" s="929">
        <v>58231</v>
      </c>
      <c r="L715" s="932"/>
      <c r="M715" s="930"/>
      <c r="T715" s="926" t="s">
        <v>4853</v>
      </c>
      <c r="U715" s="931">
        <v>0.71180555555555547</v>
      </c>
      <c r="V715" s="931">
        <v>0.99444444444444446</v>
      </c>
    </row>
    <row r="716" spans="1:22" s="926" customFormat="1" x14ac:dyDescent="0.25">
      <c r="A716" s="925" t="s">
        <v>6897</v>
      </c>
      <c r="B716" s="926" t="s">
        <v>610</v>
      </c>
      <c r="C716" s="928" t="s">
        <v>410</v>
      </c>
      <c r="D716" s="927">
        <v>45910</v>
      </c>
      <c r="E716" s="928"/>
      <c r="F716" s="928" t="s">
        <v>106</v>
      </c>
      <c r="H716" s="1075" t="s">
        <v>279</v>
      </c>
      <c r="I716" s="930"/>
      <c r="J716" s="930"/>
      <c r="K716" s="929">
        <v>29770</v>
      </c>
      <c r="L716" s="932"/>
      <c r="M716" s="930"/>
      <c r="T716" s="926" t="s">
        <v>6349</v>
      </c>
      <c r="U716" s="931">
        <v>0.43472222222222223</v>
      </c>
      <c r="V716" s="931">
        <v>0.60833333333333328</v>
      </c>
    </row>
    <row r="717" spans="1:22" s="33" customFormat="1" x14ac:dyDescent="0.25">
      <c r="A717" s="547" t="s">
        <v>6897</v>
      </c>
      <c r="B717" s="33" t="s">
        <v>2303</v>
      </c>
      <c r="C717" s="306" t="s">
        <v>13</v>
      </c>
      <c r="D717" s="548">
        <v>45910</v>
      </c>
      <c r="E717" s="306"/>
      <c r="F717" s="306" t="s">
        <v>1744</v>
      </c>
      <c r="H717" s="1109" t="s">
        <v>279</v>
      </c>
      <c r="I717" s="279"/>
      <c r="J717" s="279"/>
      <c r="K717" s="312">
        <v>48427.199999999997</v>
      </c>
      <c r="L717" s="933"/>
      <c r="M717" s="279"/>
      <c r="T717" s="33" t="s">
        <v>6294</v>
      </c>
      <c r="U717" s="550">
        <v>0.33263888888888887</v>
      </c>
      <c r="V717" s="550">
        <v>0.57291666666666663</v>
      </c>
    </row>
    <row r="718" spans="1:22" s="926" customFormat="1" hidden="1" x14ac:dyDescent="0.25">
      <c r="A718" s="925" t="s">
        <v>6897</v>
      </c>
      <c r="B718" s="926" t="s">
        <v>930</v>
      </c>
      <c r="C718" s="928" t="s">
        <v>13</v>
      </c>
      <c r="D718" s="927">
        <v>45910</v>
      </c>
      <c r="E718" s="928"/>
      <c r="F718" s="928" t="s">
        <v>294</v>
      </c>
      <c r="H718" s="1075" t="s">
        <v>277</v>
      </c>
      <c r="I718" s="930"/>
      <c r="J718" s="930"/>
      <c r="K718" s="929">
        <v>24886</v>
      </c>
      <c r="L718" s="932"/>
      <c r="M718" s="930"/>
      <c r="T718" s="926" t="s">
        <v>6347</v>
      </c>
      <c r="U718" s="931">
        <v>0.82638888888888884</v>
      </c>
      <c r="V718" s="931">
        <v>0.9868055555555556</v>
      </c>
    </row>
    <row r="719" spans="1:22" s="926" customFormat="1" x14ac:dyDescent="0.25">
      <c r="A719" s="925" t="s">
        <v>6903</v>
      </c>
      <c r="B719" s="926" t="s">
        <v>610</v>
      </c>
      <c r="C719" s="928" t="s">
        <v>410</v>
      </c>
      <c r="D719" s="927">
        <v>45911</v>
      </c>
      <c r="E719" s="928"/>
      <c r="F719" s="928" t="s">
        <v>106</v>
      </c>
      <c r="H719" s="1075" t="s">
        <v>279</v>
      </c>
      <c r="I719" s="930"/>
      <c r="J719" s="930"/>
      <c r="K719" s="929">
        <v>29770</v>
      </c>
      <c r="L719" s="932"/>
      <c r="M719" s="930"/>
      <c r="T719" s="926" t="s">
        <v>6898</v>
      </c>
      <c r="U719" s="931">
        <v>0.28958333333333336</v>
      </c>
      <c r="V719" s="931">
        <v>0.45624999999999999</v>
      </c>
    </row>
    <row r="720" spans="1:22" s="926" customFormat="1" x14ac:dyDescent="0.25">
      <c r="A720" s="925" t="s">
        <v>6903</v>
      </c>
      <c r="B720" s="926" t="s">
        <v>608</v>
      </c>
      <c r="C720" s="928" t="s">
        <v>4218</v>
      </c>
      <c r="D720" s="927">
        <v>45911</v>
      </c>
      <c r="E720" s="928"/>
      <c r="F720" s="928" t="s">
        <v>236</v>
      </c>
      <c r="H720" s="1075" t="s">
        <v>279</v>
      </c>
      <c r="I720" s="930"/>
      <c r="J720" s="930"/>
      <c r="K720" s="929">
        <v>58231</v>
      </c>
      <c r="L720" s="932"/>
      <c r="M720" s="930"/>
      <c r="T720" s="926" t="s">
        <v>6898</v>
      </c>
      <c r="U720" s="931">
        <v>0.52013888888888882</v>
      </c>
      <c r="V720" s="931">
        <v>0.7993055555555556</v>
      </c>
    </row>
    <row r="721" spans="1:22" s="926" customFormat="1" x14ac:dyDescent="0.25">
      <c r="A721" s="925" t="s">
        <v>6907</v>
      </c>
      <c r="B721" s="926" t="s">
        <v>6908</v>
      </c>
      <c r="C721" s="928" t="s">
        <v>410</v>
      </c>
      <c r="D721" s="927">
        <v>45912</v>
      </c>
      <c r="E721" s="928"/>
      <c r="F721" s="928" t="s">
        <v>207</v>
      </c>
      <c r="H721" s="1075" t="s">
        <v>279</v>
      </c>
      <c r="I721" s="930"/>
      <c r="J721" s="930"/>
      <c r="K721" s="929"/>
      <c r="L721" s="932">
        <v>9440</v>
      </c>
      <c r="M721" s="930"/>
      <c r="T721" s="926" t="s">
        <v>6503</v>
      </c>
      <c r="U721" s="931">
        <v>0.29375000000000001</v>
      </c>
      <c r="V721" s="931">
        <v>0.4770833333333333</v>
      </c>
    </row>
    <row r="722" spans="1:22" s="33" customFormat="1" x14ac:dyDescent="0.25">
      <c r="A722" s="547" t="s">
        <v>6907</v>
      </c>
      <c r="B722" s="33" t="s">
        <v>5239</v>
      </c>
      <c r="C722" s="306" t="s">
        <v>13</v>
      </c>
      <c r="D722" s="548">
        <v>45912</v>
      </c>
      <c r="E722" s="306"/>
      <c r="F722" s="306" t="s">
        <v>207</v>
      </c>
      <c r="H722" s="1109" t="s">
        <v>279</v>
      </c>
      <c r="I722" s="279"/>
      <c r="J722" s="279"/>
      <c r="K722" s="312">
        <v>35872</v>
      </c>
      <c r="L722" s="933"/>
      <c r="M722" s="279"/>
      <c r="T722" s="33" t="s">
        <v>6214</v>
      </c>
      <c r="U722" s="550">
        <v>0.42152777777777778</v>
      </c>
      <c r="V722" s="550">
        <v>0.63888888888888895</v>
      </c>
    </row>
    <row r="723" spans="1:22" s="926" customFormat="1" x14ac:dyDescent="0.25">
      <c r="A723" s="925" t="s">
        <v>6907</v>
      </c>
      <c r="B723" s="926" t="s">
        <v>614</v>
      </c>
      <c r="C723" s="928" t="s">
        <v>410</v>
      </c>
      <c r="D723" s="927">
        <v>45912</v>
      </c>
      <c r="E723" s="928"/>
      <c r="F723" s="928" t="s">
        <v>2036</v>
      </c>
      <c r="H723" s="1075" t="s">
        <v>279</v>
      </c>
      <c r="I723" s="930"/>
      <c r="J723" s="930"/>
      <c r="K723" s="929">
        <v>31152</v>
      </c>
      <c r="L723" s="932"/>
      <c r="M723" s="930"/>
      <c r="T723" s="926" t="s">
        <v>4297</v>
      </c>
      <c r="U723" s="931">
        <v>0.52083333333333337</v>
      </c>
      <c r="V723" s="931">
        <v>0.64722222222222225</v>
      </c>
    </row>
    <row r="724" spans="1:22" s="926" customFormat="1" x14ac:dyDescent="0.25">
      <c r="A724" s="925" t="s">
        <v>6911</v>
      </c>
      <c r="B724" s="926" t="s">
        <v>4249</v>
      </c>
      <c r="C724" s="928" t="s">
        <v>13</v>
      </c>
      <c r="D724" s="927">
        <v>45913</v>
      </c>
      <c r="E724" s="928"/>
      <c r="F724" s="928" t="s">
        <v>207</v>
      </c>
      <c r="H724" s="1075" t="s">
        <v>279</v>
      </c>
      <c r="I724" s="930"/>
      <c r="J724" s="930"/>
      <c r="K724" s="929"/>
      <c r="L724" s="932">
        <v>9440</v>
      </c>
      <c r="M724" s="930"/>
      <c r="T724" s="926" t="s">
        <v>6898</v>
      </c>
      <c r="U724" s="931">
        <v>0.25138888888888888</v>
      </c>
      <c r="V724" s="931">
        <v>0.45555555555555555</v>
      </c>
    </row>
    <row r="725" spans="1:22" s="33" customFormat="1" x14ac:dyDescent="0.25">
      <c r="A725" s="547" t="s">
        <v>6911</v>
      </c>
      <c r="B725" s="33" t="s">
        <v>2303</v>
      </c>
      <c r="C725" s="306" t="s">
        <v>4218</v>
      </c>
      <c r="D725" s="548">
        <v>45913</v>
      </c>
      <c r="E725" s="306"/>
      <c r="F725" s="306" t="s">
        <v>1744</v>
      </c>
      <c r="H725" s="1109" t="s">
        <v>279</v>
      </c>
      <c r="I725" s="279"/>
      <c r="J725" s="279"/>
      <c r="K725" s="312">
        <v>49807.199999999997</v>
      </c>
      <c r="L725" s="933"/>
      <c r="M725" s="279"/>
      <c r="T725" s="33" t="s">
        <v>5131</v>
      </c>
      <c r="U725" s="550">
        <v>0.33194444444444443</v>
      </c>
      <c r="V725" s="550">
        <v>0.5493055555555556</v>
      </c>
    </row>
    <row r="726" spans="1:22" s="926" customFormat="1" x14ac:dyDescent="0.25">
      <c r="A726" s="925" t="s">
        <v>6911</v>
      </c>
      <c r="B726" s="926" t="s">
        <v>4193</v>
      </c>
      <c r="C726" s="928" t="s">
        <v>410</v>
      </c>
      <c r="D726" s="927">
        <v>45913</v>
      </c>
      <c r="E726" s="928"/>
      <c r="F726" s="928" t="s">
        <v>294</v>
      </c>
      <c r="H726" s="1075" t="s">
        <v>279</v>
      </c>
      <c r="I726" s="930"/>
      <c r="J726" s="930"/>
      <c r="K726" s="929">
        <v>49418.400000000001</v>
      </c>
      <c r="L726" s="932"/>
      <c r="M726" s="930"/>
      <c r="T726" s="926" t="s">
        <v>6349</v>
      </c>
      <c r="U726" s="931">
        <v>0.30624999999999997</v>
      </c>
      <c r="V726" s="931">
        <v>0.71180555555555547</v>
      </c>
    </row>
    <row r="727" spans="1:22" s="926" customFormat="1" x14ac:dyDescent="0.25">
      <c r="A727" s="925" t="s">
        <v>6910</v>
      </c>
      <c r="B727" s="926" t="s">
        <v>1055</v>
      </c>
      <c r="C727" s="928" t="s">
        <v>410</v>
      </c>
      <c r="D727" s="927">
        <v>45914</v>
      </c>
      <c r="E727" s="928"/>
      <c r="F727" s="928" t="s">
        <v>294</v>
      </c>
      <c r="H727" s="1075" t="s">
        <v>279</v>
      </c>
      <c r="I727" s="930"/>
      <c r="J727" s="930"/>
      <c r="K727" s="929">
        <v>49406</v>
      </c>
      <c r="L727" s="932"/>
      <c r="M727" s="930"/>
      <c r="T727" s="926" t="s">
        <v>6282</v>
      </c>
      <c r="U727" s="931">
        <v>0.30902777777777779</v>
      </c>
      <c r="V727" s="931">
        <v>0.7319444444444444</v>
      </c>
    </row>
    <row r="728" spans="1:22" s="926" customFormat="1" x14ac:dyDescent="0.25">
      <c r="A728" s="925" t="s">
        <v>6910</v>
      </c>
      <c r="B728" s="926" t="s">
        <v>576</v>
      </c>
      <c r="C728" s="928" t="s">
        <v>13</v>
      </c>
      <c r="D728" s="927">
        <v>45914</v>
      </c>
      <c r="E728" s="928"/>
      <c r="F728" s="928" t="s">
        <v>285</v>
      </c>
      <c r="H728" s="1075" t="s">
        <v>279</v>
      </c>
      <c r="I728" s="930"/>
      <c r="J728" s="930"/>
      <c r="K728" s="929">
        <v>42800</v>
      </c>
      <c r="L728" s="932"/>
      <c r="M728" s="930"/>
      <c r="T728" s="926" t="s">
        <v>4853</v>
      </c>
      <c r="U728" s="931">
        <v>0.30763888888888891</v>
      </c>
      <c r="V728" s="931">
        <v>0.7319444444444444</v>
      </c>
    </row>
    <row r="729" spans="1:22" s="926" customFormat="1" x14ac:dyDescent="0.25">
      <c r="A729" s="925" t="s">
        <v>6909</v>
      </c>
      <c r="B729" s="926" t="s">
        <v>608</v>
      </c>
      <c r="C729" s="928" t="s">
        <v>410</v>
      </c>
      <c r="D729" s="927">
        <v>45915</v>
      </c>
      <c r="E729" s="928"/>
      <c r="F729" s="928" t="s">
        <v>236</v>
      </c>
      <c r="H729" s="1075" t="s">
        <v>279</v>
      </c>
      <c r="I729" s="930"/>
      <c r="J729" s="930"/>
      <c r="K729" s="929">
        <v>58231</v>
      </c>
      <c r="L729" s="932"/>
      <c r="M729" s="930"/>
      <c r="T729" s="926" t="s">
        <v>6349</v>
      </c>
      <c r="U729" s="931">
        <v>0.54999999999999993</v>
      </c>
      <c r="V729" s="931">
        <v>0.82847222222222217</v>
      </c>
    </row>
    <row r="730" spans="1:22" s="926" customFormat="1" x14ac:dyDescent="0.25">
      <c r="A730" s="925" t="s">
        <v>6909</v>
      </c>
      <c r="B730" s="926" t="s">
        <v>3388</v>
      </c>
      <c r="C730" s="928" t="s">
        <v>4218</v>
      </c>
      <c r="D730" s="927">
        <v>45915</v>
      </c>
      <c r="E730" s="928"/>
      <c r="F730" s="928" t="s">
        <v>1931</v>
      </c>
      <c r="H730" s="1075" t="s">
        <v>279</v>
      </c>
      <c r="I730" s="930"/>
      <c r="J730" s="930"/>
      <c r="K730" s="929">
        <v>56359</v>
      </c>
      <c r="L730" s="932"/>
      <c r="M730" s="930"/>
      <c r="T730" s="926" t="s">
        <v>5131</v>
      </c>
      <c r="U730" s="931">
        <v>0.55069444444444449</v>
      </c>
      <c r="V730" s="931">
        <v>0.85138888888888886</v>
      </c>
    </row>
    <row r="731" spans="1:22" s="926" customFormat="1" x14ac:dyDescent="0.25">
      <c r="A731" s="925" t="s">
        <v>6949</v>
      </c>
      <c r="B731" s="926" t="s">
        <v>572</v>
      </c>
      <c r="C731" s="928" t="s">
        <v>410</v>
      </c>
      <c r="D731" s="927">
        <v>45916</v>
      </c>
      <c r="E731" s="928"/>
      <c r="F731" s="928" t="s">
        <v>285</v>
      </c>
      <c r="H731" s="1075" t="s">
        <v>279</v>
      </c>
      <c r="I731" s="930"/>
      <c r="J731" s="930"/>
      <c r="K731" s="929"/>
      <c r="L731" s="932">
        <v>10384</v>
      </c>
      <c r="M731" s="930"/>
      <c r="T731" s="926" t="s">
        <v>4853</v>
      </c>
      <c r="U731" s="931">
        <v>0.20138888888888887</v>
      </c>
      <c r="V731" s="931">
        <v>0.45</v>
      </c>
    </row>
    <row r="732" spans="1:22" s="926" customFormat="1" hidden="1" x14ac:dyDescent="0.25">
      <c r="A732" s="925" t="s">
        <v>6949</v>
      </c>
      <c r="B732" s="926" t="s">
        <v>930</v>
      </c>
      <c r="C732" s="928" t="s">
        <v>4218</v>
      </c>
      <c r="D732" s="927">
        <v>45916</v>
      </c>
      <c r="E732" s="928"/>
      <c r="F732" s="928" t="s">
        <v>294</v>
      </c>
      <c r="H732" s="1075" t="s">
        <v>277</v>
      </c>
      <c r="I732" s="930"/>
      <c r="J732" s="930"/>
      <c r="K732" s="929">
        <v>24886</v>
      </c>
      <c r="L732" s="932"/>
      <c r="M732" s="930"/>
      <c r="T732" s="926" t="s">
        <v>3765</v>
      </c>
      <c r="U732" s="931">
        <v>0.30486111111111108</v>
      </c>
      <c r="V732" s="931">
        <v>0.46319444444444446</v>
      </c>
    </row>
    <row r="733" spans="1:22" s="33" customFormat="1" ht="14.1" customHeight="1" x14ac:dyDescent="0.25">
      <c r="A733" s="547" t="s">
        <v>6949</v>
      </c>
      <c r="B733" s="33" t="s">
        <v>614</v>
      </c>
      <c r="C733" s="306" t="s">
        <v>4218</v>
      </c>
      <c r="D733" s="548">
        <v>45916</v>
      </c>
      <c r="E733" s="306"/>
      <c r="F733" s="306" t="s">
        <v>236</v>
      </c>
      <c r="H733" s="1109" t="s">
        <v>279</v>
      </c>
      <c r="I733" s="279"/>
      <c r="J733" s="279"/>
      <c r="K733" s="312">
        <v>62304</v>
      </c>
      <c r="L733" s="933"/>
      <c r="M733" s="279"/>
      <c r="T733" s="33" t="s">
        <v>4297</v>
      </c>
      <c r="U733" s="550">
        <v>0.80555555555555547</v>
      </c>
      <c r="V733" s="550">
        <v>7.013888888888889E-2</v>
      </c>
    </row>
    <row r="734" spans="1:22" s="926" customFormat="1" x14ac:dyDescent="0.25">
      <c r="A734" s="925" t="s">
        <v>6951</v>
      </c>
      <c r="B734" s="926" t="s">
        <v>6968</v>
      </c>
      <c r="C734" s="928" t="s">
        <v>410</v>
      </c>
      <c r="D734" s="927">
        <v>45917</v>
      </c>
      <c r="E734" s="928"/>
      <c r="F734" s="928" t="s">
        <v>317</v>
      </c>
      <c r="H734" s="1075" t="s">
        <v>279</v>
      </c>
      <c r="I734" s="930"/>
      <c r="J734" s="930"/>
      <c r="K734" s="929"/>
      <c r="L734" s="932">
        <v>12450</v>
      </c>
      <c r="M734" s="930"/>
      <c r="T734" s="926" t="s">
        <v>4345</v>
      </c>
      <c r="U734" s="931">
        <v>0.55902777777777779</v>
      </c>
      <c r="V734" s="931">
        <v>18.22</v>
      </c>
    </row>
    <row r="735" spans="1:22" s="926" customFormat="1" x14ac:dyDescent="0.25">
      <c r="A735" s="925" t="s">
        <v>6951</v>
      </c>
      <c r="B735" s="926" t="s">
        <v>608</v>
      </c>
      <c r="C735" s="928" t="s">
        <v>4218</v>
      </c>
      <c r="D735" s="927">
        <v>45917</v>
      </c>
      <c r="E735" s="928"/>
      <c r="F735" s="928" t="s">
        <v>236</v>
      </c>
      <c r="H735" s="1075" t="s">
        <v>279</v>
      </c>
      <c r="I735" s="930"/>
      <c r="J735" s="930"/>
      <c r="K735" s="929">
        <v>58231</v>
      </c>
      <c r="L735" s="932"/>
      <c r="M735" s="930"/>
      <c r="T735" s="926" t="s">
        <v>6952</v>
      </c>
      <c r="U735" s="931">
        <v>0.27986111111111112</v>
      </c>
      <c r="V735" s="931">
        <v>0.56111111111111112</v>
      </c>
    </row>
    <row r="736" spans="1:22" s="33" customFormat="1" x14ac:dyDescent="0.25">
      <c r="A736" s="547" t="s">
        <v>6951</v>
      </c>
      <c r="B736" s="33" t="s">
        <v>930</v>
      </c>
      <c r="C736" s="306" t="s">
        <v>4218</v>
      </c>
      <c r="D736" s="548">
        <v>45917</v>
      </c>
      <c r="E736" s="306"/>
      <c r="F736" s="306" t="s">
        <v>294</v>
      </c>
      <c r="H736" s="1109" t="s">
        <v>279</v>
      </c>
      <c r="I736" s="279"/>
      <c r="J736" s="279"/>
      <c r="K736" s="312">
        <v>33182</v>
      </c>
      <c r="L736" s="933"/>
      <c r="M736" s="279"/>
      <c r="T736" s="33" t="s">
        <v>5021</v>
      </c>
      <c r="U736" s="550">
        <v>0.77013888888888893</v>
      </c>
      <c r="V736" s="550">
        <v>0.96736111111111101</v>
      </c>
    </row>
    <row r="737" spans="1:22" s="926" customFormat="1" x14ac:dyDescent="0.25">
      <c r="A737" s="925" t="s">
        <v>6962</v>
      </c>
      <c r="B737" s="926" t="s">
        <v>2938</v>
      </c>
      <c r="C737" s="928" t="s">
        <v>410</v>
      </c>
      <c r="D737" s="927">
        <v>45918</v>
      </c>
      <c r="E737" s="928"/>
      <c r="F737" s="928" t="s">
        <v>143</v>
      </c>
      <c r="H737" s="1075" t="s">
        <v>279</v>
      </c>
      <c r="I737" s="930"/>
      <c r="J737" s="930"/>
      <c r="K737" s="929">
        <v>36675</v>
      </c>
      <c r="L737" s="932"/>
      <c r="M737" s="930"/>
      <c r="T737" s="926" t="s">
        <v>6150</v>
      </c>
      <c r="U737" s="931">
        <v>0.18819444444444444</v>
      </c>
      <c r="V737" s="931">
        <v>0.35555555555555557</v>
      </c>
    </row>
    <row r="738" spans="1:22" s="926" customFormat="1" x14ac:dyDescent="0.25">
      <c r="A738" s="925" t="s">
        <v>6962</v>
      </c>
      <c r="B738" s="926" t="s">
        <v>572</v>
      </c>
      <c r="C738" s="928" t="s">
        <v>4218</v>
      </c>
      <c r="D738" s="927">
        <v>45918</v>
      </c>
      <c r="E738" s="928"/>
      <c r="F738" s="928" t="s">
        <v>207</v>
      </c>
      <c r="H738" s="1075" t="s">
        <v>279</v>
      </c>
      <c r="I738" s="930"/>
      <c r="J738" s="930"/>
      <c r="K738" s="929"/>
      <c r="L738" s="932">
        <v>9340.5400000000009</v>
      </c>
      <c r="M738" s="930"/>
      <c r="T738" s="926" t="s">
        <v>6349</v>
      </c>
      <c r="U738" s="931">
        <v>0.6069444444444444</v>
      </c>
      <c r="V738" s="931">
        <v>0.78888888888888886</v>
      </c>
    </row>
    <row r="739" spans="1:22" s="926" customFormat="1" x14ac:dyDescent="0.25">
      <c r="A739" s="925">
        <v>19092025</v>
      </c>
      <c r="B739" s="926" t="s">
        <v>2407</v>
      </c>
      <c r="C739" s="928" t="s">
        <v>4218</v>
      </c>
      <c r="D739" s="927">
        <v>45919</v>
      </c>
      <c r="E739" s="928"/>
      <c r="F739" s="928" t="s">
        <v>285</v>
      </c>
      <c r="H739" s="1075" t="s">
        <v>279</v>
      </c>
      <c r="I739" s="930"/>
      <c r="J739" s="930"/>
      <c r="K739" s="929"/>
      <c r="L739" s="932">
        <v>11800</v>
      </c>
      <c r="M739" s="930"/>
      <c r="T739" s="926" t="s">
        <v>6214</v>
      </c>
      <c r="U739" s="931">
        <v>0.37361111111111112</v>
      </c>
      <c r="V739" s="931">
        <v>0.61875000000000002</v>
      </c>
    </row>
    <row r="740" spans="1:22" s="926" customFormat="1" x14ac:dyDescent="0.25">
      <c r="A740" s="925">
        <v>19092025</v>
      </c>
      <c r="B740" s="926" t="s">
        <v>2527</v>
      </c>
      <c r="C740" s="928" t="s">
        <v>410</v>
      </c>
      <c r="D740" s="927">
        <v>45919</v>
      </c>
      <c r="E740" s="928"/>
      <c r="F740" s="928" t="s">
        <v>285</v>
      </c>
      <c r="H740" s="1075" t="s">
        <v>279</v>
      </c>
      <c r="I740" s="930"/>
      <c r="J740" s="930"/>
      <c r="K740" s="929">
        <v>45428.75</v>
      </c>
      <c r="L740" s="932"/>
      <c r="M740" s="930"/>
      <c r="T740" s="926" t="s">
        <v>6952</v>
      </c>
      <c r="U740" s="931">
        <v>0.45069444444444445</v>
      </c>
      <c r="V740" s="931">
        <v>0.72430555555555554</v>
      </c>
    </row>
    <row r="741" spans="1:22" s="926" customFormat="1" x14ac:dyDescent="0.25">
      <c r="A741" s="925">
        <v>19092025</v>
      </c>
      <c r="B741" s="926" t="s">
        <v>2938</v>
      </c>
      <c r="C741" s="928" t="s">
        <v>410</v>
      </c>
      <c r="D741" s="927">
        <v>45919</v>
      </c>
      <c r="E741" s="928"/>
      <c r="F741" s="928" t="s">
        <v>143</v>
      </c>
      <c r="H741" s="1075" t="s">
        <v>279</v>
      </c>
      <c r="I741" s="930"/>
      <c r="J741" s="930"/>
      <c r="K741" s="929">
        <v>36675</v>
      </c>
      <c r="L741" s="932"/>
      <c r="M741" s="930"/>
      <c r="T741" s="926" t="s">
        <v>6067</v>
      </c>
      <c r="U741" s="931">
        <v>0.21180555555555555</v>
      </c>
      <c r="V741" s="931">
        <v>0.37638888888888888</v>
      </c>
    </row>
    <row r="742" spans="1:22" s="926" customFormat="1" x14ac:dyDescent="0.25">
      <c r="A742" s="925">
        <v>19092025</v>
      </c>
      <c r="B742" s="926" t="s">
        <v>1720</v>
      </c>
      <c r="C742" s="928" t="s">
        <v>4218</v>
      </c>
      <c r="D742" s="927">
        <v>45919</v>
      </c>
      <c r="E742" s="928"/>
      <c r="F742" s="928" t="s">
        <v>545</v>
      </c>
      <c r="H742" s="1075" t="s">
        <v>279</v>
      </c>
      <c r="I742" s="930"/>
      <c r="J742" s="930"/>
      <c r="K742" s="929">
        <v>34456</v>
      </c>
      <c r="L742" s="932"/>
      <c r="M742" s="930"/>
      <c r="T742" s="926" t="s">
        <v>6980</v>
      </c>
      <c r="U742" s="931">
        <v>0.66180555555555554</v>
      </c>
      <c r="V742" s="931">
        <v>0.83680555555555547</v>
      </c>
    </row>
    <row r="743" spans="1:22" s="926" customFormat="1" hidden="1" x14ac:dyDescent="0.25">
      <c r="A743" s="925">
        <v>19092025</v>
      </c>
      <c r="B743" s="926" t="s">
        <v>1720</v>
      </c>
      <c r="C743" s="928" t="s">
        <v>13</v>
      </c>
      <c r="D743" s="927">
        <v>45919</v>
      </c>
      <c r="E743" s="928"/>
      <c r="F743" s="928" t="s">
        <v>545</v>
      </c>
      <c r="H743" s="1075" t="s">
        <v>277</v>
      </c>
      <c r="I743" s="930"/>
      <c r="J743" s="930"/>
      <c r="K743" s="929">
        <v>25016</v>
      </c>
      <c r="L743" s="932"/>
      <c r="M743" s="930"/>
      <c r="T743" s="926" t="s">
        <v>6981</v>
      </c>
      <c r="U743" s="931">
        <v>0.75208333333333333</v>
      </c>
      <c r="V743" s="931">
        <v>0.8965277777777777</v>
      </c>
    </row>
    <row r="744" spans="1:22" s="926" customFormat="1" x14ac:dyDescent="0.25">
      <c r="A744" s="925">
        <v>20092025</v>
      </c>
      <c r="B744" s="926" t="s">
        <v>572</v>
      </c>
      <c r="C744" s="928" t="s">
        <v>13</v>
      </c>
      <c r="D744" s="927">
        <v>45920</v>
      </c>
      <c r="E744" s="928"/>
      <c r="F744" s="928" t="s">
        <v>207</v>
      </c>
      <c r="H744" s="1075" t="s">
        <v>279</v>
      </c>
      <c r="I744" s="930"/>
      <c r="J744" s="930"/>
      <c r="K744" s="929"/>
      <c r="L744" s="930">
        <v>9340.5400000000009</v>
      </c>
      <c r="T744" s="926" t="s">
        <v>4297</v>
      </c>
      <c r="U744" s="931">
        <v>0.27916666666666667</v>
      </c>
      <c r="V744" s="931">
        <v>0.47500000000000003</v>
      </c>
    </row>
    <row r="745" spans="1:22" s="926" customFormat="1" x14ac:dyDescent="0.25">
      <c r="A745" s="925">
        <v>20092025</v>
      </c>
      <c r="B745" s="926" t="s">
        <v>6983</v>
      </c>
      <c r="C745" s="928" t="s">
        <v>4218</v>
      </c>
      <c r="D745" s="927">
        <v>45920</v>
      </c>
      <c r="E745" s="928"/>
      <c r="F745" s="928" t="s">
        <v>2253</v>
      </c>
      <c r="H745" s="1075" t="s">
        <v>279</v>
      </c>
      <c r="I745" s="930"/>
      <c r="J745" s="930"/>
      <c r="K745" s="932">
        <v>53400</v>
      </c>
      <c r="L745" s="930"/>
      <c r="T745" s="926" t="s">
        <v>6214</v>
      </c>
      <c r="U745" s="931">
        <v>0.51874999999999993</v>
      </c>
      <c r="V745" s="931">
        <v>20.420000000000002</v>
      </c>
    </row>
    <row r="746" spans="1:22" s="33" customFormat="1" x14ac:dyDescent="0.25">
      <c r="A746" s="547">
        <v>20092025</v>
      </c>
      <c r="B746" s="33" t="s">
        <v>608</v>
      </c>
      <c r="C746" s="306" t="s">
        <v>13</v>
      </c>
      <c r="D746" s="548">
        <v>45920</v>
      </c>
      <c r="E746" s="306"/>
      <c r="F746" s="306" t="s">
        <v>6982</v>
      </c>
      <c r="H746" s="1109" t="s">
        <v>279</v>
      </c>
      <c r="I746" s="279"/>
      <c r="J746" s="279"/>
      <c r="K746" s="279">
        <v>58231</v>
      </c>
      <c r="L746" s="279"/>
      <c r="T746" s="33" t="s">
        <v>6067</v>
      </c>
      <c r="U746" s="550">
        <v>0.67361111111111116</v>
      </c>
      <c r="V746" s="550">
        <v>0.94791666666666663</v>
      </c>
    </row>
    <row r="747" spans="1:22" s="926" customFormat="1" x14ac:dyDescent="0.25">
      <c r="A747" s="925">
        <v>21092025</v>
      </c>
      <c r="B747" s="926" t="s">
        <v>572</v>
      </c>
      <c r="C747" s="928" t="s">
        <v>4218</v>
      </c>
      <c r="D747" s="927">
        <v>45921</v>
      </c>
      <c r="E747" s="928"/>
      <c r="F747" s="928" t="s">
        <v>207</v>
      </c>
      <c r="H747" s="1075" t="s">
        <v>279</v>
      </c>
      <c r="I747" s="930"/>
      <c r="J747" s="930"/>
      <c r="K747" s="932"/>
      <c r="L747" s="930">
        <v>9306.44</v>
      </c>
      <c r="T747" s="926" t="s">
        <v>6678</v>
      </c>
      <c r="U747" s="931">
        <v>0.21666666666666667</v>
      </c>
      <c r="V747" s="931">
        <v>0.37361111111111112</v>
      </c>
    </row>
    <row r="748" spans="1:22" s="33" customFormat="1" x14ac:dyDescent="0.25">
      <c r="A748" s="547">
        <v>21092025</v>
      </c>
      <c r="B748" s="33" t="s">
        <v>614</v>
      </c>
      <c r="C748" s="306" t="s">
        <v>4218</v>
      </c>
      <c r="D748" s="548">
        <v>45921</v>
      </c>
      <c r="E748" s="306"/>
      <c r="F748" s="306" t="s">
        <v>3676</v>
      </c>
      <c r="H748" s="1109" t="s">
        <v>279</v>
      </c>
      <c r="I748" s="279"/>
      <c r="J748" s="279"/>
      <c r="K748" s="933">
        <v>26998.400000000001</v>
      </c>
      <c r="M748" s="279"/>
      <c r="T748" s="33" t="s">
        <v>6214</v>
      </c>
      <c r="U748" s="550">
        <v>0.53541666666666665</v>
      </c>
      <c r="V748" s="550">
        <v>0.67291666666666661</v>
      </c>
    </row>
    <row r="749" spans="1:22" s="33" customFormat="1" x14ac:dyDescent="0.25">
      <c r="A749" s="547">
        <v>21092025</v>
      </c>
      <c r="B749" s="33" t="s">
        <v>608</v>
      </c>
      <c r="C749" s="306" t="s">
        <v>13</v>
      </c>
      <c r="D749" s="548">
        <v>45921</v>
      </c>
      <c r="F749" s="306" t="s">
        <v>236</v>
      </c>
      <c r="H749" s="1109" t="s">
        <v>279</v>
      </c>
      <c r="I749" s="279"/>
      <c r="J749" s="279"/>
      <c r="K749" s="933">
        <v>58231</v>
      </c>
      <c r="M749" s="279"/>
      <c r="T749" s="33" t="s">
        <v>6952</v>
      </c>
      <c r="U749" s="550">
        <v>0.66249999999999998</v>
      </c>
      <c r="V749" s="550">
        <v>0.94305555555555554</v>
      </c>
    </row>
    <row r="750" spans="1:22" s="33" customFormat="1" hidden="1" x14ac:dyDescent="0.25">
      <c r="A750" s="547">
        <v>21092025</v>
      </c>
      <c r="B750" s="33" t="s">
        <v>930</v>
      </c>
      <c r="C750" s="306" t="s">
        <v>4218</v>
      </c>
      <c r="D750" s="548">
        <v>45921</v>
      </c>
      <c r="E750" s="306"/>
      <c r="F750" s="306" t="s">
        <v>294</v>
      </c>
      <c r="H750" s="1109" t="s">
        <v>277</v>
      </c>
      <c r="I750" s="279"/>
      <c r="J750" s="279"/>
      <c r="K750" s="933">
        <v>24886</v>
      </c>
      <c r="M750" s="279"/>
      <c r="T750" s="33" t="s">
        <v>6214</v>
      </c>
      <c r="U750" s="550">
        <v>0.72013888888888899</v>
      </c>
      <c r="V750" s="550">
        <v>0.87986111111111109</v>
      </c>
    </row>
    <row r="751" spans="1:22" s="926" customFormat="1" x14ac:dyDescent="0.25">
      <c r="A751" s="925">
        <v>22092025</v>
      </c>
      <c r="B751" s="926" t="s">
        <v>572</v>
      </c>
      <c r="C751" s="928" t="s">
        <v>13</v>
      </c>
      <c r="D751" s="927">
        <v>45922</v>
      </c>
      <c r="E751" s="928"/>
      <c r="F751" s="928" t="s">
        <v>317</v>
      </c>
      <c r="H751" s="1075" t="s">
        <v>279</v>
      </c>
      <c r="I751" s="930"/>
      <c r="J751" s="930"/>
      <c r="K751" s="929"/>
      <c r="L751" s="932">
        <v>12272</v>
      </c>
      <c r="M751" s="930"/>
      <c r="T751" s="926" t="s">
        <v>5131</v>
      </c>
      <c r="U751" s="931">
        <v>0.30902777777777779</v>
      </c>
      <c r="V751" s="931">
        <v>0.62291666666666667</v>
      </c>
    </row>
    <row r="752" spans="1:22" s="926" customFormat="1" x14ac:dyDescent="0.25">
      <c r="A752" s="925">
        <v>22092025</v>
      </c>
      <c r="B752" s="926" t="s">
        <v>2407</v>
      </c>
      <c r="C752" s="928" t="s">
        <v>410</v>
      </c>
      <c r="D752" s="927">
        <v>45922</v>
      </c>
      <c r="E752" s="928"/>
      <c r="F752" s="928" t="s">
        <v>236</v>
      </c>
      <c r="H752" s="1075" t="s">
        <v>279</v>
      </c>
      <c r="I752" s="930"/>
      <c r="J752" s="930"/>
      <c r="K752" s="929"/>
      <c r="L752" s="932">
        <f>12000*1.18</f>
        <v>14160</v>
      </c>
      <c r="M752" s="930"/>
      <c r="T752" s="926" t="s">
        <v>6952</v>
      </c>
      <c r="U752" s="931">
        <v>0.44444444444444442</v>
      </c>
      <c r="V752" s="931">
        <v>0.70694444444444438</v>
      </c>
    </row>
    <row r="753" spans="1:22" s="33" customFormat="1" x14ac:dyDescent="0.25">
      <c r="A753" s="547">
        <v>22092025</v>
      </c>
      <c r="B753" s="33" t="s">
        <v>614</v>
      </c>
      <c r="C753" s="306" t="s">
        <v>4218</v>
      </c>
      <c r="D753" s="548">
        <v>45922</v>
      </c>
      <c r="E753" s="306"/>
      <c r="F753" s="306" t="s">
        <v>68</v>
      </c>
      <c r="H753" s="1109" t="s">
        <v>279</v>
      </c>
      <c r="I753" s="279"/>
      <c r="J753" s="279"/>
      <c r="K753" s="312">
        <v>49843</v>
      </c>
      <c r="L753" s="933"/>
      <c r="M753" s="279"/>
      <c r="T753" s="33" t="s">
        <v>4853</v>
      </c>
      <c r="U753" s="550">
        <v>0.54999999999999993</v>
      </c>
      <c r="V753" s="550">
        <v>0.80347222222222225</v>
      </c>
    </row>
    <row r="754" spans="1:22" s="926" customFormat="1" x14ac:dyDescent="0.25">
      <c r="A754" s="925">
        <v>23092025</v>
      </c>
      <c r="B754" s="926" t="s">
        <v>4249</v>
      </c>
      <c r="C754" s="928" t="s">
        <v>13</v>
      </c>
      <c r="D754" s="927">
        <v>45923</v>
      </c>
      <c r="E754" s="928"/>
      <c r="F754" s="928" t="s">
        <v>6072</v>
      </c>
      <c r="H754" s="1075" t="s">
        <v>279</v>
      </c>
      <c r="I754" s="930"/>
      <c r="J754" s="930"/>
      <c r="K754" s="929"/>
      <c r="L754" s="932">
        <v>20050</v>
      </c>
      <c r="M754" s="930"/>
      <c r="T754" s="926" t="s">
        <v>5989</v>
      </c>
      <c r="U754" s="931">
        <v>0.30555555555555552</v>
      </c>
      <c r="V754" s="931">
        <v>0.57986111111111105</v>
      </c>
    </row>
    <row r="755" spans="1:22" s="926" customFormat="1" x14ac:dyDescent="0.25">
      <c r="A755" s="925">
        <v>23092025</v>
      </c>
      <c r="B755" s="926" t="s">
        <v>6996</v>
      </c>
      <c r="C755" s="928" t="s">
        <v>4218</v>
      </c>
      <c r="D755" s="927">
        <v>45923</v>
      </c>
      <c r="E755" s="928"/>
      <c r="F755" s="928" t="s">
        <v>7002</v>
      </c>
      <c r="H755" s="1075" t="s">
        <v>279</v>
      </c>
      <c r="I755" s="930"/>
      <c r="J755" s="930"/>
      <c r="K755" s="929">
        <f>39624+8020</f>
        <v>47644</v>
      </c>
      <c r="L755" s="932"/>
      <c r="M755" s="930"/>
      <c r="T755" s="926" t="s">
        <v>6678</v>
      </c>
      <c r="U755" s="931">
        <v>0.30694444444444441</v>
      </c>
      <c r="V755" s="931">
        <v>0.69513888888888886</v>
      </c>
    </row>
    <row r="756" spans="1:22" s="33" customFormat="1" x14ac:dyDescent="0.25">
      <c r="A756" s="547">
        <v>24092025</v>
      </c>
      <c r="B756" s="33" t="s">
        <v>614</v>
      </c>
      <c r="C756" s="306" t="s">
        <v>4218</v>
      </c>
      <c r="D756" s="548">
        <v>45924</v>
      </c>
      <c r="E756" s="306"/>
      <c r="F756" s="306" t="s">
        <v>2029</v>
      </c>
      <c r="H756" s="1109" t="s">
        <v>279</v>
      </c>
      <c r="I756" s="279"/>
      <c r="J756" s="279"/>
      <c r="K756" s="312">
        <v>33250</v>
      </c>
      <c r="L756" s="933"/>
      <c r="M756" s="279"/>
      <c r="T756" s="33" t="s">
        <v>6898</v>
      </c>
      <c r="U756" s="550">
        <v>0.32916666666666666</v>
      </c>
      <c r="V756" s="550">
        <v>0.50069444444444444</v>
      </c>
    </row>
    <row r="757" spans="1:22" s="33" customFormat="1" x14ac:dyDescent="0.25">
      <c r="A757" s="547">
        <v>24092025</v>
      </c>
      <c r="B757" s="33" t="s">
        <v>2129</v>
      </c>
      <c r="C757" s="306" t="s">
        <v>410</v>
      </c>
      <c r="D757" s="548">
        <v>45924</v>
      </c>
      <c r="E757" s="306"/>
      <c r="F757" s="306" t="s">
        <v>236</v>
      </c>
      <c r="H757" s="1109" t="s">
        <v>279</v>
      </c>
      <c r="I757" s="279"/>
      <c r="J757" s="279"/>
      <c r="K757" s="312">
        <v>62540</v>
      </c>
      <c r="L757" s="933"/>
      <c r="M757" s="279"/>
      <c r="T757" s="33" t="s">
        <v>5989</v>
      </c>
      <c r="U757" s="550">
        <v>0.65347222222222223</v>
      </c>
      <c r="V757" s="550">
        <v>0.95486111111111116</v>
      </c>
    </row>
    <row r="758" spans="1:22" s="33" customFormat="1" x14ac:dyDescent="0.25">
      <c r="A758" s="547">
        <v>24092025</v>
      </c>
      <c r="B758" s="33" t="s">
        <v>614</v>
      </c>
      <c r="C758" s="306" t="s">
        <v>13</v>
      </c>
      <c r="D758" s="548">
        <v>45924</v>
      </c>
      <c r="E758" s="306"/>
      <c r="F758" s="306" t="s">
        <v>68</v>
      </c>
      <c r="H758" s="1109" t="s">
        <v>279</v>
      </c>
      <c r="I758" s="279"/>
      <c r="J758" s="279"/>
      <c r="K758" s="312">
        <v>49843</v>
      </c>
      <c r="L758" s="933"/>
      <c r="M758" s="279"/>
      <c r="T758" s="33" t="s">
        <v>5026</v>
      </c>
      <c r="U758" s="550">
        <v>0.37361111111111112</v>
      </c>
      <c r="V758" s="550">
        <v>0.62986111111111109</v>
      </c>
    </row>
    <row r="759" spans="1:22" s="418" customFormat="1" x14ac:dyDescent="0.25">
      <c r="A759" s="624">
        <v>25092025</v>
      </c>
      <c r="B759" s="418" t="s">
        <v>4662</v>
      </c>
      <c r="C759" s="420" t="s">
        <v>410</v>
      </c>
      <c r="D759" s="602">
        <v>45925</v>
      </c>
      <c r="E759" s="420"/>
      <c r="F759" s="420" t="s">
        <v>2008</v>
      </c>
      <c r="H759" s="1147" t="s">
        <v>279</v>
      </c>
      <c r="I759" s="422"/>
      <c r="J759" s="422"/>
      <c r="K759" s="421">
        <v>47250</v>
      </c>
      <c r="L759" s="1079"/>
      <c r="M759" s="422"/>
      <c r="T759" s="418" t="s">
        <v>5021</v>
      </c>
      <c r="U759" s="604">
        <v>0.29791666666666666</v>
      </c>
      <c r="V759" s="604">
        <v>0.52430555555555558</v>
      </c>
    </row>
    <row r="760" spans="1:22" s="926" customFormat="1" x14ac:dyDescent="0.25">
      <c r="A760" s="925">
        <v>26092025</v>
      </c>
      <c r="B760" s="926" t="s">
        <v>3388</v>
      </c>
      <c r="C760" s="928" t="s">
        <v>4218</v>
      </c>
      <c r="D760" s="927">
        <v>45926</v>
      </c>
      <c r="E760" s="928"/>
      <c r="F760" s="928" t="s">
        <v>1931</v>
      </c>
      <c r="H760" s="1075" t="s">
        <v>279</v>
      </c>
      <c r="I760" s="930"/>
      <c r="J760" s="930"/>
      <c r="K760" s="929">
        <v>56359</v>
      </c>
      <c r="L760" s="932"/>
      <c r="M760" s="930"/>
      <c r="T760" s="926" t="s">
        <v>6347</v>
      </c>
      <c r="U760" s="931">
        <v>0.33958333333333335</v>
      </c>
      <c r="V760" s="931">
        <v>0.63958333333333328</v>
      </c>
    </row>
    <row r="761" spans="1:22" s="33" customFormat="1" x14ac:dyDescent="0.25">
      <c r="A761" s="547">
        <v>26092025</v>
      </c>
      <c r="B761" s="33" t="s">
        <v>7005</v>
      </c>
      <c r="C761" s="306" t="s">
        <v>410</v>
      </c>
      <c r="D761" s="548">
        <v>45926</v>
      </c>
      <c r="E761" s="306"/>
      <c r="F761" s="306" t="s">
        <v>5603</v>
      </c>
      <c r="H761" s="1109" t="s">
        <v>279</v>
      </c>
      <c r="I761" s="279"/>
      <c r="J761" s="279"/>
      <c r="K761" s="312">
        <v>48427</v>
      </c>
      <c r="L761" s="933"/>
      <c r="M761" s="279"/>
      <c r="T761" s="33" t="s">
        <v>6898</v>
      </c>
      <c r="U761" s="550">
        <v>0.33819444444444446</v>
      </c>
      <c r="V761" s="550">
        <v>0.69930555555555551</v>
      </c>
    </row>
    <row r="762" spans="1:22" s="33" customFormat="1" x14ac:dyDescent="0.25">
      <c r="A762" s="547">
        <v>26092025</v>
      </c>
      <c r="B762" s="33" t="s">
        <v>3298</v>
      </c>
      <c r="C762" s="306" t="s">
        <v>4218</v>
      </c>
      <c r="D762" s="548">
        <v>45926</v>
      </c>
      <c r="E762" s="306"/>
      <c r="F762" s="306" t="s">
        <v>68</v>
      </c>
      <c r="H762" s="1109" t="s">
        <v>279</v>
      </c>
      <c r="I762" s="279"/>
      <c r="J762" s="279"/>
      <c r="K762" s="312">
        <v>44000</v>
      </c>
      <c r="L762" s="933"/>
      <c r="M762" s="279"/>
      <c r="T762" s="33" t="s">
        <v>5021</v>
      </c>
      <c r="U762" s="550">
        <v>0.70138888888888884</v>
      </c>
      <c r="V762" s="550">
        <v>0.98541666666666672</v>
      </c>
    </row>
    <row r="763" spans="1:22" s="33" customFormat="1" x14ac:dyDescent="0.25">
      <c r="A763" s="547" t="s">
        <v>7021</v>
      </c>
      <c r="B763" s="33" t="s">
        <v>2129</v>
      </c>
      <c r="C763" s="306" t="s">
        <v>13</v>
      </c>
      <c r="D763" s="548">
        <v>45927</v>
      </c>
      <c r="E763" s="306"/>
      <c r="F763" s="306" t="s">
        <v>236</v>
      </c>
      <c r="H763" s="1109" t="s">
        <v>279</v>
      </c>
      <c r="I763" s="279"/>
      <c r="J763" s="279"/>
      <c r="K763" s="312">
        <v>62540</v>
      </c>
      <c r="L763" s="933"/>
      <c r="M763" s="279"/>
      <c r="T763" s="33" t="s">
        <v>6282</v>
      </c>
      <c r="U763" s="550">
        <v>0.27708333333333335</v>
      </c>
      <c r="V763" s="550">
        <v>0.55833333333333335</v>
      </c>
    </row>
    <row r="764" spans="1:22" s="33" customFormat="1" x14ac:dyDescent="0.25">
      <c r="A764" s="547" t="s">
        <v>7021</v>
      </c>
      <c r="B764" s="33" t="s">
        <v>3298</v>
      </c>
      <c r="C764" s="306" t="s">
        <v>4218</v>
      </c>
      <c r="D764" s="548">
        <v>45927</v>
      </c>
      <c r="E764" s="306"/>
      <c r="F764" s="306" t="s">
        <v>68</v>
      </c>
      <c r="H764" s="1109" t="s">
        <v>279</v>
      </c>
      <c r="I764" s="279"/>
      <c r="J764" s="279"/>
      <c r="K764" s="312">
        <v>44000</v>
      </c>
      <c r="L764" s="933"/>
      <c r="M764" s="279"/>
      <c r="T764" s="33" t="s">
        <v>6952</v>
      </c>
      <c r="U764" s="550">
        <v>0.31319444444444444</v>
      </c>
      <c r="V764" s="550">
        <v>0.59097222222222223</v>
      </c>
    </row>
    <row r="765" spans="1:22" s="926" customFormat="1" x14ac:dyDescent="0.25">
      <c r="A765" s="925" t="s">
        <v>7021</v>
      </c>
      <c r="B765" s="926" t="s">
        <v>572</v>
      </c>
      <c r="C765" s="928" t="s">
        <v>410</v>
      </c>
      <c r="D765" s="927">
        <v>45927</v>
      </c>
      <c r="E765" s="928"/>
      <c r="F765" s="928" t="s">
        <v>317</v>
      </c>
      <c r="H765" s="1075" t="s">
        <v>279</v>
      </c>
      <c r="I765" s="930"/>
      <c r="J765" s="930"/>
      <c r="K765" s="929"/>
      <c r="L765" s="932">
        <v>12177.272727272728</v>
      </c>
      <c r="M765" s="930"/>
      <c r="T765" s="926" t="s">
        <v>7022</v>
      </c>
      <c r="U765" s="931">
        <v>0.57708333333333328</v>
      </c>
      <c r="V765" s="931">
        <v>0.76597222222222228</v>
      </c>
    </row>
    <row r="766" spans="1:22" s="926" customFormat="1" x14ac:dyDescent="0.25">
      <c r="A766" s="925" t="s">
        <v>7021</v>
      </c>
      <c r="B766" s="926" t="s">
        <v>1720</v>
      </c>
      <c r="C766" s="928" t="s">
        <v>13</v>
      </c>
      <c r="D766" s="927">
        <v>45927</v>
      </c>
      <c r="E766" s="928"/>
      <c r="F766" s="928" t="s">
        <v>545</v>
      </c>
      <c r="H766" s="1075" t="s">
        <v>279</v>
      </c>
      <c r="I766" s="930"/>
      <c r="J766" s="930"/>
      <c r="K766" s="929">
        <v>31500</v>
      </c>
      <c r="L766" s="932"/>
      <c r="M766" s="930"/>
      <c r="T766" s="926" t="s">
        <v>6678</v>
      </c>
      <c r="U766" s="931">
        <v>0.69513888888888886</v>
      </c>
      <c r="V766" s="931">
        <v>0.85138888888888886</v>
      </c>
    </row>
    <row r="767" spans="1:22" s="926" customFormat="1" x14ac:dyDescent="0.25">
      <c r="A767" s="925" t="s">
        <v>7023</v>
      </c>
      <c r="B767" s="926" t="s">
        <v>572</v>
      </c>
      <c r="C767" s="928" t="s">
        <v>13</v>
      </c>
      <c r="D767" s="927">
        <v>45928</v>
      </c>
      <c r="E767" s="928"/>
      <c r="F767" s="928" t="s">
        <v>207</v>
      </c>
      <c r="H767" s="1075" t="s">
        <v>279</v>
      </c>
      <c r="I767" s="930"/>
      <c r="J767" s="930"/>
      <c r="K767" s="929"/>
      <c r="L767" s="932">
        <v>9340.5400000000009</v>
      </c>
      <c r="M767" s="930"/>
      <c r="T767" s="926" t="s">
        <v>6952</v>
      </c>
      <c r="U767" s="931">
        <v>0.26805555555555555</v>
      </c>
      <c r="V767" s="931">
        <v>0.49166666666666664</v>
      </c>
    </row>
    <row r="768" spans="1:22" s="33" customFormat="1" x14ac:dyDescent="0.25">
      <c r="A768" s="547" t="s">
        <v>7024</v>
      </c>
      <c r="B768" s="33" t="s">
        <v>2938</v>
      </c>
      <c r="C768" s="306" t="s">
        <v>13</v>
      </c>
      <c r="D768" s="548">
        <v>45929</v>
      </c>
      <c r="E768" s="306"/>
      <c r="F768" s="306" t="s">
        <v>143</v>
      </c>
      <c r="H768" s="1109" t="s">
        <v>279</v>
      </c>
      <c r="I768" s="279"/>
      <c r="J768" s="279"/>
      <c r="K768" s="312">
        <v>38265</v>
      </c>
      <c r="L768" s="933"/>
      <c r="M768" s="279"/>
      <c r="T768" s="33" t="s">
        <v>6503</v>
      </c>
      <c r="U768" s="550">
        <v>0.17986111111111111</v>
      </c>
      <c r="V768" s="550">
        <v>0.3888888888888889</v>
      </c>
    </row>
    <row r="769" spans="1:22" s="33" customFormat="1" x14ac:dyDescent="0.25">
      <c r="A769" s="547" t="s">
        <v>7024</v>
      </c>
      <c r="B769" s="33" t="s">
        <v>2739</v>
      </c>
      <c r="C769" s="306" t="s">
        <v>13</v>
      </c>
      <c r="D769" s="548">
        <v>45929</v>
      </c>
      <c r="E769" s="306"/>
      <c r="F769" s="306" t="s">
        <v>2107</v>
      </c>
      <c r="H769" s="1109" t="s">
        <v>279</v>
      </c>
      <c r="I769" s="279"/>
      <c r="J769" s="279"/>
      <c r="K769" s="312">
        <f>29305+4000</f>
        <v>33305</v>
      </c>
      <c r="L769" s="933"/>
      <c r="M769" s="279"/>
      <c r="T769" s="33" t="s">
        <v>6503</v>
      </c>
      <c r="U769" s="550">
        <v>0.46597222222222223</v>
      </c>
      <c r="V769" s="550">
        <v>0.63958333333333328</v>
      </c>
    </row>
    <row r="770" spans="1:22" s="33" customFormat="1" x14ac:dyDescent="0.25">
      <c r="A770" s="547" t="s">
        <v>7024</v>
      </c>
      <c r="B770" s="33" t="s">
        <v>930</v>
      </c>
      <c r="C770" s="306" t="s">
        <v>4218</v>
      </c>
      <c r="D770" s="548">
        <v>45929</v>
      </c>
      <c r="E770" s="306"/>
      <c r="F770" s="306" t="s">
        <v>294</v>
      </c>
      <c r="H770" s="1109" t="s">
        <v>279</v>
      </c>
      <c r="I770" s="279"/>
      <c r="J770" s="279"/>
      <c r="K770" s="312">
        <v>33182</v>
      </c>
      <c r="L770" s="933"/>
      <c r="M770" s="279"/>
      <c r="T770" s="33" t="s">
        <v>6214</v>
      </c>
      <c r="U770" s="550">
        <v>0.68541666666666667</v>
      </c>
      <c r="V770" s="550">
        <v>0.90138888888888891</v>
      </c>
    </row>
    <row r="771" spans="1:22" s="33" customFormat="1" x14ac:dyDescent="0.25">
      <c r="A771" s="547" t="s">
        <v>7032</v>
      </c>
      <c r="B771" s="33" t="s">
        <v>614</v>
      </c>
      <c r="C771" s="306" t="s">
        <v>4218</v>
      </c>
      <c r="D771" s="548">
        <v>45930</v>
      </c>
      <c r="E771" s="306"/>
      <c r="F771" s="306" t="s">
        <v>4622</v>
      </c>
      <c r="H771" s="1109" t="s">
        <v>279</v>
      </c>
      <c r="I771" s="279"/>
      <c r="J771" s="279"/>
      <c r="K771" s="312">
        <v>31152</v>
      </c>
      <c r="L771" s="933"/>
      <c r="M771" s="279"/>
      <c r="T771" s="33" t="s">
        <v>4140</v>
      </c>
      <c r="U771" s="550">
        <v>0.29652777777777778</v>
      </c>
      <c r="V771" s="550">
        <v>0.45069444444444445</v>
      </c>
    </row>
    <row r="772" spans="1:22" s="33" customFormat="1" x14ac:dyDescent="0.25">
      <c r="A772" s="547" t="s">
        <v>7032</v>
      </c>
      <c r="B772" s="33" t="s">
        <v>7005</v>
      </c>
      <c r="C772" s="306" t="s">
        <v>13</v>
      </c>
      <c r="D772" s="548">
        <v>45930</v>
      </c>
      <c r="E772" s="306"/>
      <c r="F772" s="306" t="s">
        <v>5603</v>
      </c>
      <c r="H772" s="1109" t="s">
        <v>279</v>
      </c>
      <c r="I772" s="279"/>
      <c r="J772" s="279"/>
      <c r="K772" s="312">
        <v>48427</v>
      </c>
      <c r="L772" s="933"/>
      <c r="M772" s="279"/>
      <c r="T772" s="33" t="s">
        <v>5131</v>
      </c>
      <c r="U772" s="550">
        <v>0.3444444444444445</v>
      </c>
      <c r="V772" s="550">
        <v>0.69791666666666663</v>
      </c>
    </row>
    <row r="773" spans="1:22" hidden="1" x14ac:dyDescent="0.25">
      <c r="A773" s="483"/>
      <c r="D773" s="233"/>
      <c r="H773" s="1067"/>
      <c r="I773" s="88"/>
      <c r="J773" s="88"/>
      <c r="K773" s="313"/>
      <c r="L773" s="798"/>
      <c r="M773" s="88"/>
      <c r="U773" s="360"/>
      <c r="V773" s="360"/>
    </row>
    <row r="774" spans="1:22" ht="15.75" hidden="1" thickBot="1" x14ac:dyDescent="0.3">
      <c r="A774" s="483"/>
      <c r="C774"/>
      <c r="D774" s="233"/>
      <c r="G774" s="32"/>
      <c r="H774" s="1067"/>
      <c r="I774" s="1131"/>
      <c r="J774" s="88"/>
      <c r="K774" s="960">
        <f>SUM(K695:K773)</f>
        <v>2730732.3499999996</v>
      </c>
      <c r="L774" s="960">
        <f>SUM(L695:L773)</f>
        <v>161773.33272727276</v>
      </c>
      <c r="M774" s="32"/>
      <c r="U774" s="360"/>
      <c r="V774" s="360"/>
    </row>
    <row r="775" spans="1:22" hidden="1" x14ac:dyDescent="0.25">
      <c r="A775" s="483"/>
      <c r="D775" s="233"/>
      <c r="G775">
        <f>8000*1.18</f>
        <v>9440</v>
      </c>
      <c r="H775" s="1067"/>
      <c r="I775" s="88"/>
      <c r="J775" s="88"/>
      <c r="K775" s="313"/>
      <c r="L775" s="798"/>
      <c r="M775" s="88"/>
      <c r="U775" s="360"/>
      <c r="V775" s="360"/>
    </row>
    <row r="776" spans="1:22" hidden="1" x14ac:dyDescent="0.25">
      <c r="A776" s="483"/>
      <c r="D776" s="233"/>
      <c r="H776" s="1067"/>
      <c r="I776" s="88"/>
      <c r="J776" s="88"/>
      <c r="K776" s="313"/>
      <c r="L776" s="798"/>
      <c r="M776" s="88"/>
      <c r="U776" s="360"/>
      <c r="V776" s="360"/>
    </row>
    <row r="777" spans="1:22" hidden="1" x14ac:dyDescent="0.25">
      <c r="A777" s="483"/>
      <c r="D777" s="233"/>
      <c r="H777" s="1067"/>
      <c r="I777" s="88"/>
      <c r="J777" s="88"/>
      <c r="K777" s="313"/>
      <c r="L777" s="798"/>
      <c r="M777" s="88"/>
      <c r="U777" s="360"/>
      <c r="V777" s="360"/>
    </row>
    <row r="778" spans="1:22" s="926" customFormat="1" x14ac:dyDescent="0.25">
      <c r="A778" s="925" t="s">
        <v>7038</v>
      </c>
      <c r="B778" s="926" t="s">
        <v>4249</v>
      </c>
      <c r="C778" s="928" t="s">
        <v>4218</v>
      </c>
      <c r="D778" s="927">
        <v>45931</v>
      </c>
      <c r="E778" s="928"/>
      <c r="F778" s="928" t="s">
        <v>207</v>
      </c>
      <c r="H778" s="1075" t="s">
        <v>279</v>
      </c>
      <c r="I778" s="930"/>
      <c r="J778" s="930"/>
      <c r="K778" s="929"/>
      <c r="L778" s="932">
        <v>9440</v>
      </c>
      <c r="M778" s="930"/>
      <c r="T778" s="926" t="s">
        <v>6214</v>
      </c>
      <c r="U778" s="931">
        <v>0.36319444444444443</v>
      </c>
      <c r="V778" s="931">
        <v>0.57986111111111116</v>
      </c>
    </row>
    <row r="779" spans="1:22" s="926" customFormat="1" x14ac:dyDescent="0.25">
      <c r="A779" s="925" t="s">
        <v>7039</v>
      </c>
      <c r="B779" s="926" t="s">
        <v>2129</v>
      </c>
      <c r="C779" s="928" t="s">
        <v>4218</v>
      </c>
      <c r="D779" s="927">
        <v>45932</v>
      </c>
      <c r="E779" s="928"/>
      <c r="F779" s="928" t="s">
        <v>236</v>
      </c>
      <c r="H779" s="1075" t="s">
        <v>279</v>
      </c>
      <c r="I779" s="930"/>
      <c r="J779" s="930"/>
      <c r="K779" s="929">
        <v>62540</v>
      </c>
      <c r="L779" s="932"/>
      <c r="M779" s="930"/>
      <c r="T779" s="926" t="s">
        <v>5131</v>
      </c>
      <c r="U779" s="931">
        <v>0.91736111111111107</v>
      </c>
      <c r="V779" s="931">
        <v>0.18611111111111112</v>
      </c>
    </row>
    <row r="780" spans="1:22" s="926" customFormat="1" x14ac:dyDescent="0.25">
      <c r="A780" s="925" t="s">
        <v>7039</v>
      </c>
      <c r="B780" s="926" t="s">
        <v>5093</v>
      </c>
      <c r="C780" s="928" t="s">
        <v>13</v>
      </c>
      <c r="D780" s="927">
        <v>45932</v>
      </c>
      <c r="E780" s="928"/>
      <c r="F780" s="928" t="s">
        <v>5326</v>
      </c>
      <c r="H780" s="1075" t="s">
        <v>279</v>
      </c>
      <c r="I780" s="930"/>
      <c r="J780" s="930"/>
      <c r="K780" s="929">
        <v>34500</v>
      </c>
      <c r="L780" s="932"/>
      <c r="M780" s="930"/>
      <c r="T780" s="926" t="s">
        <v>4345</v>
      </c>
      <c r="U780" s="931">
        <v>0.29166666666666669</v>
      </c>
      <c r="V780" s="931">
        <v>0.49027777777777781</v>
      </c>
    </row>
    <row r="781" spans="1:22" s="926" customFormat="1" x14ac:dyDescent="0.25">
      <c r="A781" s="925" t="s">
        <v>7039</v>
      </c>
      <c r="B781" s="926" t="s">
        <v>572</v>
      </c>
      <c r="C781" s="928" t="s">
        <v>13</v>
      </c>
      <c r="D781" s="927">
        <v>45932</v>
      </c>
      <c r="E781" s="928"/>
      <c r="F781" s="928" t="s">
        <v>317</v>
      </c>
      <c r="H781" s="1075" t="s">
        <v>279</v>
      </c>
      <c r="I781" s="930"/>
      <c r="J781" s="930"/>
      <c r="L781" s="929">
        <v>12272</v>
      </c>
      <c r="M781" s="930"/>
      <c r="T781" s="926" t="s">
        <v>4983</v>
      </c>
      <c r="U781" s="931">
        <v>0.57708333333333328</v>
      </c>
      <c r="V781" s="931">
        <v>0.82916666666666661</v>
      </c>
    </row>
    <row r="782" spans="1:22" s="926" customFormat="1" x14ac:dyDescent="0.25">
      <c r="A782" s="925" t="s">
        <v>7059</v>
      </c>
      <c r="B782" s="926" t="s">
        <v>608</v>
      </c>
      <c r="C782" s="928" t="s">
        <v>13</v>
      </c>
      <c r="D782" s="927">
        <v>45933</v>
      </c>
      <c r="E782" s="928"/>
      <c r="F782" s="928" t="s">
        <v>236</v>
      </c>
      <c r="H782" s="1075" t="s">
        <v>279</v>
      </c>
      <c r="I782" s="930"/>
      <c r="J782" s="930"/>
      <c r="K782" s="929">
        <v>58231</v>
      </c>
      <c r="L782" s="932"/>
      <c r="M782" s="930"/>
      <c r="T782" s="926" t="s">
        <v>6150</v>
      </c>
      <c r="U782" s="931">
        <v>0.27291666666666664</v>
      </c>
      <c r="V782" s="931">
        <v>0.56874999999999998</v>
      </c>
    </row>
    <row r="783" spans="1:22" s="926" customFormat="1" x14ac:dyDescent="0.25">
      <c r="A783" s="925" t="s">
        <v>7062</v>
      </c>
      <c r="B783" s="926" t="s">
        <v>572</v>
      </c>
      <c r="C783" s="928" t="s">
        <v>4218</v>
      </c>
      <c r="D783" s="927">
        <v>45934</v>
      </c>
      <c r="E783" s="928"/>
      <c r="F783" s="928" t="s">
        <v>207</v>
      </c>
      <c r="H783" s="1075" t="s">
        <v>279</v>
      </c>
      <c r="I783" s="930"/>
      <c r="J783" s="930"/>
      <c r="K783" s="929"/>
      <c r="L783" s="932">
        <f>8307.2*1.13636363636364</f>
        <v>9440.0000000000309</v>
      </c>
      <c r="M783" s="930"/>
      <c r="T783" s="926" t="s">
        <v>6214</v>
      </c>
      <c r="U783" s="931">
        <v>0.48749999999999999</v>
      </c>
      <c r="V783" s="931">
        <v>0.68819444444444444</v>
      </c>
    </row>
    <row r="784" spans="1:22" s="926" customFormat="1" x14ac:dyDescent="0.25">
      <c r="A784" s="925" t="s">
        <v>7062</v>
      </c>
      <c r="B784" s="926" t="s">
        <v>2497</v>
      </c>
      <c r="C784" s="928" t="s">
        <v>410</v>
      </c>
      <c r="D784" s="927">
        <v>45934</v>
      </c>
      <c r="E784" s="928"/>
      <c r="F784" s="928" t="s">
        <v>143</v>
      </c>
      <c r="H784" s="1075" t="s">
        <v>279</v>
      </c>
      <c r="I784" s="930"/>
      <c r="J784" s="930"/>
      <c r="K784" s="930">
        <v>37252</v>
      </c>
      <c r="L784" s="932"/>
      <c r="M784" s="930"/>
      <c r="T784" s="926" t="s">
        <v>4983</v>
      </c>
      <c r="U784" s="931">
        <v>0.63888888888888884</v>
      </c>
      <c r="V784" s="931">
        <v>0.86458333333333337</v>
      </c>
    </row>
    <row r="785" spans="1:22" s="926" customFormat="1" x14ac:dyDescent="0.25">
      <c r="A785" s="925" t="s">
        <v>7062</v>
      </c>
      <c r="B785" s="926" t="s">
        <v>7063</v>
      </c>
      <c r="C785" s="928" t="s">
        <v>13</v>
      </c>
      <c r="D785" s="927">
        <v>45934</v>
      </c>
      <c r="E785" s="928"/>
      <c r="F785" s="928" t="s">
        <v>143</v>
      </c>
      <c r="H785" s="1075" t="s">
        <v>279</v>
      </c>
      <c r="I785" s="930"/>
      <c r="J785" s="930"/>
      <c r="K785" s="929">
        <v>36675</v>
      </c>
      <c r="L785" s="932"/>
      <c r="M785" s="930"/>
      <c r="T785" s="926" t="s">
        <v>6952</v>
      </c>
      <c r="U785" s="931">
        <v>0.70416666666666672</v>
      </c>
      <c r="V785" s="931">
        <v>0.8833333333333333</v>
      </c>
    </row>
    <row r="786" spans="1:22" s="926" customFormat="1" x14ac:dyDescent="0.25">
      <c r="A786" s="925" t="s">
        <v>7062</v>
      </c>
      <c r="B786" s="926" t="s">
        <v>608</v>
      </c>
      <c r="C786" s="928" t="s">
        <v>4218</v>
      </c>
      <c r="D786" s="927">
        <v>45934</v>
      </c>
      <c r="E786" s="928"/>
      <c r="F786" s="928" t="s">
        <v>236</v>
      </c>
      <c r="H786" s="1075" t="s">
        <v>279</v>
      </c>
      <c r="I786" s="930"/>
      <c r="J786" s="930"/>
      <c r="K786" s="929">
        <v>58231</v>
      </c>
      <c r="L786" s="932"/>
      <c r="M786" s="930"/>
      <c r="T786" s="926" t="s">
        <v>6150</v>
      </c>
      <c r="U786" s="931">
        <v>0.74722222222222223</v>
      </c>
      <c r="V786" s="931">
        <v>1.1111111111111112E-2</v>
      </c>
    </row>
    <row r="787" spans="1:22" s="926" customFormat="1" x14ac:dyDescent="0.25">
      <c r="A787" s="925" t="s">
        <v>7061</v>
      </c>
      <c r="B787" s="926" t="s">
        <v>576</v>
      </c>
      <c r="C787" s="928" t="s">
        <v>4218</v>
      </c>
      <c r="D787" s="927">
        <v>45936</v>
      </c>
      <c r="E787" s="928"/>
      <c r="F787" s="928" t="s">
        <v>285</v>
      </c>
      <c r="H787" s="1075" t="s">
        <v>279</v>
      </c>
      <c r="I787" s="930"/>
      <c r="J787" s="930"/>
      <c r="K787" s="929">
        <v>42800</v>
      </c>
      <c r="L787" s="932"/>
      <c r="M787" s="930"/>
      <c r="T787" s="926" t="s">
        <v>7060</v>
      </c>
      <c r="U787" s="931">
        <v>0.28611111111111109</v>
      </c>
      <c r="V787" s="931">
        <v>0.52569444444444446</v>
      </c>
    </row>
    <row r="788" spans="1:22" s="926" customFormat="1" x14ac:dyDescent="0.25">
      <c r="A788" s="925" t="s">
        <v>7072</v>
      </c>
      <c r="B788" s="926" t="s">
        <v>930</v>
      </c>
      <c r="C788" s="928" t="s">
        <v>4218</v>
      </c>
      <c r="D788" s="927">
        <v>45937</v>
      </c>
      <c r="E788" s="928"/>
      <c r="F788" s="928" t="s">
        <v>294</v>
      </c>
      <c r="H788" s="1075" t="s">
        <v>279</v>
      </c>
      <c r="I788" s="930"/>
      <c r="J788" s="930"/>
      <c r="K788" s="929">
        <v>33182</v>
      </c>
      <c r="L788" s="932"/>
      <c r="M788" s="930"/>
      <c r="T788" s="926" t="s">
        <v>5021</v>
      </c>
      <c r="U788" s="931">
        <v>0.45208333333333334</v>
      </c>
      <c r="V788" s="931">
        <v>0.6333333333333333</v>
      </c>
    </row>
    <row r="789" spans="1:22" s="926" customFormat="1" x14ac:dyDescent="0.25">
      <c r="A789" s="925" t="s">
        <v>7072</v>
      </c>
      <c r="B789" s="926" t="s">
        <v>614</v>
      </c>
      <c r="C789" s="928" t="s">
        <v>13</v>
      </c>
      <c r="D789" s="927">
        <v>45937</v>
      </c>
      <c r="E789" s="928"/>
      <c r="F789" s="928" t="s">
        <v>236</v>
      </c>
      <c r="H789" s="1075" t="s">
        <v>279</v>
      </c>
      <c r="I789" s="930"/>
      <c r="J789" s="930"/>
      <c r="K789" s="929">
        <v>62304</v>
      </c>
      <c r="L789" s="932"/>
      <c r="M789" s="930"/>
      <c r="T789" s="926" t="s">
        <v>6214</v>
      </c>
      <c r="U789" s="931">
        <v>0.54861111111111105</v>
      </c>
      <c r="V789" s="931">
        <v>0.82361111111111107</v>
      </c>
    </row>
    <row r="790" spans="1:22" s="926" customFormat="1" x14ac:dyDescent="0.25">
      <c r="A790" s="925" t="s">
        <v>7077</v>
      </c>
      <c r="B790" s="926" t="s">
        <v>572</v>
      </c>
      <c r="C790" s="928" t="s">
        <v>4218</v>
      </c>
      <c r="D790" s="927">
        <v>45938</v>
      </c>
      <c r="E790" s="928"/>
      <c r="F790" s="928" t="s">
        <v>207</v>
      </c>
      <c r="H790" s="1075" t="s">
        <v>279</v>
      </c>
      <c r="I790" s="930"/>
      <c r="J790" s="930"/>
      <c r="K790" s="929"/>
      <c r="L790" s="932">
        <v>9440</v>
      </c>
      <c r="M790" s="930"/>
      <c r="T790" s="926" t="s">
        <v>5989</v>
      </c>
      <c r="U790" s="931">
        <v>0.26111111111111113</v>
      </c>
      <c r="V790" s="931">
        <v>0.58333333333333337</v>
      </c>
    </row>
    <row r="791" spans="1:22" s="926" customFormat="1" x14ac:dyDescent="0.25">
      <c r="A791" s="925" t="s">
        <v>7077</v>
      </c>
      <c r="B791" s="926" t="s">
        <v>614</v>
      </c>
      <c r="C791" s="928" t="s">
        <v>410</v>
      </c>
      <c r="D791" s="927">
        <v>45938</v>
      </c>
      <c r="F791" s="928" t="s">
        <v>113</v>
      </c>
      <c r="H791" s="1075" t="s">
        <v>279</v>
      </c>
      <c r="I791" s="930"/>
      <c r="J791" s="930"/>
      <c r="K791" s="929">
        <v>40062</v>
      </c>
      <c r="L791" s="932"/>
      <c r="M791" s="930"/>
      <c r="T791" s="926" t="s">
        <v>5131</v>
      </c>
      <c r="U791" s="931">
        <v>0.35000000000000003</v>
      </c>
      <c r="V791" s="931">
        <v>0.49583333333333335</v>
      </c>
    </row>
    <row r="792" spans="1:22" s="926" customFormat="1" x14ac:dyDescent="0.25">
      <c r="A792" s="925" t="s">
        <v>7077</v>
      </c>
      <c r="B792" s="926" t="s">
        <v>875</v>
      </c>
      <c r="C792" s="928" t="s">
        <v>13</v>
      </c>
      <c r="D792" s="927">
        <v>45938</v>
      </c>
      <c r="E792" s="928"/>
      <c r="F792" s="928" t="s">
        <v>2036</v>
      </c>
      <c r="H792" s="1075" t="s">
        <v>279</v>
      </c>
      <c r="I792" s="930"/>
      <c r="J792" s="930"/>
      <c r="K792" s="929">
        <v>26904</v>
      </c>
      <c r="L792" s="932"/>
      <c r="M792" s="930"/>
      <c r="T792" s="926" t="s">
        <v>7078</v>
      </c>
      <c r="U792" s="931">
        <v>0.38750000000000001</v>
      </c>
      <c r="V792" s="931">
        <v>0.52777777777777779</v>
      </c>
    </row>
    <row r="793" spans="1:22" s="926" customFormat="1" x14ac:dyDescent="0.25">
      <c r="A793" s="925" t="s">
        <v>7079</v>
      </c>
      <c r="B793" s="926" t="s">
        <v>2407</v>
      </c>
      <c r="C793" s="928" t="s">
        <v>4218</v>
      </c>
      <c r="D793" s="927">
        <v>45939</v>
      </c>
      <c r="E793" s="928"/>
      <c r="F793" s="928" t="s">
        <v>207</v>
      </c>
      <c r="H793" s="1075" t="s">
        <v>279</v>
      </c>
      <c r="I793" s="930"/>
      <c r="J793" s="930"/>
      <c r="K793" s="929"/>
      <c r="L793" s="932">
        <v>9440</v>
      </c>
      <c r="M793" s="930"/>
      <c r="T793" s="926" t="s">
        <v>6147</v>
      </c>
      <c r="U793" s="931">
        <v>0.29652777777777778</v>
      </c>
      <c r="V793" s="931">
        <v>0.51388888888888895</v>
      </c>
    </row>
    <row r="794" spans="1:22" s="926" customFormat="1" x14ac:dyDescent="0.25">
      <c r="A794" s="925" t="s">
        <v>7079</v>
      </c>
      <c r="B794" s="926" t="s">
        <v>930</v>
      </c>
      <c r="C794" s="928" t="s">
        <v>410</v>
      </c>
      <c r="D794" s="927">
        <v>45939</v>
      </c>
      <c r="E794" s="928"/>
      <c r="F794" s="928" t="s">
        <v>295</v>
      </c>
      <c r="H794" s="1075" t="s">
        <v>279</v>
      </c>
      <c r="I794" s="930"/>
      <c r="J794" s="930"/>
      <c r="K794" s="929">
        <v>43450</v>
      </c>
      <c r="L794" s="932"/>
      <c r="M794" s="930"/>
      <c r="T794" s="926" t="s">
        <v>4396</v>
      </c>
      <c r="U794" s="931">
        <v>0.31180555555555556</v>
      </c>
      <c r="V794" s="931">
        <v>0.62083333333333335</v>
      </c>
    </row>
    <row r="795" spans="1:22" s="926" customFormat="1" x14ac:dyDescent="0.25">
      <c r="A795" s="925" t="s">
        <v>7079</v>
      </c>
      <c r="B795" s="926" t="s">
        <v>930</v>
      </c>
      <c r="C795" s="928" t="s">
        <v>13</v>
      </c>
      <c r="D795" s="927">
        <v>45939</v>
      </c>
      <c r="E795" s="928"/>
      <c r="F795" s="928" t="s">
        <v>294</v>
      </c>
      <c r="H795" s="1075" t="s">
        <v>279</v>
      </c>
      <c r="I795" s="930"/>
      <c r="J795" s="930"/>
      <c r="K795" s="929">
        <v>33182</v>
      </c>
      <c r="L795" s="932"/>
      <c r="M795" s="930"/>
      <c r="T795" s="926" t="s">
        <v>7078</v>
      </c>
      <c r="U795" s="931">
        <v>0.3520833333333333</v>
      </c>
      <c r="V795" s="931">
        <v>0.54722222222222217</v>
      </c>
    </row>
    <row r="796" spans="1:22" s="926" customFormat="1" x14ac:dyDescent="0.25">
      <c r="A796" s="925" t="s">
        <v>7079</v>
      </c>
      <c r="B796" s="926" t="s">
        <v>614</v>
      </c>
      <c r="C796" s="928" t="s">
        <v>13</v>
      </c>
      <c r="D796" s="927">
        <v>45939</v>
      </c>
      <c r="E796" s="928"/>
      <c r="F796" s="928" t="s">
        <v>2353</v>
      </c>
      <c r="H796" s="1075" t="s">
        <v>279</v>
      </c>
      <c r="I796" s="930"/>
      <c r="J796" s="930"/>
      <c r="K796" s="929">
        <v>46020</v>
      </c>
      <c r="L796" s="930"/>
      <c r="M796" s="930"/>
      <c r="T796" s="926" t="s">
        <v>5989</v>
      </c>
      <c r="U796" s="931">
        <v>0.73611111111111116</v>
      </c>
      <c r="V796" s="931">
        <v>0.94652777777777775</v>
      </c>
    </row>
    <row r="797" spans="1:22" s="926" customFormat="1" x14ac:dyDescent="0.25">
      <c r="A797" s="925">
        <v>10102025</v>
      </c>
      <c r="B797" s="926" t="s">
        <v>610</v>
      </c>
      <c r="C797" s="928" t="s">
        <v>410</v>
      </c>
      <c r="D797" s="927">
        <v>45940</v>
      </c>
      <c r="E797" s="928"/>
      <c r="F797" s="928" t="s">
        <v>106</v>
      </c>
      <c r="H797" s="1075" t="s">
        <v>279</v>
      </c>
      <c r="I797" s="930"/>
      <c r="J797" s="930"/>
      <c r="K797" s="929">
        <v>29770</v>
      </c>
      <c r="L797" s="930"/>
      <c r="M797" s="930"/>
      <c r="T797" s="926" t="s">
        <v>5131</v>
      </c>
      <c r="U797" s="931">
        <v>0.27708333333333335</v>
      </c>
      <c r="V797" s="931">
        <v>0.43124999999999997</v>
      </c>
    </row>
    <row r="798" spans="1:22" s="926" customFormat="1" x14ac:dyDescent="0.25">
      <c r="A798" s="925">
        <v>10102025</v>
      </c>
      <c r="B798" s="926" t="s">
        <v>875</v>
      </c>
      <c r="C798" s="928" t="s">
        <v>13</v>
      </c>
      <c r="D798" s="927">
        <v>45940</v>
      </c>
      <c r="E798" s="928"/>
      <c r="F798" s="928" t="s">
        <v>2036</v>
      </c>
      <c r="H798" s="1075" t="s">
        <v>279</v>
      </c>
      <c r="I798" s="930"/>
      <c r="J798" s="930"/>
      <c r="K798" s="929">
        <v>26904</v>
      </c>
      <c r="L798" s="930"/>
      <c r="M798" s="930"/>
      <c r="T798" s="926" t="s">
        <v>7078</v>
      </c>
      <c r="U798" s="931">
        <v>0.38263888888888892</v>
      </c>
      <c r="V798" s="931">
        <v>0.52013888888888882</v>
      </c>
    </row>
    <row r="799" spans="1:22" s="120" customFormat="1" x14ac:dyDescent="0.25">
      <c r="A799" s="595">
        <v>11102025</v>
      </c>
      <c r="B799" s="120" t="s">
        <v>6109</v>
      </c>
      <c r="C799" s="334" t="s">
        <v>4218</v>
      </c>
      <c r="D799" s="427">
        <v>45941</v>
      </c>
      <c r="E799" s="334"/>
      <c r="F799" s="334" t="s">
        <v>207</v>
      </c>
      <c r="H799" s="1211" t="s">
        <v>279</v>
      </c>
      <c r="I799" s="150"/>
      <c r="J799" s="150"/>
      <c r="K799" s="335"/>
      <c r="L799" s="150">
        <v>9500</v>
      </c>
      <c r="M799" s="150">
        <f>+L799</f>
        <v>9500</v>
      </c>
      <c r="T799" s="120" t="s">
        <v>4396</v>
      </c>
      <c r="U799" s="597">
        <v>0.26458333333333334</v>
      </c>
      <c r="V799" s="597">
        <v>0.48333333333333334</v>
      </c>
    </row>
    <row r="800" spans="1:22" s="926" customFormat="1" x14ac:dyDescent="0.25">
      <c r="A800" s="925">
        <v>11102025</v>
      </c>
      <c r="B800" s="926" t="s">
        <v>875</v>
      </c>
      <c r="C800" s="928" t="s">
        <v>4218</v>
      </c>
      <c r="D800" s="927">
        <v>45941</v>
      </c>
      <c r="E800" s="928"/>
      <c r="F800" s="928" t="s">
        <v>2036</v>
      </c>
      <c r="H800" s="1075" t="s">
        <v>279</v>
      </c>
      <c r="I800" s="930"/>
      <c r="J800" s="930"/>
      <c r="K800" s="929">
        <v>26904</v>
      </c>
      <c r="L800" s="930"/>
      <c r="M800" s="930"/>
      <c r="T800" s="926" t="s">
        <v>4396</v>
      </c>
      <c r="U800" s="931">
        <v>0.54791666666666672</v>
      </c>
      <c r="V800" s="931">
        <v>0.69930555555555562</v>
      </c>
    </row>
    <row r="801" spans="1:22" s="33" customFormat="1" x14ac:dyDescent="0.25">
      <c r="A801" s="547">
        <v>12102025</v>
      </c>
      <c r="B801" s="33" t="s">
        <v>7085</v>
      </c>
      <c r="C801" s="306" t="s">
        <v>13</v>
      </c>
      <c r="D801" s="548">
        <v>45942</v>
      </c>
      <c r="E801" s="306"/>
      <c r="F801" s="306" t="s">
        <v>285</v>
      </c>
      <c r="H801" s="1109" t="s">
        <v>279</v>
      </c>
      <c r="I801" s="279"/>
      <c r="J801" s="279"/>
      <c r="K801" s="312">
        <v>42800</v>
      </c>
      <c r="L801" s="279"/>
      <c r="M801" s="279"/>
      <c r="N801" s="5"/>
      <c r="O801" s="5"/>
      <c r="T801" s="33" t="s">
        <v>3765</v>
      </c>
      <c r="U801" s="550">
        <v>0.31944444444444448</v>
      </c>
      <c r="V801" s="550">
        <v>0.67986111111111114</v>
      </c>
    </row>
    <row r="802" spans="1:22" s="926" customFormat="1" x14ac:dyDescent="0.25">
      <c r="A802" s="925">
        <v>12102025</v>
      </c>
      <c r="B802" s="926" t="s">
        <v>614</v>
      </c>
      <c r="C802" s="928" t="s">
        <v>4218</v>
      </c>
      <c r="D802" s="927">
        <v>45942</v>
      </c>
      <c r="E802" s="928"/>
      <c r="F802" s="928" t="s">
        <v>68</v>
      </c>
      <c r="H802" s="1075" t="s">
        <v>279</v>
      </c>
      <c r="I802" s="930"/>
      <c r="J802" s="930"/>
      <c r="K802" s="929">
        <v>49843</v>
      </c>
      <c r="L802" s="930"/>
      <c r="M802" s="930"/>
      <c r="T802" s="926" t="s">
        <v>4867</v>
      </c>
      <c r="U802" s="931">
        <v>0.38611111111111113</v>
      </c>
      <c r="V802" s="931">
        <v>0.65416666666666667</v>
      </c>
    </row>
    <row r="803" spans="1:22" s="926" customFormat="1" x14ac:dyDescent="0.25">
      <c r="A803" s="925">
        <v>12102025</v>
      </c>
      <c r="B803" s="926" t="s">
        <v>614</v>
      </c>
      <c r="C803" s="928" t="s">
        <v>410</v>
      </c>
      <c r="D803" s="927">
        <v>45942</v>
      </c>
      <c r="E803" s="928"/>
      <c r="F803" s="928" t="s">
        <v>425</v>
      </c>
      <c r="H803" s="1075" t="s">
        <v>279</v>
      </c>
      <c r="I803" s="930"/>
      <c r="J803" s="930"/>
      <c r="K803" s="929">
        <v>39459.199999999997</v>
      </c>
      <c r="L803" s="930"/>
      <c r="M803" s="930"/>
      <c r="T803" s="926" t="s">
        <v>4396</v>
      </c>
      <c r="U803" s="931">
        <v>0.41041666666666665</v>
      </c>
      <c r="V803" s="931">
        <v>0.58888888888888891</v>
      </c>
    </row>
    <row r="804" spans="1:22" s="926" customFormat="1" x14ac:dyDescent="0.25">
      <c r="A804" s="925">
        <v>13102025</v>
      </c>
      <c r="B804" s="926" t="s">
        <v>1720</v>
      </c>
      <c r="C804" s="928" t="s">
        <v>13</v>
      </c>
      <c r="D804" s="927">
        <v>45943</v>
      </c>
      <c r="E804" s="928"/>
      <c r="F804" s="928" t="s">
        <v>545</v>
      </c>
      <c r="H804" s="1075" t="s">
        <v>279</v>
      </c>
      <c r="I804" s="930"/>
      <c r="J804" s="930"/>
      <c r="K804" s="929">
        <v>31500</v>
      </c>
      <c r="L804" s="930"/>
      <c r="M804" s="930"/>
      <c r="T804" s="926" t="s">
        <v>7060</v>
      </c>
      <c r="U804" s="931">
        <v>0.23611111111111113</v>
      </c>
      <c r="V804" s="931">
        <v>0.42499999999999999</v>
      </c>
    </row>
    <row r="805" spans="1:22" s="926" customFormat="1" x14ac:dyDescent="0.25">
      <c r="A805" s="925">
        <v>14102025</v>
      </c>
      <c r="B805" s="926" t="s">
        <v>7063</v>
      </c>
      <c r="C805" s="928" t="s">
        <v>4218</v>
      </c>
      <c r="D805" s="927">
        <v>45944</v>
      </c>
      <c r="E805" s="928"/>
      <c r="F805" s="928" t="s">
        <v>143</v>
      </c>
      <c r="H805" s="1075" t="s">
        <v>279</v>
      </c>
      <c r="I805" s="930"/>
      <c r="J805" s="930"/>
      <c r="K805" s="929">
        <v>36675</v>
      </c>
      <c r="L805" s="930"/>
      <c r="M805" s="930"/>
      <c r="T805" s="926" t="s">
        <v>7092</v>
      </c>
      <c r="U805" s="931">
        <v>0.20416666666666669</v>
      </c>
      <c r="V805" s="931">
        <v>0.38541666666666669</v>
      </c>
    </row>
    <row r="806" spans="1:22" s="926" customFormat="1" hidden="1" x14ac:dyDescent="0.25">
      <c r="A806" s="925">
        <v>14102025</v>
      </c>
      <c r="B806" s="926" t="s">
        <v>1720</v>
      </c>
      <c r="C806" s="928" t="s">
        <v>13</v>
      </c>
      <c r="D806" s="927">
        <v>45944</v>
      </c>
      <c r="E806" s="928"/>
      <c r="F806" s="928" t="s">
        <v>545</v>
      </c>
      <c r="H806" s="1075" t="s">
        <v>277</v>
      </c>
      <c r="I806" s="930"/>
      <c r="J806" s="930"/>
      <c r="K806" s="929">
        <v>24320</v>
      </c>
      <c r="L806" s="930"/>
      <c r="M806" s="930"/>
      <c r="T806" s="926" t="s">
        <v>7105</v>
      </c>
      <c r="U806" s="931">
        <v>0.8340277777777777</v>
      </c>
      <c r="V806" s="931">
        <v>0.95624999999999993</v>
      </c>
    </row>
    <row r="807" spans="1:22" s="926" customFormat="1" x14ac:dyDescent="0.25">
      <c r="A807" s="925">
        <v>14102025</v>
      </c>
      <c r="B807" s="926" t="s">
        <v>608</v>
      </c>
      <c r="C807" s="928" t="s">
        <v>4218</v>
      </c>
      <c r="D807" s="927">
        <v>45944</v>
      </c>
      <c r="E807" s="928"/>
      <c r="F807" s="928" t="s">
        <v>236</v>
      </c>
      <c r="H807" s="1075" t="s">
        <v>279</v>
      </c>
      <c r="I807" s="930"/>
      <c r="J807" s="930"/>
      <c r="K807" s="929">
        <v>58231</v>
      </c>
      <c r="L807" s="930"/>
      <c r="M807" s="930"/>
      <c r="T807" s="926" t="s">
        <v>4138</v>
      </c>
      <c r="U807" s="931">
        <v>0.92083333333333339</v>
      </c>
      <c r="V807" s="931">
        <v>0.1875</v>
      </c>
    </row>
    <row r="808" spans="1:22" s="926" customFormat="1" x14ac:dyDescent="0.25">
      <c r="A808" s="925">
        <v>15102025</v>
      </c>
      <c r="B808" s="926" t="s">
        <v>572</v>
      </c>
      <c r="C808" s="928" t="s">
        <v>410</v>
      </c>
      <c r="D808" s="927">
        <v>45945</v>
      </c>
      <c r="E808" s="928"/>
      <c r="F808" s="928" t="s">
        <v>207</v>
      </c>
      <c r="H808" s="1075" t="s">
        <v>279</v>
      </c>
      <c r="I808" s="930"/>
      <c r="J808" s="930"/>
      <c r="K808" s="929"/>
      <c r="L808" s="930">
        <v>9340</v>
      </c>
      <c r="M808" s="930"/>
      <c r="T808" s="926" t="s">
        <v>6067</v>
      </c>
      <c r="U808" s="931">
        <v>0.27569444444444446</v>
      </c>
      <c r="V808" s="931">
        <v>0.46736111111111112</v>
      </c>
    </row>
    <row r="809" spans="1:22" s="926" customFormat="1" x14ac:dyDescent="0.25">
      <c r="A809" s="925">
        <v>15102025</v>
      </c>
      <c r="B809" s="926" t="s">
        <v>610</v>
      </c>
      <c r="C809" s="928" t="s">
        <v>4218</v>
      </c>
      <c r="D809" s="927">
        <v>45945</v>
      </c>
      <c r="E809" s="928"/>
      <c r="F809" s="928" t="s">
        <v>106</v>
      </c>
      <c r="H809" s="1075" t="s">
        <v>279</v>
      </c>
      <c r="I809" s="930"/>
      <c r="J809" s="930"/>
      <c r="K809" s="929">
        <v>29770</v>
      </c>
      <c r="L809" s="930"/>
      <c r="M809" s="930"/>
      <c r="T809" s="926" t="s">
        <v>7078</v>
      </c>
      <c r="U809" s="931">
        <v>0.63194444444444442</v>
      </c>
      <c r="V809" s="931">
        <v>0.77430555555555547</v>
      </c>
    </row>
    <row r="810" spans="1:22" s="926" customFormat="1" x14ac:dyDescent="0.25">
      <c r="A810" s="925">
        <v>16102025</v>
      </c>
      <c r="B810" s="926" t="s">
        <v>2527</v>
      </c>
      <c r="C810" s="928" t="s">
        <v>4218</v>
      </c>
      <c r="D810" s="927">
        <v>45946</v>
      </c>
      <c r="E810" s="928"/>
      <c r="F810" s="928" t="s">
        <v>285</v>
      </c>
      <c r="H810" s="1075" t="s">
        <v>279</v>
      </c>
      <c r="I810" s="930"/>
      <c r="J810" s="930"/>
      <c r="K810" s="929">
        <v>45428.75</v>
      </c>
      <c r="L810" s="930"/>
      <c r="M810" s="930"/>
      <c r="T810" s="926" t="s">
        <v>6347</v>
      </c>
      <c r="U810" s="931">
        <v>0.29583333333333334</v>
      </c>
      <c r="V810" s="931">
        <v>0.56041666666666667</v>
      </c>
    </row>
    <row r="811" spans="1:22" s="33" customFormat="1" x14ac:dyDescent="0.25">
      <c r="A811" s="547">
        <v>16102025</v>
      </c>
      <c r="B811" s="33" t="s">
        <v>875</v>
      </c>
      <c r="C811" s="306" t="s">
        <v>13</v>
      </c>
      <c r="D811" s="548">
        <v>45946</v>
      </c>
      <c r="E811" s="306"/>
      <c r="F811" s="306" t="s">
        <v>2036</v>
      </c>
      <c r="H811" s="1109" t="s">
        <v>279</v>
      </c>
      <c r="I811" s="279"/>
      <c r="J811" s="279"/>
      <c r="K811" s="312">
        <v>26904</v>
      </c>
      <c r="L811" s="279"/>
      <c r="M811" s="279"/>
      <c r="N811" s="926"/>
      <c r="O811" s="926"/>
      <c r="T811" s="33" t="s">
        <v>6898</v>
      </c>
      <c r="U811" s="550">
        <v>0.36736111111111108</v>
      </c>
      <c r="V811" s="550">
        <v>0.50694444444444442</v>
      </c>
    </row>
    <row r="812" spans="1:22" s="926" customFormat="1" x14ac:dyDescent="0.25">
      <c r="A812" s="925">
        <v>16102025</v>
      </c>
      <c r="B812" s="926" t="s">
        <v>614</v>
      </c>
      <c r="C812" s="928" t="s">
        <v>410</v>
      </c>
      <c r="D812" s="927">
        <v>45946</v>
      </c>
      <c r="E812" s="928"/>
      <c r="F812" s="928" t="s">
        <v>2253</v>
      </c>
      <c r="H812" s="1075" t="s">
        <v>279</v>
      </c>
      <c r="I812" s="930"/>
      <c r="J812" s="930"/>
      <c r="K812" s="929">
        <v>62304</v>
      </c>
      <c r="L812" s="930"/>
      <c r="M812" s="930"/>
      <c r="T812" s="926" t="s">
        <v>6150</v>
      </c>
      <c r="U812" s="931">
        <v>0.55138888888888882</v>
      </c>
      <c r="V812" s="931">
        <v>0.86458333333333337</v>
      </c>
    </row>
    <row r="813" spans="1:22" s="926" customFormat="1" x14ac:dyDescent="0.25">
      <c r="A813" s="925">
        <v>16102025</v>
      </c>
      <c r="B813" s="926" t="s">
        <v>572</v>
      </c>
      <c r="C813" s="928" t="s">
        <v>13</v>
      </c>
      <c r="D813" s="927">
        <v>45946</v>
      </c>
      <c r="E813" s="928"/>
      <c r="F813" s="928" t="s">
        <v>207</v>
      </c>
      <c r="H813" s="1075" t="s">
        <v>279</v>
      </c>
      <c r="I813" s="930"/>
      <c r="J813" s="930"/>
      <c r="K813" s="929"/>
      <c r="L813" s="930">
        <v>9333.0681818181838</v>
      </c>
      <c r="M813" s="930"/>
      <c r="T813" s="926" t="s">
        <v>6898</v>
      </c>
      <c r="U813" s="931">
        <v>0.5805555555555556</v>
      </c>
      <c r="V813" s="931">
        <v>0.75208333333333333</v>
      </c>
    </row>
    <row r="814" spans="1:22" s="926" customFormat="1" x14ac:dyDescent="0.25">
      <c r="A814" s="925">
        <v>16102025</v>
      </c>
      <c r="B814" s="926" t="s">
        <v>930</v>
      </c>
      <c r="C814" s="928" t="s">
        <v>4218</v>
      </c>
      <c r="D814" s="927">
        <v>45946</v>
      </c>
      <c r="E814" s="928"/>
      <c r="F814" s="928" t="s">
        <v>294</v>
      </c>
      <c r="H814" s="1075" t="s">
        <v>279</v>
      </c>
      <c r="I814" s="930"/>
      <c r="J814" s="930"/>
      <c r="K814" s="929">
        <v>33182</v>
      </c>
      <c r="L814" s="930"/>
      <c r="M814" s="930"/>
      <c r="T814" s="926" t="s">
        <v>6151</v>
      </c>
      <c r="U814" s="931">
        <v>0.69374999999999998</v>
      </c>
      <c r="V814" s="931">
        <v>0.89444444444444438</v>
      </c>
    </row>
    <row r="815" spans="1:22" s="926" customFormat="1" x14ac:dyDescent="0.25">
      <c r="A815" s="925">
        <v>17102025</v>
      </c>
      <c r="B815" s="926" t="s">
        <v>614</v>
      </c>
      <c r="C815" s="928" t="s">
        <v>13</v>
      </c>
      <c r="D815" s="927">
        <v>45947</v>
      </c>
      <c r="E815" s="928"/>
      <c r="F815" s="928" t="s">
        <v>563</v>
      </c>
      <c r="H815" s="1075" t="s">
        <v>279</v>
      </c>
      <c r="I815" s="930"/>
      <c r="J815" s="930"/>
      <c r="K815" s="929">
        <v>33228.199999999997</v>
      </c>
      <c r="L815" s="930"/>
      <c r="M815" s="930"/>
      <c r="T815" s="926" t="s">
        <v>6347</v>
      </c>
      <c r="U815" s="931">
        <v>0.33680555555555558</v>
      </c>
      <c r="V815" s="931">
        <v>0.52361111111111114</v>
      </c>
    </row>
    <row r="816" spans="1:22" s="926" customFormat="1" x14ac:dyDescent="0.25">
      <c r="A816" s="925">
        <v>17102025</v>
      </c>
      <c r="B816" s="926" t="s">
        <v>2129</v>
      </c>
      <c r="C816" s="928" t="s">
        <v>4218</v>
      </c>
      <c r="D816" s="927">
        <v>45947</v>
      </c>
      <c r="E816" s="928"/>
      <c r="F816" s="928" t="s">
        <v>236</v>
      </c>
      <c r="H816" s="1075" t="s">
        <v>279</v>
      </c>
      <c r="I816" s="930"/>
      <c r="J816" s="930"/>
      <c r="K816" s="929">
        <v>62540</v>
      </c>
      <c r="L816" s="930"/>
      <c r="M816" s="930"/>
      <c r="T816" s="926" t="s">
        <v>7092</v>
      </c>
      <c r="U816" s="931">
        <v>9.4499999999999993</v>
      </c>
      <c r="V816" s="931">
        <v>0.7006944444444444</v>
      </c>
    </row>
    <row r="817" spans="1:23" s="926" customFormat="1" hidden="1" x14ac:dyDescent="0.25">
      <c r="A817" s="925">
        <v>17102025</v>
      </c>
      <c r="B817" s="926" t="s">
        <v>930</v>
      </c>
      <c r="C817" s="928" t="s">
        <v>13</v>
      </c>
      <c r="D817" s="927">
        <v>45947</v>
      </c>
      <c r="E817" s="928"/>
      <c r="F817" s="928" t="s">
        <v>294</v>
      </c>
      <c r="H817" s="1075" t="s">
        <v>277</v>
      </c>
      <c r="I817" s="930"/>
      <c r="J817" s="930"/>
      <c r="K817" s="929">
        <v>24886</v>
      </c>
      <c r="L817" s="930"/>
      <c r="M817" s="930"/>
      <c r="T817" s="926" t="s">
        <v>6347</v>
      </c>
      <c r="U817" s="931">
        <v>0.56527777777777777</v>
      </c>
      <c r="V817" s="931">
        <v>0.76041666666666663</v>
      </c>
    </row>
    <row r="818" spans="1:23" s="33" customFormat="1" x14ac:dyDescent="0.25">
      <c r="A818" s="547">
        <v>17102025</v>
      </c>
      <c r="B818" s="33" t="s">
        <v>7119</v>
      </c>
      <c r="C818" s="306" t="s">
        <v>13</v>
      </c>
      <c r="D818" s="599">
        <v>45947</v>
      </c>
      <c r="E818" s="308"/>
      <c r="F818" s="308" t="s">
        <v>143</v>
      </c>
      <c r="G818" s="283"/>
      <c r="H818" s="1109" t="s">
        <v>279</v>
      </c>
      <c r="I818" s="279"/>
      <c r="J818" s="279"/>
      <c r="K818" s="312">
        <v>37252</v>
      </c>
      <c r="L818" s="279"/>
      <c r="M818" s="279"/>
      <c r="T818" s="33" t="s">
        <v>4297</v>
      </c>
      <c r="U818" s="550">
        <v>0.84444444444444444</v>
      </c>
      <c r="V818" s="550">
        <v>8.4722222222222213E-2</v>
      </c>
    </row>
    <row r="819" spans="1:23" s="926" customFormat="1" hidden="1" x14ac:dyDescent="0.25">
      <c r="A819" s="925">
        <v>17102025</v>
      </c>
      <c r="B819" s="926" t="s">
        <v>1720</v>
      </c>
      <c r="C819" s="928" t="s">
        <v>4218</v>
      </c>
      <c r="D819" s="927">
        <v>45947</v>
      </c>
      <c r="E819" s="928"/>
      <c r="F819" s="928" t="s">
        <v>545</v>
      </c>
      <c r="H819" s="1075" t="s">
        <v>277</v>
      </c>
      <c r="I819" s="930"/>
      <c r="J819" s="930"/>
      <c r="K819" s="929">
        <v>24320</v>
      </c>
      <c r="L819" s="930"/>
      <c r="M819" s="930"/>
      <c r="T819" s="926" t="s">
        <v>6898</v>
      </c>
      <c r="U819" s="931">
        <v>0.76527777777777783</v>
      </c>
      <c r="V819" s="931">
        <v>0.93472222222222223</v>
      </c>
    </row>
    <row r="820" spans="1:23" s="33" customFormat="1" x14ac:dyDescent="0.25">
      <c r="A820" s="547">
        <v>18102025</v>
      </c>
      <c r="B820" s="33" t="s">
        <v>875</v>
      </c>
      <c r="C820" s="306" t="s">
        <v>13</v>
      </c>
      <c r="D820" s="548">
        <v>45948</v>
      </c>
      <c r="E820" s="306"/>
      <c r="F820" s="306" t="s">
        <v>2036</v>
      </c>
      <c r="H820" s="1109" t="s">
        <v>279</v>
      </c>
      <c r="I820" s="279"/>
      <c r="J820" s="279"/>
      <c r="K820" s="312">
        <v>26904</v>
      </c>
      <c r="L820" s="279"/>
      <c r="M820" s="279"/>
      <c r="T820" s="33" t="s">
        <v>7122</v>
      </c>
      <c r="U820" s="550">
        <v>0.37777777777777777</v>
      </c>
      <c r="V820" s="550">
        <v>0.50624999999999998</v>
      </c>
    </row>
    <row r="821" spans="1:23" s="926" customFormat="1" x14ac:dyDescent="0.25">
      <c r="A821" s="925">
        <v>18102025</v>
      </c>
      <c r="B821" s="926" t="s">
        <v>610</v>
      </c>
      <c r="C821" s="928" t="s">
        <v>13</v>
      </c>
      <c r="D821" s="927">
        <v>45948</v>
      </c>
      <c r="E821" s="928"/>
      <c r="F821" s="928" t="s">
        <v>106</v>
      </c>
      <c r="H821" s="1075" t="s">
        <v>279</v>
      </c>
      <c r="I821" s="930"/>
      <c r="J821" s="930"/>
      <c r="K821" s="929">
        <v>29770</v>
      </c>
      <c r="L821" s="930"/>
      <c r="M821" s="930"/>
      <c r="T821" s="926" t="s">
        <v>7122</v>
      </c>
      <c r="U821" s="931">
        <v>0.61388888888888882</v>
      </c>
      <c r="V821" s="931">
        <v>0.7597222222222223</v>
      </c>
    </row>
    <row r="822" spans="1:23" s="926" customFormat="1" x14ac:dyDescent="0.25">
      <c r="A822" s="925">
        <v>18102025</v>
      </c>
      <c r="B822" s="926" t="s">
        <v>608</v>
      </c>
      <c r="C822" s="928" t="s">
        <v>410</v>
      </c>
      <c r="D822" s="927">
        <v>45948</v>
      </c>
      <c r="E822" s="928"/>
      <c r="F822" s="928" t="s">
        <v>236</v>
      </c>
      <c r="H822" s="1075" t="s">
        <v>279</v>
      </c>
      <c r="I822" s="930"/>
      <c r="J822" s="930"/>
      <c r="K822" s="929">
        <v>58231</v>
      </c>
      <c r="L822" s="930"/>
      <c r="M822" s="930"/>
      <c r="T822" s="926" t="s">
        <v>5131</v>
      </c>
      <c r="U822" s="931">
        <v>0.85763888888888884</v>
      </c>
      <c r="V822" s="931">
        <v>0.11944444444444445</v>
      </c>
    </row>
    <row r="823" spans="1:23" s="926" customFormat="1" x14ac:dyDescent="0.25">
      <c r="A823" s="925">
        <v>18102025</v>
      </c>
      <c r="B823" s="926" t="s">
        <v>614</v>
      </c>
      <c r="C823" s="928" t="s">
        <v>4218</v>
      </c>
      <c r="D823" s="927">
        <v>45948</v>
      </c>
      <c r="E823" s="928"/>
      <c r="F823" s="928" t="s">
        <v>68</v>
      </c>
      <c r="H823" s="1075" t="s">
        <v>279</v>
      </c>
      <c r="I823" s="930"/>
      <c r="J823" s="930"/>
      <c r="K823" s="929">
        <v>49843</v>
      </c>
      <c r="L823" s="930"/>
      <c r="M823" s="930"/>
      <c r="T823" s="926" t="s">
        <v>6898</v>
      </c>
      <c r="U823" s="931">
        <v>0.72638888888888886</v>
      </c>
      <c r="V823" s="931">
        <v>0.9506944444444444</v>
      </c>
    </row>
    <row r="824" spans="1:23" s="926" customFormat="1" x14ac:dyDescent="0.25">
      <c r="A824" s="925">
        <v>18102025</v>
      </c>
      <c r="B824" s="926" t="s">
        <v>1720</v>
      </c>
      <c r="C824" s="928" t="s">
        <v>13</v>
      </c>
      <c r="D824" s="927">
        <v>45948</v>
      </c>
      <c r="E824" s="928"/>
      <c r="F824" s="928" t="s">
        <v>545</v>
      </c>
      <c r="H824" s="1075" t="s">
        <v>279</v>
      </c>
      <c r="I824" s="930"/>
      <c r="J824" s="930"/>
      <c r="K824" s="930">
        <v>31500</v>
      </c>
      <c r="L824" s="930"/>
      <c r="M824" s="930"/>
      <c r="T824" s="926" t="s">
        <v>6349</v>
      </c>
      <c r="U824" s="931">
        <v>0.9243055555555556</v>
      </c>
      <c r="V824" s="931">
        <v>0.125</v>
      </c>
    </row>
    <row r="825" spans="1:23" s="926" customFormat="1" x14ac:dyDescent="0.25">
      <c r="A825" s="925">
        <v>19102025</v>
      </c>
      <c r="B825" s="926" t="s">
        <v>614</v>
      </c>
      <c r="C825" s="928" t="s">
        <v>13</v>
      </c>
      <c r="D825" s="927">
        <v>45949</v>
      </c>
      <c r="E825" s="928"/>
      <c r="F825" s="928" t="s">
        <v>285</v>
      </c>
      <c r="H825" s="1075" t="s">
        <v>279</v>
      </c>
      <c r="I825" s="930"/>
      <c r="J825" s="930"/>
      <c r="K825" s="929">
        <v>51920</v>
      </c>
      <c r="L825" s="930"/>
      <c r="M825" s="930"/>
      <c r="T825" s="926" t="s">
        <v>7123</v>
      </c>
      <c r="U825" s="931">
        <v>0.5756944444444444</v>
      </c>
      <c r="V825" s="931">
        <v>0.81319444444444444</v>
      </c>
    </row>
    <row r="826" spans="1:23" s="418" customFormat="1" x14ac:dyDescent="0.25">
      <c r="A826" s="624">
        <v>19102025</v>
      </c>
      <c r="B826" s="418" t="s">
        <v>2129</v>
      </c>
      <c r="C826" s="420" t="s">
        <v>4218</v>
      </c>
      <c r="D826" s="602">
        <v>45949</v>
      </c>
      <c r="E826" s="420" t="s">
        <v>7782</v>
      </c>
      <c r="F826" s="420" t="s">
        <v>236</v>
      </c>
      <c r="H826" s="1147" t="s">
        <v>279</v>
      </c>
      <c r="I826" s="422"/>
      <c r="J826" s="422"/>
      <c r="K826" s="422">
        <v>62540</v>
      </c>
      <c r="L826" s="422"/>
      <c r="M826" s="422"/>
      <c r="T826" s="418" t="s">
        <v>5989</v>
      </c>
      <c r="U826" s="604">
        <v>0.50486111111111109</v>
      </c>
      <c r="V826" s="604">
        <v>0.78055555555555556</v>
      </c>
    </row>
    <row r="827" spans="1:23" s="5" customFormat="1" x14ac:dyDescent="0.25">
      <c r="A827" s="495">
        <v>21102025</v>
      </c>
      <c r="B827" s="5" t="s">
        <v>2469</v>
      </c>
      <c r="C827" s="127" t="s">
        <v>410</v>
      </c>
      <c r="D827" s="494">
        <v>45951</v>
      </c>
      <c r="E827" s="127"/>
      <c r="F827" s="127" t="s">
        <v>294</v>
      </c>
      <c r="H827" s="1073" t="s">
        <v>279</v>
      </c>
      <c r="I827" s="89"/>
      <c r="J827" s="89"/>
      <c r="K827" s="296">
        <v>36350</v>
      </c>
      <c r="L827" s="89"/>
      <c r="M827" s="89"/>
      <c r="T827" s="5" t="s">
        <v>6294</v>
      </c>
      <c r="U827" s="496">
        <v>0.29791666666666666</v>
      </c>
      <c r="V827" s="496">
        <v>0.49374999999999997</v>
      </c>
    </row>
    <row r="828" spans="1:23" s="926" customFormat="1" x14ac:dyDescent="0.25">
      <c r="A828" s="925">
        <v>21102025</v>
      </c>
      <c r="B828" s="926" t="s">
        <v>859</v>
      </c>
      <c r="C828" s="928" t="s">
        <v>13</v>
      </c>
      <c r="D828" s="927">
        <v>45951</v>
      </c>
      <c r="E828" s="928"/>
      <c r="F828" s="928" t="s">
        <v>5326</v>
      </c>
      <c r="H828" s="1075" t="s">
        <v>279</v>
      </c>
      <c r="I828" s="930"/>
      <c r="J828" s="930"/>
      <c r="K828" s="929">
        <v>34500</v>
      </c>
      <c r="L828" s="930"/>
      <c r="M828" s="930"/>
      <c r="T828" s="926" t="s">
        <v>7105</v>
      </c>
      <c r="U828" s="931">
        <v>0.3430555555555555</v>
      </c>
      <c r="V828" s="931">
        <v>0.55138888888888882</v>
      </c>
    </row>
    <row r="829" spans="1:23" s="926" customFormat="1" x14ac:dyDescent="0.25">
      <c r="A829" s="925">
        <v>21102025</v>
      </c>
      <c r="B829" s="926" t="s">
        <v>608</v>
      </c>
      <c r="C829" s="928" t="s">
        <v>13</v>
      </c>
      <c r="D829" s="927">
        <v>45951</v>
      </c>
      <c r="E829" s="928"/>
      <c r="F829" s="928" t="s">
        <v>236</v>
      </c>
      <c r="H829" s="1075" t="s">
        <v>279</v>
      </c>
      <c r="I829" s="930"/>
      <c r="J829" s="930"/>
      <c r="K829" s="929">
        <v>58231</v>
      </c>
      <c r="L829" s="930"/>
      <c r="M829" s="930"/>
      <c r="T829" s="926" t="s">
        <v>7122</v>
      </c>
      <c r="U829" s="931">
        <v>0.71458333333333324</v>
      </c>
      <c r="V829" s="931">
        <v>0.98611111111111116</v>
      </c>
    </row>
    <row r="830" spans="1:23" s="926" customFormat="1" ht="14.1" customHeight="1" x14ac:dyDescent="0.25">
      <c r="A830" s="925">
        <v>22102025</v>
      </c>
      <c r="B830" s="926" t="s">
        <v>7137</v>
      </c>
      <c r="C830" s="928" t="s">
        <v>13</v>
      </c>
      <c r="D830" s="927">
        <v>45952</v>
      </c>
      <c r="E830" s="928"/>
      <c r="F830" s="928" t="s">
        <v>207</v>
      </c>
      <c r="H830" s="1075" t="s">
        <v>279</v>
      </c>
      <c r="I830" s="930"/>
      <c r="J830" s="930"/>
      <c r="K830" s="929"/>
      <c r="L830" s="930">
        <v>9440</v>
      </c>
      <c r="M830" s="930"/>
      <c r="T830" s="926" t="s">
        <v>4140</v>
      </c>
      <c r="U830" s="931">
        <v>0.35625000000000001</v>
      </c>
      <c r="V830" s="931">
        <v>0.57916666666666672</v>
      </c>
      <c r="W830" s="998" t="s">
        <v>7121</v>
      </c>
    </row>
    <row r="831" spans="1:23" s="926" customFormat="1" hidden="1" x14ac:dyDescent="0.25">
      <c r="A831" s="925">
        <v>22102025</v>
      </c>
      <c r="B831" s="926" t="s">
        <v>930</v>
      </c>
      <c r="C831" s="928" t="s">
        <v>13</v>
      </c>
      <c r="D831" s="927">
        <v>45952</v>
      </c>
      <c r="E831" s="928"/>
      <c r="F831" s="928" t="s">
        <v>294</v>
      </c>
      <c r="H831" s="1075" t="s">
        <v>277</v>
      </c>
      <c r="I831" s="930"/>
      <c r="J831" s="930"/>
      <c r="K831" s="929">
        <v>24886</v>
      </c>
      <c r="L831" s="930"/>
      <c r="M831" s="930"/>
      <c r="T831" s="926" t="s">
        <v>4140</v>
      </c>
      <c r="U831" s="931">
        <v>0.61597222222222225</v>
      </c>
      <c r="V831" s="931">
        <v>0.77708333333333324</v>
      </c>
    </row>
    <row r="832" spans="1:23" s="926" customFormat="1" x14ac:dyDescent="0.25">
      <c r="A832" s="925">
        <v>23102025</v>
      </c>
      <c r="B832" s="926" t="s">
        <v>6109</v>
      </c>
      <c r="C832" s="928" t="s">
        <v>410</v>
      </c>
      <c r="D832" s="927">
        <v>45953</v>
      </c>
      <c r="E832" s="928"/>
      <c r="F832" s="928" t="s">
        <v>207</v>
      </c>
      <c r="H832" s="1075" t="s">
        <v>279</v>
      </c>
      <c r="I832" s="930"/>
      <c r="J832" s="930"/>
      <c r="K832" s="929"/>
      <c r="L832" s="930">
        <v>9500</v>
      </c>
      <c r="M832" s="930"/>
      <c r="T832" s="926" t="s">
        <v>4867</v>
      </c>
      <c r="U832" s="931">
        <v>0.29652777777777778</v>
      </c>
      <c r="V832" s="931">
        <v>0.52500000000000002</v>
      </c>
    </row>
    <row r="833" spans="1:22" s="926" customFormat="1" x14ac:dyDescent="0.25">
      <c r="A833" s="925">
        <v>23102025</v>
      </c>
      <c r="B833" s="926" t="s">
        <v>2407</v>
      </c>
      <c r="C833" s="928" t="s">
        <v>13</v>
      </c>
      <c r="D833" s="927">
        <v>45953</v>
      </c>
      <c r="E833" s="928"/>
      <c r="F833" s="928" t="s">
        <v>207</v>
      </c>
      <c r="H833" s="1075" t="s">
        <v>279</v>
      </c>
      <c r="I833" s="1142"/>
      <c r="J833" s="930"/>
      <c r="K833" s="932"/>
      <c r="L833" s="930">
        <v>9440</v>
      </c>
      <c r="M833" s="930"/>
      <c r="T833" s="926" t="s">
        <v>6294</v>
      </c>
      <c r="U833" s="931">
        <v>0.30138888888888887</v>
      </c>
      <c r="V833" s="931">
        <v>0.53749999999999998</v>
      </c>
    </row>
    <row r="834" spans="1:22" s="926" customFormat="1" hidden="1" x14ac:dyDescent="0.25">
      <c r="A834" s="925">
        <v>24102025</v>
      </c>
      <c r="B834" s="926" t="s">
        <v>1720</v>
      </c>
      <c r="C834" s="928" t="s">
        <v>13</v>
      </c>
      <c r="D834" s="927">
        <v>45954</v>
      </c>
      <c r="E834" s="928"/>
      <c r="F834" s="928" t="s">
        <v>545</v>
      </c>
      <c r="H834" s="926" t="s">
        <v>277</v>
      </c>
      <c r="I834" s="930"/>
      <c r="J834" s="930"/>
      <c r="K834" s="929">
        <v>24320</v>
      </c>
      <c r="L834" s="930"/>
      <c r="M834" s="930"/>
      <c r="T834" s="926" t="s">
        <v>7138</v>
      </c>
      <c r="U834" s="931">
        <v>0.85138888888888886</v>
      </c>
      <c r="V834" s="931">
        <v>0.97916666666666663</v>
      </c>
    </row>
    <row r="835" spans="1:22" s="926" customFormat="1" x14ac:dyDescent="0.25">
      <c r="A835" s="925">
        <v>24102025</v>
      </c>
      <c r="B835" s="926" t="s">
        <v>3880</v>
      </c>
      <c r="C835" s="928" t="s">
        <v>410</v>
      </c>
      <c r="D835" s="927">
        <v>45954</v>
      </c>
      <c r="E835" s="928"/>
      <c r="F835" s="928" t="s">
        <v>545</v>
      </c>
      <c r="G835" s="930"/>
      <c r="H835" s="1075" t="s">
        <v>279</v>
      </c>
      <c r="I835" s="1142"/>
      <c r="J835" s="930"/>
      <c r="K835" s="930">
        <v>32284.400000000001</v>
      </c>
      <c r="M835" s="930"/>
      <c r="T835" s="926" t="s">
        <v>6349</v>
      </c>
      <c r="U835" s="931">
        <v>0.9458333333333333</v>
      </c>
      <c r="V835" s="931">
        <v>0.13055555555555556</v>
      </c>
    </row>
    <row r="836" spans="1:22" s="926" customFormat="1" x14ac:dyDescent="0.25">
      <c r="A836" s="925">
        <v>25102025</v>
      </c>
      <c r="B836" s="926" t="s">
        <v>572</v>
      </c>
      <c r="C836" s="928" t="s">
        <v>410</v>
      </c>
      <c r="D836" s="927">
        <v>45955</v>
      </c>
      <c r="E836" s="928"/>
      <c r="F836" s="928" t="s">
        <v>317</v>
      </c>
      <c r="H836" s="1075" t="s">
        <v>279</v>
      </c>
      <c r="I836" s="930"/>
      <c r="J836" s="930"/>
      <c r="K836" s="929"/>
      <c r="L836" s="930">
        <v>12490.000000000002</v>
      </c>
      <c r="M836" s="930"/>
      <c r="T836" s="926" t="s">
        <v>7105</v>
      </c>
      <c r="U836" s="931">
        <v>0.2902777777777778</v>
      </c>
      <c r="V836" s="931">
        <v>0.60486111111111118</v>
      </c>
    </row>
    <row r="837" spans="1:22" s="33" customFormat="1" x14ac:dyDescent="0.25">
      <c r="A837" s="547">
        <v>25102025</v>
      </c>
      <c r="B837" s="33" t="s">
        <v>5093</v>
      </c>
      <c r="C837" s="306" t="s">
        <v>13</v>
      </c>
      <c r="D837" s="548">
        <v>45955</v>
      </c>
      <c r="E837" s="306"/>
      <c r="F837" s="306" t="s">
        <v>5326</v>
      </c>
      <c r="G837" s="279"/>
      <c r="H837" s="1109" t="s">
        <v>279</v>
      </c>
      <c r="I837" s="1146"/>
      <c r="J837" s="279"/>
      <c r="K837" s="933">
        <v>34500</v>
      </c>
      <c r="M837" s="279"/>
      <c r="N837" s="5"/>
      <c r="O837" s="5"/>
      <c r="T837" s="33" t="s">
        <v>5131</v>
      </c>
      <c r="U837" s="550">
        <v>0.29375000000000001</v>
      </c>
      <c r="V837" s="550">
        <v>0.53333333333333333</v>
      </c>
    </row>
    <row r="838" spans="1:22" s="926" customFormat="1" x14ac:dyDescent="0.25">
      <c r="A838" s="925">
        <v>25102025</v>
      </c>
      <c r="B838" s="926" t="s">
        <v>2407</v>
      </c>
      <c r="C838" s="928" t="s">
        <v>4218</v>
      </c>
      <c r="D838" s="927">
        <v>45955</v>
      </c>
      <c r="E838" s="928"/>
      <c r="F838" s="928" t="s">
        <v>207</v>
      </c>
      <c r="H838" s="1075" t="s">
        <v>279</v>
      </c>
      <c r="I838" s="930"/>
      <c r="J838" s="930"/>
      <c r="K838" s="929"/>
      <c r="L838" s="930">
        <v>9440</v>
      </c>
      <c r="M838" s="930"/>
      <c r="T838" s="926" t="s">
        <v>4138</v>
      </c>
      <c r="U838" s="931">
        <v>0.52430555555555558</v>
      </c>
      <c r="V838" s="931">
        <v>0.70763888888888893</v>
      </c>
    </row>
    <row r="839" spans="1:22" s="926" customFormat="1" x14ac:dyDescent="0.25">
      <c r="A839" s="925">
        <v>27102025</v>
      </c>
      <c r="B839" s="926" t="s">
        <v>610</v>
      </c>
      <c r="C839" s="928" t="s">
        <v>4218</v>
      </c>
      <c r="D839" s="927">
        <v>45957</v>
      </c>
      <c r="E839" s="928"/>
      <c r="F839" s="928" t="s">
        <v>106</v>
      </c>
      <c r="G839" s="930"/>
      <c r="H839" s="1075" t="s">
        <v>279</v>
      </c>
      <c r="I839" s="1142"/>
      <c r="J839" s="930"/>
      <c r="K839" s="932">
        <v>29770</v>
      </c>
      <c r="M839" s="930"/>
      <c r="T839" s="926" t="s">
        <v>7141</v>
      </c>
      <c r="U839" s="931">
        <v>0.4993055555555555</v>
      </c>
      <c r="V839" s="931">
        <v>0.65347222222222223</v>
      </c>
    </row>
    <row r="840" spans="1:22" s="33" customFormat="1" x14ac:dyDescent="0.25">
      <c r="A840" s="547">
        <v>27102025</v>
      </c>
      <c r="B840" s="33" t="s">
        <v>614</v>
      </c>
      <c r="C840" s="306" t="s">
        <v>410</v>
      </c>
      <c r="D840" s="548">
        <v>45957</v>
      </c>
      <c r="E840" s="306"/>
      <c r="F840" s="306" t="s">
        <v>1931</v>
      </c>
      <c r="H840" s="1109" t="s">
        <v>279</v>
      </c>
      <c r="I840" s="279"/>
      <c r="J840" s="279"/>
      <c r="K840" s="312">
        <v>62304</v>
      </c>
      <c r="L840" s="279"/>
      <c r="M840" s="279"/>
      <c r="N840" s="5"/>
      <c r="O840" s="5"/>
      <c r="T840" s="33" t="s">
        <v>4297</v>
      </c>
      <c r="U840" s="550">
        <v>0.60625000000000007</v>
      </c>
      <c r="V840" s="550">
        <v>0.89930555555555547</v>
      </c>
    </row>
    <row r="841" spans="1:22" s="926" customFormat="1" x14ac:dyDescent="0.25">
      <c r="A841" s="925">
        <v>28102025</v>
      </c>
      <c r="B841" s="926" t="s">
        <v>4021</v>
      </c>
      <c r="C841" s="928" t="s">
        <v>4218</v>
      </c>
      <c r="D841" s="927">
        <v>45958</v>
      </c>
      <c r="E841" s="928"/>
      <c r="F841" s="928" t="s">
        <v>425</v>
      </c>
      <c r="G841" s="930"/>
      <c r="H841" s="1075" t="s">
        <v>279</v>
      </c>
      <c r="I841" s="1142"/>
      <c r="J841" s="930"/>
      <c r="K841" s="932">
        <v>32096</v>
      </c>
      <c r="M841" s="930"/>
      <c r="T841" s="926" t="s">
        <v>6503</v>
      </c>
      <c r="U841" s="931">
        <v>0.28194444444444444</v>
      </c>
      <c r="V841" s="931">
        <v>0.47013888888888888</v>
      </c>
    </row>
    <row r="842" spans="1:22" s="33" customFormat="1" x14ac:dyDescent="0.25">
      <c r="A842" s="547">
        <v>28102025</v>
      </c>
      <c r="B842" s="33" t="s">
        <v>5239</v>
      </c>
      <c r="C842" s="306" t="s">
        <v>13</v>
      </c>
      <c r="D842" s="548">
        <v>45958</v>
      </c>
      <c r="E842" s="306"/>
      <c r="F842" s="306" t="s">
        <v>207</v>
      </c>
      <c r="G842" s="279"/>
      <c r="H842" s="1109" t="s">
        <v>279</v>
      </c>
      <c r="I842" s="1146"/>
      <c r="J842" s="279"/>
      <c r="K842" s="933">
        <v>35872</v>
      </c>
      <c r="M842" s="279"/>
      <c r="N842" s="5"/>
      <c r="O842" s="5"/>
      <c r="T842" s="33" t="s">
        <v>7138</v>
      </c>
      <c r="U842" s="550">
        <v>0.44305555555555554</v>
      </c>
      <c r="V842" s="550">
        <v>0.64722222222222225</v>
      </c>
    </row>
    <row r="843" spans="1:22" s="418" customFormat="1" x14ac:dyDescent="0.25">
      <c r="A843" s="624">
        <v>28102025</v>
      </c>
      <c r="B843" s="418" t="s">
        <v>582</v>
      </c>
      <c r="C843" s="420" t="s">
        <v>4218</v>
      </c>
      <c r="D843" s="602">
        <v>45958</v>
      </c>
      <c r="E843" s="420"/>
      <c r="F843" s="420" t="s">
        <v>294</v>
      </c>
      <c r="G843" s="422"/>
      <c r="H843" s="1147" t="s">
        <v>279</v>
      </c>
      <c r="I843" s="1247"/>
      <c r="J843" s="422"/>
      <c r="K843" s="1079"/>
      <c r="L843" s="422">
        <v>9440</v>
      </c>
      <c r="M843" s="422"/>
      <c r="T843" s="418" t="s">
        <v>7092</v>
      </c>
      <c r="U843" s="604">
        <v>0.68194444444444446</v>
      </c>
      <c r="V843" s="604">
        <v>0.90833333333333333</v>
      </c>
    </row>
    <row r="844" spans="1:22" s="33" customFormat="1" x14ac:dyDescent="0.25">
      <c r="A844" s="547">
        <v>29102025</v>
      </c>
      <c r="B844" s="33" t="s">
        <v>2497</v>
      </c>
      <c r="C844" s="306" t="s">
        <v>13</v>
      </c>
      <c r="D844" s="548">
        <v>45959</v>
      </c>
      <c r="E844" s="306"/>
      <c r="F844" s="306" t="s">
        <v>143</v>
      </c>
      <c r="G844" s="279"/>
      <c r="H844" s="1109" t="s">
        <v>279</v>
      </c>
      <c r="I844" s="1146"/>
      <c r="J844" s="279"/>
      <c r="K844" s="933">
        <v>37252</v>
      </c>
      <c r="M844" s="279"/>
      <c r="T844" s="33" t="s">
        <v>7140</v>
      </c>
      <c r="U844" s="550">
        <v>0.65555555555555556</v>
      </c>
      <c r="V844" s="550">
        <v>0.87708333333333333</v>
      </c>
    </row>
    <row r="845" spans="1:22" s="33" customFormat="1" x14ac:dyDescent="0.25">
      <c r="A845" s="547">
        <v>29102025</v>
      </c>
      <c r="B845" s="33" t="s">
        <v>614</v>
      </c>
      <c r="C845" s="306" t="s">
        <v>4218</v>
      </c>
      <c r="D845" s="548">
        <v>45959</v>
      </c>
      <c r="E845" s="306"/>
      <c r="F845" s="306" t="s">
        <v>68</v>
      </c>
      <c r="G845" s="279"/>
      <c r="H845" s="1109" t="s">
        <v>279</v>
      </c>
      <c r="I845" s="1146"/>
      <c r="J845" s="279"/>
      <c r="K845" s="933">
        <v>49843.199999999997</v>
      </c>
      <c r="M845" s="279"/>
      <c r="N845" s="5"/>
      <c r="O845" s="5"/>
      <c r="T845" s="33" t="s">
        <v>5026</v>
      </c>
      <c r="U845" s="550">
        <v>0.76666666666666661</v>
      </c>
      <c r="V845" s="550">
        <v>6.2499999999999995E-3</v>
      </c>
    </row>
    <row r="846" spans="1:22" s="33" customFormat="1" x14ac:dyDescent="0.25">
      <c r="A846" s="547">
        <v>30102025</v>
      </c>
      <c r="B846" s="33" t="s">
        <v>608</v>
      </c>
      <c r="C846" s="306" t="s">
        <v>13</v>
      </c>
      <c r="D846" s="548">
        <v>45960</v>
      </c>
      <c r="E846" s="306"/>
      <c r="F846" s="306" t="s">
        <v>236</v>
      </c>
      <c r="H846" s="1109" t="s">
        <v>279</v>
      </c>
      <c r="I846" s="279"/>
      <c r="J846" s="279"/>
      <c r="K846" s="312">
        <v>58231</v>
      </c>
      <c r="L846" s="279"/>
      <c r="M846" s="279"/>
      <c r="T846" s="33" t="s">
        <v>4297</v>
      </c>
      <c r="U846" s="550">
        <v>0.34722222222222227</v>
      </c>
      <c r="V846" s="550">
        <v>0.55069444444444449</v>
      </c>
    </row>
    <row r="847" spans="1:22" s="926" customFormat="1" ht="14.1" hidden="1" customHeight="1" x14ac:dyDescent="0.25">
      <c r="A847" s="925">
        <v>30102025</v>
      </c>
      <c r="B847" s="926" t="s">
        <v>930</v>
      </c>
      <c r="C847" s="928" t="s">
        <v>410</v>
      </c>
      <c r="D847" s="927">
        <v>45960</v>
      </c>
      <c r="E847" s="928"/>
      <c r="F847" s="928" t="s">
        <v>294</v>
      </c>
      <c r="G847" s="930"/>
      <c r="H847" s="1075" t="s">
        <v>277</v>
      </c>
      <c r="I847" s="1142"/>
      <c r="J847" s="930"/>
      <c r="K847" s="932">
        <v>24886</v>
      </c>
      <c r="M847" s="930"/>
      <c r="T847" s="926" t="s">
        <v>7092</v>
      </c>
      <c r="U847" s="931">
        <v>0.5180555555555556</v>
      </c>
      <c r="V847" s="931">
        <v>0.68125000000000002</v>
      </c>
    </row>
    <row r="848" spans="1:22" s="33" customFormat="1" x14ac:dyDescent="0.25">
      <c r="A848" s="547">
        <v>30102025</v>
      </c>
      <c r="B848" s="33" t="s">
        <v>614</v>
      </c>
      <c r="C848" s="306" t="s">
        <v>4218</v>
      </c>
      <c r="D848" s="548">
        <v>45960</v>
      </c>
      <c r="E848" s="306"/>
      <c r="F848" s="306" t="s">
        <v>285</v>
      </c>
      <c r="H848" s="1109" t="s">
        <v>279</v>
      </c>
      <c r="I848" s="279"/>
      <c r="J848" s="279"/>
      <c r="K848" s="312">
        <v>51920</v>
      </c>
      <c r="L848" s="279"/>
      <c r="M848" s="279"/>
      <c r="N848" s="5"/>
      <c r="O848" s="5"/>
      <c r="T848" s="33" t="s">
        <v>7105</v>
      </c>
      <c r="U848" s="550">
        <v>0.58472222222222225</v>
      </c>
      <c r="V848" s="550">
        <v>0.81180555555555556</v>
      </c>
    </row>
    <row r="849" spans="1:22" s="926" customFormat="1" x14ac:dyDescent="0.25">
      <c r="A849" s="925">
        <v>31102025</v>
      </c>
      <c r="B849" s="926" t="s">
        <v>572</v>
      </c>
      <c r="C849" s="928" t="s">
        <v>13</v>
      </c>
      <c r="D849" s="927">
        <v>45961</v>
      </c>
      <c r="E849" s="928"/>
      <c r="F849" s="928" t="s">
        <v>68</v>
      </c>
      <c r="H849" s="1075" t="s">
        <v>279</v>
      </c>
      <c r="I849" s="930"/>
      <c r="J849" s="930"/>
      <c r="K849" s="929"/>
      <c r="L849" s="930">
        <v>11328</v>
      </c>
      <c r="M849" s="930"/>
      <c r="T849" s="926" t="s">
        <v>6503</v>
      </c>
      <c r="U849" s="931">
        <v>0.35416666666666669</v>
      </c>
      <c r="V849" s="931">
        <v>0.57361111111111118</v>
      </c>
    </row>
    <row r="850" spans="1:22" hidden="1" x14ac:dyDescent="0.25">
      <c r="A850" s="483"/>
      <c r="D850" s="233"/>
      <c r="H850" s="1067"/>
      <c r="I850" s="88"/>
      <c r="J850" s="88"/>
      <c r="K850" s="313"/>
      <c r="L850" s="88"/>
      <c r="M850" s="88"/>
      <c r="U850" s="360"/>
      <c r="V850" s="360"/>
    </row>
    <row r="851" spans="1:22" hidden="1" x14ac:dyDescent="0.25">
      <c r="A851" s="483"/>
      <c r="D851" s="233"/>
      <c r="H851" s="1067"/>
      <c r="I851" s="88"/>
      <c r="J851" s="88"/>
      <c r="K851" s="313"/>
      <c r="L851" s="88"/>
      <c r="M851" s="88"/>
      <c r="U851" s="360"/>
      <c r="V851" s="360"/>
    </row>
    <row r="852" spans="1:22" hidden="1" x14ac:dyDescent="0.25">
      <c r="A852" s="483"/>
      <c r="C852"/>
      <c r="D852" s="233"/>
      <c r="G852" s="88"/>
      <c r="H852" s="1067"/>
      <c r="I852" s="88"/>
      <c r="J852" s="88"/>
      <c r="K852" s="798"/>
      <c r="L852"/>
      <c r="M852" s="88"/>
      <c r="U852" s="360"/>
      <c r="V852" s="360"/>
    </row>
    <row r="853" spans="1:22" ht="15.75" hidden="1" thickBot="1" x14ac:dyDescent="0.3">
      <c r="A853" s="483"/>
      <c r="D853" s="233"/>
      <c r="G853" s="32"/>
      <c r="H853" s="1067"/>
      <c r="I853" s="88"/>
      <c r="K853" s="960">
        <f>SUM(K778:K852)</f>
        <v>2299507.75</v>
      </c>
      <c r="L853" s="960">
        <f>SUM(L778:L852)</f>
        <v>149283.06818181821</v>
      </c>
    </row>
    <row r="854" spans="1:22" hidden="1" x14ac:dyDescent="0.25">
      <c r="A854" s="483"/>
      <c r="D854" s="233"/>
      <c r="G854" s="32"/>
      <c r="I854" s="1131"/>
      <c r="K854" s="798"/>
      <c r="L854" s="798"/>
    </row>
    <row r="855" spans="1:22" hidden="1" x14ac:dyDescent="0.25">
      <c r="A855" s="483"/>
      <c r="D855" s="233"/>
      <c r="I855" s="1131"/>
      <c r="K855" s="798"/>
      <c r="L855" s="798"/>
    </row>
    <row r="856" spans="1:22" s="926" customFormat="1" ht="18" customHeight="1" x14ac:dyDescent="0.25">
      <c r="A856" s="925" t="s">
        <v>7223</v>
      </c>
      <c r="B856" s="926" t="s">
        <v>2407</v>
      </c>
      <c r="C856" s="928" t="s">
        <v>4218</v>
      </c>
      <c r="D856" s="927">
        <v>45962</v>
      </c>
      <c r="E856" s="928"/>
      <c r="F856" s="928" t="s">
        <v>207</v>
      </c>
      <c r="H856" s="1075" t="s">
        <v>279</v>
      </c>
      <c r="I856" s="1142"/>
      <c r="J856" s="930"/>
      <c r="K856" s="932"/>
      <c r="L856" s="930">
        <v>9440</v>
      </c>
      <c r="M856" s="930"/>
      <c r="T856" s="926" t="s">
        <v>5131</v>
      </c>
      <c r="U856" s="931">
        <v>0.29444444444444445</v>
      </c>
      <c r="V856" s="931">
        <v>0.53749999999999998</v>
      </c>
    </row>
    <row r="857" spans="1:22" s="926" customFormat="1" x14ac:dyDescent="0.25">
      <c r="A857" s="925" t="s">
        <v>7223</v>
      </c>
      <c r="B857" s="926" t="s">
        <v>608</v>
      </c>
      <c r="C857" s="928" t="s">
        <v>13</v>
      </c>
      <c r="D857" s="927">
        <v>45962</v>
      </c>
      <c r="E857" s="928"/>
      <c r="F857" s="928" t="s">
        <v>236</v>
      </c>
      <c r="H857" s="1075" t="s">
        <v>279</v>
      </c>
      <c r="I857" s="1142"/>
      <c r="J857" s="930"/>
      <c r="K857" s="932">
        <v>58231</v>
      </c>
      <c r="L857" s="930"/>
      <c r="M857" s="930"/>
      <c r="T857" s="926" t="s">
        <v>7105</v>
      </c>
      <c r="U857" s="931">
        <v>0.38472222222222224</v>
      </c>
      <c r="V857" s="931">
        <v>0.66666666666666663</v>
      </c>
    </row>
    <row r="858" spans="1:22" s="926" customFormat="1" x14ac:dyDescent="0.25">
      <c r="A858" s="925" t="s">
        <v>7224</v>
      </c>
      <c r="B858" s="926" t="s">
        <v>3298</v>
      </c>
      <c r="C858" s="928" t="s">
        <v>13</v>
      </c>
      <c r="D858" s="927">
        <v>45965</v>
      </c>
      <c r="E858" s="928"/>
      <c r="F858" s="928" t="s">
        <v>68</v>
      </c>
      <c r="H858" s="1075" t="s">
        <v>279</v>
      </c>
      <c r="I858" s="1142"/>
      <c r="J858" s="930"/>
      <c r="K858" s="932">
        <v>44000</v>
      </c>
      <c r="L858" s="930"/>
      <c r="M858" s="930"/>
      <c r="N858" s="5"/>
      <c r="O858" s="5"/>
      <c r="T858" s="926" t="s">
        <v>5026</v>
      </c>
      <c r="U858" s="931">
        <v>0.51249999999999996</v>
      </c>
      <c r="V858" s="931">
        <v>0.79791666666666661</v>
      </c>
    </row>
    <row r="859" spans="1:22" s="926" customFormat="1" x14ac:dyDescent="0.25">
      <c r="A859" s="925" t="s">
        <v>7227</v>
      </c>
      <c r="B859" s="926" t="s">
        <v>614</v>
      </c>
      <c r="C859" s="928" t="s">
        <v>4218</v>
      </c>
      <c r="D859" s="927">
        <v>45966</v>
      </c>
      <c r="E859" s="928"/>
      <c r="F859" s="928" t="s">
        <v>2036</v>
      </c>
      <c r="H859" s="1075" t="s">
        <v>279</v>
      </c>
      <c r="I859" s="1142"/>
      <c r="J859" s="930"/>
      <c r="K859" s="932">
        <v>31152</v>
      </c>
      <c r="L859" s="930"/>
      <c r="M859" s="930"/>
      <c r="N859" s="5"/>
      <c r="O859" s="5"/>
      <c r="T859" s="926" t="s">
        <v>6294</v>
      </c>
      <c r="U859" s="931">
        <v>0.38194444444444442</v>
      </c>
      <c r="V859" s="931">
        <v>0.50555555555555554</v>
      </c>
    </row>
    <row r="860" spans="1:22" s="926" customFormat="1" x14ac:dyDescent="0.25">
      <c r="A860" s="925" t="s">
        <v>7227</v>
      </c>
      <c r="B860" s="926" t="s">
        <v>1720</v>
      </c>
      <c r="C860" s="928" t="s">
        <v>410</v>
      </c>
      <c r="D860" s="927">
        <v>45966</v>
      </c>
      <c r="E860" s="928"/>
      <c r="F860" s="928" t="s">
        <v>545</v>
      </c>
      <c r="H860" s="1075" t="s">
        <v>279</v>
      </c>
      <c r="I860" s="1142"/>
      <c r="J860" s="930"/>
      <c r="K860" s="932">
        <v>31500</v>
      </c>
      <c r="L860" s="930"/>
      <c r="M860" s="930"/>
      <c r="T860" s="926" t="s">
        <v>4853</v>
      </c>
      <c r="U860" s="931">
        <v>0.3979166666666667</v>
      </c>
      <c r="V860" s="931">
        <v>0.5756944444444444</v>
      </c>
    </row>
    <row r="861" spans="1:22" s="926" customFormat="1" x14ac:dyDescent="0.25">
      <c r="A861" s="925" t="s">
        <v>7227</v>
      </c>
      <c r="B861" s="926" t="s">
        <v>4193</v>
      </c>
      <c r="C861" s="928" t="s">
        <v>4218</v>
      </c>
      <c r="D861" s="927">
        <v>45966</v>
      </c>
      <c r="E861" s="928"/>
      <c r="F861" s="928" t="s">
        <v>236</v>
      </c>
      <c r="H861" s="1075" t="s">
        <v>279</v>
      </c>
      <c r="I861" s="1142"/>
      <c r="J861" s="930"/>
      <c r="K861" s="932">
        <v>47874.96</v>
      </c>
      <c r="L861" s="930"/>
      <c r="M861" s="930"/>
      <c r="T861" s="926" t="s">
        <v>6356</v>
      </c>
      <c r="U861" s="931">
        <v>0.93333333333333324</v>
      </c>
      <c r="V861" s="931">
        <v>0.21875</v>
      </c>
    </row>
    <row r="862" spans="1:22" s="120" customFormat="1" x14ac:dyDescent="0.25">
      <c r="A862" s="595" t="s">
        <v>7228</v>
      </c>
      <c r="B862" s="120" t="s">
        <v>582</v>
      </c>
      <c r="C862" s="334" t="s">
        <v>4218</v>
      </c>
      <c r="D862" s="427">
        <v>45967</v>
      </c>
      <c r="E862" s="334"/>
      <c r="F862" s="334" t="s">
        <v>2008</v>
      </c>
      <c r="H862" s="1211" t="s">
        <v>279</v>
      </c>
      <c r="I862" s="1252"/>
      <c r="J862" s="150"/>
      <c r="K862" s="1001">
        <v>46020</v>
      </c>
      <c r="L862" s="150"/>
      <c r="M862" s="150"/>
      <c r="T862" s="120" t="s">
        <v>5131</v>
      </c>
      <c r="U862" s="597">
        <v>0.29097222222222224</v>
      </c>
      <c r="V862" s="597">
        <v>0.53055555555555556</v>
      </c>
    </row>
    <row r="863" spans="1:22" s="926" customFormat="1" x14ac:dyDescent="0.25">
      <c r="A863" s="925" t="s">
        <v>7228</v>
      </c>
      <c r="B863" s="926" t="s">
        <v>614</v>
      </c>
      <c r="C863" s="928" t="s">
        <v>410</v>
      </c>
      <c r="D863" s="927">
        <v>45967</v>
      </c>
      <c r="E863" s="928"/>
      <c r="F863" s="928" t="s">
        <v>2253</v>
      </c>
      <c r="H863" s="1075" t="s">
        <v>279</v>
      </c>
      <c r="I863" s="1142"/>
      <c r="J863" s="930"/>
      <c r="K863" s="932">
        <v>44651</v>
      </c>
      <c r="L863" s="930"/>
      <c r="M863" s="930"/>
      <c r="N863" s="5"/>
      <c r="O863" s="5"/>
      <c r="T863" s="926" t="s">
        <v>6214</v>
      </c>
      <c r="U863" s="931">
        <v>0.33055555555555555</v>
      </c>
      <c r="V863" s="931">
        <v>0.4777777777777778</v>
      </c>
    </row>
    <row r="864" spans="1:22" s="926" customFormat="1" x14ac:dyDescent="0.25">
      <c r="A864" s="925" t="s">
        <v>7228</v>
      </c>
      <c r="B864" s="926" t="s">
        <v>614</v>
      </c>
      <c r="C864" s="928" t="s">
        <v>13</v>
      </c>
      <c r="D864" s="927">
        <v>45967</v>
      </c>
      <c r="E864" s="928"/>
      <c r="F864" s="928" t="s">
        <v>872</v>
      </c>
      <c r="H864" s="1075" t="s">
        <v>279</v>
      </c>
      <c r="I864" s="1142"/>
      <c r="J864" s="930"/>
      <c r="K864" s="932">
        <v>44651</v>
      </c>
      <c r="L864" s="930"/>
      <c r="M864" s="930"/>
      <c r="N864" s="5"/>
      <c r="O864" s="5"/>
      <c r="T864" s="926" t="s">
        <v>7078</v>
      </c>
      <c r="U864" s="931">
        <v>0.40625</v>
      </c>
      <c r="V864" s="931">
        <v>0.63750000000000007</v>
      </c>
    </row>
    <row r="865" spans="1:22" s="926" customFormat="1" x14ac:dyDescent="0.25">
      <c r="A865" s="925" t="s">
        <v>7228</v>
      </c>
      <c r="B865" s="926" t="s">
        <v>4193</v>
      </c>
      <c r="C865" s="928" t="s">
        <v>4218</v>
      </c>
      <c r="D865" s="927">
        <v>45967</v>
      </c>
      <c r="E865" s="928"/>
      <c r="F865" s="928" t="s">
        <v>236</v>
      </c>
      <c r="H865" s="1075" t="s">
        <v>279</v>
      </c>
      <c r="I865" s="1142"/>
      <c r="J865" s="930"/>
      <c r="K865" s="932">
        <v>47874.96</v>
      </c>
      <c r="L865" s="930"/>
      <c r="M865" s="930"/>
      <c r="T865" s="926" t="s">
        <v>4867</v>
      </c>
      <c r="U865" s="931">
        <v>0.64097222222222217</v>
      </c>
      <c r="V865" s="931">
        <v>0.91319444444444453</v>
      </c>
    </row>
    <row r="866" spans="1:22" s="926" customFormat="1" x14ac:dyDescent="0.25">
      <c r="A866" s="925" t="s">
        <v>7228</v>
      </c>
      <c r="B866" s="926" t="s">
        <v>930</v>
      </c>
      <c r="C866" s="928" t="s">
        <v>4218</v>
      </c>
      <c r="D866" s="927">
        <v>45967</v>
      </c>
      <c r="E866" s="928"/>
      <c r="F866" s="928" t="s">
        <v>295</v>
      </c>
      <c r="H866" s="1075" t="s">
        <v>279</v>
      </c>
      <c r="I866" s="1142"/>
      <c r="J866" s="930"/>
      <c r="K866" s="932">
        <v>43450</v>
      </c>
      <c r="L866" s="930"/>
      <c r="M866" s="930"/>
      <c r="T866" s="926" t="s">
        <v>6503</v>
      </c>
      <c r="U866" s="931">
        <v>0.74861111111111101</v>
      </c>
      <c r="V866" s="931">
        <v>4.3055555555555562E-2</v>
      </c>
    </row>
    <row r="867" spans="1:22" s="926" customFormat="1" x14ac:dyDescent="0.25">
      <c r="A867" s="925" t="s">
        <v>7233</v>
      </c>
      <c r="B867" s="926" t="s">
        <v>608</v>
      </c>
      <c r="C867" s="928" t="s">
        <v>4218</v>
      </c>
      <c r="D867" s="927">
        <v>45968</v>
      </c>
      <c r="E867" s="928"/>
      <c r="F867" s="928" t="s">
        <v>236</v>
      </c>
      <c r="H867" s="1075" t="s">
        <v>279</v>
      </c>
      <c r="I867" s="1142"/>
      <c r="J867" s="930"/>
      <c r="K867" s="932">
        <v>58231</v>
      </c>
      <c r="L867" s="930"/>
      <c r="M867" s="930"/>
      <c r="T867" s="926" t="s">
        <v>6294</v>
      </c>
      <c r="U867" s="931">
        <v>0.27083333333333331</v>
      </c>
      <c r="V867" s="931">
        <v>0.53888888888888886</v>
      </c>
    </row>
    <row r="868" spans="1:22" s="926" customFormat="1" hidden="1" x14ac:dyDescent="0.25">
      <c r="A868" s="925" t="s">
        <v>7233</v>
      </c>
      <c r="B868" s="926" t="s">
        <v>1720</v>
      </c>
      <c r="C868" s="928" t="s">
        <v>13</v>
      </c>
      <c r="D868" s="927">
        <v>45968</v>
      </c>
      <c r="E868" s="928"/>
      <c r="F868" s="928" t="s">
        <v>545</v>
      </c>
      <c r="H868" s="1075" t="s">
        <v>277</v>
      </c>
      <c r="I868" s="1142"/>
      <c r="J868" s="930"/>
      <c r="K868" s="932">
        <v>24320</v>
      </c>
      <c r="L868" s="930"/>
      <c r="M868" s="930"/>
      <c r="T868" s="926" t="s">
        <v>7078</v>
      </c>
      <c r="U868" s="931">
        <v>0.55138888888888882</v>
      </c>
      <c r="V868" s="931">
        <v>0.73055555555555562</v>
      </c>
    </row>
    <row r="869" spans="1:22" s="926" customFormat="1" x14ac:dyDescent="0.25">
      <c r="A869" s="925" t="s">
        <v>7245</v>
      </c>
      <c r="B869" s="926" t="s">
        <v>572</v>
      </c>
      <c r="C869" s="928" t="s">
        <v>13</v>
      </c>
      <c r="D869" s="927">
        <v>45969</v>
      </c>
      <c r="E869" s="928"/>
      <c r="F869" s="928" t="s">
        <v>207</v>
      </c>
      <c r="H869" s="1075" t="s">
        <v>279</v>
      </c>
      <c r="I869" s="1142"/>
      <c r="J869" s="930"/>
      <c r="K869" s="932"/>
      <c r="L869" s="930">
        <f>8307.2*1.13636363636364</f>
        <v>9440.0000000000309</v>
      </c>
      <c r="M869" s="930"/>
      <c r="T869" s="926" t="s">
        <v>7078</v>
      </c>
      <c r="U869" s="931">
        <v>0.29236111111111113</v>
      </c>
      <c r="V869" s="931">
        <v>0.50416666666666665</v>
      </c>
    </row>
    <row r="870" spans="1:22" s="926" customFormat="1" x14ac:dyDescent="0.25">
      <c r="A870" s="925" t="s">
        <v>7245</v>
      </c>
      <c r="B870" s="926" t="s">
        <v>7247</v>
      </c>
      <c r="C870" s="928" t="s">
        <v>4218</v>
      </c>
      <c r="D870" s="927">
        <v>45969</v>
      </c>
      <c r="E870" s="928"/>
      <c r="F870" s="928" t="s">
        <v>563</v>
      </c>
      <c r="H870" s="1075" t="s">
        <v>279</v>
      </c>
      <c r="I870" s="1142"/>
      <c r="J870" s="930"/>
      <c r="K870" s="932">
        <v>27700</v>
      </c>
      <c r="L870" s="930"/>
      <c r="M870" s="930"/>
      <c r="N870" s="5"/>
      <c r="O870" s="5"/>
      <c r="T870" s="926" t="s">
        <v>4853</v>
      </c>
      <c r="U870" s="931">
        <v>0.30833333333333335</v>
      </c>
      <c r="V870" s="931">
        <v>0.54305555555555551</v>
      </c>
    </row>
    <row r="871" spans="1:22" s="926" customFormat="1" x14ac:dyDescent="0.25">
      <c r="A871" s="925" t="s">
        <v>7245</v>
      </c>
      <c r="B871" s="926" t="s">
        <v>1720</v>
      </c>
      <c r="C871" s="928" t="s">
        <v>13</v>
      </c>
      <c r="D871" s="927">
        <v>45969</v>
      </c>
      <c r="E871" s="928"/>
      <c r="F871" s="928" t="s">
        <v>545</v>
      </c>
      <c r="H871" s="1075" t="s">
        <v>279</v>
      </c>
      <c r="I871" s="1142"/>
      <c r="J871" s="930"/>
      <c r="K871" s="932">
        <v>31500</v>
      </c>
      <c r="L871" s="930"/>
      <c r="M871" s="930"/>
      <c r="T871" s="926" t="s">
        <v>7078</v>
      </c>
      <c r="U871" s="931">
        <v>0.5541666666666667</v>
      </c>
      <c r="V871" s="931">
        <v>0.71597222222222223</v>
      </c>
    </row>
    <row r="872" spans="1:22" s="926" customFormat="1" x14ac:dyDescent="0.25">
      <c r="A872" s="925" t="s">
        <v>7245</v>
      </c>
      <c r="B872" s="926" t="s">
        <v>608</v>
      </c>
      <c r="C872" s="928" t="s">
        <v>13</v>
      </c>
      <c r="D872" s="927">
        <v>45969</v>
      </c>
      <c r="E872" s="928"/>
      <c r="F872" s="928" t="s">
        <v>236</v>
      </c>
      <c r="H872" s="1075" t="s">
        <v>279</v>
      </c>
      <c r="I872" s="1142"/>
      <c r="J872" s="930"/>
      <c r="K872" s="932">
        <v>58231</v>
      </c>
      <c r="L872" s="930"/>
      <c r="M872" s="930"/>
      <c r="T872" s="926" t="s">
        <v>6147</v>
      </c>
      <c r="U872" s="931">
        <v>0.94027777777777777</v>
      </c>
      <c r="V872" s="931">
        <v>0.22569444444444445</v>
      </c>
    </row>
    <row r="873" spans="1:22" s="926" customFormat="1" x14ac:dyDescent="0.25">
      <c r="A873" s="925" t="s">
        <v>7246</v>
      </c>
      <c r="B873" s="926" t="s">
        <v>614</v>
      </c>
      <c r="C873" s="928" t="s">
        <v>13</v>
      </c>
      <c r="D873" s="927">
        <v>45970</v>
      </c>
      <c r="E873" s="928"/>
      <c r="F873" s="928" t="s">
        <v>68</v>
      </c>
      <c r="H873" s="1075" t="s">
        <v>279</v>
      </c>
      <c r="I873" s="1142"/>
      <c r="J873" s="930"/>
      <c r="K873" s="932">
        <v>49843</v>
      </c>
      <c r="L873" s="930"/>
      <c r="M873" s="930"/>
      <c r="T873" s="926" t="s">
        <v>5131</v>
      </c>
      <c r="U873" s="931">
        <v>0.28263888888888888</v>
      </c>
      <c r="V873" s="931">
        <v>0.52847222222222223</v>
      </c>
    </row>
    <row r="874" spans="1:22" s="926" customFormat="1" x14ac:dyDescent="0.25">
      <c r="A874" s="925" t="s">
        <v>7246</v>
      </c>
      <c r="B874" s="926" t="s">
        <v>930</v>
      </c>
      <c r="C874" s="928" t="s">
        <v>13</v>
      </c>
      <c r="D874" s="927">
        <v>45970</v>
      </c>
      <c r="E874" s="928"/>
      <c r="F874" s="928" t="s">
        <v>294</v>
      </c>
      <c r="H874" s="1075" t="s">
        <v>279</v>
      </c>
      <c r="I874" s="1142"/>
      <c r="J874" s="930"/>
      <c r="K874" s="932">
        <v>33182</v>
      </c>
      <c r="L874" s="930"/>
      <c r="M874" s="930"/>
      <c r="T874" s="926" t="s">
        <v>5131</v>
      </c>
      <c r="U874" s="931">
        <v>0.56180555555555556</v>
      </c>
      <c r="V874" s="931">
        <v>0.76111111111111107</v>
      </c>
    </row>
    <row r="875" spans="1:22" s="926" customFormat="1" x14ac:dyDescent="0.25">
      <c r="A875" s="925">
        <v>10112025</v>
      </c>
      <c r="B875" s="926" t="s">
        <v>614</v>
      </c>
      <c r="C875" s="928" t="s">
        <v>13</v>
      </c>
      <c r="D875" s="927">
        <v>45971</v>
      </c>
      <c r="E875" s="928"/>
      <c r="F875" s="928" t="s">
        <v>285</v>
      </c>
      <c r="H875" s="1075" t="s">
        <v>279</v>
      </c>
      <c r="I875" s="1142"/>
      <c r="J875" s="930"/>
      <c r="K875" s="932">
        <v>51920</v>
      </c>
      <c r="L875" s="930"/>
      <c r="M875" s="930"/>
      <c r="T875" s="926" t="s">
        <v>7105</v>
      </c>
      <c r="U875" s="931">
        <v>0.29305555555555557</v>
      </c>
      <c r="V875" s="931">
        <v>0.54305555555555551</v>
      </c>
    </row>
    <row r="876" spans="1:22" s="926" customFormat="1" ht="15" customHeight="1" x14ac:dyDescent="0.25">
      <c r="A876" s="925">
        <v>10112025</v>
      </c>
      <c r="B876" s="926" t="s">
        <v>610</v>
      </c>
      <c r="C876" s="928" t="s">
        <v>4218</v>
      </c>
      <c r="D876" s="927">
        <v>45971</v>
      </c>
      <c r="E876" s="928"/>
      <c r="F876" s="928" t="s">
        <v>106</v>
      </c>
      <c r="H876" s="1075" t="s">
        <v>279</v>
      </c>
      <c r="I876" s="1142"/>
      <c r="J876" s="930"/>
      <c r="K876" s="932">
        <v>29770</v>
      </c>
      <c r="L876" s="930"/>
      <c r="M876" s="930"/>
      <c r="T876" s="926" t="s">
        <v>5989</v>
      </c>
      <c r="U876" s="931">
        <v>0.30069444444444443</v>
      </c>
      <c r="V876" s="931">
        <v>0.46319444444444446</v>
      </c>
    </row>
    <row r="877" spans="1:22" s="926" customFormat="1" x14ac:dyDescent="0.25">
      <c r="A877" s="925">
        <v>10112025</v>
      </c>
      <c r="B877" s="926" t="s">
        <v>2407</v>
      </c>
      <c r="C877" s="928" t="s">
        <v>410</v>
      </c>
      <c r="D877" s="927">
        <v>45971</v>
      </c>
      <c r="E877" s="928"/>
      <c r="F877" s="928" t="s">
        <v>1906</v>
      </c>
      <c r="H877" s="1075" t="s">
        <v>279</v>
      </c>
      <c r="I877" s="1142"/>
      <c r="J877" s="930"/>
      <c r="K877" s="932"/>
      <c r="L877" s="930">
        <v>6372</v>
      </c>
      <c r="M877" s="930"/>
      <c r="T877" s="926" t="s">
        <v>6678</v>
      </c>
      <c r="U877" s="931">
        <v>0.34375</v>
      </c>
      <c r="V877" s="931">
        <v>0.63680555555555551</v>
      </c>
    </row>
    <row r="878" spans="1:22" s="926" customFormat="1" x14ac:dyDescent="0.25">
      <c r="A878" s="925">
        <v>10112025</v>
      </c>
      <c r="B878" s="926" t="s">
        <v>7248</v>
      </c>
      <c r="C878" s="928" t="s">
        <v>4218</v>
      </c>
      <c r="D878" s="927">
        <v>45971</v>
      </c>
      <c r="E878" s="928"/>
      <c r="F878" s="928" t="s">
        <v>2036</v>
      </c>
      <c r="H878" s="1075" t="s">
        <v>279</v>
      </c>
      <c r="I878" s="1142"/>
      <c r="J878" s="930"/>
      <c r="K878" s="932">
        <v>26950</v>
      </c>
      <c r="L878" s="930"/>
      <c r="M878" s="930"/>
      <c r="N878" s="5"/>
      <c r="O878" s="5"/>
      <c r="T878" s="926" t="s">
        <v>5989</v>
      </c>
      <c r="U878" s="931">
        <v>0.51250000000000007</v>
      </c>
      <c r="V878" s="931">
        <v>0.69791666666666663</v>
      </c>
    </row>
    <row r="879" spans="1:22" s="926" customFormat="1" x14ac:dyDescent="0.25">
      <c r="A879" s="925">
        <v>11112025</v>
      </c>
      <c r="B879" s="926" t="s">
        <v>582</v>
      </c>
      <c r="C879" s="928" t="s">
        <v>13</v>
      </c>
      <c r="D879" s="927">
        <v>12004</v>
      </c>
      <c r="E879" s="928"/>
      <c r="F879" s="928" t="s">
        <v>2008</v>
      </c>
      <c r="H879" s="1075" t="s">
        <v>279</v>
      </c>
      <c r="I879" s="1142"/>
      <c r="J879" s="930"/>
      <c r="K879" s="932">
        <v>44875</v>
      </c>
      <c r="L879" s="930"/>
      <c r="M879" s="930"/>
      <c r="N879" s="5"/>
      <c r="O879" s="5"/>
      <c r="T879" s="926" t="s">
        <v>7078</v>
      </c>
      <c r="U879" s="931">
        <v>0.56388888888888888</v>
      </c>
      <c r="V879" s="931">
        <v>0.85763888888888884</v>
      </c>
    </row>
    <row r="880" spans="1:22" s="926" customFormat="1" hidden="1" x14ac:dyDescent="0.25">
      <c r="A880" s="925">
        <v>12112025</v>
      </c>
      <c r="B880" s="926" t="s">
        <v>930</v>
      </c>
      <c r="C880" s="928" t="s">
        <v>4218</v>
      </c>
      <c r="D880" s="927">
        <v>45973</v>
      </c>
      <c r="E880" s="928"/>
      <c r="F880" s="928" t="s">
        <v>295</v>
      </c>
      <c r="H880" s="1075" t="s">
        <v>277</v>
      </c>
      <c r="I880" s="1142"/>
      <c r="J880" s="930"/>
      <c r="K880" s="932">
        <v>34011</v>
      </c>
      <c r="L880" s="930"/>
      <c r="M880" s="930"/>
      <c r="T880" s="926" t="s">
        <v>5021</v>
      </c>
      <c r="U880" s="931">
        <v>7.24</v>
      </c>
      <c r="V880" s="931">
        <v>0.53055555555555556</v>
      </c>
    </row>
    <row r="881" spans="1:16382" s="926" customFormat="1" x14ac:dyDescent="0.25">
      <c r="A881" s="925">
        <v>12112025</v>
      </c>
      <c r="B881" s="926" t="s">
        <v>930</v>
      </c>
      <c r="C881" s="928" t="s">
        <v>4218</v>
      </c>
      <c r="D881" s="927">
        <v>45973</v>
      </c>
      <c r="E881" s="928"/>
      <c r="F881" s="928" t="s">
        <v>295</v>
      </c>
      <c r="H881" s="1075" t="s">
        <v>279</v>
      </c>
      <c r="I881" s="1142"/>
      <c r="J881" s="930"/>
      <c r="K881" s="932">
        <v>43450</v>
      </c>
      <c r="L881" s="930"/>
      <c r="M881" s="930"/>
      <c r="T881" s="926" t="s">
        <v>4140</v>
      </c>
      <c r="U881" s="931">
        <v>0.61944444444444446</v>
      </c>
      <c r="V881" s="931">
        <v>0.92986111111111114</v>
      </c>
    </row>
    <row r="882" spans="1:16382" s="5" customFormat="1" x14ac:dyDescent="0.25">
      <c r="A882" s="495">
        <v>13112025</v>
      </c>
      <c r="B882" s="5" t="s">
        <v>2469</v>
      </c>
      <c r="C882" s="127" t="s">
        <v>4218</v>
      </c>
      <c r="D882" s="494">
        <v>45974</v>
      </c>
      <c r="E882" s="127"/>
      <c r="F882" s="127" t="s">
        <v>294</v>
      </c>
      <c r="H882" s="1073" t="s">
        <v>279</v>
      </c>
      <c r="I882" s="1141"/>
      <c r="J882" s="89"/>
      <c r="K882" s="935">
        <v>36350</v>
      </c>
      <c r="L882" s="89"/>
      <c r="M882" s="89"/>
      <c r="T882" s="5" t="s">
        <v>6214</v>
      </c>
      <c r="U882" s="496">
        <v>0.29930555555555555</v>
      </c>
      <c r="V882" s="496">
        <v>12.11</v>
      </c>
    </row>
    <row r="883" spans="1:16382" s="926" customFormat="1" x14ac:dyDescent="0.25">
      <c r="A883" s="925">
        <v>13112025</v>
      </c>
      <c r="B883" s="926" t="s">
        <v>608</v>
      </c>
      <c r="C883" s="928" t="s">
        <v>4218</v>
      </c>
      <c r="D883" s="927">
        <v>45974</v>
      </c>
      <c r="E883" s="928"/>
      <c r="F883" s="928" t="s">
        <v>236</v>
      </c>
      <c r="H883" s="1075" t="s">
        <v>279</v>
      </c>
      <c r="I883" s="1142"/>
      <c r="J883" s="930"/>
      <c r="K883" s="932">
        <v>58231</v>
      </c>
      <c r="L883" s="930"/>
      <c r="M883" s="930"/>
      <c r="T883" s="926" t="s">
        <v>5393</v>
      </c>
      <c r="U883" s="931">
        <v>0.55138888888888882</v>
      </c>
      <c r="V883" s="931">
        <v>0.8305555555555556</v>
      </c>
    </row>
    <row r="884" spans="1:16382" s="926" customFormat="1" x14ac:dyDescent="0.25">
      <c r="A884" s="925">
        <v>13112025</v>
      </c>
      <c r="B884" s="926" t="s">
        <v>608</v>
      </c>
      <c r="C884" s="928" t="s">
        <v>13</v>
      </c>
      <c r="D884" s="927">
        <v>45974</v>
      </c>
      <c r="E884" s="928"/>
      <c r="F884" s="928" t="s">
        <v>236</v>
      </c>
      <c r="H884" s="1075" t="s">
        <v>279</v>
      </c>
      <c r="I884" s="1142"/>
      <c r="J884" s="930"/>
      <c r="K884" s="932">
        <v>58231</v>
      </c>
      <c r="L884" s="930"/>
      <c r="M884" s="930"/>
      <c r="T884" s="926" t="s">
        <v>6067</v>
      </c>
      <c r="U884" s="931">
        <v>0.6875</v>
      </c>
      <c r="V884" s="931">
        <v>0.9784722222222223</v>
      </c>
    </row>
    <row r="885" spans="1:16382" s="926" customFormat="1" x14ac:dyDescent="0.25">
      <c r="A885" s="925">
        <v>13112025</v>
      </c>
      <c r="B885" s="926" t="s">
        <v>3880</v>
      </c>
      <c r="C885" s="928" t="s">
        <v>13</v>
      </c>
      <c r="D885" s="927">
        <v>45974</v>
      </c>
      <c r="E885" s="928"/>
      <c r="F885" s="928" t="s">
        <v>545</v>
      </c>
      <c r="H885" s="1075" t="s">
        <v>279</v>
      </c>
      <c r="I885" s="1142"/>
      <c r="J885" s="930"/>
      <c r="K885" s="932">
        <v>32284.400000000001</v>
      </c>
      <c r="L885" s="930"/>
      <c r="M885" s="930"/>
      <c r="T885" s="926" t="s">
        <v>6349</v>
      </c>
      <c r="U885" s="931">
        <v>0.43402777777777773</v>
      </c>
      <c r="V885" s="931">
        <v>0.63263888888888886</v>
      </c>
    </row>
    <row r="886" spans="1:16382" s="926" customFormat="1" ht="14.1" customHeight="1" x14ac:dyDescent="0.25">
      <c r="A886" s="925">
        <v>14112025</v>
      </c>
      <c r="B886" s="926" t="s">
        <v>614</v>
      </c>
      <c r="C886" s="928" t="s">
        <v>4218</v>
      </c>
      <c r="D886" s="927">
        <v>45975</v>
      </c>
      <c r="E886" s="928"/>
      <c r="F886" s="928" t="s">
        <v>285</v>
      </c>
      <c r="H886" s="1075" t="s">
        <v>279</v>
      </c>
      <c r="I886" s="1142"/>
      <c r="J886" s="930"/>
      <c r="K886" s="932">
        <v>51920</v>
      </c>
      <c r="L886" s="930"/>
      <c r="M886" s="930"/>
      <c r="T886" s="926" t="s">
        <v>6678</v>
      </c>
      <c r="U886" s="931">
        <v>0.2986111111111111</v>
      </c>
      <c r="V886" s="931">
        <v>0.52013888888888882</v>
      </c>
    </row>
    <row r="887" spans="1:16382" s="13" customFormat="1" hidden="1" x14ac:dyDescent="0.25">
      <c r="A887" s="586">
        <v>14112025</v>
      </c>
      <c r="B887" s="13" t="s">
        <v>3880</v>
      </c>
      <c r="C887" s="241" t="s">
        <v>13</v>
      </c>
      <c r="D887" s="587">
        <v>45975</v>
      </c>
      <c r="E887" s="241"/>
      <c r="F887" s="241" t="s">
        <v>545</v>
      </c>
      <c r="H887" s="1145"/>
      <c r="I887" s="1164"/>
      <c r="J887" s="180"/>
      <c r="K887" s="1165"/>
      <c r="L887" s="180"/>
      <c r="M887" s="180"/>
      <c r="T887" s="13" t="s">
        <v>6214</v>
      </c>
      <c r="U887" s="482">
        <v>0.53541666666666665</v>
      </c>
      <c r="V887" s="482">
        <v>0.59097222222222223</v>
      </c>
    </row>
    <row r="888" spans="1:16382" s="926" customFormat="1" x14ac:dyDescent="0.25">
      <c r="A888" s="925">
        <v>14112025</v>
      </c>
      <c r="B888" s="926" t="s">
        <v>3880</v>
      </c>
      <c r="C888" s="928" t="s">
        <v>4218</v>
      </c>
      <c r="D888" s="927">
        <v>45975</v>
      </c>
      <c r="E888" s="928"/>
      <c r="F888" s="928" t="s">
        <v>545</v>
      </c>
      <c r="H888" s="1075" t="s">
        <v>279</v>
      </c>
      <c r="I888" s="1142"/>
      <c r="J888" s="930"/>
      <c r="K888" s="932">
        <v>32284.400000000001</v>
      </c>
      <c r="L888" s="1165"/>
      <c r="M888" s="930"/>
      <c r="T888" s="926" t="s">
        <v>7078</v>
      </c>
      <c r="U888" s="931">
        <v>0.83194444444444438</v>
      </c>
      <c r="V888" s="931">
        <v>0.97291666666666676</v>
      </c>
    </row>
    <row r="889" spans="1:16382" s="926" customFormat="1" x14ac:dyDescent="0.25">
      <c r="A889" s="925">
        <v>15112025</v>
      </c>
      <c r="B889" s="926" t="s">
        <v>930</v>
      </c>
      <c r="C889" s="928" t="s">
        <v>4218</v>
      </c>
      <c r="D889" s="927">
        <v>45976</v>
      </c>
      <c r="E889" s="928"/>
      <c r="F889" s="928" t="s">
        <v>294</v>
      </c>
      <c r="H889" s="1075" t="s">
        <v>279</v>
      </c>
      <c r="I889" s="1142"/>
      <c r="J889" s="930"/>
      <c r="K889" s="932">
        <v>33182</v>
      </c>
      <c r="L889" s="930"/>
      <c r="M889" s="930"/>
      <c r="N889" s="5"/>
      <c r="O889" s="5"/>
      <c r="T889" s="926" t="s">
        <v>5021</v>
      </c>
      <c r="U889" s="931">
        <v>0.42499999999999999</v>
      </c>
      <c r="V889" s="931">
        <v>0.64513888888888882</v>
      </c>
    </row>
    <row r="890" spans="1:16382" s="926" customFormat="1" x14ac:dyDescent="0.25">
      <c r="A890" s="925">
        <v>15112025</v>
      </c>
      <c r="B890" s="926" t="s">
        <v>7262</v>
      </c>
      <c r="C890" s="928" t="s">
        <v>4218</v>
      </c>
      <c r="D890" s="927">
        <v>45976</v>
      </c>
      <c r="E890" s="928"/>
      <c r="F890" s="928" t="s">
        <v>68</v>
      </c>
      <c r="H890" s="1075" t="s">
        <v>279</v>
      </c>
      <c r="I890" s="1142"/>
      <c r="J890" s="930"/>
      <c r="K890" s="932">
        <v>42480</v>
      </c>
      <c r="L890" s="930"/>
      <c r="M890" s="930"/>
      <c r="N890" s="5"/>
      <c r="O890" s="5"/>
      <c r="T890" s="926" t="s">
        <v>4140</v>
      </c>
      <c r="U890" s="931">
        <v>0.75347222222222221</v>
      </c>
      <c r="V890" s="931">
        <v>1.3888888888888889E-3</v>
      </c>
    </row>
    <row r="891" spans="1:16382" s="926" customFormat="1" x14ac:dyDescent="0.25">
      <c r="A891" s="925">
        <v>15112025</v>
      </c>
      <c r="B891" s="926" t="s">
        <v>7247</v>
      </c>
      <c r="C891" s="928" t="s">
        <v>615</v>
      </c>
      <c r="D891" s="927">
        <v>45976</v>
      </c>
      <c r="E891" s="928"/>
      <c r="F891" s="928" t="s">
        <v>563</v>
      </c>
      <c r="H891" s="1075" t="s">
        <v>279</v>
      </c>
      <c r="I891" s="1142"/>
      <c r="J891" s="930"/>
      <c r="K891" s="932">
        <v>27700</v>
      </c>
      <c r="L891" s="930"/>
      <c r="M891" s="930"/>
      <c r="N891" s="5"/>
      <c r="O891" s="5"/>
      <c r="T891" s="926" t="s">
        <v>7261</v>
      </c>
      <c r="U891" s="931">
        <v>0.40277777777777773</v>
      </c>
      <c r="V891" s="931">
        <v>0.57916666666666672</v>
      </c>
    </row>
    <row r="892" spans="1:16382" s="926" customFormat="1" x14ac:dyDescent="0.25">
      <c r="A892" s="925">
        <v>15112025</v>
      </c>
      <c r="B892" s="926" t="s">
        <v>2422</v>
      </c>
      <c r="C892" s="928" t="s">
        <v>615</v>
      </c>
      <c r="D892" s="927">
        <v>45976</v>
      </c>
      <c r="E892" s="928"/>
      <c r="F892" s="928" t="s">
        <v>68</v>
      </c>
      <c r="H892" s="1075" t="s">
        <v>279</v>
      </c>
      <c r="I892" s="1142"/>
      <c r="J892" s="930"/>
      <c r="K892" s="932">
        <v>44000</v>
      </c>
      <c r="L892" s="930"/>
      <c r="M892" s="930"/>
      <c r="N892" s="5"/>
      <c r="O892" s="5"/>
      <c r="T892" s="926" t="s">
        <v>7261</v>
      </c>
      <c r="U892" s="931">
        <v>0.63958333333333328</v>
      </c>
      <c r="V892" s="931">
        <v>0.87638888888888899</v>
      </c>
    </row>
    <row r="893" spans="1:16382" s="926" customFormat="1" x14ac:dyDescent="0.25">
      <c r="A893" s="925">
        <v>16112025</v>
      </c>
      <c r="B893" s="926" t="s">
        <v>7247</v>
      </c>
      <c r="C893" s="928" t="s">
        <v>4218</v>
      </c>
      <c r="D893" s="927">
        <v>45977</v>
      </c>
      <c r="E893" s="928"/>
      <c r="F893" s="928" t="s">
        <v>563</v>
      </c>
      <c r="H893" s="1075" t="s">
        <v>279</v>
      </c>
      <c r="I893" s="1142"/>
      <c r="J893" s="930"/>
      <c r="K893" s="932">
        <v>27700</v>
      </c>
      <c r="L893" s="930"/>
      <c r="M893" s="930"/>
      <c r="N893" s="5"/>
      <c r="O893" s="5"/>
      <c r="T893" s="926" t="s">
        <v>5131</v>
      </c>
      <c r="U893" s="931">
        <v>0.26041666666666669</v>
      </c>
      <c r="V893" s="931">
        <v>0.42430555555555555</v>
      </c>
    </row>
    <row r="894" spans="1:16382" s="33" customFormat="1" x14ac:dyDescent="0.25">
      <c r="A894" s="547">
        <v>16112025</v>
      </c>
      <c r="B894" s="33" t="s">
        <v>5093</v>
      </c>
      <c r="C894" s="306" t="s">
        <v>4218</v>
      </c>
      <c r="D894" s="548">
        <v>45977</v>
      </c>
      <c r="E894" s="306"/>
      <c r="F894" s="306" t="s">
        <v>5326</v>
      </c>
      <c r="H894" s="1109" t="s">
        <v>279</v>
      </c>
      <c r="I894" s="1146"/>
      <c r="J894" s="279"/>
      <c r="K894" s="933">
        <v>34500</v>
      </c>
      <c r="L894" s="279"/>
      <c r="M894" s="279"/>
      <c r="T894" s="33" t="s">
        <v>5131</v>
      </c>
      <c r="U894" s="550">
        <v>0.47361111111111115</v>
      </c>
      <c r="V894" s="550">
        <v>0.70624999999999993</v>
      </c>
    </row>
    <row r="895" spans="1:16382" s="1193" customFormat="1" x14ac:dyDescent="0.25">
      <c r="A895" s="925">
        <v>16112025</v>
      </c>
      <c r="B895" s="926" t="s">
        <v>930</v>
      </c>
      <c r="C895" s="928" t="s">
        <v>3932</v>
      </c>
      <c r="D895" s="927">
        <v>45977</v>
      </c>
      <c r="E895" s="928"/>
      <c r="F895" s="928" t="s">
        <v>4476</v>
      </c>
      <c r="G895" s="926"/>
      <c r="H895" s="1075" t="s">
        <v>279</v>
      </c>
      <c r="I895" s="1142"/>
      <c r="J895" s="930"/>
      <c r="K895" s="932">
        <v>50976</v>
      </c>
      <c r="L895" s="930"/>
      <c r="M895" s="930"/>
      <c r="N895" s="926"/>
      <c r="O895" s="926"/>
      <c r="P895" s="926"/>
      <c r="Q895" s="926"/>
      <c r="R895" s="926"/>
      <c r="S895" s="931"/>
      <c r="T895" s="931" t="s">
        <v>7264</v>
      </c>
      <c r="U895" s="926">
        <v>0.31736111111111115</v>
      </c>
      <c r="V895" s="926">
        <v>0.71527777777777779</v>
      </c>
      <c r="W895" s="926"/>
      <c r="X895" s="926"/>
      <c r="Y895" s="926"/>
      <c r="Z895" s="926"/>
      <c r="AA895" s="926"/>
      <c r="AB895" s="926"/>
      <c r="AC895" s="926"/>
      <c r="AD895" s="926"/>
      <c r="AE895" s="926"/>
      <c r="AF895" s="926"/>
      <c r="AG895" s="926"/>
      <c r="AH895" s="926"/>
      <c r="AI895" s="926"/>
      <c r="AJ895" s="926"/>
      <c r="AK895" s="926"/>
      <c r="AL895" s="926"/>
      <c r="AM895" s="926"/>
      <c r="AN895" s="926"/>
      <c r="AO895" s="926"/>
      <c r="AP895" s="926"/>
      <c r="AQ895" s="926"/>
      <c r="AR895" s="926"/>
      <c r="AS895" s="926"/>
      <c r="AT895" s="926"/>
      <c r="AU895" s="926"/>
      <c r="AV895" s="926"/>
      <c r="AW895" s="926"/>
      <c r="AX895" s="926"/>
      <c r="AY895" s="926"/>
      <c r="AZ895" s="926"/>
      <c r="BA895" s="926"/>
      <c r="BB895" s="926"/>
      <c r="BC895" s="926"/>
      <c r="BD895" s="926"/>
      <c r="BE895" s="926"/>
      <c r="BF895" s="926"/>
      <c r="BG895" s="926"/>
      <c r="BH895" s="926"/>
      <c r="BI895" s="926"/>
      <c r="BJ895" s="926"/>
      <c r="BK895" s="926"/>
      <c r="BL895" s="926"/>
      <c r="BM895" s="926"/>
      <c r="BN895" s="926"/>
      <c r="BO895" s="926"/>
      <c r="BP895" s="926"/>
      <c r="BQ895" s="926"/>
      <c r="BR895" s="926"/>
      <c r="BS895" s="926"/>
      <c r="BT895" s="926"/>
      <c r="BU895" s="926"/>
      <c r="BV895" s="926"/>
      <c r="BW895" s="926"/>
      <c r="BX895" s="926"/>
      <c r="BY895" s="926"/>
      <c r="BZ895" s="926"/>
      <c r="CA895" s="926"/>
      <c r="CB895" s="926"/>
      <c r="CC895" s="926"/>
      <c r="CD895" s="926"/>
      <c r="CE895" s="926"/>
      <c r="CF895" s="926"/>
      <c r="CG895" s="926"/>
      <c r="CH895" s="926"/>
      <c r="CI895" s="926"/>
      <c r="CJ895" s="926"/>
      <c r="CK895" s="926"/>
      <c r="CL895" s="926"/>
      <c r="CM895" s="926"/>
      <c r="CN895" s="926"/>
      <c r="CO895" s="926"/>
      <c r="CP895" s="926"/>
      <c r="CQ895" s="926"/>
      <c r="CR895" s="926"/>
      <c r="CS895" s="926"/>
      <c r="CT895" s="926"/>
      <c r="CU895" s="926"/>
      <c r="CV895" s="926"/>
      <c r="CW895" s="926"/>
      <c r="CX895" s="926"/>
      <c r="CY895" s="926"/>
      <c r="CZ895" s="926"/>
      <c r="DA895" s="926"/>
      <c r="DB895" s="926"/>
      <c r="DC895" s="926"/>
      <c r="DD895" s="926"/>
      <c r="DE895" s="926"/>
      <c r="DF895" s="926"/>
      <c r="DG895" s="926"/>
      <c r="DH895" s="926"/>
      <c r="DI895" s="926"/>
      <c r="DJ895" s="926"/>
      <c r="DK895" s="926"/>
      <c r="DL895" s="926"/>
      <c r="DM895" s="926"/>
      <c r="DN895" s="926"/>
      <c r="DO895" s="926"/>
      <c r="DP895" s="926"/>
      <c r="DQ895" s="926"/>
      <c r="DR895" s="926"/>
      <c r="DS895" s="926"/>
      <c r="DT895" s="926"/>
      <c r="DU895" s="926"/>
      <c r="DV895" s="926"/>
      <c r="DW895" s="926"/>
      <c r="DX895" s="926"/>
      <c r="DY895" s="926"/>
      <c r="DZ895" s="926"/>
      <c r="EA895" s="926"/>
      <c r="EB895" s="926"/>
      <c r="EC895" s="926"/>
      <c r="ED895" s="926"/>
      <c r="EE895" s="926"/>
      <c r="EF895" s="926"/>
      <c r="EG895" s="926"/>
      <c r="EH895" s="926"/>
      <c r="EI895" s="926"/>
      <c r="EJ895" s="926"/>
      <c r="EK895" s="926"/>
      <c r="EL895" s="926"/>
      <c r="EM895" s="926"/>
      <c r="EN895" s="926"/>
      <c r="EO895" s="926"/>
      <c r="EP895" s="926"/>
      <c r="EQ895" s="926"/>
      <c r="ER895" s="926"/>
      <c r="ES895" s="926"/>
      <c r="ET895" s="926"/>
      <c r="EU895" s="926"/>
      <c r="EV895" s="926"/>
      <c r="EW895" s="926"/>
      <c r="EX895" s="926"/>
      <c r="EY895" s="926"/>
      <c r="EZ895" s="926"/>
      <c r="FA895" s="926"/>
      <c r="FB895" s="926"/>
      <c r="FC895" s="926"/>
      <c r="FD895" s="926"/>
      <c r="FE895" s="926"/>
      <c r="FF895" s="926"/>
      <c r="FG895" s="926"/>
      <c r="FH895" s="926"/>
      <c r="FI895" s="926"/>
      <c r="FJ895" s="926"/>
      <c r="FK895" s="926"/>
      <c r="FL895" s="926"/>
      <c r="FM895" s="926"/>
      <c r="FN895" s="926"/>
      <c r="FO895" s="926"/>
      <c r="FP895" s="926"/>
      <c r="FQ895" s="926"/>
      <c r="FR895" s="926"/>
      <c r="FS895" s="926"/>
      <c r="FT895" s="926"/>
      <c r="FU895" s="926"/>
      <c r="FV895" s="926"/>
      <c r="FW895" s="926"/>
      <c r="FX895" s="926"/>
      <c r="FY895" s="926"/>
      <c r="FZ895" s="926"/>
      <c r="GA895" s="926"/>
      <c r="GB895" s="926"/>
      <c r="GC895" s="926"/>
      <c r="GD895" s="926"/>
      <c r="GE895" s="926"/>
      <c r="GF895" s="926"/>
      <c r="GG895" s="926"/>
      <c r="GH895" s="926"/>
      <c r="GI895" s="926"/>
      <c r="GJ895" s="926"/>
      <c r="GK895" s="926"/>
      <c r="GL895" s="926"/>
      <c r="GM895" s="926"/>
      <c r="GN895" s="926"/>
      <c r="GO895" s="926"/>
      <c r="GP895" s="926"/>
      <c r="GQ895" s="926"/>
      <c r="GR895" s="926"/>
      <c r="GS895" s="926"/>
      <c r="GT895" s="926"/>
      <c r="GU895" s="926"/>
      <c r="GV895" s="926"/>
      <c r="GW895" s="926"/>
      <c r="GX895" s="926"/>
      <c r="GY895" s="926"/>
      <c r="GZ895" s="926"/>
      <c r="HA895" s="926"/>
      <c r="HB895" s="926"/>
      <c r="HC895" s="926"/>
      <c r="HD895" s="926"/>
      <c r="HE895" s="926"/>
      <c r="HF895" s="926"/>
      <c r="HG895" s="926"/>
      <c r="HH895" s="926"/>
      <c r="HI895" s="926"/>
      <c r="HJ895" s="926"/>
      <c r="HK895" s="926"/>
      <c r="HL895" s="926"/>
      <c r="HM895" s="926"/>
      <c r="HN895" s="926"/>
      <c r="HO895" s="926"/>
      <c r="HP895" s="926"/>
      <c r="HQ895" s="926"/>
      <c r="HR895" s="926"/>
      <c r="HS895" s="926"/>
      <c r="HT895" s="926"/>
      <c r="HU895" s="926"/>
      <c r="HV895" s="926"/>
      <c r="HW895" s="926"/>
      <c r="HX895" s="926"/>
      <c r="HY895" s="926"/>
      <c r="HZ895" s="926"/>
      <c r="IA895" s="926"/>
      <c r="IB895" s="926"/>
      <c r="IC895" s="926"/>
      <c r="ID895" s="926"/>
      <c r="IE895" s="926"/>
      <c r="IF895" s="926"/>
      <c r="IG895" s="926"/>
      <c r="IH895" s="926"/>
      <c r="II895" s="926"/>
      <c r="IJ895" s="926"/>
      <c r="IK895" s="926"/>
      <c r="IL895" s="926"/>
      <c r="IM895" s="926"/>
      <c r="IN895" s="926"/>
      <c r="IO895" s="926"/>
      <c r="IP895" s="926"/>
      <c r="IQ895" s="926"/>
      <c r="IR895" s="926"/>
      <c r="IS895" s="926"/>
      <c r="IT895" s="926"/>
      <c r="IU895" s="926"/>
      <c r="IV895" s="926"/>
      <c r="IW895" s="926"/>
      <c r="IX895" s="926"/>
      <c r="IY895" s="926"/>
      <c r="IZ895" s="926"/>
      <c r="JA895" s="926"/>
      <c r="JB895" s="926"/>
      <c r="JC895" s="926"/>
      <c r="JD895" s="926"/>
      <c r="JE895" s="926"/>
      <c r="JF895" s="926"/>
      <c r="JG895" s="926"/>
      <c r="JH895" s="926"/>
      <c r="JI895" s="926"/>
      <c r="JJ895" s="926"/>
      <c r="JK895" s="926"/>
      <c r="JL895" s="926"/>
      <c r="JM895" s="926"/>
      <c r="JN895" s="926"/>
      <c r="JO895" s="926"/>
      <c r="JP895" s="926"/>
      <c r="JQ895" s="926"/>
      <c r="JR895" s="926"/>
      <c r="JS895" s="926"/>
      <c r="JT895" s="926"/>
      <c r="JU895" s="926"/>
      <c r="JV895" s="926"/>
      <c r="JW895" s="926"/>
      <c r="JX895" s="926"/>
      <c r="JY895" s="926"/>
      <c r="JZ895" s="926"/>
      <c r="KA895" s="926"/>
      <c r="KB895" s="926"/>
      <c r="KC895" s="926"/>
      <c r="KD895" s="926"/>
      <c r="KE895" s="926"/>
      <c r="KF895" s="926"/>
      <c r="KG895" s="926"/>
      <c r="KH895" s="926"/>
      <c r="KI895" s="926"/>
      <c r="KJ895" s="926"/>
      <c r="KK895" s="926"/>
      <c r="KL895" s="926"/>
      <c r="KM895" s="926"/>
      <c r="KN895" s="926"/>
      <c r="KO895" s="926"/>
      <c r="KP895" s="926"/>
      <c r="KQ895" s="926"/>
      <c r="KR895" s="926"/>
      <c r="KS895" s="926"/>
      <c r="KT895" s="926"/>
      <c r="KU895" s="926"/>
      <c r="KV895" s="926"/>
      <c r="KW895" s="926"/>
      <c r="KX895" s="926"/>
      <c r="KY895" s="926"/>
      <c r="KZ895" s="926"/>
      <c r="LA895" s="926"/>
      <c r="LB895" s="926"/>
      <c r="LC895" s="926"/>
      <c r="LD895" s="926"/>
      <c r="LE895" s="926"/>
      <c r="LF895" s="926"/>
      <c r="LG895" s="926"/>
      <c r="LH895" s="926"/>
      <c r="LI895" s="926"/>
      <c r="LJ895" s="926"/>
      <c r="LK895" s="926"/>
      <c r="LL895" s="926"/>
      <c r="LM895" s="926"/>
      <c r="LN895" s="926"/>
      <c r="LO895" s="926"/>
      <c r="LP895" s="926"/>
      <c r="LQ895" s="926"/>
      <c r="LR895" s="926"/>
      <c r="LS895" s="926"/>
      <c r="LT895" s="926"/>
      <c r="LU895" s="926"/>
      <c r="LV895" s="926"/>
      <c r="LW895" s="926"/>
      <c r="LX895" s="926"/>
      <c r="LY895" s="926"/>
      <c r="LZ895" s="926"/>
      <c r="MA895" s="926"/>
      <c r="MB895" s="926"/>
      <c r="MC895" s="926"/>
      <c r="MD895" s="926"/>
      <c r="ME895" s="926"/>
      <c r="MF895" s="926"/>
      <c r="MG895" s="926"/>
      <c r="MH895" s="926"/>
      <c r="MI895" s="926"/>
      <c r="MJ895" s="926"/>
      <c r="MK895" s="926"/>
      <c r="ML895" s="926"/>
      <c r="MM895" s="926"/>
      <c r="MN895" s="926"/>
      <c r="MO895" s="926"/>
      <c r="MP895" s="926"/>
      <c r="MQ895" s="926"/>
      <c r="MR895" s="926"/>
      <c r="MS895" s="926"/>
      <c r="MT895" s="926"/>
      <c r="MU895" s="926"/>
      <c r="MV895" s="926"/>
      <c r="MW895" s="926"/>
      <c r="MX895" s="926"/>
      <c r="MY895" s="926"/>
      <c r="MZ895" s="926"/>
      <c r="NA895" s="926"/>
      <c r="NB895" s="926"/>
      <c r="NC895" s="926"/>
      <c r="ND895" s="926"/>
      <c r="NE895" s="926"/>
      <c r="NF895" s="926"/>
      <c r="NG895" s="926"/>
      <c r="NH895" s="926"/>
      <c r="NI895" s="926"/>
      <c r="NJ895" s="926"/>
      <c r="NK895" s="926"/>
      <c r="NL895" s="926"/>
      <c r="NM895" s="926"/>
      <c r="NN895" s="926"/>
      <c r="NO895" s="926"/>
      <c r="NP895" s="926"/>
      <c r="NQ895" s="926"/>
      <c r="NR895" s="926"/>
      <c r="NS895" s="926"/>
      <c r="NT895" s="926"/>
      <c r="NU895" s="926"/>
      <c r="NV895" s="926"/>
      <c r="NW895" s="926"/>
      <c r="NX895" s="926"/>
      <c r="NY895" s="926"/>
      <c r="NZ895" s="926"/>
      <c r="OA895" s="926"/>
      <c r="OB895" s="926"/>
      <c r="OC895" s="926"/>
      <c r="OD895" s="926"/>
      <c r="OE895" s="926"/>
      <c r="OF895" s="926"/>
      <c r="OG895" s="926"/>
      <c r="OH895" s="926"/>
      <c r="OI895" s="926"/>
      <c r="OJ895" s="926"/>
      <c r="OK895" s="926"/>
      <c r="OL895" s="926"/>
      <c r="OM895" s="926"/>
      <c r="ON895" s="926"/>
      <c r="OO895" s="926"/>
      <c r="OP895" s="926"/>
      <c r="OQ895" s="926"/>
      <c r="OR895" s="926"/>
      <c r="OS895" s="926"/>
      <c r="OT895" s="926"/>
      <c r="OU895" s="926"/>
      <c r="OV895" s="926"/>
      <c r="OW895" s="926"/>
      <c r="OX895" s="926"/>
      <c r="OY895" s="926"/>
      <c r="OZ895" s="926"/>
      <c r="PA895" s="926"/>
      <c r="PB895" s="926"/>
      <c r="PC895" s="926"/>
      <c r="PD895" s="926"/>
      <c r="PE895" s="926"/>
      <c r="PF895" s="926"/>
      <c r="PG895" s="926"/>
      <c r="PH895" s="926"/>
      <c r="PI895" s="926"/>
      <c r="PJ895" s="926"/>
      <c r="PK895" s="926"/>
      <c r="PL895" s="926"/>
      <c r="PM895" s="926"/>
      <c r="PN895" s="926"/>
      <c r="PO895" s="926"/>
      <c r="PP895" s="926"/>
      <c r="PQ895" s="926"/>
      <c r="PR895" s="926"/>
      <c r="PS895" s="926"/>
      <c r="PT895" s="926"/>
      <c r="PU895" s="926"/>
      <c r="PV895" s="926"/>
      <c r="PW895" s="926"/>
      <c r="PX895" s="926"/>
      <c r="PY895" s="926"/>
      <c r="PZ895" s="926"/>
      <c r="QA895" s="926"/>
      <c r="QB895" s="926"/>
      <c r="QC895" s="926"/>
      <c r="QD895" s="926"/>
      <c r="QE895" s="926"/>
      <c r="QF895" s="926"/>
      <c r="QG895" s="926"/>
      <c r="QH895" s="926"/>
      <c r="QI895" s="926"/>
      <c r="QJ895" s="926"/>
      <c r="QK895" s="926"/>
      <c r="QL895" s="926"/>
      <c r="QM895" s="926"/>
      <c r="QN895" s="926"/>
      <c r="QO895" s="926"/>
      <c r="QP895" s="926"/>
      <c r="QQ895" s="926"/>
      <c r="QR895" s="926"/>
      <c r="QS895" s="926"/>
      <c r="QT895" s="926"/>
      <c r="QU895" s="926"/>
      <c r="QV895" s="926"/>
      <c r="QW895" s="926"/>
      <c r="QX895" s="926"/>
      <c r="QY895" s="926"/>
      <c r="QZ895" s="926"/>
      <c r="RA895" s="926"/>
      <c r="RB895" s="926"/>
      <c r="RC895" s="926"/>
      <c r="RD895" s="926"/>
      <c r="RE895" s="926"/>
      <c r="RF895" s="926"/>
      <c r="RG895" s="926"/>
      <c r="RH895" s="926"/>
      <c r="RI895" s="926"/>
      <c r="RJ895" s="926"/>
      <c r="RK895" s="926"/>
      <c r="RL895" s="926"/>
      <c r="RM895" s="926"/>
      <c r="RN895" s="926"/>
      <c r="RO895" s="926"/>
      <c r="RP895" s="926"/>
      <c r="RQ895" s="926"/>
      <c r="RR895" s="926"/>
      <c r="RS895" s="926"/>
      <c r="RT895" s="926"/>
      <c r="RU895" s="926"/>
      <c r="RV895" s="926"/>
      <c r="RW895" s="926"/>
      <c r="RX895" s="926"/>
      <c r="RY895" s="926"/>
      <c r="RZ895" s="926"/>
      <c r="SA895" s="926"/>
      <c r="SB895" s="926"/>
      <c r="SC895" s="926"/>
      <c r="SD895" s="926"/>
      <c r="SE895" s="926"/>
      <c r="SF895" s="926"/>
      <c r="SG895" s="926"/>
      <c r="SH895" s="926"/>
      <c r="SI895" s="926"/>
      <c r="SJ895" s="926"/>
      <c r="SK895" s="926"/>
      <c r="SL895" s="926"/>
      <c r="SM895" s="926"/>
      <c r="SN895" s="926"/>
      <c r="SO895" s="926"/>
      <c r="SP895" s="926"/>
      <c r="SQ895" s="926"/>
      <c r="SR895" s="926"/>
      <c r="SS895" s="926"/>
      <c r="ST895" s="926"/>
      <c r="SU895" s="926"/>
      <c r="SV895" s="926"/>
      <c r="SW895" s="926"/>
      <c r="SX895" s="926"/>
      <c r="SY895" s="926"/>
      <c r="SZ895" s="926"/>
      <c r="TA895" s="926"/>
      <c r="TB895" s="926"/>
      <c r="TC895" s="926"/>
      <c r="TD895" s="926"/>
      <c r="TE895" s="926"/>
      <c r="TF895" s="926"/>
      <c r="TG895" s="926"/>
      <c r="TH895" s="926"/>
      <c r="TI895" s="926"/>
      <c r="TJ895" s="926"/>
      <c r="TK895" s="926"/>
      <c r="TL895" s="926"/>
      <c r="TM895" s="926"/>
      <c r="TN895" s="926"/>
      <c r="TO895" s="926"/>
      <c r="TP895" s="926"/>
      <c r="TQ895" s="926"/>
      <c r="TR895" s="926"/>
      <c r="TS895" s="926"/>
      <c r="TT895" s="926"/>
      <c r="TU895" s="926"/>
      <c r="TV895" s="926"/>
      <c r="TW895" s="926"/>
      <c r="TX895" s="926"/>
      <c r="TY895" s="926"/>
      <c r="TZ895" s="926"/>
      <c r="UA895" s="926"/>
      <c r="UB895" s="926"/>
      <c r="UC895" s="926"/>
      <c r="UD895" s="926"/>
      <c r="UE895" s="926"/>
      <c r="UF895" s="926"/>
      <c r="UG895" s="926"/>
      <c r="UH895" s="926"/>
      <c r="UI895" s="926"/>
      <c r="UJ895" s="926"/>
      <c r="UK895" s="926"/>
      <c r="UL895" s="926"/>
      <c r="UM895" s="926"/>
      <c r="UN895" s="926"/>
      <c r="UO895" s="926"/>
      <c r="UP895" s="926"/>
      <c r="UQ895" s="926"/>
      <c r="UR895" s="926"/>
      <c r="US895" s="926"/>
      <c r="UT895" s="926"/>
      <c r="UU895" s="926"/>
      <c r="UV895" s="926"/>
      <c r="UW895" s="926"/>
      <c r="UX895" s="926"/>
      <c r="UY895" s="926"/>
      <c r="UZ895" s="926"/>
      <c r="VA895" s="926"/>
      <c r="VB895" s="926"/>
      <c r="VC895" s="926"/>
      <c r="VD895" s="926"/>
      <c r="VE895" s="926"/>
      <c r="VF895" s="926"/>
      <c r="VG895" s="926"/>
      <c r="VH895" s="926"/>
      <c r="VI895" s="926"/>
      <c r="VJ895" s="926"/>
      <c r="VK895" s="926"/>
      <c r="VL895" s="926"/>
      <c r="VM895" s="926"/>
      <c r="VN895" s="926"/>
      <c r="VO895" s="926"/>
      <c r="VP895" s="926"/>
      <c r="VQ895" s="926"/>
      <c r="VR895" s="926"/>
      <c r="VS895" s="926"/>
      <c r="VT895" s="926"/>
      <c r="VU895" s="926"/>
      <c r="VV895" s="926"/>
      <c r="VW895" s="926"/>
      <c r="VX895" s="926"/>
      <c r="VY895" s="926"/>
      <c r="VZ895" s="926"/>
      <c r="WA895" s="926"/>
      <c r="WB895" s="926"/>
      <c r="WC895" s="926"/>
      <c r="WD895" s="926"/>
      <c r="WE895" s="926"/>
      <c r="WF895" s="926"/>
      <c r="WG895" s="926"/>
      <c r="WH895" s="926"/>
      <c r="WI895" s="926"/>
      <c r="WJ895" s="926"/>
      <c r="WK895" s="926"/>
      <c r="WL895" s="926"/>
      <c r="WM895" s="926"/>
      <c r="WN895" s="926"/>
      <c r="WO895" s="926"/>
      <c r="WP895" s="926"/>
      <c r="WQ895" s="926"/>
      <c r="WR895" s="926"/>
      <c r="WS895" s="926"/>
      <c r="WT895" s="926"/>
      <c r="WU895" s="926"/>
      <c r="WV895" s="926"/>
      <c r="WW895" s="926"/>
      <c r="WX895" s="926"/>
      <c r="WY895" s="926"/>
      <c r="WZ895" s="926"/>
      <c r="XA895" s="926"/>
      <c r="XB895" s="926"/>
      <c r="XC895" s="926"/>
      <c r="XD895" s="926"/>
      <c r="XE895" s="926"/>
      <c r="XF895" s="926"/>
      <c r="XG895" s="926"/>
      <c r="XH895" s="926"/>
      <c r="XI895" s="926"/>
      <c r="XJ895" s="926"/>
      <c r="XK895" s="926"/>
      <c r="XL895" s="926"/>
      <c r="XM895" s="926"/>
      <c r="XN895" s="926"/>
      <c r="XO895" s="926"/>
      <c r="XP895" s="926"/>
      <c r="XQ895" s="926"/>
      <c r="XR895" s="926"/>
      <c r="XS895" s="926"/>
      <c r="XT895" s="926"/>
      <c r="XU895" s="926"/>
      <c r="XV895" s="926"/>
      <c r="XW895" s="926"/>
      <c r="XX895" s="926"/>
      <c r="XY895" s="926"/>
      <c r="XZ895" s="926"/>
      <c r="YA895" s="926"/>
      <c r="YB895" s="926"/>
      <c r="YC895" s="926"/>
      <c r="YD895" s="926"/>
      <c r="YE895" s="926"/>
      <c r="YF895" s="926"/>
      <c r="YG895" s="926"/>
      <c r="YH895" s="926"/>
      <c r="YI895" s="926"/>
      <c r="YJ895" s="926"/>
      <c r="YK895" s="926"/>
      <c r="YL895" s="926"/>
      <c r="YM895" s="926"/>
      <c r="YN895" s="926"/>
      <c r="YO895" s="926"/>
      <c r="YP895" s="926"/>
      <c r="YQ895" s="926"/>
      <c r="YR895" s="926"/>
      <c r="YS895" s="926"/>
      <c r="YT895" s="926"/>
      <c r="YU895" s="926"/>
      <c r="YV895" s="926"/>
      <c r="YW895" s="926"/>
      <c r="YX895" s="926"/>
      <c r="YY895" s="926"/>
      <c r="YZ895" s="926"/>
      <c r="ZA895" s="926"/>
      <c r="ZB895" s="926"/>
      <c r="ZC895" s="926"/>
      <c r="ZD895" s="926"/>
      <c r="ZE895" s="926"/>
      <c r="ZF895" s="926"/>
      <c r="ZG895" s="926"/>
      <c r="ZH895" s="926"/>
      <c r="ZI895" s="926"/>
      <c r="ZJ895" s="926"/>
      <c r="ZK895" s="926"/>
      <c r="ZL895" s="926"/>
      <c r="ZM895" s="926"/>
      <c r="ZN895" s="926"/>
      <c r="ZO895" s="926"/>
      <c r="ZP895" s="926"/>
      <c r="ZQ895" s="926"/>
      <c r="ZR895" s="926"/>
      <c r="ZS895" s="926"/>
      <c r="ZT895" s="926"/>
      <c r="ZU895" s="926"/>
      <c r="ZV895" s="926"/>
      <c r="ZW895" s="926"/>
      <c r="ZX895" s="926"/>
      <c r="ZY895" s="926"/>
      <c r="ZZ895" s="926"/>
      <c r="AAA895" s="926"/>
      <c r="AAB895" s="926"/>
      <c r="AAC895" s="926"/>
      <c r="AAD895" s="926"/>
      <c r="AAE895" s="926"/>
      <c r="AAF895" s="926"/>
      <c r="AAG895" s="926"/>
      <c r="AAH895" s="926"/>
      <c r="AAI895" s="926"/>
      <c r="AAJ895" s="926"/>
      <c r="AAK895" s="926"/>
      <c r="AAL895" s="926"/>
      <c r="AAM895" s="926"/>
      <c r="AAN895" s="926"/>
      <c r="AAO895" s="926"/>
      <c r="AAP895" s="926"/>
      <c r="AAQ895" s="926"/>
      <c r="AAR895" s="926"/>
      <c r="AAS895" s="926"/>
      <c r="AAT895" s="926"/>
      <c r="AAU895" s="926"/>
      <c r="AAV895" s="926"/>
      <c r="AAW895" s="926"/>
      <c r="AAX895" s="926"/>
      <c r="AAY895" s="926"/>
      <c r="AAZ895" s="926"/>
      <c r="ABA895" s="926"/>
      <c r="ABB895" s="926"/>
      <c r="ABC895" s="926"/>
      <c r="ABD895" s="926"/>
      <c r="ABE895" s="926"/>
      <c r="ABF895" s="926"/>
      <c r="ABG895" s="926"/>
      <c r="ABH895" s="926"/>
      <c r="ABI895" s="926"/>
      <c r="ABJ895" s="926"/>
      <c r="ABK895" s="926"/>
      <c r="ABL895" s="926"/>
      <c r="ABM895" s="926"/>
      <c r="ABN895" s="926"/>
      <c r="ABO895" s="926"/>
      <c r="ABP895" s="926"/>
      <c r="ABQ895" s="926"/>
      <c r="ABR895" s="926"/>
      <c r="ABS895" s="926"/>
      <c r="ABT895" s="926"/>
      <c r="ABU895" s="926"/>
      <c r="ABV895" s="926"/>
      <c r="ABW895" s="926"/>
      <c r="ABX895" s="926"/>
      <c r="ABY895" s="926"/>
      <c r="ABZ895" s="926"/>
      <c r="ACA895" s="926"/>
      <c r="ACB895" s="926"/>
      <c r="ACC895" s="926"/>
      <c r="ACD895" s="926"/>
      <c r="ACE895" s="926"/>
      <c r="ACF895" s="926"/>
      <c r="ACG895" s="926"/>
      <c r="ACH895" s="926"/>
      <c r="ACI895" s="926"/>
      <c r="ACJ895" s="926"/>
      <c r="ACK895" s="926"/>
      <c r="ACL895" s="926"/>
      <c r="ACM895" s="926"/>
      <c r="ACN895" s="926"/>
      <c r="ACO895" s="926"/>
      <c r="ACP895" s="926"/>
      <c r="ACQ895" s="926"/>
      <c r="ACR895" s="926"/>
      <c r="ACS895" s="926"/>
      <c r="ACT895" s="926"/>
      <c r="ACU895" s="926"/>
      <c r="ACV895" s="926"/>
      <c r="ACW895" s="926"/>
      <c r="ACX895" s="926"/>
      <c r="ACY895" s="926"/>
      <c r="ACZ895" s="926"/>
      <c r="ADA895" s="926"/>
      <c r="ADB895" s="926"/>
      <c r="ADC895" s="926"/>
      <c r="ADD895" s="926"/>
      <c r="ADE895" s="926"/>
      <c r="ADF895" s="926"/>
      <c r="ADG895" s="926"/>
      <c r="ADH895" s="926"/>
      <c r="ADI895" s="926"/>
      <c r="ADJ895" s="926"/>
      <c r="ADK895" s="926"/>
      <c r="ADL895" s="926"/>
      <c r="ADM895" s="926"/>
      <c r="ADN895" s="926"/>
      <c r="ADO895" s="926"/>
      <c r="ADP895" s="926"/>
      <c r="ADQ895" s="926"/>
      <c r="ADR895" s="926"/>
      <c r="ADS895" s="926"/>
      <c r="ADT895" s="926"/>
      <c r="ADU895" s="926"/>
      <c r="ADV895" s="926"/>
      <c r="ADW895" s="926"/>
      <c r="ADX895" s="926"/>
      <c r="ADY895" s="926"/>
      <c r="ADZ895" s="926"/>
      <c r="AEA895" s="926"/>
      <c r="AEB895" s="926"/>
      <c r="AEC895" s="926"/>
      <c r="AED895" s="926"/>
      <c r="AEE895" s="926"/>
      <c r="AEF895" s="926"/>
      <c r="AEG895" s="926"/>
      <c r="AEH895" s="926"/>
      <c r="AEI895" s="926"/>
      <c r="AEJ895" s="926"/>
      <c r="AEK895" s="926"/>
      <c r="AEL895" s="926"/>
      <c r="AEM895" s="926"/>
      <c r="AEN895" s="926"/>
      <c r="AEO895" s="926"/>
      <c r="AEP895" s="926"/>
      <c r="AEQ895" s="926"/>
      <c r="AER895" s="926"/>
      <c r="AES895" s="926"/>
      <c r="AET895" s="926"/>
      <c r="AEU895" s="926"/>
      <c r="AEV895" s="926"/>
      <c r="AEW895" s="926"/>
      <c r="AEX895" s="926"/>
      <c r="AEY895" s="926"/>
      <c r="AEZ895" s="926"/>
      <c r="AFA895" s="926"/>
      <c r="AFB895" s="926"/>
      <c r="AFC895" s="926"/>
      <c r="AFD895" s="926"/>
      <c r="AFE895" s="926"/>
      <c r="AFF895" s="926"/>
      <c r="AFG895" s="926"/>
      <c r="AFH895" s="926"/>
      <c r="AFI895" s="926"/>
      <c r="AFJ895" s="926"/>
      <c r="AFK895" s="926"/>
      <c r="AFL895" s="926"/>
      <c r="AFM895" s="926"/>
      <c r="AFN895" s="926"/>
      <c r="AFO895" s="926"/>
      <c r="AFP895" s="926"/>
      <c r="AFQ895" s="926"/>
      <c r="AFR895" s="926"/>
      <c r="AFS895" s="926"/>
      <c r="AFT895" s="926"/>
      <c r="AFU895" s="926"/>
      <c r="AFV895" s="926"/>
      <c r="AFW895" s="926"/>
      <c r="AFX895" s="926"/>
      <c r="AFY895" s="926"/>
      <c r="AFZ895" s="926"/>
      <c r="AGA895" s="926"/>
      <c r="AGB895" s="926"/>
      <c r="AGC895" s="926"/>
      <c r="AGD895" s="926"/>
      <c r="AGE895" s="926"/>
      <c r="AGF895" s="926"/>
      <c r="AGG895" s="926"/>
      <c r="AGH895" s="926"/>
      <c r="AGI895" s="926"/>
      <c r="AGJ895" s="926"/>
      <c r="AGK895" s="926"/>
      <c r="AGL895" s="926"/>
      <c r="AGM895" s="926"/>
      <c r="AGN895" s="926"/>
      <c r="AGO895" s="926"/>
      <c r="AGP895" s="926"/>
      <c r="AGQ895" s="926"/>
      <c r="AGR895" s="926"/>
      <c r="AGS895" s="926"/>
      <c r="AGT895" s="926"/>
      <c r="AGU895" s="926"/>
      <c r="AGV895" s="926"/>
      <c r="AGW895" s="926"/>
      <c r="AGX895" s="926"/>
      <c r="AGY895" s="926"/>
      <c r="AGZ895" s="926"/>
      <c r="AHA895" s="926"/>
      <c r="AHB895" s="926"/>
      <c r="AHC895" s="926"/>
      <c r="AHD895" s="926"/>
      <c r="AHE895" s="926"/>
      <c r="AHF895" s="926"/>
      <c r="AHG895" s="926"/>
      <c r="AHH895" s="926"/>
      <c r="AHI895" s="926"/>
      <c r="AHJ895" s="926"/>
      <c r="AHK895" s="926"/>
      <c r="AHL895" s="926"/>
      <c r="AHM895" s="926"/>
      <c r="AHN895" s="926"/>
      <c r="AHO895" s="926"/>
      <c r="AHP895" s="926"/>
      <c r="AHQ895" s="926"/>
      <c r="AHR895" s="926"/>
      <c r="AHS895" s="926"/>
      <c r="AHT895" s="926"/>
      <c r="AHU895" s="926"/>
      <c r="AHV895" s="926"/>
      <c r="AHW895" s="926"/>
      <c r="AHX895" s="926"/>
      <c r="AHY895" s="926"/>
      <c r="AHZ895" s="926"/>
      <c r="AIA895" s="926"/>
      <c r="AIB895" s="926"/>
      <c r="AIC895" s="926"/>
      <c r="AID895" s="926"/>
      <c r="AIE895" s="926"/>
      <c r="AIF895" s="926"/>
      <c r="AIG895" s="926"/>
      <c r="AIH895" s="926"/>
      <c r="AII895" s="926"/>
      <c r="AIJ895" s="926"/>
      <c r="AIK895" s="926"/>
      <c r="AIL895" s="926"/>
      <c r="AIM895" s="926"/>
      <c r="AIN895" s="926"/>
      <c r="AIO895" s="926"/>
      <c r="AIP895" s="926"/>
      <c r="AIQ895" s="926"/>
      <c r="AIR895" s="926"/>
      <c r="AIS895" s="926"/>
      <c r="AIT895" s="926"/>
      <c r="AIU895" s="926"/>
      <c r="AIV895" s="926"/>
      <c r="AIW895" s="926"/>
      <c r="AIX895" s="926"/>
      <c r="AIY895" s="926"/>
      <c r="AIZ895" s="926"/>
      <c r="AJA895" s="926"/>
      <c r="AJB895" s="926"/>
      <c r="AJC895" s="926"/>
      <c r="AJD895" s="926"/>
      <c r="AJE895" s="926"/>
      <c r="AJF895" s="926"/>
      <c r="AJG895" s="926"/>
      <c r="AJH895" s="926"/>
      <c r="AJI895" s="926"/>
      <c r="AJJ895" s="926"/>
      <c r="AJK895" s="926"/>
      <c r="AJL895" s="926"/>
      <c r="AJM895" s="926"/>
      <c r="AJN895" s="926"/>
      <c r="AJO895" s="926"/>
      <c r="AJP895" s="926"/>
      <c r="AJQ895" s="926"/>
      <c r="AJR895" s="926"/>
      <c r="AJS895" s="926"/>
      <c r="AJT895" s="926"/>
      <c r="AJU895" s="926"/>
      <c r="AJV895" s="926"/>
      <c r="AJW895" s="926"/>
      <c r="AJX895" s="926"/>
      <c r="AJY895" s="926"/>
      <c r="AJZ895" s="926"/>
      <c r="AKA895" s="926"/>
      <c r="AKB895" s="926"/>
      <c r="AKC895" s="926"/>
      <c r="AKD895" s="926"/>
      <c r="AKE895" s="926"/>
      <c r="AKF895" s="926"/>
      <c r="AKG895" s="926"/>
      <c r="AKH895" s="926"/>
      <c r="AKI895" s="926"/>
      <c r="AKJ895" s="926"/>
      <c r="AKK895" s="926"/>
      <c r="AKL895" s="926"/>
      <c r="AKM895" s="926"/>
      <c r="AKN895" s="926"/>
      <c r="AKO895" s="926"/>
      <c r="AKP895" s="926"/>
      <c r="AKQ895" s="926"/>
      <c r="AKR895" s="926"/>
      <c r="AKS895" s="926"/>
      <c r="AKT895" s="926"/>
      <c r="AKU895" s="926"/>
      <c r="AKV895" s="926"/>
      <c r="AKW895" s="926"/>
      <c r="AKX895" s="926"/>
      <c r="AKY895" s="926"/>
      <c r="AKZ895" s="926"/>
      <c r="ALA895" s="926"/>
      <c r="ALB895" s="926"/>
      <c r="ALC895" s="926"/>
      <c r="ALD895" s="926"/>
      <c r="ALE895" s="926"/>
      <c r="ALF895" s="926"/>
      <c r="ALG895" s="926"/>
      <c r="ALH895" s="926"/>
      <c r="ALI895" s="926"/>
      <c r="ALJ895" s="926"/>
      <c r="ALK895" s="926"/>
      <c r="ALL895" s="926"/>
      <c r="ALM895" s="926"/>
      <c r="ALN895" s="926"/>
      <c r="ALO895" s="926"/>
      <c r="ALP895" s="926"/>
      <c r="ALQ895" s="926"/>
      <c r="ALR895" s="926"/>
      <c r="ALS895" s="926"/>
      <c r="ALT895" s="926"/>
      <c r="ALU895" s="926"/>
      <c r="ALV895" s="926"/>
      <c r="ALW895" s="926"/>
      <c r="ALX895" s="926"/>
      <c r="ALY895" s="926"/>
      <c r="ALZ895" s="926"/>
      <c r="AMA895" s="926"/>
      <c r="AMB895" s="926"/>
      <c r="AMC895" s="926"/>
      <c r="AMD895" s="926"/>
      <c r="AME895" s="926"/>
      <c r="AMF895" s="926"/>
      <c r="AMG895" s="926"/>
      <c r="AMH895" s="926"/>
      <c r="AMI895" s="926"/>
      <c r="AMJ895" s="926"/>
      <c r="AMK895" s="926"/>
      <c r="AML895" s="926"/>
      <c r="AMM895" s="926"/>
      <c r="AMN895" s="926"/>
      <c r="AMO895" s="926"/>
      <c r="AMP895" s="926"/>
      <c r="AMQ895" s="926"/>
      <c r="AMR895" s="926"/>
      <c r="AMS895" s="926"/>
      <c r="AMT895" s="926"/>
      <c r="AMU895" s="926"/>
      <c r="AMV895" s="926"/>
      <c r="AMW895" s="926"/>
      <c r="AMX895" s="926"/>
      <c r="AMY895" s="926"/>
      <c r="AMZ895" s="926"/>
      <c r="ANA895" s="926"/>
      <c r="ANB895" s="926"/>
      <c r="ANC895" s="926"/>
      <c r="AND895" s="926"/>
      <c r="ANE895" s="926"/>
      <c r="ANF895" s="926"/>
      <c r="ANG895" s="926"/>
      <c r="ANH895" s="926"/>
      <c r="ANI895" s="926"/>
      <c r="ANJ895" s="926"/>
      <c r="ANK895" s="926"/>
      <c r="ANL895" s="926"/>
      <c r="ANM895" s="926"/>
      <c r="ANN895" s="926"/>
      <c r="ANO895" s="926"/>
      <c r="ANP895" s="926"/>
      <c r="ANQ895" s="926"/>
      <c r="ANR895" s="926"/>
      <c r="ANS895" s="926"/>
      <c r="ANT895" s="926"/>
      <c r="ANU895" s="926"/>
      <c r="ANV895" s="926"/>
      <c r="ANW895" s="926"/>
      <c r="ANX895" s="926"/>
      <c r="ANY895" s="926"/>
      <c r="ANZ895" s="926"/>
      <c r="AOA895" s="926"/>
      <c r="AOB895" s="926"/>
      <c r="AOC895" s="926"/>
      <c r="AOD895" s="926"/>
      <c r="AOE895" s="926"/>
      <c r="AOF895" s="926"/>
      <c r="AOG895" s="926"/>
      <c r="AOH895" s="926"/>
      <c r="AOI895" s="926"/>
      <c r="AOJ895" s="926"/>
      <c r="AOK895" s="926"/>
      <c r="AOL895" s="926"/>
      <c r="AOM895" s="926"/>
      <c r="AON895" s="926"/>
      <c r="AOO895" s="926"/>
      <c r="AOP895" s="926"/>
      <c r="AOQ895" s="926"/>
      <c r="AOR895" s="926"/>
      <c r="AOS895" s="926"/>
      <c r="AOT895" s="926"/>
      <c r="AOU895" s="926"/>
      <c r="AOV895" s="926"/>
      <c r="AOW895" s="926"/>
      <c r="AOX895" s="926"/>
      <c r="AOY895" s="926"/>
      <c r="AOZ895" s="926"/>
      <c r="APA895" s="926"/>
      <c r="APB895" s="926"/>
      <c r="APC895" s="926"/>
      <c r="APD895" s="926"/>
      <c r="APE895" s="926"/>
      <c r="APF895" s="926"/>
      <c r="APG895" s="926"/>
      <c r="APH895" s="926"/>
      <c r="API895" s="926"/>
      <c r="APJ895" s="926"/>
      <c r="APK895" s="926"/>
      <c r="APL895" s="926"/>
      <c r="APM895" s="926"/>
      <c r="APN895" s="926"/>
      <c r="APO895" s="926"/>
      <c r="APP895" s="926"/>
      <c r="APQ895" s="926"/>
      <c r="APR895" s="926"/>
      <c r="APS895" s="926"/>
      <c r="APT895" s="926"/>
      <c r="APU895" s="926"/>
      <c r="APV895" s="926"/>
      <c r="APW895" s="926"/>
      <c r="APX895" s="926"/>
      <c r="APY895" s="926"/>
      <c r="APZ895" s="926"/>
      <c r="AQA895" s="926"/>
      <c r="AQB895" s="926"/>
      <c r="AQC895" s="926"/>
      <c r="AQD895" s="926"/>
      <c r="AQE895" s="926"/>
      <c r="AQF895" s="926"/>
      <c r="AQG895" s="926"/>
      <c r="AQH895" s="926"/>
      <c r="AQI895" s="926"/>
      <c r="AQJ895" s="926"/>
      <c r="AQK895" s="926"/>
      <c r="AQL895" s="926"/>
      <c r="AQM895" s="926"/>
      <c r="AQN895" s="926"/>
      <c r="AQO895" s="926"/>
      <c r="AQP895" s="926"/>
      <c r="AQQ895" s="926"/>
      <c r="AQR895" s="926"/>
      <c r="AQS895" s="926"/>
      <c r="AQT895" s="926"/>
      <c r="AQU895" s="926"/>
      <c r="AQV895" s="926"/>
      <c r="AQW895" s="926"/>
      <c r="AQX895" s="926"/>
      <c r="AQY895" s="926"/>
      <c r="AQZ895" s="926"/>
      <c r="ARA895" s="926"/>
      <c r="ARB895" s="926"/>
      <c r="ARC895" s="926"/>
      <c r="ARD895" s="926"/>
      <c r="ARE895" s="926"/>
      <c r="ARF895" s="926"/>
      <c r="ARG895" s="926"/>
      <c r="ARH895" s="926"/>
      <c r="ARI895" s="926"/>
      <c r="ARJ895" s="926"/>
      <c r="ARK895" s="926"/>
      <c r="ARL895" s="926"/>
      <c r="ARM895" s="926"/>
      <c r="ARN895" s="926"/>
      <c r="ARO895" s="926"/>
      <c r="ARP895" s="926"/>
      <c r="ARQ895" s="926"/>
      <c r="ARR895" s="926"/>
      <c r="ARS895" s="926"/>
      <c r="ART895" s="926"/>
      <c r="ARU895" s="926"/>
      <c r="ARV895" s="926"/>
      <c r="ARW895" s="926"/>
      <c r="ARX895" s="926"/>
      <c r="ARY895" s="926"/>
      <c r="ARZ895" s="926"/>
      <c r="ASA895" s="926"/>
      <c r="ASB895" s="926"/>
      <c r="ASC895" s="926"/>
      <c r="ASD895" s="926"/>
      <c r="ASE895" s="926"/>
      <c r="ASF895" s="926"/>
      <c r="ASG895" s="926"/>
      <c r="ASH895" s="926"/>
      <c r="ASI895" s="926"/>
      <c r="ASJ895" s="926"/>
      <c r="ASK895" s="926"/>
      <c r="ASL895" s="926"/>
      <c r="ASM895" s="926"/>
      <c r="ASN895" s="926"/>
      <c r="ASO895" s="926"/>
      <c r="ASP895" s="926"/>
      <c r="ASQ895" s="926"/>
      <c r="ASR895" s="926"/>
      <c r="ASS895" s="926"/>
      <c r="AST895" s="926"/>
      <c r="ASU895" s="926"/>
      <c r="ASV895" s="926"/>
      <c r="ASW895" s="926"/>
      <c r="ASX895" s="926"/>
      <c r="ASY895" s="926"/>
      <c r="ASZ895" s="926"/>
      <c r="ATA895" s="926"/>
      <c r="ATB895" s="926"/>
      <c r="ATC895" s="926"/>
      <c r="ATD895" s="926"/>
      <c r="ATE895" s="926"/>
      <c r="ATF895" s="926"/>
      <c r="ATG895" s="926"/>
      <c r="ATH895" s="926"/>
      <c r="ATI895" s="926"/>
      <c r="ATJ895" s="926"/>
      <c r="ATK895" s="926"/>
      <c r="ATL895" s="926"/>
      <c r="ATM895" s="926"/>
      <c r="ATN895" s="926"/>
      <c r="ATO895" s="926"/>
      <c r="ATP895" s="926"/>
      <c r="ATQ895" s="926"/>
      <c r="ATR895" s="926"/>
      <c r="ATS895" s="926"/>
      <c r="ATT895" s="926"/>
      <c r="ATU895" s="926"/>
      <c r="ATV895" s="926"/>
      <c r="ATW895" s="926"/>
      <c r="ATX895" s="926"/>
      <c r="ATY895" s="926"/>
      <c r="ATZ895" s="926"/>
      <c r="AUA895" s="926"/>
      <c r="AUB895" s="926"/>
      <c r="AUC895" s="926"/>
      <c r="AUD895" s="926"/>
      <c r="AUE895" s="926"/>
      <c r="AUF895" s="926"/>
      <c r="AUG895" s="926"/>
      <c r="AUH895" s="926"/>
      <c r="AUI895" s="926"/>
      <c r="AUJ895" s="926"/>
      <c r="AUK895" s="926"/>
      <c r="AUL895" s="926"/>
      <c r="AUM895" s="926"/>
      <c r="AUN895" s="926"/>
      <c r="AUO895" s="926"/>
      <c r="AUP895" s="926"/>
      <c r="AUQ895" s="926"/>
      <c r="AUR895" s="926"/>
      <c r="AUS895" s="926"/>
      <c r="AUT895" s="926"/>
      <c r="AUU895" s="926"/>
      <c r="AUV895" s="926"/>
      <c r="AUW895" s="926"/>
      <c r="AUX895" s="926"/>
      <c r="AUY895" s="926"/>
      <c r="AUZ895" s="926"/>
      <c r="AVA895" s="926"/>
      <c r="AVB895" s="926"/>
      <c r="AVC895" s="926"/>
      <c r="AVD895" s="926"/>
      <c r="AVE895" s="926"/>
      <c r="AVF895" s="926"/>
      <c r="AVG895" s="926"/>
      <c r="AVH895" s="926"/>
      <c r="AVI895" s="926"/>
      <c r="AVJ895" s="926"/>
      <c r="AVK895" s="926"/>
      <c r="AVL895" s="926"/>
      <c r="AVM895" s="926"/>
      <c r="AVN895" s="926"/>
      <c r="AVO895" s="926"/>
      <c r="AVP895" s="926"/>
      <c r="AVQ895" s="926"/>
      <c r="AVR895" s="926"/>
      <c r="AVS895" s="926"/>
      <c r="AVT895" s="926"/>
      <c r="AVU895" s="926"/>
      <c r="AVV895" s="926"/>
      <c r="AVW895" s="926"/>
      <c r="AVX895" s="926"/>
      <c r="AVY895" s="926"/>
      <c r="AVZ895" s="926"/>
      <c r="AWA895" s="926"/>
      <c r="AWB895" s="926"/>
      <c r="AWC895" s="926"/>
      <c r="AWD895" s="926"/>
      <c r="AWE895" s="926"/>
      <c r="AWF895" s="926"/>
      <c r="AWG895" s="926"/>
      <c r="AWH895" s="926"/>
      <c r="AWI895" s="926"/>
      <c r="AWJ895" s="926"/>
      <c r="AWK895" s="926"/>
      <c r="AWL895" s="926"/>
      <c r="AWM895" s="926"/>
      <c r="AWN895" s="926"/>
      <c r="AWO895" s="926"/>
      <c r="AWP895" s="926"/>
      <c r="AWQ895" s="926"/>
      <c r="AWR895" s="926"/>
      <c r="AWS895" s="926"/>
      <c r="AWT895" s="926"/>
      <c r="AWU895" s="926"/>
      <c r="AWV895" s="926"/>
      <c r="AWW895" s="926"/>
      <c r="AWX895" s="926"/>
      <c r="AWY895" s="926"/>
      <c r="AWZ895" s="926"/>
      <c r="AXA895" s="926"/>
      <c r="AXB895" s="926"/>
      <c r="AXC895" s="926"/>
      <c r="AXD895" s="926"/>
      <c r="AXE895" s="926"/>
      <c r="AXF895" s="926"/>
      <c r="AXG895" s="926"/>
      <c r="AXH895" s="926"/>
      <c r="AXI895" s="926"/>
      <c r="AXJ895" s="926"/>
      <c r="AXK895" s="926"/>
      <c r="AXL895" s="926"/>
      <c r="AXM895" s="926"/>
      <c r="AXN895" s="926"/>
      <c r="AXO895" s="926"/>
      <c r="AXP895" s="926"/>
      <c r="AXQ895" s="926"/>
      <c r="AXR895" s="926"/>
      <c r="AXS895" s="926"/>
      <c r="AXT895" s="926"/>
      <c r="AXU895" s="926"/>
      <c r="AXV895" s="926"/>
      <c r="AXW895" s="926"/>
      <c r="AXX895" s="926"/>
      <c r="AXY895" s="926"/>
      <c r="AXZ895" s="926"/>
      <c r="AYA895" s="926"/>
      <c r="AYB895" s="926"/>
      <c r="AYC895" s="926"/>
      <c r="AYD895" s="926"/>
      <c r="AYE895" s="926"/>
      <c r="AYF895" s="926"/>
      <c r="AYG895" s="926"/>
      <c r="AYH895" s="926"/>
      <c r="AYI895" s="926"/>
      <c r="AYJ895" s="926"/>
      <c r="AYK895" s="926"/>
      <c r="AYL895" s="926"/>
      <c r="AYM895" s="926"/>
      <c r="AYN895" s="926"/>
      <c r="AYO895" s="926"/>
      <c r="AYP895" s="926"/>
      <c r="AYQ895" s="926"/>
      <c r="AYR895" s="926"/>
      <c r="AYS895" s="926"/>
      <c r="AYT895" s="926"/>
      <c r="AYU895" s="926"/>
      <c r="AYV895" s="926"/>
      <c r="AYW895" s="926"/>
      <c r="AYX895" s="926"/>
      <c r="AYY895" s="926"/>
      <c r="AYZ895" s="926"/>
      <c r="AZA895" s="926"/>
      <c r="AZB895" s="926"/>
      <c r="AZC895" s="926"/>
      <c r="AZD895" s="926"/>
      <c r="AZE895" s="926"/>
      <c r="AZF895" s="926"/>
      <c r="AZG895" s="926"/>
      <c r="AZH895" s="926"/>
      <c r="AZI895" s="926"/>
      <c r="AZJ895" s="926"/>
      <c r="AZK895" s="926"/>
      <c r="AZL895" s="926"/>
      <c r="AZM895" s="926"/>
      <c r="AZN895" s="926"/>
      <c r="AZO895" s="926"/>
      <c r="AZP895" s="926"/>
      <c r="AZQ895" s="926"/>
      <c r="AZR895" s="926"/>
      <c r="AZS895" s="926"/>
      <c r="AZT895" s="926"/>
      <c r="AZU895" s="926"/>
      <c r="AZV895" s="926"/>
      <c r="AZW895" s="926"/>
      <c r="AZX895" s="926"/>
      <c r="AZY895" s="926"/>
      <c r="AZZ895" s="926"/>
      <c r="BAA895" s="926"/>
      <c r="BAB895" s="926"/>
      <c r="BAC895" s="926"/>
      <c r="BAD895" s="926"/>
      <c r="BAE895" s="926"/>
      <c r="BAF895" s="926"/>
      <c r="BAG895" s="926"/>
      <c r="BAH895" s="926"/>
      <c r="BAI895" s="926"/>
      <c r="BAJ895" s="926"/>
      <c r="BAK895" s="926"/>
      <c r="BAL895" s="926"/>
      <c r="BAM895" s="926"/>
      <c r="BAN895" s="926"/>
      <c r="BAO895" s="926"/>
      <c r="BAP895" s="926"/>
      <c r="BAQ895" s="926"/>
      <c r="BAR895" s="926"/>
      <c r="BAS895" s="926"/>
      <c r="BAT895" s="926"/>
      <c r="BAU895" s="926"/>
      <c r="BAV895" s="926"/>
      <c r="BAW895" s="926"/>
      <c r="BAX895" s="926"/>
      <c r="BAY895" s="926"/>
      <c r="BAZ895" s="926"/>
      <c r="BBA895" s="926"/>
      <c r="BBB895" s="926"/>
      <c r="BBC895" s="926"/>
      <c r="BBD895" s="926"/>
      <c r="BBE895" s="926"/>
      <c r="BBF895" s="926"/>
      <c r="BBG895" s="926"/>
      <c r="BBH895" s="926"/>
      <c r="BBI895" s="926"/>
      <c r="BBJ895" s="926"/>
      <c r="BBK895" s="926"/>
      <c r="BBL895" s="926"/>
      <c r="BBM895" s="926"/>
      <c r="BBN895" s="926"/>
      <c r="BBO895" s="926"/>
      <c r="BBP895" s="926"/>
      <c r="BBQ895" s="926"/>
      <c r="BBR895" s="926"/>
      <c r="BBS895" s="926"/>
      <c r="BBT895" s="926"/>
      <c r="BBU895" s="926"/>
      <c r="BBV895" s="926"/>
      <c r="BBW895" s="926"/>
      <c r="BBX895" s="926"/>
      <c r="BBY895" s="926"/>
      <c r="BBZ895" s="926"/>
      <c r="BCA895" s="926"/>
      <c r="BCB895" s="926"/>
      <c r="BCC895" s="926"/>
      <c r="BCD895" s="926"/>
      <c r="BCE895" s="926"/>
      <c r="BCF895" s="926"/>
      <c r="BCG895" s="926"/>
      <c r="BCH895" s="926"/>
      <c r="BCI895" s="926"/>
      <c r="BCJ895" s="926"/>
      <c r="BCK895" s="926"/>
      <c r="BCL895" s="926"/>
      <c r="BCM895" s="926"/>
      <c r="BCN895" s="926"/>
      <c r="BCO895" s="926"/>
      <c r="BCP895" s="926"/>
      <c r="BCQ895" s="926"/>
      <c r="BCR895" s="926"/>
      <c r="BCS895" s="926"/>
      <c r="BCT895" s="926"/>
      <c r="BCU895" s="926"/>
      <c r="BCV895" s="926"/>
      <c r="BCW895" s="926"/>
      <c r="BCX895" s="926"/>
      <c r="BCY895" s="926"/>
      <c r="BCZ895" s="926"/>
      <c r="BDA895" s="926"/>
      <c r="BDB895" s="926"/>
      <c r="BDC895" s="926"/>
      <c r="BDD895" s="926"/>
      <c r="BDE895" s="926"/>
      <c r="BDF895" s="926"/>
      <c r="BDG895" s="926"/>
      <c r="BDH895" s="926"/>
      <c r="BDI895" s="926"/>
      <c r="BDJ895" s="926"/>
      <c r="BDK895" s="926"/>
      <c r="BDL895" s="926"/>
      <c r="BDM895" s="926"/>
      <c r="BDN895" s="926"/>
      <c r="BDO895" s="926"/>
      <c r="BDP895" s="926"/>
      <c r="BDQ895" s="926"/>
      <c r="BDR895" s="926"/>
      <c r="BDS895" s="926"/>
      <c r="BDT895" s="926"/>
      <c r="BDU895" s="926"/>
      <c r="BDV895" s="926"/>
      <c r="BDW895" s="926"/>
      <c r="BDX895" s="926"/>
      <c r="BDY895" s="926"/>
      <c r="BDZ895" s="926"/>
      <c r="BEA895" s="926"/>
      <c r="BEB895" s="926"/>
      <c r="BEC895" s="926"/>
      <c r="BED895" s="926"/>
      <c r="BEE895" s="926"/>
      <c r="BEF895" s="926"/>
      <c r="BEG895" s="926"/>
      <c r="BEH895" s="926"/>
      <c r="BEI895" s="926"/>
      <c r="BEJ895" s="926"/>
      <c r="BEK895" s="926"/>
      <c r="BEL895" s="926"/>
      <c r="BEM895" s="926"/>
      <c r="BEN895" s="926"/>
      <c r="BEO895" s="926"/>
      <c r="BEP895" s="926"/>
      <c r="BEQ895" s="926"/>
      <c r="BER895" s="926"/>
      <c r="BES895" s="926"/>
      <c r="BET895" s="926"/>
      <c r="BEU895" s="926"/>
      <c r="BEV895" s="926"/>
      <c r="BEW895" s="926"/>
      <c r="BEX895" s="926"/>
      <c r="BEY895" s="926"/>
      <c r="BEZ895" s="926"/>
      <c r="BFA895" s="926"/>
      <c r="BFB895" s="926"/>
      <c r="BFC895" s="926"/>
      <c r="BFD895" s="926"/>
      <c r="BFE895" s="926"/>
      <c r="BFF895" s="926"/>
      <c r="BFG895" s="926"/>
      <c r="BFH895" s="926"/>
      <c r="BFI895" s="926"/>
      <c r="BFJ895" s="926"/>
      <c r="BFK895" s="926"/>
      <c r="BFL895" s="926"/>
      <c r="BFM895" s="926"/>
      <c r="BFN895" s="926"/>
      <c r="BFO895" s="926"/>
      <c r="BFP895" s="926"/>
      <c r="BFQ895" s="926"/>
      <c r="BFR895" s="926"/>
      <c r="BFS895" s="926"/>
      <c r="BFT895" s="926"/>
      <c r="BFU895" s="926"/>
      <c r="BFV895" s="926"/>
      <c r="BFW895" s="926"/>
      <c r="BFX895" s="926"/>
      <c r="BFY895" s="926"/>
      <c r="BFZ895" s="926"/>
      <c r="BGA895" s="926"/>
      <c r="BGB895" s="926"/>
      <c r="BGC895" s="926"/>
      <c r="BGD895" s="926"/>
      <c r="BGE895" s="926"/>
      <c r="BGF895" s="926"/>
      <c r="BGG895" s="926"/>
      <c r="BGH895" s="926"/>
      <c r="BGI895" s="926"/>
      <c r="BGJ895" s="926"/>
      <c r="BGK895" s="926"/>
      <c r="BGL895" s="926"/>
      <c r="BGM895" s="926"/>
      <c r="BGN895" s="926"/>
      <c r="BGO895" s="926"/>
      <c r="BGP895" s="926"/>
      <c r="BGQ895" s="926"/>
      <c r="BGR895" s="926"/>
      <c r="BGS895" s="926"/>
      <c r="BGT895" s="926"/>
      <c r="BGU895" s="926"/>
      <c r="BGV895" s="926"/>
      <c r="BGW895" s="926"/>
      <c r="BGX895" s="926"/>
      <c r="BGY895" s="926"/>
      <c r="BGZ895" s="926"/>
      <c r="BHA895" s="926"/>
      <c r="BHB895" s="926"/>
      <c r="BHC895" s="926"/>
      <c r="BHD895" s="926"/>
      <c r="BHE895" s="926"/>
      <c r="BHF895" s="926"/>
      <c r="BHG895" s="926"/>
      <c r="BHH895" s="926"/>
      <c r="BHI895" s="926"/>
      <c r="BHJ895" s="926"/>
      <c r="BHK895" s="926"/>
      <c r="BHL895" s="926"/>
      <c r="BHM895" s="926"/>
      <c r="BHN895" s="926"/>
      <c r="BHO895" s="926"/>
      <c r="BHP895" s="926"/>
      <c r="BHQ895" s="926"/>
      <c r="BHR895" s="926"/>
      <c r="BHS895" s="926"/>
      <c r="BHT895" s="926"/>
      <c r="BHU895" s="926"/>
      <c r="BHV895" s="926"/>
      <c r="BHW895" s="926"/>
      <c r="BHX895" s="926"/>
      <c r="BHY895" s="926"/>
      <c r="BHZ895" s="926"/>
      <c r="BIA895" s="926"/>
      <c r="BIB895" s="926"/>
      <c r="BIC895" s="926"/>
      <c r="BID895" s="926"/>
      <c r="BIE895" s="926"/>
      <c r="BIF895" s="926"/>
      <c r="BIG895" s="926"/>
      <c r="BIH895" s="926"/>
      <c r="BII895" s="926"/>
      <c r="BIJ895" s="926"/>
      <c r="BIK895" s="926"/>
      <c r="BIL895" s="926"/>
      <c r="BIM895" s="926"/>
      <c r="BIN895" s="926"/>
      <c r="BIO895" s="926"/>
      <c r="BIP895" s="926"/>
      <c r="BIQ895" s="926"/>
      <c r="BIR895" s="926"/>
      <c r="BIS895" s="926"/>
      <c r="BIT895" s="926"/>
      <c r="BIU895" s="926"/>
      <c r="BIV895" s="926"/>
      <c r="BIW895" s="926"/>
      <c r="BIX895" s="926"/>
      <c r="BIY895" s="926"/>
      <c r="BIZ895" s="926"/>
      <c r="BJA895" s="926"/>
      <c r="BJB895" s="926"/>
      <c r="BJC895" s="926"/>
      <c r="BJD895" s="926"/>
      <c r="BJE895" s="926"/>
      <c r="BJF895" s="926"/>
      <c r="BJG895" s="926"/>
      <c r="BJH895" s="926"/>
      <c r="BJI895" s="926"/>
      <c r="BJJ895" s="926"/>
      <c r="BJK895" s="926"/>
      <c r="BJL895" s="926"/>
      <c r="BJM895" s="926"/>
      <c r="BJN895" s="926"/>
      <c r="BJO895" s="926"/>
      <c r="BJP895" s="926"/>
      <c r="BJQ895" s="926"/>
      <c r="BJR895" s="926"/>
      <c r="BJS895" s="926"/>
      <c r="BJT895" s="926"/>
      <c r="BJU895" s="926"/>
      <c r="BJV895" s="926"/>
      <c r="BJW895" s="926"/>
      <c r="BJX895" s="926"/>
      <c r="BJY895" s="926"/>
      <c r="BJZ895" s="926"/>
      <c r="BKA895" s="926"/>
      <c r="BKB895" s="926"/>
      <c r="BKC895" s="926"/>
      <c r="BKD895" s="926"/>
      <c r="BKE895" s="926"/>
      <c r="BKF895" s="926"/>
      <c r="BKG895" s="926"/>
      <c r="BKH895" s="926"/>
      <c r="BKI895" s="926"/>
      <c r="BKJ895" s="926"/>
      <c r="BKK895" s="926"/>
      <c r="BKL895" s="926"/>
      <c r="BKM895" s="926"/>
      <c r="BKN895" s="926"/>
      <c r="BKO895" s="926"/>
      <c r="BKP895" s="926"/>
      <c r="BKQ895" s="926"/>
      <c r="BKR895" s="926"/>
      <c r="BKS895" s="926"/>
      <c r="BKT895" s="926"/>
      <c r="BKU895" s="926"/>
      <c r="BKV895" s="926"/>
      <c r="BKW895" s="926"/>
      <c r="BKX895" s="926"/>
      <c r="BKY895" s="926"/>
      <c r="BKZ895" s="926"/>
      <c r="BLA895" s="926"/>
      <c r="BLB895" s="926"/>
      <c r="BLC895" s="926"/>
      <c r="BLD895" s="926"/>
      <c r="BLE895" s="926"/>
      <c r="BLF895" s="926"/>
      <c r="BLG895" s="926"/>
      <c r="BLH895" s="926"/>
      <c r="BLI895" s="926"/>
      <c r="BLJ895" s="926"/>
      <c r="BLK895" s="926"/>
      <c r="BLL895" s="926"/>
      <c r="BLM895" s="926"/>
      <c r="BLN895" s="926"/>
      <c r="BLO895" s="926"/>
      <c r="BLP895" s="926"/>
      <c r="BLQ895" s="926"/>
      <c r="BLR895" s="926"/>
      <c r="BLS895" s="926"/>
      <c r="BLT895" s="926"/>
      <c r="BLU895" s="926"/>
      <c r="BLV895" s="926"/>
      <c r="BLW895" s="926"/>
      <c r="BLX895" s="926"/>
      <c r="BLY895" s="926"/>
      <c r="BLZ895" s="926"/>
      <c r="BMA895" s="926"/>
      <c r="BMB895" s="926"/>
      <c r="BMC895" s="926"/>
      <c r="BMD895" s="926"/>
      <c r="BME895" s="926"/>
      <c r="BMF895" s="926"/>
      <c r="BMG895" s="926"/>
      <c r="BMH895" s="926"/>
      <c r="BMI895" s="926"/>
      <c r="BMJ895" s="926"/>
      <c r="BMK895" s="926"/>
      <c r="BML895" s="926"/>
      <c r="BMM895" s="926"/>
      <c r="BMN895" s="926"/>
      <c r="BMO895" s="926"/>
      <c r="BMP895" s="926"/>
      <c r="BMQ895" s="926"/>
      <c r="BMR895" s="926"/>
      <c r="BMS895" s="926"/>
      <c r="BMT895" s="926"/>
      <c r="BMU895" s="926"/>
      <c r="BMV895" s="926"/>
      <c r="BMW895" s="926"/>
      <c r="BMX895" s="926"/>
      <c r="BMY895" s="926"/>
      <c r="BMZ895" s="926"/>
      <c r="BNA895" s="926"/>
      <c r="BNB895" s="926"/>
      <c r="BNC895" s="926"/>
      <c r="BND895" s="926"/>
      <c r="BNE895" s="926"/>
      <c r="BNF895" s="926"/>
      <c r="BNG895" s="926"/>
      <c r="BNH895" s="926"/>
      <c r="BNI895" s="926"/>
      <c r="BNJ895" s="926"/>
      <c r="BNK895" s="926"/>
      <c r="BNL895" s="926"/>
      <c r="BNM895" s="926"/>
      <c r="BNN895" s="926"/>
      <c r="BNO895" s="926"/>
      <c r="BNP895" s="926"/>
      <c r="BNQ895" s="926"/>
      <c r="BNR895" s="926"/>
      <c r="BNS895" s="926"/>
      <c r="BNT895" s="926"/>
      <c r="BNU895" s="926"/>
      <c r="BNV895" s="926"/>
      <c r="BNW895" s="926"/>
      <c r="BNX895" s="926"/>
      <c r="BNY895" s="926"/>
      <c r="BNZ895" s="926"/>
      <c r="BOA895" s="926"/>
      <c r="BOB895" s="926"/>
      <c r="BOC895" s="926"/>
      <c r="BOD895" s="926"/>
      <c r="BOE895" s="926"/>
      <c r="BOF895" s="926"/>
      <c r="BOG895" s="926"/>
      <c r="BOH895" s="926"/>
      <c r="BOI895" s="926"/>
      <c r="BOJ895" s="926"/>
      <c r="BOK895" s="926"/>
      <c r="BOL895" s="926"/>
      <c r="BOM895" s="926"/>
      <c r="BON895" s="926"/>
      <c r="BOO895" s="926"/>
      <c r="BOP895" s="926"/>
      <c r="BOQ895" s="926"/>
      <c r="BOR895" s="926"/>
      <c r="BOS895" s="926"/>
      <c r="BOT895" s="926"/>
      <c r="BOU895" s="926"/>
      <c r="BOV895" s="926"/>
      <c r="BOW895" s="926"/>
      <c r="BOX895" s="926"/>
      <c r="BOY895" s="926"/>
      <c r="BOZ895" s="926"/>
      <c r="BPA895" s="926"/>
      <c r="BPB895" s="926"/>
      <c r="BPC895" s="926"/>
      <c r="BPD895" s="926"/>
      <c r="BPE895" s="926"/>
      <c r="BPF895" s="926"/>
      <c r="BPG895" s="926"/>
      <c r="BPH895" s="926"/>
      <c r="BPI895" s="926"/>
      <c r="BPJ895" s="926"/>
      <c r="BPK895" s="926"/>
      <c r="BPL895" s="926"/>
      <c r="BPM895" s="926"/>
      <c r="BPN895" s="926"/>
      <c r="BPO895" s="926"/>
      <c r="BPP895" s="926"/>
      <c r="BPQ895" s="926"/>
      <c r="BPR895" s="926"/>
      <c r="BPS895" s="926"/>
      <c r="BPT895" s="926"/>
      <c r="BPU895" s="926"/>
      <c r="BPV895" s="926"/>
      <c r="BPW895" s="926"/>
      <c r="BPX895" s="926"/>
      <c r="BPY895" s="926"/>
      <c r="BPZ895" s="926"/>
      <c r="BQA895" s="926"/>
      <c r="BQB895" s="926"/>
      <c r="BQC895" s="926"/>
      <c r="BQD895" s="926"/>
      <c r="BQE895" s="926"/>
      <c r="BQF895" s="926"/>
      <c r="BQG895" s="926"/>
      <c r="BQH895" s="926"/>
      <c r="BQI895" s="926"/>
      <c r="BQJ895" s="926"/>
      <c r="BQK895" s="926"/>
      <c r="BQL895" s="926"/>
      <c r="BQM895" s="926"/>
      <c r="BQN895" s="926"/>
      <c r="BQO895" s="926"/>
      <c r="BQP895" s="926"/>
      <c r="BQQ895" s="926"/>
      <c r="BQR895" s="926"/>
      <c r="BQS895" s="926"/>
      <c r="BQT895" s="926"/>
      <c r="BQU895" s="926"/>
      <c r="BQV895" s="926"/>
      <c r="BQW895" s="926"/>
      <c r="BQX895" s="926"/>
      <c r="BQY895" s="926"/>
      <c r="BQZ895" s="926"/>
      <c r="BRA895" s="926"/>
      <c r="BRB895" s="926"/>
      <c r="BRC895" s="926"/>
      <c r="BRD895" s="926"/>
      <c r="BRE895" s="926"/>
      <c r="BRF895" s="926"/>
      <c r="BRG895" s="926"/>
      <c r="BRH895" s="926"/>
      <c r="BRI895" s="926"/>
      <c r="BRJ895" s="926"/>
      <c r="BRK895" s="926"/>
      <c r="BRL895" s="926"/>
      <c r="BRM895" s="926"/>
      <c r="BRN895" s="926"/>
      <c r="BRO895" s="926"/>
      <c r="BRP895" s="926"/>
      <c r="BRQ895" s="926"/>
      <c r="BRR895" s="926"/>
      <c r="BRS895" s="926"/>
      <c r="BRT895" s="926"/>
      <c r="BRU895" s="926"/>
      <c r="BRV895" s="926"/>
      <c r="BRW895" s="926"/>
      <c r="BRX895" s="926"/>
      <c r="BRY895" s="926"/>
      <c r="BRZ895" s="926"/>
      <c r="BSA895" s="926"/>
      <c r="BSB895" s="926"/>
      <c r="BSC895" s="926"/>
      <c r="BSD895" s="926"/>
      <c r="BSE895" s="926"/>
      <c r="BSF895" s="926"/>
      <c r="BSG895" s="926"/>
      <c r="BSH895" s="926"/>
      <c r="BSI895" s="926"/>
      <c r="BSJ895" s="926"/>
      <c r="BSK895" s="926"/>
      <c r="BSL895" s="926"/>
      <c r="BSM895" s="926"/>
      <c r="BSN895" s="926"/>
      <c r="BSO895" s="926"/>
      <c r="BSP895" s="926"/>
      <c r="BSQ895" s="926"/>
      <c r="BSR895" s="926"/>
      <c r="BSS895" s="926"/>
      <c r="BST895" s="926"/>
      <c r="BSU895" s="926"/>
      <c r="BSV895" s="926"/>
      <c r="BSW895" s="926"/>
      <c r="BSX895" s="926"/>
      <c r="BSY895" s="926"/>
      <c r="BSZ895" s="926"/>
      <c r="BTA895" s="926"/>
      <c r="BTB895" s="926"/>
      <c r="BTC895" s="926"/>
      <c r="BTD895" s="926"/>
      <c r="BTE895" s="926"/>
      <c r="BTF895" s="926"/>
      <c r="BTG895" s="926"/>
      <c r="BTH895" s="926"/>
      <c r="BTI895" s="926"/>
      <c r="BTJ895" s="926"/>
      <c r="BTK895" s="926"/>
      <c r="BTL895" s="926"/>
      <c r="BTM895" s="926"/>
      <c r="BTN895" s="926"/>
      <c r="BTO895" s="926"/>
      <c r="BTP895" s="926"/>
      <c r="BTQ895" s="926"/>
      <c r="BTR895" s="926"/>
      <c r="BTS895" s="926"/>
      <c r="BTT895" s="926"/>
      <c r="BTU895" s="926"/>
      <c r="BTV895" s="926"/>
      <c r="BTW895" s="926"/>
      <c r="BTX895" s="926"/>
      <c r="BTY895" s="926"/>
      <c r="BTZ895" s="926"/>
      <c r="BUA895" s="926"/>
      <c r="BUB895" s="926"/>
      <c r="BUC895" s="926"/>
      <c r="BUD895" s="926"/>
      <c r="BUE895" s="926"/>
      <c r="BUF895" s="926"/>
      <c r="BUG895" s="926"/>
      <c r="BUH895" s="926"/>
      <c r="BUI895" s="926"/>
      <c r="BUJ895" s="926"/>
      <c r="BUK895" s="926"/>
      <c r="BUL895" s="926"/>
      <c r="BUM895" s="926"/>
      <c r="BUN895" s="926"/>
      <c r="BUO895" s="926"/>
      <c r="BUP895" s="926"/>
      <c r="BUQ895" s="926"/>
      <c r="BUR895" s="926"/>
      <c r="BUS895" s="926"/>
      <c r="BUT895" s="926"/>
      <c r="BUU895" s="926"/>
      <c r="BUV895" s="926"/>
      <c r="BUW895" s="926"/>
      <c r="BUX895" s="926"/>
      <c r="BUY895" s="926"/>
      <c r="BUZ895" s="926"/>
      <c r="BVA895" s="926"/>
      <c r="BVB895" s="926"/>
      <c r="BVC895" s="926"/>
      <c r="BVD895" s="926"/>
      <c r="BVE895" s="926"/>
      <c r="BVF895" s="926"/>
      <c r="BVG895" s="926"/>
      <c r="BVH895" s="926"/>
      <c r="BVI895" s="926"/>
      <c r="BVJ895" s="926"/>
      <c r="BVK895" s="926"/>
      <c r="BVL895" s="926"/>
      <c r="BVM895" s="926"/>
      <c r="BVN895" s="926"/>
      <c r="BVO895" s="926"/>
      <c r="BVP895" s="926"/>
      <c r="BVQ895" s="926"/>
      <c r="BVR895" s="926"/>
      <c r="BVS895" s="926"/>
      <c r="BVT895" s="926"/>
      <c r="BVU895" s="926"/>
      <c r="BVV895" s="926"/>
      <c r="BVW895" s="926"/>
      <c r="BVX895" s="926"/>
      <c r="BVY895" s="926"/>
      <c r="BVZ895" s="926"/>
      <c r="BWA895" s="926"/>
      <c r="BWB895" s="926"/>
      <c r="BWC895" s="926"/>
      <c r="BWD895" s="926"/>
      <c r="BWE895" s="926"/>
      <c r="BWF895" s="926"/>
      <c r="BWG895" s="926"/>
      <c r="BWH895" s="926"/>
      <c r="BWI895" s="926"/>
      <c r="BWJ895" s="926"/>
      <c r="BWK895" s="926"/>
      <c r="BWL895" s="926"/>
      <c r="BWM895" s="926"/>
      <c r="BWN895" s="926"/>
      <c r="BWO895" s="926"/>
      <c r="BWP895" s="926"/>
      <c r="BWQ895" s="926"/>
      <c r="BWR895" s="926"/>
      <c r="BWS895" s="926"/>
      <c r="BWT895" s="926"/>
      <c r="BWU895" s="926"/>
      <c r="BWV895" s="926"/>
      <c r="BWW895" s="926"/>
      <c r="BWX895" s="926"/>
      <c r="BWY895" s="926"/>
      <c r="BWZ895" s="926"/>
      <c r="BXA895" s="926"/>
      <c r="BXB895" s="926"/>
      <c r="BXC895" s="926"/>
      <c r="BXD895" s="926"/>
      <c r="BXE895" s="926"/>
      <c r="BXF895" s="926"/>
      <c r="BXG895" s="926"/>
      <c r="BXH895" s="926"/>
      <c r="BXI895" s="926"/>
      <c r="BXJ895" s="926"/>
      <c r="BXK895" s="926"/>
      <c r="BXL895" s="926"/>
      <c r="BXM895" s="926"/>
      <c r="BXN895" s="926"/>
      <c r="BXO895" s="926"/>
      <c r="BXP895" s="926"/>
      <c r="BXQ895" s="926"/>
      <c r="BXR895" s="926"/>
      <c r="BXS895" s="926"/>
      <c r="BXT895" s="926"/>
      <c r="BXU895" s="926"/>
      <c r="BXV895" s="926"/>
      <c r="BXW895" s="926"/>
      <c r="BXX895" s="926"/>
      <c r="BXY895" s="926"/>
      <c r="BXZ895" s="926"/>
      <c r="BYA895" s="926"/>
      <c r="BYB895" s="926"/>
      <c r="BYC895" s="926"/>
      <c r="BYD895" s="926"/>
      <c r="BYE895" s="926"/>
      <c r="BYF895" s="926"/>
      <c r="BYG895" s="926"/>
      <c r="BYH895" s="926"/>
      <c r="BYI895" s="926"/>
      <c r="BYJ895" s="926"/>
      <c r="BYK895" s="926"/>
      <c r="BYL895" s="926"/>
      <c r="BYM895" s="926"/>
      <c r="BYN895" s="926"/>
      <c r="BYO895" s="926"/>
      <c r="BYP895" s="926"/>
      <c r="BYQ895" s="926"/>
      <c r="BYR895" s="926"/>
      <c r="BYS895" s="926"/>
      <c r="BYT895" s="926"/>
      <c r="BYU895" s="926"/>
      <c r="BYV895" s="926"/>
      <c r="BYW895" s="926"/>
      <c r="BYX895" s="926"/>
      <c r="BYY895" s="926"/>
      <c r="BYZ895" s="926"/>
      <c r="BZA895" s="926"/>
      <c r="BZB895" s="926"/>
      <c r="BZC895" s="926"/>
      <c r="BZD895" s="926"/>
      <c r="BZE895" s="926"/>
      <c r="BZF895" s="926"/>
      <c r="BZG895" s="926"/>
      <c r="BZH895" s="926"/>
      <c r="BZI895" s="926"/>
      <c r="BZJ895" s="926"/>
      <c r="BZK895" s="926"/>
      <c r="BZL895" s="926"/>
      <c r="BZM895" s="926"/>
      <c r="BZN895" s="926"/>
      <c r="BZO895" s="926"/>
      <c r="BZP895" s="926"/>
      <c r="BZQ895" s="926"/>
      <c r="BZR895" s="926"/>
      <c r="BZS895" s="926"/>
      <c r="BZT895" s="926"/>
      <c r="BZU895" s="926"/>
      <c r="BZV895" s="926"/>
      <c r="BZW895" s="926"/>
      <c r="BZX895" s="926"/>
      <c r="BZY895" s="926"/>
      <c r="BZZ895" s="926"/>
      <c r="CAA895" s="926"/>
      <c r="CAB895" s="926"/>
      <c r="CAC895" s="926"/>
      <c r="CAD895" s="926"/>
      <c r="CAE895" s="926"/>
      <c r="CAF895" s="926"/>
      <c r="CAG895" s="926"/>
      <c r="CAH895" s="926"/>
      <c r="CAI895" s="926"/>
      <c r="CAJ895" s="926"/>
      <c r="CAK895" s="926"/>
      <c r="CAL895" s="926"/>
      <c r="CAM895" s="926"/>
      <c r="CAN895" s="926"/>
      <c r="CAO895" s="926"/>
      <c r="CAP895" s="926"/>
      <c r="CAQ895" s="926"/>
      <c r="CAR895" s="926"/>
      <c r="CAS895" s="926"/>
      <c r="CAT895" s="926"/>
      <c r="CAU895" s="926"/>
      <c r="CAV895" s="926"/>
      <c r="CAW895" s="926"/>
      <c r="CAX895" s="926"/>
      <c r="CAY895" s="926"/>
      <c r="CAZ895" s="926"/>
      <c r="CBA895" s="926"/>
      <c r="CBB895" s="926"/>
      <c r="CBC895" s="926"/>
      <c r="CBD895" s="926"/>
      <c r="CBE895" s="926"/>
      <c r="CBF895" s="926"/>
      <c r="CBG895" s="926"/>
      <c r="CBH895" s="926"/>
      <c r="CBI895" s="926"/>
      <c r="CBJ895" s="926"/>
      <c r="CBK895" s="926"/>
      <c r="CBL895" s="926"/>
      <c r="CBM895" s="926"/>
      <c r="CBN895" s="926"/>
      <c r="CBO895" s="926"/>
      <c r="CBP895" s="926"/>
      <c r="CBQ895" s="926"/>
      <c r="CBR895" s="926"/>
      <c r="CBS895" s="926"/>
      <c r="CBT895" s="926"/>
      <c r="CBU895" s="926"/>
      <c r="CBV895" s="926"/>
      <c r="CBW895" s="926"/>
      <c r="CBX895" s="926"/>
      <c r="CBY895" s="926"/>
      <c r="CBZ895" s="926"/>
      <c r="CCA895" s="926"/>
      <c r="CCB895" s="926"/>
      <c r="CCC895" s="926"/>
      <c r="CCD895" s="926"/>
      <c r="CCE895" s="926"/>
      <c r="CCF895" s="926"/>
      <c r="CCG895" s="926"/>
      <c r="CCH895" s="926"/>
      <c r="CCI895" s="926"/>
      <c r="CCJ895" s="926"/>
      <c r="CCK895" s="926"/>
      <c r="CCL895" s="926"/>
      <c r="CCM895" s="926"/>
      <c r="CCN895" s="926"/>
      <c r="CCO895" s="926"/>
      <c r="CCP895" s="926"/>
      <c r="CCQ895" s="926"/>
      <c r="CCR895" s="926"/>
      <c r="CCS895" s="926"/>
      <c r="CCT895" s="926"/>
      <c r="CCU895" s="926"/>
      <c r="CCV895" s="926"/>
      <c r="CCW895" s="926"/>
      <c r="CCX895" s="926"/>
      <c r="CCY895" s="926"/>
      <c r="CCZ895" s="926"/>
      <c r="CDA895" s="926"/>
      <c r="CDB895" s="926"/>
      <c r="CDC895" s="926"/>
      <c r="CDD895" s="926"/>
      <c r="CDE895" s="926"/>
      <c r="CDF895" s="926"/>
      <c r="CDG895" s="926"/>
      <c r="CDH895" s="926"/>
      <c r="CDI895" s="926"/>
      <c r="CDJ895" s="926"/>
      <c r="CDK895" s="926"/>
      <c r="CDL895" s="926"/>
      <c r="CDM895" s="926"/>
      <c r="CDN895" s="926"/>
      <c r="CDO895" s="926"/>
      <c r="CDP895" s="926"/>
      <c r="CDQ895" s="926"/>
      <c r="CDR895" s="926"/>
      <c r="CDS895" s="926"/>
      <c r="CDT895" s="926"/>
      <c r="CDU895" s="926"/>
      <c r="CDV895" s="926"/>
      <c r="CDW895" s="926"/>
      <c r="CDX895" s="926"/>
      <c r="CDY895" s="926"/>
      <c r="CDZ895" s="926"/>
      <c r="CEA895" s="926"/>
      <c r="CEB895" s="926"/>
      <c r="CEC895" s="926"/>
      <c r="CED895" s="926"/>
      <c r="CEE895" s="926"/>
      <c r="CEF895" s="926"/>
      <c r="CEG895" s="926"/>
      <c r="CEH895" s="926"/>
      <c r="CEI895" s="926"/>
      <c r="CEJ895" s="926"/>
      <c r="CEK895" s="926"/>
      <c r="CEL895" s="926"/>
      <c r="CEM895" s="926"/>
      <c r="CEN895" s="926"/>
      <c r="CEO895" s="926"/>
      <c r="CEP895" s="926"/>
      <c r="CEQ895" s="926"/>
      <c r="CER895" s="926"/>
      <c r="CES895" s="926"/>
      <c r="CET895" s="926"/>
      <c r="CEU895" s="926"/>
      <c r="CEV895" s="926"/>
      <c r="CEW895" s="926"/>
      <c r="CEX895" s="926"/>
      <c r="CEY895" s="926"/>
      <c r="CEZ895" s="926"/>
      <c r="CFA895" s="926"/>
      <c r="CFB895" s="926"/>
      <c r="CFC895" s="926"/>
      <c r="CFD895" s="926"/>
      <c r="CFE895" s="926"/>
      <c r="CFF895" s="926"/>
      <c r="CFG895" s="926"/>
      <c r="CFH895" s="926"/>
      <c r="CFI895" s="926"/>
      <c r="CFJ895" s="926"/>
      <c r="CFK895" s="926"/>
      <c r="CFL895" s="926"/>
      <c r="CFM895" s="926"/>
      <c r="CFN895" s="926"/>
      <c r="CFO895" s="926"/>
      <c r="CFP895" s="926"/>
      <c r="CFQ895" s="926"/>
      <c r="CFR895" s="926"/>
      <c r="CFS895" s="926"/>
      <c r="CFT895" s="926"/>
      <c r="CFU895" s="926"/>
      <c r="CFV895" s="926"/>
      <c r="CFW895" s="926"/>
      <c r="CFX895" s="926"/>
      <c r="CFY895" s="926"/>
      <c r="CFZ895" s="926"/>
      <c r="CGA895" s="926"/>
      <c r="CGB895" s="926"/>
      <c r="CGC895" s="926"/>
      <c r="CGD895" s="926"/>
      <c r="CGE895" s="926"/>
      <c r="CGF895" s="926"/>
      <c r="CGG895" s="926"/>
      <c r="CGH895" s="926"/>
      <c r="CGI895" s="926"/>
      <c r="CGJ895" s="926"/>
      <c r="CGK895" s="926"/>
      <c r="CGL895" s="926"/>
      <c r="CGM895" s="926"/>
      <c r="CGN895" s="926"/>
      <c r="CGO895" s="926"/>
      <c r="CGP895" s="926"/>
      <c r="CGQ895" s="926"/>
      <c r="CGR895" s="926"/>
      <c r="CGS895" s="926"/>
      <c r="CGT895" s="926"/>
      <c r="CGU895" s="926"/>
      <c r="CGV895" s="926"/>
      <c r="CGW895" s="926"/>
      <c r="CGX895" s="926"/>
      <c r="CGY895" s="926"/>
      <c r="CGZ895" s="926"/>
      <c r="CHA895" s="926"/>
      <c r="CHB895" s="926"/>
      <c r="CHC895" s="926"/>
      <c r="CHD895" s="926"/>
      <c r="CHE895" s="926"/>
      <c r="CHF895" s="926"/>
      <c r="CHG895" s="926"/>
      <c r="CHH895" s="926"/>
      <c r="CHI895" s="926"/>
      <c r="CHJ895" s="926"/>
      <c r="CHK895" s="926"/>
      <c r="CHL895" s="926"/>
      <c r="CHM895" s="926"/>
      <c r="CHN895" s="926"/>
      <c r="CHO895" s="926"/>
      <c r="CHP895" s="926"/>
      <c r="CHQ895" s="926"/>
      <c r="CHR895" s="926"/>
      <c r="CHS895" s="926"/>
      <c r="CHT895" s="926"/>
      <c r="CHU895" s="926"/>
      <c r="CHV895" s="926"/>
      <c r="CHW895" s="926"/>
      <c r="CHX895" s="926"/>
      <c r="CHY895" s="926"/>
      <c r="CHZ895" s="926"/>
      <c r="CIA895" s="926"/>
      <c r="CIB895" s="926"/>
      <c r="CIC895" s="926"/>
      <c r="CID895" s="926"/>
      <c r="CIE895" s="926"/>
      <c r="CIF895" s="926"/>
      <c r="CIG895" s="926"/>
      <c r="CIH895" s="926"/>
      <c r="CII895" s="926"/>
      <c r="CIJ895" s="926"/>
      <c r="CIK895" s="926"/>
      <c r="CIL895" s="926"/>
      <c r="CIM895" s="926"/>
      <c r="CIN895" s="926"/>
      <c r="CIO895" s="926"/>
      <c r="CIP895" s="926"/>
      <c r="CIQ895" s="926"/>
      <c r="CIR895" s="926"/>
      <c r="CIS895" s="926"/>
      <c r="CIT895" s="926"/>
      <c r="CIU895" s="926"/>
      <c r="CIV895" s="926"/>
      <c r="CIW895" s="926"/>
      <c r="CIX895" s="926"/>
      <c r="CIY895" s="926"/>
      <c r="CIZ895" s="926"/>
      <c r="CJA895" s="926"/>
      <c r="CJB895" s="926"/>
      <c r="CJC895" s="926"/>
      <c r="CJD895" s="926"/>
      <c r="CJE895" s="926"/>
      <c r="CJF895" s="926"/>
      <c r="CJG895" s="926"/>
      <c r="CJH895" s="926"/>
      <c r="CJI895" s="926"/>
      <c r="CJJ895" s="926"/>
      <c r="CJK895" s="926"/>
      <c r="CJL895" s="926"/>
      <c r="CJM895" s="926"/>
      <c r="CJN895" s="926"/>
      <c r="CJO895" s="926"/>
      <c r="CJP895" s="926"/>
      <c r="CJQ895" s="926"/>
      <c r="CJR895" s="926"/>
      <c r="CJS895" s="926"/>
      <c r="CJT895" s="926"/>
      <c r="CJU895" s="926"/>
      <c r="CJV895" s="926"/>
      <c r="CJW895" s="926"/>
      <c r="CJX895" s="926"/>
      <c r="CJY895" s="926"/>
      <c r="CJZ895" s="926"/>
      <c r="CKA895" s="926"/>
      <c r="CKB895" s="926"/>
      <c r="CKC895" s="926"/>
      <c r="CKD895" s="926"/>
      <c r="CKE895" s="926"/>
      <c r="CKF895" s="926"/>
      <c r="CKG895" s="926"/>
      <c r="CKH895" s="926"/>
      <c r="CKI895" s="926"/>
      <c r="CKJ895" s="926"/>
      <c r="CKK895" s="926"/>
      <c r="CKL895" s="926"/>
      <c r="CKM895" s="926"/>
      <c r="CKN895" s="926"/>
      <c r="CKO895" s="926"/>
      <c r="CKP895" s="926"/>
      <c r="CKQ895" s="926"/>
      <c r="CKR895" s="926"/>
      <c r="CKS895" s="926"/>
      <c r="CKT895" s="926"/>
      <c r="CKU895" s="926"/>
      <c r="CKV895" s="926"/>
      <c r="CKW895" s="926"/>
      <c r="CKX895" s="926"/>
      <c r="CKY895" s="926"/>
      <c r="CKZ895" s="926"/>
      <c r="CLA895" s="926"/>
      <c r="CLB895" s="926"/>
      <c r="CLC895" s="926"/>
      <c r="CLD895" s="926"/>
      <c r="CLE895" s="926"/>
      <c r="CLF895" s="926"/>
      <c r="CLG895" s="926"/>
      <c r="CLH895" s="926"/>
      <c r="CLI895" s="926"/>
      <c r="CLJ895" s="926"/>
      <c r="CLK895" s="926"/>
      <c r="CLL895" s="926"/>
      <c r="CLM895" s="926"/>
      <c r="CLN895" s="926"/>
      <c r="CLO895" s="926"/>
      <c r="CLP895" s="926"/>
      <c r="CLQ895" s="926"/>
      <c r="CLR895" s="926"/>
      <c r="CLS895" s="926"/>
      <c r="CLT895" s="926"/>
      <c r="CLU895" s="926"/>
      <c r="CLV895" s="926"/>
      <c r="CLW895" s="926"/>
      <c r="CLX895" s="926"/>
      <c r="CLY895" s="926"/>
      <c r="CLZ895" s="926"/>
      <c r="CMA895" s="926"/>
      <c r="CMB895" s="926"/>
      <c r="CMC895" s="926"/>
      <c r="CMD895" s="926"/>
      <c r="CME895" s="926"/>
      <c r="CMF895" s="926"/>
      <c r="CMG895" s="926"/>
      <c r="CMH895" s="926"/>
      <c r="CMI895" s="926"/>
      <c r="CMJ895" s="926"/>
      <c r="CMK895" s="926"/>
      <c r="CML895" s="926"/>
      <c r="CMM895" s="926"/>
      <c r="CMN895" s="926"/>
      <c r="CMO895" s="926"/>
      <c r="CMP895" s="926"/>
      <c r="CMQ895" s="926"/>
      <c r="CMR895" s="926"/>
      <c r="CMS895" s="926"/>
      <c r="CMT895" s="926"/>
      <c r="CMU895" s="926"/>
      <c r="CMV895" s="926"/>
      <c r="CMW895" s="926"/>
      <c r="CMX895" s="926"/>
      <c r="CMY895" s="926"/>
      <c r="CMZ895" s="926"/>
      <c r="CNA895" s="926"/>
      <c r="CNB895" s="926"/>
      <c r="CNC895" s="926"/>
      <c r="CND895" s="926"/>
      <c r="CNE895" s="926"/>
      <c r="CNF895" s="926"/>
      <c r="CNG895" s="926"/>
      <c r="CNH895" s="926"/>
      <c r="CNI895" s="926"/>
      <c r="CNJ895" s="926"/>
      <c r="CNK895" s="926"/>
      <c r="CNL895" s="926"/>
      <c r="CNM895" s="926"/>
      <c r="CNN895" s="926"/>
      <c r="CNO895" s="926"/>
      <c r="CNP895" s="926"/>
      <c r="CNQ895" s="926"/>
      <c r="CNR895" s="926"/>
      <c r="CNS895" s="926"/>
      <c r="CNT895" s="926"/>
      <c r="CNU895" s="926"/>
      <c r="CNV895" s="926"/>
      <c r="CNW895" s="926"/>
      <c r="CNX895" s="926"/>
      <c r="CNY895" s="926"/>
      <c r="CNZ895" s="926"/>
      <c r="COA895" s="926"/>
      <c r="COB895" s="926"/>
      <c r="COC895" s="926"/>
      <c r="COD895" s="926"/>
      <c r="COE895" s="926"/>
      <c r="COF895" s="926"/>
      <c r="COG895" s="926"/>
      <c r="COH895" s="926"/>
      <c r="COI895" s="926"/>
      <c r="COJ895" s="926"/>
      <c r="COK895" s="926"/>
      <c r="COL895" s="926"/>
      <c r="COM895" s="926"/>
      <c r="CON895" s="926"/>
      <c r="COO895" s="926"/>
      <c r="COP895" s="926"/>
      <c r="COQ895" s="926"/>
      <c r="COR895" s="926"/>
      <c r="COS895" s="926"/>
      <c r="COT895" s="926"/>
      <c r="COU895" s="926"/>
      <c r="COV895" s="926"/>
      <c r="COW895" s="926"/>
      <c r="COX895" s="926"/>
      <c r="COY895" s="926"/>
      <c r="COZ895" s="926"/>
      <c r="CPA895" s="926"/>
      <c r="CPB895" s="926"/>
      <c r="CPC895" s="926"/>
      <c r="CPD895" s="926"/>
      <c r="CPE895" s="926"/>
      <c r="CPF895" s="926"/>
      <c r="CPG895" s="926"/>
      <c r="CPH895" s="926"/>
      <c r="CPI895" s="926"/>
      <c r="CPJ895" s="926"/>
      <c r="CPK895" s="926"/>
      <c r="CPL895" s="926"/>
      <c r="CPM895" s="926"/>
      <c r="CPN895" s="926"/>
      <c r="CPO895" s="926"/>
      <c r="CPP895" s="926"/>
      <c r="CPQ895" s="926"/>
      <c r="CPR895" s="926"/>
      <c r="CPS895" s="926"/>
      <c r="CPT895" s="926"/>
      <c r="CPU895" s="926"/>
      <c r="CPV895" s="926"/>
      <c r="CPW895" s="926"/>
      <c r="CPX895" s="926"/>
      <c r="CPY895" s="926"/>
      <c r="CPZ895" s="926"/>
      <c r="CQA895" s="926"/>
      <c r="CQB895" s="926"/>
      <c r="CQC895" s="926"/>
      <c r="CQD895" s="926"/>
      <c r="CQE895" s="926"/>
      <c r="CQF895" s="926"/>
      <c r="CQG895" s="926"/>
      <c r="CQH895" s="926"/>
      <c r="CQI895" s="926"/>
      <c r="CQJ895" s="926"/>
      <c r="CQK895" s="926"/>
      <c r="CQL895" s="926"/>
      <c r="CQM895" s="926"/>
      <c r="CQN895" s="926"/>
      <c r="CQO895" s="926"/>
      <c r="CQP895" s="926"/>
      <c r="CQQ895" s="926"/>
      <c r="CQR895" s="926"/>
      <c r="CQS895" s="926"/>
      <c r="CQT895" s="926"/>
      <c r="CQU895" s="926"/>
      <c r="CQV895" s="926"/>
      <c r="CQW895" s="926"/>
      <c r="CQX895" s="926"/>
      <c r="CQY895" s="926"/>
      <c r="CQZ895" s="926"/>
      <c r="CRA895" s="926"/>
      <c r="CRB895" s="926"/>
      <c r="CRC895" s="926"/>
      <c r="CRD895" s="926"/>
      <c r="CRE895" s="926"/>
      <c r="CRF895" s="926"/>
      <c r="CRG895" s="926"/>
      <c r="CRH895" s="926"/>
      <c r="CRI895" s="926"/>
      <c r="CRJ895" s="926"/>
      <c r="CRK895" s="926"/>
      <c r="CRL895" s="926"/>
      <c r="CRM895" s="926"/>
      <c r="CRN895" s="926"/>
      <c r="CRO895" s="926"/>
      <c r="CRP895" s="926"/>
      <c r="CRQ895" s="926"/>
      <c r="CRR895" s="926"/>
      <c r="CRS895" s="926"/>
      <c r="CRT895" s="926"/>
      <c r="CRU895" s="926"/>
      <c r="CRV895" s="926"/>
      <c r="CRW895" s="926"/>
      <c r="CRX895" s="926"/>
      <c r="CRY895" s="926"/>
      <c r="CRZ895" s="926"/>
      <c r="CSA895" s="926"/>
      <c r="CSB895" s="926"/>
      <c r="CSC895" s="926"/>
      <c r="CSD895" s="926"/>
      <c r="CSE895" s="926"/>
      <c r="CSF895" s="926"/>
      <c r="CSG895" s="926"/>
      <c r="CSH895" s="926"/>
      <c r="CSI895" s="926"/>
      <c r="CSJ895" s="926"/>
      <c r="CSK895" s="926"/>
      <c r="CSL895" s="926"/>
      <c r="CSM895" s="926"/>
      <c r="CSN895" s="926"/>
      <c r="CSO895" s="926"/>
      <c r="CSP895" s="926"/>
      <c r="CSQ895" s="926"/>
      <c r="CSR895" s="926"/>
      <c r="CSS895" s="926"/>
      <c r="CST895" s="926"/>
      <c r="CSU895" s="926"/>
      <c r="CSV895" s="926"/>
      <c r="CSW895" s="926"/>
      <c r="CSX895" s="926"/>
      <c r="CSY895" s="926"/>
      <c r="CSZ895" s="926"/>
      <c r="CTA895" s="926"/>
      <c r="CTB895" s="926"/>
      <c r="CTC895" s="926"/>
      <c r="CTD895" s="926"/>
      <c r="CTE895" s="926"/>
      <c r="CTF895" s="926"/>
      <c r="CTG895" s="926"/>
      <c r="CTH895" s="926"/>
      <c r="CTI895" s="926"/>
      <c r="CTJ895" s="926"/>
      <c r="CTK895" s="926"/>
      <c r="CTL895" s="926"/>
      <c r="CTM895" s="926"/>
      <c r="CTN895" s="926"/>
      <c r="CTO895" s="926"/>
      <c r="CTP895" s="926"/>
      <c r="CTQ895" s="926"/>
      <c r="CTR895" s="926"/>
      <c r="CTS895" s="926"/>
      <c r="CTT895" s="926"/>
      <c r="CTU895" s="926"/>
      <c r="CTV895" s="926"/>
      <c r="CTW895" s="926"/>
      <c r="CTX895" s="926"/>
      <c r="CTY895" s="926"/>
      <c r="CTZ895" s="926"/>
      <c r="CUA895" s="926"/>
      <c r="CUB895" s="926"/>
      <c r="CUC895" s="926"/>
      <c r="CUD895" s="926"/>
      <c r="CUE895" s="926"/>
      <c r="CUF895" s="926"/>
      <c r="CUG895" s="926"/>
      <c r="CUH895" s="926"/>
      <c r="CUI895" s="926"/>
      <c r="CUJ895" s="926"/>
      <c r="CUK895" s="926"/>
      <c r="CUL895" s="926"/>
      <c r="CUM895" s="926"/>
      <c r="CUN895" s="926"/>
      <c r="CUO895" s="926"/>
      <c r="CUP895" s="926"/>
      <c r="CUQ895" s="926"/>
      <c r="CUR895" s="926"/>
      <c r="CUS895" s="926"/>
      <c r="CUT895" s="926"/>
      <c r="CUU895" s="926"/>
      <c r="CUV895" s="926"/>
      <c r="CUW895" s="926"/>
      <c r="CUX895" s="926"/>
      <c r="CUY895" s="926"/>
      <c r="CUZ895" s="926"/>
      <c r="CVA895" s="926"/>
      <c r="CVB895" s="926"/>
      <c r="CVC895" s="926"/>
      <c r="CVD895" s="926"/>
      <c r="CVE895" s="926"/>
      <c r="CVF895" s="926"/>
      <c r="CVG895" s="926"/>
      <c r="CVH895" s="926"/>
      <c r="CVI895" s="926"/>
      <c r="CVJ895" s="926"/>
      <c r="CVK895" s="926"/>
      <c r="CVL895" s="926"/>
      <c r="CVM895" s="926"/>
      <c r="CVN895" s="926"/>
      <c r="CVO895" s="926"/>
      <c r="CVP895" s="926"/>
      <c r="CVQ895" s="926"/>
      <c r="CVR895" s="926"/>
      <c r="CVS895" s="926"/>
      <c r="CVT895" s="926"/>
      <c r="CVU895" s="926"/>
      <c r="CVV895" s="926"/>
      <c r="CVW895" s="926"/>
      <c r="CVX895" s="926"/>
      <c r="CVY895" s="926"/>
      <c r="CVZ895" s="926"/>
      <c r="CWA895" s="926"/>
      <c r="CWB895" s="926"/>
      <c r="CWC895" s="926"/>
      <c r="CWD895" s="926"/>
      <c r="CWE895" s="926"/>
      <c r="CWF895" s="926"/>
      <c r="CWG895" s="926"/>
      <c r="CWH895" s="926"/>
      <c r="CWI895" s="926"/>
      <c r="CWJ895" s="926"/>
      <c r="CWK895" s="926"/>
      <c r="CWL895" s="926"/>
      <c r="CWM895" s="926"/>
      <c r="CWN895" s="926"/>
      <c r="CWO895" s="926"/>
      <c r="CWP895" s="926"/>
      <c r="CWQ895" s="926"/>
      <c r="CWR895" s="926"/>
      <c r="CWS895" s="926"/>
      <c r="CWT895" s="926"/>
      <c r="CWU895" s="926"/>
      <c r="CWV895" s="926"/>
      <c r="CWW895" s="926"/>
      <c r="CWX895" s="926"/>
      <c r="CWY895" s="926"/>
      <c r="CWZ895" s="926"/>
      <c r="CXA895" s="926"/>
      <c r="CXB895" s="926"/>
      <c r="CXC895" s="926"/>
      <c r="CXD895" s="926"/>
      <c r="CXE895" s="926"/>
      <c r="CXF895" s="926"/>
      <c r="CXG895" s="926"/>
      <c r="CXH895" s="926"/>
      <c r="CXI895" s="926"/>
      <c r="CXJ895" s="926"/>
      <c r="CXK895" s="926"/>
      <c r="CXL895" s="926"/>
      <c r="CXM895" s="926"/>
      <c r="CXN895" s="926"/>
      <c r="CXO895" s="926"/>
      <c r="CXP895" s="926"/>
      <c r="CXQ895" s="926"/>
      <c r="CXR895" s="926"/>
      <c r="CXS895" s="926"/>
      <c r="CXT895" s="926"/>
      <c r="CXU895" s="926"/>
      <c r="CXV895" s="926"/>
      <c r="CXW895" s="926"/>
      <c r="CXX895" s="926"/>
      <c r="CXY895" s="926"/>
      <c r="CXZ895" s="926"/>
      <c r="CYA895" s="926"/>
      <c r="CYB895" s="926"/>
      <c r="CYC895" s="926"/>
      <c r="CYD895" s="926"/>
      <c r="CYE895" s="926"/>
      <c r="CYF895" s="926"/>
      <c r="CYG895" s="926"/>
      <c r="CYH895" s="926"/>
      <c r="CYI895" s="926"/>
      <c r="CYJ895" s="926"/>
      <c r="CYK895" s="926"/>
      <c r="CYL895" s="926"/>
      <c r="CYM895" s="926"/>
      <c r="CYN895" s="926"/>
      <c r="CYO895" s="926"/>
      <c r="CYP895" s="926"/>
      <c r="CYQ895" s="926"/>
      <c r="CYR895" s="926"/>
      <c r="CYS895" s="926"/>
      <c r="CYT895" s="926"/>
      <c r="CYU895" s="926"/>
      <c r="CYV895" s="926"/>
      <c r="CYW895" s="926"/>
      <c r="CYX895" s="926"/>
      <c r="CYY895" s="926"/>
      <c r="CYZ895" s="926"/>
      <c r="CZA895" s="926"/>
      <c r="CZB895" s="926"/>
      <c r="CZC895" s="926"/>
      <c r="CZD895" s="926"/>
      <c r="CZE895" s="926"/>
      <c r="CZF895" s="926"/>
      <c r="CZG895" s="926"/>
      <c r="CZH895" s="926"/>
      <c r="CZI895" s="926"/>
      <c r="CZJ895" s="926"/>
      <c r="CZK895" s="926"/>
      <c r="CZL895" s="926"/>
      <c r="CZM895" s="926"/>
      <c r="CZN895" s="926"/>
      <c r="CZO895" s="926"/>
      <c r="CZP895" s="926"/>
      <c r="CZQ895" s="926"/>
      <c r="CZR895" s="926"/>
      <c r="CZS895" s="926"/>
      <c r="CZT895" s="926"/>
      <c r="CZU895" s="926"/>
      <c r="CZV895" s="926"/>
      <c r="CZW895" s="926"/>
      <c r="CZX895" s="926"/>
      <c r="CZY895" s="926"/>
      <c r="CZZ895" s="926"/>
      <c r="DAA895" s="926"/>
      <c r="DAB895" s="926"/>
      <c r="DAC895" s="926"/>
      <c r="DAD895" s="926"/>
      <c r="DAE895" s="926"/>
      <c r="DAF895" s="926"/>
      <c r="DAG895" s="926"/>
      <c r="DAH895" s="926"/>
      <c r="DAI895" s="926"/>
      <c r="DAJ895" s="926"/>
      <c r="DAK895" s="926"/>
      <c r="DAL895" s="926"/>
      <c r="DAM895" s="926"/>
      <c r="DAN895" s="926"/>
      <c r="DAO895" s="926"/>
      <c r="DAP895" s="926"/>
      <c r="DAQ895" s="926"/>
      <c r="DAR895" s="926"/>
      <c r="DAS895" s="926"/>
      <c r="DAT895" s="926"/>
      <c r="DAU895" s="926"/>
      <c r="DAV895" s="926"/>
      <c r="DAW895" s="926"/>
      <c r="DAX895" s="926"/>
      <c r="DAY895" s="926"/>
      <c r="DAZ895" s="926"/>
      <c r="DBA895" s="926"/>
      <c r="DBB895" s="926"/>
      <c r="DBC895" s="926"/>
      <c r="DBD895" s="926"/>
      <c r="DBE895" s="926"/>
      <c r="DBF895" s="926"/>
      <c r="DBG895" s="926"/>
      <c r="DBH895" s="926"/>
      <c r="DBI895" s="926"/>
      <c r="DBJ895" s="926"/>
      <c r="DBK895" s="926"/>
      <c r="DBL895" s="926"/>
      <c r="DBM895" s="926"/>
      <c r="DBN895" s="926"/>
      <c r="DBO895" s="926"/>
      <c r="DBP895" s="926"/>
      <c r="DBQ895" s="926"/>
      <c r="DBR895" s="926"/>
      <c r="DBS895" s="926"/>
      <c r="DBT895" s="926"/>
      <c r="DBU895" s="926"/>
      <c r="DBV895" s="926"/>
      <c r="DBW895" s="926"/>
      <c r="DBX895" s="926"/>
      <c r="DBY895" s="926"/>
      <c r="DBZ895" s="926"/>
      <c r="DCA895" s="926"/>
      <c r="DCB895" s="926"/>
      <c r="DCC895" s="926"/>
      <c r="DCD895" s="926"/>
      <c r="DCE895" s="926"/>
      <c r="DCF895" s="926"/>
      <c r="DCG895" s="926"/>
      <c r="DCH895" s="926"/>
      <c r="DCI895" s="926"/>
      <c r="DCJ895" s="926"/>
      <c r="DCK895" s="926"/>
      <c r="DCL895" s="926"/>
      <c r="DCM895" s="926"/>
      <c r="DCN895" s="926"/>
      <c r="DCO895" s="926"/>
      <c r="DCP895" s="926"/>
      <c r="DCQ895" s="926"/>
      <c r="DCR895" s="926"/>
      <c r="DCS895" s="926"/>
      <c r="DCT895" s="926"/>
      <c r="DCU895" s="926"/>
      <c r="DCV895" s="926"/>
      <c r="DCW895" s="926"/>
      <c r="DCX895" s="926"/>
      <c r="DCY895" s="926"/>
      <c r="DCZ895" s="926"/>
      <c r="DDA895" s="926"/>
      <c r="DDB895" s="926"/>
      <c r="DDC895" s="926"/>
      <c r="DDD895" s="926"/>
      <c r="DDE895" s="926"/>
      <c r="DDF895" s="926"/>
      <c r="DDG895" s="926"/>
      <c r="DDH895" s="926"/>
      <c r="DDI895" s="926"/>
      <c r="DDJ895" s="926"/>
      <c r="DDK895" s="926"/>
      <c r="DDL895" s="926"/>
      <c r="DDM895" s="926"/>
      <c r="DDN895" s="926"/>
      <c r="DDO895" s="926"/>
      <c r="DDP895" s="926"/>
      <c r="DDQ895" s="926"/>
      <c r="DDR895" s="926"/>
      <c r="DDS895" s="926"/>
      <c r="DDT895" s="926"/>
      <c r="DDU895" s="926"/>
      <c r="DDV895" s="926"/>
      <c r="DDW895" s="926"/>
      <c r="DDX895" s="926"/>
      <c r="DDY895" s="926"/>
      <c r="DDZ895" s="926"/>
      <c r="DEA895" s="926"/>
      <c r="DEB895" s="926"/>
      <c r="DEC895" s="926"/>
      <c r="DED895" s="926"/>
      <c r="DEE895" s="926"/>
      <c r="DEF895" s="926"/>
      <c r="DEG895" s="926"/>
      <c r="DEH895" s="926"/>
      <c r="DEI895" s="926"/>
      <c r="DEJ895" s="926"/>
      <c r="DEK895" s="926"/>
      <c r="DEL895" s="926"/>
      <c r="DEM895" s="926"/>
      <c r="DEN895" s="926"/>
      <c r="DEO895" s="926"/>
      <c r="DEP895" s="926"/>
      <c r="DEQ895" s="926"/>
      <c r="DER895" s="926"/>
      <c r="DES895" s="926"/>
      <c r="DET895" s="926"/>
      <c r="DEU895" s="926"/>
      <c r="DEV895" s="926"/>
      <c r="DEW895" s="926"/>
      <c r="DEX895" s="926"/>
      <c r="DEY895" s="926"/>
      <c r="DEZ895" s="926"/>
      <c r="DFA895" s="926"/>
      <c r="DFB895" s="926"/>
      <c r="DFC895" s="926"/>
      <c r="DFD895" s="926"/>
      <c r="DFE895" s="926"/>
      <c r="DFF895" s="926"/>
      <c r="DFG895" s="926"/>
      <c r="DFH895" s="926"/>
      <c r="DFI895" s="926"/>
      <c r="DFJ895" s="926"/>
      <c r="DFK895" s="926"/>
      <c r="DFL895" s="926"/>
      <c r="DFM895" s="926"/>
      <c r="DFN895" s="926"/>
      <c r="DFO895" s="926"/>
      <c r="DFP895" s="926"/>
      <c r="DFQ895" s="926"/>
      <c r="DFR895" s="926"/>
      <c r="DFS895" s="926"/>
      <c r="DFT895" s="926"/>
      <c r="DFU895" s="926"/>
      <c r="DFV895" s="926"/>
      <c r="DFW895" s="926"/>
      <c r="DFX895" s="926"/>
      <c r="DFY895" s="926"/>
      <c r="DFZ895" s="926"/>
      <c r="DGA895" s="926"/>
      <c r="DGB895" s="926"/>
      <c r="DGC895" s="926"/>
      <c r="DGD895" s="926"/>
      <c r="DGE895" s="926"/>
      <c r="DGF895" s="926"/>
      <c r="DGG895" s="926"/>
      <c r="DGH895" s="926"/>
      <c r="DGI895" s="926"/>
      <c r="DGJ895" s="926"/>
      <c r="DGK895" s="926"/>
      <c r="DGL895" s="926"/>
      <c r="DGM895" s="926"/>
      <c r="DGN895" s="926"/>
      <c r="DGO895" s="926"/>
      <c r="DGP895" s="926"/>
      <c r="DGQ895" s="926"/>
      <c r="DGR895" s="926"/>
      <c r="DGS895" s="926"/>
      <c r="DGT895" s="926"/>
      <c r="DGU895" s="926"/>
      <c r="DGV895" s="926"/>
      <c r="DGW895" s="926"/>
      <c r="DGX895" s="926"/>
      <c r="DGY895" s="926"/>
      <c r="DGZ895" s="926"/>
      <c r="DHA895" s="926"/>
      <c r="DHB895" s="926"/>
      <c r="DHC895" s="926"/>
      <c r="DHD895" s="926"/>
      <c r="DHE895" s="926"/>
      <c r="DHF895" s="926"/>
      <c r="DHG895" s="926"/>
      <c r="DHH895" s="926"/>
      <c r="DHI895" s="926"/>
      <c r="DHJ895" s="926"/>
      <c r="DHK895" s="926"/>
      <c r="DHL895" s="926"/>
      <c r="DHM895" s="926"/>
      <c r="DHN895" s="926"/>
      <c r="DHO895" s="926"/>
      <c r="DHP895" s="926"/>
      <c r="DHQ895" s="926"/>
      <c r="DHR895" s="926"/>
      <c r="DHS895" s="926"/>
      <c r="DHT895" s="926"/>
      <c r="DHU895" s="926"/>
      <c r="DHV895" s="926"/>
      <c r="DHW895" s="926"/>
      <c r="DHX895" s="926"/>
      <c r="DHY895" s="926"/>
      <c r="DHZ895" s="926"/>
      <c r="DIA895" s="926"/>
      <c r="DIB895" s="926"/>
      <c r="DIC895" s="926"/>
      <c r="DID895" s="926"/>
      <c r="DIE895" s="926"/>
      <c r="DIF895" s="926"/>
      <c r="DIG895" s="926"/>
      <c r="DIH895" s="926"/>
      <c r="DII895" s="926"/>
      <c r="DIJ895" s="926"/>
      <c r="DIK895" s="926"/>
      <c r="DIL895" s="926"/>
      <c r="DIM895" s="926"/>
      <c r="DIN895" s="926"/>
      <c r="DIO895" s="926"/>
      <c r="DIP895" s="926"/>
      <c r="DIQ895" s="926"/>
      <c r="DIR895" s="926"/>
      <c r="DIS895" s="926"/>
      <c r="DIT895" s="926"/>
      <c r="DIU895" s="926"/>
      <c r="DIV895" s="926"/>
      <c r="DIW895" s="926"/>
      <c r="DIX895" s="926"/>
      <c r="DIY895" s="926"/>
      <c r="DIZ895" s="926"/>
      <c r="DJA895" s="926"/>
      <c r="DJB895" s="926"/>
      <c r="DJC895" s="926"/>
      <c r="DJD895" s="926"/>
      <c r="DJE895" s="926"/>
      <c r="DJF895" s="926"/>
      <c r="DJG895" s="926"/>
      <c r="DJH895" s="926"/>
      <c r="DJI895" s="926"/>
      <c r="DJJ895" s="926"/>
      <c r="DJK895" s="926"/>
      <c r="DJL895" s="926"/>
      <c r="DJM895" s="926"/>
      <c r="DJN895" s="926"/>
      <c r="DJO895" s="926"/>
      <c r="DJP895" s="926"/>
      <c r="DJQ895" s="926"/>
      <c r="DJR895" s="926"/>
      <c r="DJS895" s="926"/>
      <c r="DJT895" s="926"/>
      <c r="DJU895" s="926"/>
      <c r="DJV895" s="926"/>
      <c r="DJW895" s="926"/>
      <c r="DJX895" s="926"/>
      <c r="DJY895" s="926"/>
      <c r="DJZ895" s="926"/>
      <c r="DKA895" s="926"/>
      <c r="DKB895" s="926"/>
      <c r="DKC895" s="926"/>
      <c r="DKD895" s="926"/>
      <c r="DKE895" s="926"/>
      <c r="DKF895" s="926"/>
      <c r="DKG895" s="926"/>
      <c r="DKH895" s="926"/>
      <c r="DKI895" s="926"/>
      <c r="DKJ895" s="926"/>
      <c r="DKK895" s="926"/>
      <c r="DKL895" s="926"/>
      <c r="DKM895" s="926"/>
      <c r="DKN895" s="926"/>
      <c r="DKO895" s="926"/>
      <c r="DKP895" s="926"/>
      <c r="DKQ895" s="926"/>
      <c r="DKR895" s="926"/>
      <c r="DKS895" s="926"/>
      <c r="DKT895" s="926"/>
      <c r="DKU895" s="926"/>
      <c r="DKV895" s="926"/>
      <c r="DKW895" s="926"/>
      <c r="DKX895" s="926"/>
      <c r="DKY895" s="926"/>
      <c r="DKZ895" s="926"/>
      <c r="DLA895" s="926"/>
      <c r="DLB895" s="926"/>
      <c r="DLC895" s="926"/>
      <c r="DLD895" s="926"/>
      <c r="DLE895" s="926"/>
      <c r="DLF895" s="926"/>
      <c r="DLG895" s="926"/>
      <c r="DLH895" s="926"/>
      <c r="DLI895" s="926"/>
      <c r="DLJ895" s="926"/>
      <c r="DLK895" s="926"/>
      <c r="DLL895" s="926"/>
      <c r="DLM895" s="926"/>
      <c r="DLN895" s="926"/>
      <c r="DLO895" s="926"/>
      <c r="DLP895" s="926"/>
      <c r="DLQ895" s="926"/>
      <c r="DLR895" s="926"/>
      <c r="DLS895" s="926"/>
      <c r="DLT895" s="926"/>
      <c r="DLU895" s="926"/>
      <c r="DLV895" s="926"/>
      <c r="DLW895" s="926"/>
      <c r="DLX895" s="926"/>
      <c r="DLY895" s="926"/>
      <c r="DLZ895" s="926"/>
      <c r="DMA895" s="926"/>
      <c r="DMB895" s="926"/>
      <c r="DMC895" s="926"/>
      <c r="DMD895" s="926"/>
      <c r="DME895" s="926"/>
      <c r="DMF895" s="926"/>
      <c r="DMG895" s="926"/>
      <c r="DMH895" s="926"/>
      <c r="DMI895" s="926"/>
      <c r="DMJ895" s="926"/>
      <c r="DMK895" s="926"/>
      <c r="DML895" s="926"/>
      <c r="DMM895" s="926"/>
      <c r="DMN895" s="926"/>
      <c r="DMO895" s="926"/>
      <c r="DMP895" s="926"/>
      <c r="DMQ895" s="926"/>
      <c r="DMR895" s="926"/>
      <c r="DMS895" s="926"/>
      <c r="DMT895" s="926"/>
      <c r="DMU895" s="926"/>
      <c r="DMV895" s="926"/>
      <c r="DMW895" s="926"/>
      <c r="DMX895" s="926"/>
      <c r="DMY895" s="926"/>
      <c r="DMZ895" s="926"/>
      <c r="DNA895" s="926"/>
      <c r="DNB895" s="926"/>
      <c r="DNC895" s="926"/>
      <c r="DND895" s="926"/>
      <c r="DNE895" s="926"/>
      <c r="DNF895" s="926"/>
      <c r="DNG895" s="926"/>
      <c r="DNH895" s="926"/>
      <c r="DNI895" s="926"/>
      <c r="DNJ895" s="926"/>
      <c r="DNK895" s="926"/>
      <c r="DNL895" s="926"/>
      <c r="DNM895" s="926"/>
      <c r="DNN895" s="926"/>
      <c r="DNO895" s="926"/>
      <c r="DNP895" s="926"/>
      <c r="DNQ895" s="926"/>
      <c r="DNR895" s="926"/>
      <c r="DNS895" s="926"/>
      <c r="DNT895" s="926"/>
      <c r="DNU895" s="926"/>
      <c r="DNV895" s="926"/>
      <c r="DNW895" s="926"/>
      <c r="DNX895" s="926"/>
      <c r="DNY895" s="926"/>
      <c r="DNZ895" s="926"/>
      <c r="DOA895" s="926"/>
      <c r="DOB895" s="926"/>
      <c r="DOC895" s="926"/>
      <c r="DOD895" s="926"/>
      <c r="DOE895" s="926"/>
      <c r="DOF895" s="926"/>
      <c r="DOG895" s="926"/>
      <c r="DOH895" s="926"/>
      <c r="DOI895" s="926"/>
      <c r="DOJ895" s="926"/>
      <c r="DOK895" s="926"/>
      <c r="DOL895" s="926"/>
      <c r="DOM895" s="926"/>
      <c r="DON895" s="926"/>
      <c r="DOO895" s="926"/>
      <c r="DOP895" s="926"/>
      <c r="DOQ895" s="926"/>
      <c r="DOR895" s="926"/>
      <c r="DOS895" s="926"/>
      <c r="DOT895" s="926"/>
      <c r="DOU895" s="926"/>
      <c r="DOV895" s="926"/>
      <c r="DOW895" s="926"/>
      <c r="DOX895" s="926"/>
      <c r="DOY895" s="926"/>
      <c r="DOZ895" s="926"/>
      <c r="DPA895" s="926"/>
      <c r="DPB895" s="926"/>
      <c r="DPC895" s="926"/>
      <c r="DPD895" s="926"/>
      <c r="DPE895" s="926"/>
      <c r="DPF895" s="926"/>
      <c r="DPG895" s="926"/>
      <c r="DPH895" s="926"/>
      <c r="DPI895" s="926"/>
      <c r="DPJ895" s="926"/>
      <c r="DPK895" s="926"/>
      <c r="DPL895" s="926"/>
      <c r="DPM895" s="926"/>
      <c r="DPN895" s="926"/>
      <c r="DPO895" s="926"/>
      <c r="DPP895" s="926"/>
      <c r="DPQ895" s="926"/>
      <c r="DPR895" s="926"/>
      <c r="DPS895" s="926"/>
      <c r="DPT895" s="926"/>
      <c r="DPU895" s="926"/>
      <c r="DPV895" s="926"/>
      <c r="DPW895" s="926"/>
      <c r="DPX895" s="926"/>
      <c r="DPY895" s="926"/>
      <c r="DPZ895" s="926"/>
      <c r="DQA895" s="926"/>
      <c r="DQB895" s="926"/>
      <c r="DQC895" s="926"/>
      <c r="DQD895" s="926"/>
      <c r="DQE895" s="926"/>
      <c r="DQF895" s="926"/>
      <c r="DQG895" s="926"/>
      <c r="DQH895" s="926"/>
      <c r="DQI895" s="926"/>
      <c r="DQJ895" s="926"/>
      <c r="DQK895" s="926"/>
      <c r="DQL895" s="926"/>
      <c r="DQM895" s="926"/>
      <c r="DQN895" s="926"/>
      <c r="DQO895" s="926"/>
      <c r="DQP895" s="926"/>
      <c r="DQQ895" s="926"/>
      <c r="DQR895" s="926"/>
      <c r="DQS895" s="926"/>
      <c r="DQT895" s="926"/>
      <c r="DQU895" s="926"/>
      <c r="DQV895" s="926"/>
      <c r="DQW895" s="926"/>
      <c r="DQX895" s="926"/>
      <c r="DQY895" s="926"/>
      <c r="DQZ895" s="926"/>
      <c r="DRA895" s="926"/>
      <c r="DRB895" s="926"/>
      <c r="DRC895" s="926"/>
      <c r="DRD895" s="926"/>
      <c r="DRE895" s="926"/>
      <c r="DRF895" s="926"/>
      <c r="DRG895" s="926"/>
      <c r="DRH895" s="926"/>
      <c r="DRI895" s="926"/>
      <c r="DRJ895" s="926"/>
      <c r="DRK895" s="926"/>
      <c r="DRL895" s="926"/>
      <c r="DRM895" s="926"/>
      <c r="DRN895" s="926"/>
      <c r="DRO895" s="926"/>
      <c r="DRP895" s="926"/>
      <c r="DRQ895" s="926"/>
      <c r="DRR895" s="926"/>
      <c r="DRS895" s="926"/>
      <c r="DRT895" s="926"/>
      <c r="DRU895" s="926"/>
      <c r="DRV895" s="926"/>
      <c r="DRW895" s="926"/>
      <c r="DRX895" s="926"/>
      <c r="DRY895" s="926"/>
      <c r="DRZ895" s="926"/>
      <c r="DSA895" s="926"/>
      <c r="DSB895" s="926"/>
      <c r="DSC895" s="926"/>
      <c r="DSD895" s="926"/>
      <c r="DSE895" s="926"/>
      <c r="DSF895" s="926"/>
      <c r="DSG895" s="926"/>
      <c r="DSH895" s="926"/>
      <c r="DSI895" s="926"/>
      <c r="DSJ895" s="926"/>
      <c r="DSK895" s="926"/>
      <c r="DSL895" s="926"/>
      <c r="DSM895" s="926"/>
      <c r="DSN895" s="926"/>
      <c r="DSO895" s="926"/>
      <c r="DSP895" s="926"/>
      <c r="DSQ895" s="926"/>
      <c r="DSR895" s="926"/>
      <c r="DSS895" s="926"/>
      <c r="DST895" s="926"/>
      <c r="DSU895" s="926"/>
      <c r="DSV895" s="926"/>
      <c r="DSW895" s="926"/>
      <c r="DSX895" s="926"/>
      <c r="DSY895" s="926"/>
      <c r="DSZ895" s="926"/>
      <c r="DTA895" s="926"/>
      <c r="DTB895" s="926"/>
      <c r="DTC895" s="926"/>
      <c r="DTD895" s="926"/>
      <c r="DTE895" s="926"/>
      <c r="DTF895" s="926"/>
      <c r="DTG895" s="926"/>
      <c r="DTH895" s="926"/>
      <c r="DTI895" s="926"/>
      <c r="DTJ895" s="926"/>
      <c r="DTK895" s="926"/>
      <c r="DTL895" s="926"/>
      <c r="DTM895" s="926"/>
      <c r="DTN895" s="926"/>
      <c r="DTO895" s="926"/>
      <c r="DTP895" s="926"/>
      <c r="DTQ895" s="926"/>
      <c r="DTR895" s="926"/>
      <c r="DTS895" s="926"/>
      <c r="DTT895" s="926"/>
      <c r="DTU895" s="926"/>
      <c r="DTV895" s="926"/>
      <c r="DTW895" s="926"/>
      <c r="DTX895" s="926"/>
      <c r="DTY895" s="926"/>
      <c r="DTZ895" s="926"/>
      <c r="DUA895" s="926"/>
      <c r="DUB895" s="926"/>
      <c r="DUC895" s="926"/>
      <c r="DUD895" s="926"/>
      <c r="DUE895" s="926"/>
      <c r="DUF895" s="926"/>
      <c r="DUG895" s="926"/>
      <c r="DUH895" s="926"/>
      <c r="DUI895" s="926"/>
      <c r="DUJ895" s="926"/>
      <c r="DUK895" s="926"/>
      <c r="DUL895" s="926"/>
      <c r="DUM895" s="926"/>
      <c r="DUN895" s="926"/>
      <c r="DUO895" s="926"/>
      <c r="DUP895" s="926"/>
      <c r="DUQ895" s="926"/>
      <c r="DUR895" s="926"/>
      <c r="DUS895" s="926"/>
      <c r="DUT895" s="926"/>
      <c r="DUU895" s="926"/>
      <c r="DUV895" s="926"/>
      <c r="DUW895" s="926"/>
      <c r="DUX895" s="926"/>
      <c r="DUY895" s="926"/>
      <c r="DUZ895" s="926"/>
      <c r="DVA895" s="926"/>
      <c r="DVB895" s="926"/>
      <c r="DVC895" s="926"/>
      <c r="DVD895" s="926"/>
      <c r="DVE895" s="926"/>
      <c r="DVF895" s="926"/>
      <c r="DVG895" s="926"/>
      <c r="DVH895" s="926"/>
      <c r="DVI895" s="926"/>
      <c r="DVJ895" s="926"/>
      <c r="DVK895" s="926"/>
      <c r="DVL895" s="926"/>
      <c r="DVM895" s="926"/>
      <c r="DVN895" s="926"/>
      <c r="DVO895" s="926"/>
      <c r="DVP895" s="926"/>
      <c r="DVQ895" s="926"/>
      <c r="DVR895" s="926"/>
      <c r="DVS895" s="926"/>
      <c r="DVT895" s="926"/>
      <c r="DVU895" s="926"/>
      <c r="DVV895" s="926"/>
      <c r="DVW895" s="926"/>
      <c r="DVX895" s="926"/>
      <c r="DVY895" s="926"/>
      <c r="DVZ895" s="926"/>
      <c r="DWA895" s="926"/>
      <c r="DWB895" s="926"/>
      <c r="DWC895" s="926"/>
      <c r="DWD895" s="926"/>
      <c r="DWE895" s="926"/>
      <c r="DWF895" s="926"/>
      <c r="DWG895" s="926"/>
      <c r="DWH895" s="926"/>
      <c r="DWI895" s="926"/>
      <c r="DWJ895" s="926"/>
      <c r="DWK895" s="926"/>
      <c r="DWL895" s="926"/>
      <c r="DWM895" s="926"/>
      <c r="DWN895" s="926"/>
      <c r="DWO895" s="926"/>
      <c r="DWP895" s="926"/>
      <c r="DWQ895" s="926"/>
      <c r="DWR895" s="926"/>
      <c r="DWS895" s="926"/>
      <c r="DWT895" s="926"/>
      <c r="DWU895" s="926"/>
      <c r="DWV895" s="926"/>
      <c r="DWW895" s="926"/>
      <c r="DWX895" s="926"/>
      <c r="DWY895" s="926"/>
      <c r="DWZ895" s="926"/>
      <c r="DXA895" s="926"/>
      <c r="DXB895" s="926"/>
      <c r="DXC895" s="926"/>
      <c r="DXD895" s="926"/>
      <c r="DXE895" s="926"/>
      <c r="DXF895" s="926"/>
      <c r="DXG895" s="926"/>
      <c r="DXH895" s="926"/>
      <c r="DXI895" s="926"/>
      <c r="DXJ895" s="926"/>
      <c r="DXK895" s="926"/>
      <c r="DXL895" s="926"/>
      <c r="DXM895" s="926"/>
      <c r="DXN895" s="926"/>
      <c r="DXO895" s="926"/>
      <c r="DXP895" s="926"/>
      <c r="DXQ895" s="926"/>
      <c r="DXR895" s="926"/>
      <c r="DXS895" s="926"/>
      <c r="DXT895" s="926"/>
      <c r="DXU895" s="926"/>
      <c r="DXV895" s="926"/>
      <c r="DXW895" s="926"/>
      <c r="DXX895" s="926"/>
      <c r="DXY895" s="926"/>
      <c r="DXZ895" s="926"/>
      <c r="DYA895" s="926"/>
      <c r="DYB895" s="926"/>
      <c r="DYC895" s="926"/>
      <c r="DYD895" s="926"/>
      <c r="DYE895" s="926"/>
      <c r="DYF895" s="926"/>
      <c r="DYG895" s="926"/>
      <c r="DYH895" s="926"/>
      <c r="DYI895" s="926"/>
      <c r="DYJ895" s="926"/>
      <c r="DYK895" s="926"/>
      <c r="DYL895" s="926"/>
      <c r="DYM895" s="926"/>
      <c r="DYN895" s="926"/>
      <c r="DYO895" s="926"/>
      <c r="DYP895" s="926"/>
      <c r="DYQ895" s="926"/>
      <c r="DYR895" s="926"/>
      <c r="DYS895" s="926"/>
      <c r="DYT895" s="926"/>
      <c r="DYU895" s="926"/>
      <c r="DYV895" s="926"/>
      <c r="DYW895" s="926"/>
      <c r="DYX895" s="926"/>
      <c r="DYY895" s="926"/>
      <c r="DYZ895" s="926"/>
      <c r="DZA895" s="926"/>
      <c r="DZB895" s="926"/>
      <c r="DZC895" s="926"/>
      <c r="DZD895" s="926"/>
      <c r="DZE895" s="926"/>
      <c r="DZF895" s="926"/>
      <c r="DZG895" s="926"/>
      <c r="DZH895" s="926"/>
      <c r="DZI895" s="926"/>
      <c r="DZJ895" s="926"/>
      <c r="DZK895" s="926"/>
      <c r="DZL895" s="926"/>
      <c r="DZM895" s="926"/>
      <c r="DZN895" s="926"/>
      <c r="DZO895" s="926"/>
      <c r="DZP895" s="926"/>
      <c r="DZQ895" s="926"/>
      <c r="DZR895" s="926"/>
      <c r="DZS895" s="926"/>
      <c r="DZT895" s="926"/>
      <c r="DZU895" s="926"/>
      <c r="DZV895" s="926"/>
      <c r="DZW895" s="926"/>
      <c r="DZX895" s="926"/>
      <c r="DZY895" s="926"/>
      <c r="DZZ895" s="926"/>
      <c r="EAA895" s="926"/>
      <c r="EAB895" s="926"/>
      <c r="EAC895" s="926"/>
      <c r="EAD895" s="926"/>
      <c r="EAE895" s="926"/>
      <c r="EAF895" s="926"/>
      <c r="EAG895" s="926"/>
      <c r="EAH895" s="926"/>
      <c r="EAI895" s="926"/>
      <c r="EAJ895" s="926"/>
      <c r="EAK895" s="926"/>
      <c r="EAL895" s="926"/>
      <c r="EAM895" s="926"/>
      <c r="EAN895" s="926"/>
      <c r="EAO895" s="926"/>
      <c r="EAP895" s="926"/>
      <c r="EAQ895" s="926"/>
      <c r="EAR895" s="926"/>
      <c r="EAS895" s="926"/>
      <c r="EAT895" s="926"/>
      <c r="EAU895" s="926"/>
      <c r="EAV895" s="926"/>
      <c r="EAW895" s="926"/>
      <c r="EAX895" s="926"/>
      <c r="EAY895" s="926"/>
      <c r="EAZ895" s="926"/>
      <c r="EBA895" s="926"/>
      <c r="EBB895" s="926"/>
      <c r="EBC895" s="926"/>
      <c r="EBD895" s="926"/>
      <c r="EBE895" s="926"/>
      <c r="EBF895" s="926"/>
      <c r="EBG895" s="926"/>
      <c r="EBH895" s="926"/>
      <c r="EBI895" s="926"/>
      <c r="EBJ895" s="926"/>
      <c r="EBK895" s="926"/>
      <c r="EBL895" s="926"/>
      <c r="EBM895" s="926"/>
      <c r="EBN895" s="926"/>
      <c r="EBO895" s="926"/>
      <c r="EBP895" s="926"/>
      <c r="EBQ895" s="926"/>
      <c r="EBR895" s="926"/>
      <c r="EBS895" s="926"/>
      <c r="EBT895" s="926"/>
      <c r="EBU895" s="926"/>
      <c r="EBV895" s="926"/>
      <c r="EBW895" s="926"/>
      <c r="EBX895" s="926"/>
      <c r="EBY895" s="926"/>
      <c r="EBZ895" s="926"/>
      <c r="ECA895" s="926"/>
      <c r="ECB895" s="926"/>
      <c r="ECC895" s="926"/>
      <c r="ECD895" s="926"/>
      <c r="ECE895" s="926"/>
      <c r="ECF895" s="926"/>
      <c r="ECG895" s="926"/>
      <c r="ECH895" s="926"/>
      <c r="ECI895" s="926"/>
      <c r="ECJ895" s="926"/>
      <c r="ECK895" s="926"/>
      <c r="ECL895" s="926"/>
      <c r="ECM895" s="926"/>
      <c r="ECN895" s="926"/>
      <c r="ECO895" s="926"/>
      <c r="ECP895" s="926"/>
      <c r="ECQ895" s="926"/>
      <c r="ECR895" s="926"/>
      <c r="ECS895" s="926"/>
      <c r="ECT895" s="926"/>
      <c r="ECU895" s="926"/>
      <c r="ECV895" s="926"/>
      <c r="ECW895" s="926"/>
      <c r="ECX895" s="926"/>
      <c r="ECY895" s="926"/>
      <c r="ECZ895" s="926"/>
      <c r="EDA895" s="926"/>
      <c r="EDB895" s="926"/>
      <c r="EDC895" s="926"/>
      <c r="EDD895" s="926"/>
      <c r="EDE895" s="926"/>
      <c r="EDF895" s="926"/>
      <c r="EDG895" s="926"/>
      <c r="EDH895" s="926"/>
      <c r="EDI895" s="926"/>
      <c r="EDJ895" s="926"/>
      <c r="EDK895" s="926"/>
      <c r="EDL895" s="926"/>
      <c r="EDM895" s="926"/>
      <c r="EDN895" s="926"/>
      <c r="EDO895" s="926"/>
      <c r="EDP895" s="926"/>
      <c r="EDQ895" s="926"/>
      <c r="EDR895" s="926"/>
      <c r="EDS895" s="926"/>
      <c r="EDT895" s="926"/>
      <c r="EDU895" s="926"/>
      <c r="EDV895" s="926"/>
      <c r="EDW895" s="926"/>
      <c r="EDX895" s="926"/>
      <c r="EDY895" s="926"/>
      <c r="EDZ895" s="926"/>
      <c r="EEA895" s="926"/>
      <c r="EEB895" s="926"/>
      <c r="EEC895" s="926"/>
      <c r="EED895" s="926"/>
      <c r="EEE895" s="926"/>
      <c r="EEF895" s="926"/>
      <c r="EEG895" s="926"/>
      <c r="EEH895" s="926"/>
      <c r="EEI895" s="926"/>
      <c r="EEJ895" s="926"/>
      <c r="EEK895" s="926"/>
      <c r="EEL895" s="926"/>
      <c r="EEM895" s="926"/>
      <c r="EEN895" s="926"/>
      <c r="EEO895" s="926"/>
      <c r="EEP895" s="926"/>
      <c r="EEQ895" s="926"/>
      <c r="EER895" s="926"/>
      <c r="EES895" s="926"/>
      <c r="EET895" s="926"/>
      <c r="EEU895" s="926"/>
      <c r="EEV895" s="926"/>
      <c r="EEW895" s="926"/>
      <c r="EEX895" s="926"/>
      <c r="EEY895" s="926"/>
      <c r="EEZ895" s="926"/>
      <c r="EFA895" s="926"/>
      <c r="EFB895" s="926"/>
      <c r="EFC895" s="926"/>
      <c r="EFD895" s="926"/>
      <c r="EFE895" s="926"/>
      <c r="EFF895" s="926"/>
      <c r="EFG895" s="926"/>
      <c r="EFH895" s="926"/>
      <c r="EFI895" s="926"/>
      <c r="EFJ895" s="926"/>
      <c r="EFK895" s="926"/>
      <c r="EFL895" s="926"/>
      <c r="EFM895" s="926"/>
      <c r="EFN895" s="926"/>
      <c r="EFO895" s="926"/>
      <c r="EFP895" s="926"/>
      <c r="EFQ895" s="926"/>
      <c r="EFR895" s="926"/>
      <c r="EFS895" s="926"/>
      <c r="EFT895" s="926"/>
      <c r="EFU895" s="926"/>
      <c r="EFV895" s="926"/>
      <c r="EFW895" s="926"/>
      <c r="EFX895" s="926"/>
      <c r="EFY895" s="926"/>
      <c r="EFZ895" s="926"/>
      <c r="EGA895" s="926"/>
      <c r="EGB895" s="926"/>
      <c r="EGC895" s="926"/>
      <c r="EGD895" s="926"/>
      <c r="EGE895" s="926"/>
      <c r="EGF895" s="926"/>
      <c r="EGG895" s="926"/>
      <c r="EGH895" s="926"/>
      <c r="EGI895" s="926"/>
      <c r="EGJ895" s="926"/>
      <c r="EGK895" s="926"/>
      <c r="EGL895" s="926"/>
      <c r="EGM895" s="926"/>
      <c r="EGN895" s="926"/>
      <c r="EGO895" s="926"/>
      <c r="EGP895" s="926"/>
      <c r="EGQ895" s="926"/>
      <c r="EGR895" s="926"/>
      <c r="EGS895" s="926"/>
      <c r="EGT895" s="926"/>
      <c r="EGU895" s="926"/>
      <c r="EGV895" s="926"/>
      <c r="EGW895" s="926"/>
      <c r="EGX895" s="926"/>
      <c r="EGY895" s="926"/>
      <c r="EGZ895" s="926"/>
      <c r="EHA895" s="926"/>
      <c r="EHB895" s="926"/>
      <c r="EHC895" s="926"/>
      <c r="EHD895" s="926"/>
      <c r="EHE895" s="926"/>
      <c r="EHF895" s="926"/>
      <c r="EHG895" s="926"/>
      <c r="EHH895" s="926"/>
      <c r="EHI895" s="926"/>
      <c r="EHJ895" s="926"/>
      <c r="EHK895" s="926"/>
      <c r="EHL895" s="926"/>
      <c r="EHM895" s="926"/>
      <c r="EHN895" s="926"/>
      <c r="EHO895" s="926"/>
      <c r="EHP895" s="926"/>
      <c r="EHQ895" s="926"/>
      <c r="EHR895" s="926"/>
      <c r="EHS895" s="926"/>
      <c r="EHT895" s="926"/>
      <c r="EHU895" s="926"/>
      <c r="EHV895" s="926"/>
      <c r="EHW895" s="926"/>
      <c r="EHX895" s="926"/>
      <c r="EHY895" s="926"/>
      <c r="EHZ895" s="926"/>
      <c r="EIA895" s="926"/>
      <c r="EIB895" s="926"/>
      <c r="EIC895" s="926"/>
      <c r="EID895" s="926"/>
      <c r="EIE895" s="926"/>
      <c r="EIF895" s="926"/>
      <c r="EIG895" s="926"/>
      <c r="EIH895" s="926"/>
      <c r="EII895" s="926"/>
      <c r="EIJ895" s="926"/>
      <c r="EIK895" s="926"/>
      <c r="EIL895" s="926"/>
      <c r="EIM895" s="926"/>
      <c r="EIN895" s="926"/>
      <c r="EIO895" s="926"/>
      <c r="EIP895" s="926"/>
      <c r="EIQ895" s="926"/>
      <c r="EIR895" s="926"/>
      <c r="EIS895" s="926"/>
      <c r="EIT895" s="926"/>
      <c r="EIU895" s="926"/>
      <c r="EIV895" s="926"/>
      <c r="EIW895" s="926"/>
      <c r="EIX895" s="926"/>
      <c r="EIY895" s="926"/>
      <c r="EIZ895" s="926"/>
      <c r="EJA895" s="926"/>
      <c r="EJB895" s="926"/>
      <c r="EJC895" s="926"/>
      <c r="EJD895" s="926"/>
      <c r="EJE895" s="926"/>
      <c r="EJF895" s="926"/>
      <c r="EJG895" s="926"/>
      <c r="EJH895" s="926"/>
      <c r="EJI895" s="926"/>
      <c r="EJJ895" s="926"/>
      <c r="EJK895" s="926"/>
      <c r="EJL895" s="926"/>
      <c r="EJM895" s="926"/>
      <c r="EJN895" s="926"/>
      <c r="EJO895" s="926"/>
      <c r="EJP895" s="926"/>
      <c r="EJQ895" s="926"/>
      <c r="EJR895" s="926"/>
      <c r="EJS895" s="926"/>
      <c r="EJT895" s="926"/>
      <c r="EJU895" s="926"/>
      <c r="EJV895" s="926"/>
      <c r="EJW895" s="926"/>
      <c r="EJX895" s="926"/>
      <c r="EJY895" s="926"/>
      <c r="EJZ895" s="926"/>
      <c r="EKA895" s="926"/>
      <c r="EKB895" s="926"/>
      <c r="EKC895" s="926"/>
      <c r="EKD895" s="926"/>
      <c r="EKE895" s="926"/>
      <c r="EKF895" s="926"/>
      <c r="EKG895" s="926"/>
      <c r="EKH895" s="926"/>
      <c r="EKI895" s="926"/>
      <c r="EKJ895" s="926"/>
      <c r="EKK895" s="926"/>
      <c r="EKL895" s="926"/>
      <c r="EKM895" s="926"/>
      <c r="EKN895" s="926"/>
      <c r="EKO895" s="926"/>
      <c r="EKP895" s="926"/>
      <c r="EKQ895" s="926"/>
      <c r="EKR895" s="926"/>
      <c r="EKS895" s="926"/>
      <c r="EKT895" s="926"/>
      <c r="EKU895" s="926"/>
      <c r="EKV895" s="926"/>
      <c r="EKW895" s="926"/>
      <c r="EKX895" s="926"/>
      <c r="EKY895" s="926"/>
      <c r="EKZ895" s="926"/>
      <c r="ELA895" s="926"/>
      <c r="ELB895" s="926"/>
      <c r="ELC895" s="926"/>
      <c r="ELD895" s="926"/>
      <c r="ELE895" s="926"/>
      <c r="ELF895" s="926"/>
      <c r="ELG895" s="926"/>
      <c r="ELH895" s="926"/>
      <c r="ELI895" s="926"/>
      <c r="ELJ895" s="926"/>
      <c r="ELK895" s="926"/>
      <c r="ELL895" s="926"/>
      <c r="ELM895" s="926"/>
      <c r="ELN895" s="926"/>
      <c r="ELO895" s="926"/>
      <c r="ELP895" s="926"/>
      <c r="ELQ895" s="926"/>
      <c r="ELR895" s="926"/>
      <c r="ELS895" s="926"/>
      <c r="ELT895" s="926"/>
      <c r="ELU895" s="926"/>
      <c r="ELV895" s="926"/>
      <c r="ELW895" s="926"/>
      <c r="ELX895" s="926"/>
      <c r="ELY895" s="926"/>
      <c r="ELZ895" s="926"/>
      <c r="EMA895" s="926"/>
      <c r="EMB895" s="926"/>
      <c r="EMC895" s="926"/>
      <c r="EMD895" s="926"/>
      <c r="EME895" s="926"/>
      <c r="EMF895" s="926"/>
      <c r="EMG895" s="926"/>
      <c r="EMH895" s="926"/>
      <c r="EMI895" s="926"/>
      <c r="EMJ895" s="926"/>
      <c r="EMK895" s="926"/>
      <c r="EML895" s="926"/>
      <c r="EMM895" s="926"/>
      <c r="EMN895" s="926"/>
      <c r="EMO895" s="926"/>
      <c r="EMP895" s="926"/>
      <c r="EMQ895" s="926"/>
      <c r="EMR895" s="926"/>
      <c r="EMS895" s="926"/>
      <c r="EMT895" s="926"/>
      <c r="EMU895" s="926"/>
      <c r="EMV895" s="926"/>
      <c r="EMW895" s="926"/>
      <c r="EMX895" s="926"/>
      <c r="EMY895" s="926"/>
      <c r="EMZ895" s="926"/>
      <c r="ENA895" s="926"/>
      <c r="ENB895" s="926"/>
      <c r="ENC895" s="926"/>
      <c r="END895" s="926"/>
      <c r="ENE895" s="926"/>
      <c r="ENF895" s="926"/>
      <c r="ENG895" s="926"/>
      <c r="ENH895" s="926"/>
      <c r="ENI895" s="926"/>
      <c r="ENJ895" s="926"/>
      <c r="ENK895" s="926"/>
      <c r="ENL895" s="926"/>
      <c r="ENM895" s="926"/>
      <c r="ENN895" s="926"/>
      <c r="ENO895" s="926"/>
      <c r="ENP895" s="926"/>
      <c r="ENQ895" s="926"/>
      <c r="ENR895" s="926"/>
      <c r="ENS895" s="926"/>
      <c r="ENT895" s="926"/>
      <c r="ENU895" s="926"/>
      <c r="ENV895" s="926"/>
      <c r="ENW895" s="926"/>
      <c r="ENX895" s="926"/>
      <c r="ENY895" s="926"/>
      <c r="ENZ895" s="926"/>
      <c r="EOA895" s="926"/>
      <c r="EOB895" s="926"/>
      <c r="EOC895" s="926"/>
      <c r="EOD895" s="926"/>
      <c r="EOE895" s="926"/>
      <c r="EOF895" s="926"/>
      <c r="EOG895" s="926"/>
      <c r="EOH895" s="926"/>
      <c r="EOI895" s="926"/>
      <c r="EOJ895" s="926"/>
      <c r="EOK895" s="926"/>
      <c r="EOL895" s="926"/>
      <c r="EOM895" s="926"/>
      <c r="EON895" s="926"/>
      <c r="EOO895" s="926"/>
      <c r="EOP895" s="926"/>
      <c r="EOQ895" s="926"/>
      <c r="EOR895" s="926"/>
      <c r="EOS895" s="926"/>
      <c r="EOT895" s="926"/>
      <c r="EOU895" s="926"/>
      <c r="EOV895" s="926"/>
      <c r="EOW895" s="926"/>
      <c r="EOX895" s="926"/>
      <c r="EOY895" s="926"/>
      <c r="EOZ895" s="926"/>
      <c r="EPA895" s="926"/>
      <c r="EPB895" s="926"/>
      <c r="EPC895" s="926"/>
      <c r="EPD895" s="926"/>
      <c r="EPE895" s="926"/>
      <c r="EPF895" s="926"/>
      <c r="EPG895" s="926"/>
      <c r="EPH895" s="926"/>
      <c r="EPI895" s="926"/>
      <c r="EPJ895" s="926"/>
      <c r="EPK895" s="926"/>
      <c r="EPL895" s="926"/>
      <c r="EPM895" s="926"/>
      <c r="EPN895" s="926"/>
      <c r="EPO895" s="926"/>
      <c r="EPP895" s="926"/>
      <c r="EPQ895" s="926"/>
      <c r="EPR895" s="926"/>
      <c r="EPS895" s="926"/>
      <c r="EPT895" s="926"/>
      <c r="EPU895" s="926"/>
      <c r="EPV895" s="926"/>
      <c r="EPW895" s="926"/>
      <c r="EPX895" s="926"/>
      <c r="EPY895" s="926"/>
      <c r="EPZ895" s="926"/>
      <c r="EQA895" s="926"/>
      <c r="EQB895" s="926"/>
      <c r="EQC895" s="926"/>
      <c r="EQD895" s="926"/>
      <c r="EQE895" s="926"/>
      <c r="EQF895" s="926"/>
      <c r="EQG895" s="926"/>
      <c r="EQH895" s="926"/>
      <c r="EQI895" s="926"/>
      <c r="EQJ895" s="926"/>
      <c r="EQK895" s="926"/>
      <c r="EQL895" s="926"/>
      <c r="EQM895" s="926"/>
      <c r="EQN895" s="926"/>
      <c r="EQO895" s="926"/>
      <c r="EQP895" s="926"/>
      <c r="EQQ895" s="926"/>
      <c r="EQR895" s="926"/>
      <c r="EQS895" s="926"/>
      <c r="EQT895" s="926"/>
      <c r="EQU895" s="926"/>
      <c r="EQV895" s="926"/>
      <c r="EQW895" s="926"/>
      <c r="EQX895" s="926"/>
      <c r="EQY895" s="926"/>
      <c r="EQZ895" s="926"/>
      <c r="ERA895" s="926"/>
      <c r="ERB895" s="926"/>
      <c r="ERC895" s="926"/>
      <c r="ERD895" s="926"/>
      <c r="ERE895" s="926"/>
      <c r="ERF895" s="926"/>
      <c r="ERG895" s="926"/>
      <c r="ERH895" s="926"/>
      <c r="ERI895" s="926"/>
      <c r="ERJ895" s="926"/>
      <c r="ERK895" s="926"/>
      <c r="ERL895" s="926"/>
      <c r="ERM895" s="926"/>
      <c r="ERN895" s="926"/>
      <c r="ERO895" s="926"/>
      <c r="ERP895" s="926"/>
      <c r="ERQ895" s="926"/>
      <c r="ERR895" s="926"/>
      <c r="ERS895" s="926"/>
      <c r="ERT895" s="926"/>
      <c r="ERU895" s="926"/>
      <c r="ERV895" s="926"/>
      <c r="ERW895" s="926"/>
      <c r="ERX895" s="926"/>
      <c r="ERY895" s="926"/>
      <c r="ERZ895" s="926"/>
      <c r="ESA895" s="926"/>
      <c r="ESB895" s="926"/>
      <c r="ESC895" s="926"/>
      <c r="ESD895" s="926"/>
      <c r="ESE895" s="926"/>
      <c r="ESF895" s="926"/>
      <c r="ESG895" s="926"/>
      <c r="ESH895" s="926"/>
      <c r="ESI895" s="926"/>
      <c r="ESJ895" s="926"/>
      <c r="ESK895" s="926"/>
      <c r="ESL895" s="926"/>
      <c r="ESM895" s="926"/>
      <c r="ESN895" s="926"/>
      <c r="ESO895" s="926"/>
      <c r="ESP895" s="926"/>
      <c r="ESQ895" s="926"/>
      <c r="ESR895" s="926"/>
      <c r="ESS895" s="926"/>
      <c r="EST895" s="926"/>
      <c r="ESU895" s="926"/>
      <c r="ESV895" s="926"/>
      <c r="ESW895" s="926"/>
      <c r="ESX895" s="926"/>
      <c r="ESY895" s="926"/>
      <c r="ESZ895" s="926"/>
      <c r="ETA895" s="926"/>
      <c r="ETB895" s="926"/>
      <c r="ETC895" s="926"/>
      <c r="ETD895" s="926"/>
      <c r="ETE895" s="926"/>
      <c r="ETF895" s="926"/>
      <c r="ETG895" s="926"/>
      <c r="ETH895" s="926"/>
      <c r="ETI895" s="926"/>
      <c r="ETJ895" s="926"/>
      <c r="ETK895" s="926"/>
      <c r="ETL895" s="926"/>
      <c r="ETM895" s="926"/>
      <c r="ETN895" s="926"/>
      <c r="ETO895" s="926"/>
      <c r="ETP895" s="926"/>
      <c r="ETQ895" s="926"/>
      <c r="ETR895" s="926"/>
      <c r="ETS895" s="926"/>
      <c r="ETT895" s="926"/>
      <c r="ETU895" s="926"/>
      <c r="ETV895" s="926"/>
      <c r="ETW895" s="926"/>
      <c r="ETX895" s="926"/>
      <c r="ETY895" s="926"/>
      <c r="ETZ895" s="926"/>
      <c r="EUA895" s="926"/>
      <c r="EUB895" s="926"/>
      <c r="EUC895" s="926"/>
      <c r="EUD895" s="926"/>
      <c r="EUE895" s="926"/>
      <c r="EUF895" s="926"/>
      <c r="EUG895" s="926"/>
      <c r="EUH895" s="926"/>
      <c r="EUI895" s="926"/>
      <c r="EUJ895" s="926"/>
      <c r="EUK895" s="926"/>
      <c r="EUL895" s="926"/>
      <c r="EUM895" s="926"/>
      <c r="EUN895" s="926"/>
      <c r="EUO895" s="926"/>
      <c r="EUP895" s="926"/>
      <c r="EUQ895" s="926"/>
      <c r="EUR895" s="926"/>
      <c r="EUS895" s="926"/>
      <c r="EUT895" s="926"/>
      <c r="EUU895" s="926"/>
      <c r="EUV895" s="926"/>
      <c r="EUW895" s="926"/>
      <c r="EUX895" s="926"/>
      <c r="EUY895" s="926"/>
      <c r="EUZ895" s="926"/>
      <c r="EVA895" s="926"/>
      <c r="EVB895" s="926"/>
      <c r="EVC895" s="926"/>
      <c r="EVD895" s="926"/>
      <c r="EVE895" s="926"/>
      <c r="EVF895" s="926"/>
      <c r="EVG895" s="926"/>
      <c r="EVH895" s="926"/>
      <c r="EVI895" s="926"/>
      <c r="EVJ895" s="926"/>
      <c r="EVK895" s="926"/>
      <c r="EVL895" s="926"/>
      <c r="EVM895" s="926"/>
      <c r="EVN895" s="926"/>
      <c r="EVO895" s="926"/>
      <c r="EVP895" s="926"/>
      <c r="EVQ895" s="926"/>
      <c r="EVR895" s="926"/>
      <c r="EVS895" s="926"/>
      <c r="EVT895" s="926"/>
      <c r="EVU895" s="926"/>
      <c r="EVV895" s="926"/>
      <c r="EVW895" s="926"/>
      <c r="EVX895" s="926"/>
      <c r="EVY895" s="926"/>
      <c r="EVZ895" s="926"/>
      <c r="EWA895" s="926"/>
      <c r="EWB895" s="926"/>
      <c r="EWC895" s="926"/>
      <c r="EWD895" s="926"/>
      <c r="EWE895" s="926"/>
      <c r="EWF895" s="926"/>
      <c r="EWG895" s="926"/>
      <c r="EWH895" s="926"/>
      <c r="EWI895" s="926"/>
      <c r="EWJ895" s="926"/>
      <c r="EWK895" s="926"/>
      <c r="EWL895" s="926"/>
      <c r="EWM895" s="926"/>
      <c r="EWN895" s="926"/>
      <c r="EWO895" s="926"/>
      <c r="EWP895" s="926"/>
      <c r="EWQ895" s="926"/>
      <c r="EWR895" s="926"/>
      <c r="EWS895" s="926"/>
      <c r="EWT895" s="926"/>
      <c r="EWU895" s="926"/>
      <c r="EWV895" s="926"/>
      <c r="EWW895" s="926"/>
      <c r="EWX895" s="926"/>
      <c r="EWY895" s="926"/>
      <c r="EWZ895" s="926"/>
      <c r="EXA895" s="926"/>
      <c r="EXB895" s="926"/>
      <c r="EXC895" s="926"/>
      <c r="EXD895" s="926"/>
      <c r="EXE895" s="926"/>
      <c r="EXF895" s="926"/>
      <c r="EXG895" s="926"/>
      <c r="EXH895" s="926"/>
      <c r="EXI895" s="926"/>
      <c r="EXJ895" s="926"/>
      <c r="EXK895" s="926"/>
      <c r="EXL895" s="926"/>
      <c r="EXM895" s="926"/>
      <c r="EXN895" s="926"/>
      <c r="EXO895" s="926"/>
      <c r="EXP895" s="926"/>
      <c r="EXQ895" s="926"/>
      <c r="EXR895" s="926"/>
      <c r="EXS895" s="926"/>
      <c r="EXT895" s="926"/>
      <c r="EXU895" s="926"/>
      <c r="EXV895" s="926"/>
      <c r="EXW895" s="926"/>
      <c r="EXX895" s="926"/>
      <c r="EXY895" s="926"/>
      <c r="EXZ895" s="926"/>
      <c r="EYA895" s="926"/>
      <c r="EYB895" s="926"/>
      <c r="EYC895" s="926"/>
      <c r="EYD895" s="926"/>
      <c r="EYE895" s="926"/>
      <c r="EYF895" s="926"/>
      <c r="EYG895" s="926"/>
      <c r="EYH895" s="926"/>
      <c r="EYI895" s="926"/>
      <c r="EYJ895" s="926"/>
      <c r="EYK895" s="926"/>
      <c r="EYL895" s="926"/>
      <c r="EYM895" s="926"/>
      <c r="EYN895" s="926"/>
      <c r="EYO895" s="926"/>
      <c r="EYP895" s="926"/>
      <c r="EYQ895" s="926"/>
      <c r="EYR895" s="926"/>
      <c r="EYS895" s="926"/>
      <c r="EYT895" s="926"/>
      <c r="EYU895" s="926"/>
      <c r="EYV895" s="926"/>
      <c r="EYW895" s="926"/>
      <c r="EYX895" s="926"/>
      <c r="EYY895" s="926"/>
      <c r="EYZ895" s="926"/>
      <c r="EZA895" s="926"/>
      <c r="EZB895" s="926"/>
      <c r="EZC895" s="926"/>
      <c r="EZD895" s="926"/>
      <c r="EZE895" s="926"/>
      <c r="EZF895" s="926"/>
      <c r="EZG895" s="926"/>
      <c r="EZH895" s="926"/>
      <c r="EZI895" s="926"/>
      <c r="EZJ895" s="926"/>
      <c r="EZK895" s="926"/>
      <c r="EZL895" s="926"/>
      <c r="EZM895" s="926"/>
      <c r="EZN895" s="926"/>
      <c r="EZO895" s="926"/>
      <c r="EZP895" s="926"/>
      <c r="EZQ895" s="926"/>
      <c r="EZR895" s="926"/>
      <c r="EZS895" s="926"/>
      <c r="EZT895" s="926"/>
      <c r="EZU895" s="926"/>
      <c r="EZV895" s="926"/>
      <c r="EZW895" s="926"/>
      <c r="EZX895" s="926"/>
      <c r="EZY895" s="926"/>
      <c r="EZZ895" s="926"/>
      <c r="FAA895" s="926"/>
      <c r="FAB895" s="926"/>
      <c r="FAC895" s="926"/>
      <c r="FAD895" s="926"/>
      <c r="FAE895" s="926"/>
      <c r="FAF895" s="926"/>
      <c r="FAG895" s="926"/>
      <c r="FAH895" s="926"/>
      <c r="FAI895" s="926"/>
      <c r="FAJ895" s="926"/>
      <c r="FAK895" s="926"/>
      <c r="FAL895" s="926"/>
      <c r="FAM895" s="926"/>
      <c r="FAN895" s="926"/>
      <c r="FAO895" s="926"/>
      <c r="FAP895" s="926"/>
      <c r="FAQ895" s="926"/>
      <c r="FAR895" s="926"/>
      <c r="FAS895" s="926"/>
      <c r="FAT895" s="926"/>
      <c r="FAU895" s="926"/>
      <c r="FAV895" s="926"/>
      <c r="FAW895" s="926"/>
      <c r="FAX895" s="926"/>
      <c r="FAY895" s="926"/>
      <c r="FAZ895" s="926"/>
      <c r="FBA895" s="926"/>
      <c r="FBB895" s="926"/>
      <c r="FBC895" s="926"/>
      <c r="FBD895" s="926"/>
      <c r="FBE895" s="926"/>
      <c r="FBF895" s="926"/>
      <c r="FBG895" s="926"/>
      <c r="FBH895" s="926"/>
      <c r="FBI895" s="926"/>
      <c r="FBJ895" s="926"/>
      <c r="FBK895" s="926"/>
      <c r="FBL895" s="926"/>
      <c r="FBM895" s="926"/>
      <c r="FBN895" s="926"/>
      <c r="FBO895" s="926"/>
      <c r="FBP895" s="926"/>
      <c r="FBQ895" s="926"/>
      <c r="FBR895" s="926"/>
      <c r="FBS895" s="926"/>
      <c r="FBT895" s="926"/>
      <c r="FBU895" s="926"/>
      <c r="FBV895" s="926"/>
      <c r="FBW895" s="926"/>
      <c r="FBX895" s="926"/>
      <c r="FBY895" s="926"/>
      <c r="FBZ895" s="926"/>
      <c r="FCA895" s="926"/>
      <c r="FCB895" s="926"/>
      <c r="FCC895" s="926"/>
      <c r="FCD895" s="926"/>
      <c r="FCE895" s="926"/>
      <c r="FCF895" s="926"/>
      <c r="FCG895" s="926"/>
      <c r="FCH895" s="926"/>
      <c r="FCI895" s="926"/>
      <c r="FCJ895" s="926"/>
      <c r="FCK895" s="926"/>
      <c r="FCL895" s="926"/>
      <c r="FCM895" s="926"/>
      <c r="FCN895" s="926"/>
      <c r="FCO895" s="926"/>
      <c r="FCP895" s="926"/>
      <c r="FCQ895" s="926"/>
      <c r="FCR895" s="926"/>
      <c r="FCS895" s="926"/>
      <c r="FCT895" s="926"/>
      <c r="FCU895" s="926"/>
      <c r="FCV895" s="926"/>
      <c r="FCW895" s="926"/>
      <c r="FCX895" s="926"/>
      <c r="FCY895" s="926"/>
      <c r="FCZ895" s="926"/>
      <c r="FDA895" s="926"/>
      <c r="FDB895" s="926"/>
      <c r="FDC895" s="926"/>
      <c r="FDD895" s="926"/>
      <c r="FDE895" s="926"/>
      <c r="FDF895" s="926"/>
      <c r="FDG895" s="926"/>
      <c r="FDH895" s="926"/>
      <c r="FDI895" s="926"/>
      <c r="FDJ895" s="926"/>
      <c r="FDK895" s="926"/>
      <c r="FDL895" s="926"/>
      <c r="FDM895" s="926"/>
      <c r="FDN895" s="926"/>
      <c r="FDO895" s="926"/>
      <c r="FDP895" s="926"/>
      <c r="FDQ895" s="926"/>
      <c r="FDR895" s="926"/>
      <c r="FDS895" s="926"/>
      <c r="FDT895" s="926"/>
      <c r="FDU895" s="926"/>
      <c r="FDV895" s="926"/>
      <c r="FDW895" s="926"/>
      <c r="FDX895" s="926"/>
      <c r="FDY895" s="926"/>
      <c r="FDZ895" s="926"/>
      <c r="FEA895" s="926"/>
      <c r="FEB895" s="926"/>
      <c r="FEC895" s="926"/>
      <c r="FED895" s="926"/>
      <c r="FEE895" s="926"/>
      <c r="FEF895" s="926"/>
      <c r="FEG895" s="926"/>
      <c r="FEH895" s="926"/>
      <c r="FEI895" s="926"/>
      <c r="FEJ895" s="926"/>
      <c r="FEK895" s="926"/>
      <c r="FEL895" s="926"/>
      <c r="FEM895" s="926"/>
      <c r="FEN895" s="926"/>
      <c r="FEO895" s="926"/>
      <c r="FEP895" s="926"/>
      <c r="FEQ895" s="926"/>
      <c r="FER895" s="926"/>
      <c r="FES895" s="926"/>
      <c r="FET895" s="926"/>
      <c r="FEU895" s="926"/>
      <c r="FEV895" s="926"/>
      <c r="FEW895" s="926"/>
      <c r="FEX895" s="926"/>
      <c r="FEY895" s="926"/>
      <c r="FEZ895" s="926"/>
      <c r="FFA895" s="926"/>
      <c r="FFB895" s="926"/>
      <c r="FFC895" s="926"/>
      <c r="FFD895" s="926"/>
      <c r="FFE895" s="926"/>
      <c r="FFF895" s="926"/>
      <c r="FFG895" s="926"/>
      <c r="FFH895" s="926"/>
      <c r="FFI895" s="926"/>
      <c r="FFJ895" s="926"/>
      <c r="FFK895" s="926"/>
      <c r="FFL895" s="926"/>
      <c r="FFM895" s="926"/>
      <c r="FFN895" s="926"/>
      <c r="FFO895" s="926"/>
      <c r="FFP895" s="926"/>
      <c r="FFQ895" s="926"/>
      <c r="FFR895" s="926"/>
      <c r="FFS895" s="926"/>
      <c r="FFT895" s="926"/>
      <c r="FFU895" s="926"/>
      <c r="FFV895" s="926"/>
      <c r="FFW895" s="926"/>
      <c r="FFX895" s="926"/>
      <c r="FFY895" s="926"/>
      <c r="FFZ895" s="926"/>
      <c r="FGA895" s="926"/>
      <c r="FGB895" s="926"/>
      <c r="FGC895" s="926"/>
      <c r="FGD895" s="926"/>
      <c r="FGE895" s="926"/>
      <c r="FGF895" s="926"/>
      <c r="FGG895" s="926"/>
      <c r="FGH895" s="926"/>
      <c r="FGI895" s="926"/>
      <c r="FGJ895" s="926"/>
      <c r="FGK895" s="926"/>
      <c r="FGL895" s="926"/>
      <c r="FGM895" s="926"/>
      <c r="FGN895" s="926"/>
      <c r="FGO895" s="926"/>
      <c r="FGP895" s="926"/>
      <c r="FGQ895" s="926"/>
      <c r="FGR895" s="926"/>
      <c r="FGS895" s="926"/>
      <c r="FGT895" s="926"/>
      <c r="FGU895" s="926"/>
      <c r="FGV895" s="926"/>
      <c r="FGW895" s="926"/>
      <c r="FGX895" s="926"/>
      <c r="FGY895" s="926"/>
      <c r="FGZ895" s="926"/>
      <c r="FHA895" s="926"/>
      <c r="FHB895" s="926"/>
      <c r="FHC895" s="926"/>
      <c r="FHD895" s="926"/>
      <c r="FHE895" s="926"/>
      <c r="FHF895" s="926"/>
      <c r="FHG895" s="926"/>
      <c r="FHH895" s="926"/>
      <c r="FHI895" s="926"/>
      <c r="FHJ895" s="926"/>
      <c r="FHK895" s="926"/>
      <c r="FHL895" s="926"/>
      <c r="FHM895" s="926"/>
      <c r="FHN895" s="926"/>
      <c r="FHO895" s="926"/>
      <c r="FHP895" s="926"/>
      <c r="FHQ895" s="926"/>
      <c r="FHR895" s="926"/>
      <c r="FHS895" s="926"/>
      <c r="FHT895" s="926"/>
      <c r="FHU895" s="926"/>
      <c r="FHV895" s="926"/>
      <c r="FHW895" s="926"/>
      <c r="FHX895" s="926"/>
      <c r="FHY895" s="926"/>
      <c r="FHZ895" s="926"/>
      <c r="FIA895" s="926"/>
      <c r="FIB895" s="926"/>
      <c r="FIC895" s="926"/>
      <c r="FID895" s="926"/>
      <c r="FIE895" s="926"/>
      <c r="FIF895" s="926"/>
      <c r="FIG895" s="926"/>
      <c r="FIH895" s="926"/>
      <c r="FII895" s="926"/>
      <c r="FIJ895" s="926"/>
      <c r="FIK895" s="926"/>
      <c r="FIL895" s="926"/>
      <c r="FIM895" s="926"/>
      <c r="FIN895" s="926"/>
      <c r="FIO895" s="926"/>
      <c r="FIP895" s="926"/>
      <c r="FIQ895" s="926"/>
      <c r="FIR895" s="926"/>
      <c r="FIS895" s="926"/>
      <c r="FIT895" s="926"/>
      <c r="FIU895" s="926"/>
      <c r="FIV895" s="926"/>
      <c r="FIW895" s="926"/>
      <c r="FIX895" s="926"/>
      <c r="FIY895" s="926"/>
      <c r="FIZ895" s="926"/>
      <c r="FJA895" s="926"/>
      <c r="FJB895" s="926"/>
      <c r="FJC895" s="926"/>
      <c r="FJD895" s="926"/>
      <c r="FJE895" s="926"/>
      <c r="FJF895" s="926"/>
      <c r="FJG895" s="926"/>
      <c r="FJH895" s="926"/>
      <c r="FJI895" s="926"/>
      <c r="FJJ895" s="926"/>
      <c r="FJK895" s="926"/>
      <c r="FJL895" s="926"/>
      <c r="FJM895" s="926"/>
      <c r="FJN895" s="926"/>
      <c r="FJO895" s="926"/>
      <c r="FJP895" s="926"/>
      <c r="FJQ895" s="926"/>
      <c r="FJR895" s="926"/>
      <c r="FJS895" s="926"/>
      <c r="FJT895" s="926"/>
      <c r="FJU895" s="926"/>
      <c r="FJV895" s="926"/>
      <c r="FJW895" s="926"/>
      <c r="FJX895" s="926"/>
      <c r="FJY895" s="926"/>
      <c r="FJZ895" s="926"/>
      <c r="FKA895" s="926"/>
      <c r="FKB895" s="926"/>
      <c r="FKC895" s="926"/>
      <c r="FKD895" s="926"/>
      <c r="FKE895" s="926"/>
      <c r="FKF895" s="926"/>
      <c r="FKG895" s="926"/>
      <c r="FKH895" s="926"/>
      <c r="FKI895" s="926"/>
      <c r="FKJ895" s="926"/>
      <c r="FKK895" s="926"/>
      <c r="FKL895" s="926"/>
      <c r="FKM895" s="926"/>
      <c r="FKN895" s="926"/>
      <c r="FKO895" s="926"/>
      <c r="FKP895" s="926"/>
      <c r="FKQ895" s="926"/>
      <c r="FKR895" s="926"/>
      <c r="FKS895" s="926"/>
      <c r="FKT895" s="926"/>
      <c r="FKU895" s="926"/>
      <c r="FKV895" s="926"/>
      <c r="FKW895" s="926"/>
      <c r="FKX895" s="926"/>
      <c r="FKY895" s="926"/>
      <c r="FKZ895" s="926"/>
      <c r="FLA895" s="926"/>
      <c r="FLB895" s="926"/>
      <c r="FLC895" s="926"/>
      <c r="FLD895" s="926"/>
      <c r="FLE895" s="926"/>
      <c r="FLF895" s="926"/>
      <c r="FLG895" s="926"/>
      <c r="FLH895" s="926"/>
      <c r="FLI895" s="926"/>
      <c r="FLJ895" s="926"/>
      <c r="FLK895" s="926"/>
      <c r="FLL895" s="926"/>
      <c r="FLM895" s="926"/>
      <c r="FLN895" s="926"/>
      <c r="FLO895" s="926"/>
      <c r="FLP895" s="926"/>
      <c r="FLQ895" s="926"/>
      <c r="FLR895" s="926"/>
      <c r="FLS895" s="926"/>
      <c r="FLT895" s="926"/>
      <c r="FLU895" s="926"/>
      <c r="FLV895" s="926"/>
      <c r="FLW895" s="926"/>
      <c r="FLX895" s="926"/>
      <c r="FLY895" s="926"/>
      <c r="FLZ895" s="926"/>
      <c r="FMA895" s="926"/>
      <c r="FMB895" s="926"/>
      <c r="FMC895" s="926"/>
      <c r="FMD895" s="926"/>
      <c r="FME895" s="926"/>
      <c r="FMF895" s="926"/>
      <c r="FMG895" s="926"/>
      <c r="FMH895" s="926"/>
      <c r="FMI895" s="926"/>
      <c r="FMJ895" s="926"/>
      <c r="FMK895" s="926"/>
      <c r="FML895" s="926"/>
      <c r="FMM895" s="926"/>
      <c r="FMN895" s="926"/>
      <c r="FMO895" s="926"/>
      <c r="FMP895" s="926"/>
      <c r="FMQ895" s="926"/>
      <c r="FMR895" s="926"/>
      <c r="FMS895" s="926"/>
      <c r="FMT895" s="926"/>
      <c r="FMU895" s="926"/>
      <c r="FMV895" s="926"/>
      <c r="FMW895" s="926"/>
      <c r="FMX895" s="926"/>
      <c r="FMY895" s="926"/>
      <c r="FMZ895" s="926"/>
      <c r="FNA895" s="926"/>
      <c r="FNB895" s="926"/>
      <c r="FNC895" s="926"/>
      <c r="FND895" s="926"/>
      <c r="FNE895" s="926"/>
      <c r="FNF895" s="926"/>
      <c r="FNG895" s="926"/>
      <c r="FNH895" s="926"/>
      <c r="FNI895" s="926"/>
      <c r="FNJ895" s="926"/>
      <c r="FNK895" s="926"/>
      <c r="FNL895" s="926"/>
      <c r="FNM895" s="926"/>
      <c r="FNN895" s="926"/>
      <c r="FNO895" s="926"/>
      <c r="FNP895" s="926"/>
      <c r="FNQ895" s="926"/>
      <c r="FNR895" s="926"/>
      <c r="FNS895" s="926"/>
      <c r="FNT895" s="926"/>
      <c r="FNU895" s="926"/>
      <c r="FNV895" s="926"/>
      <c r="FNW895" s="926"/>
      <c r="FNX895" s="926"/>
      <c r="FNY895" s="926"/>
      <c r="FNZ895" s="926"/>
      <c r="FOA895" s="926"/>
      <c r="FOB895" s="926"/>
      <c r="FOC895" s="926"/>
      <c r="FOD895" s="926"/>
      <c r="FOE895" s="926"/>
      <c r="FOF895" s="926"/>
      <c r="FOG895" s="926"/>
      <c r="FOH895" s="926"/>
      <c r="FOI895" s="926"/>
      <c r="FOJ895" s="926"/>
      <c r="FOK895" s="926"/>
      <c r="FOL895" s="926"/>
      <c r="FOM895" s="926"/>
      <c r="FON895" s="926"/>
      <c r="FOO895" s="926"/>
      <c r="FOP895" s="926"/>
      <c r="FOQ895" s="926"/>
      <c r="FOR895" s="926"/>
      <c r="FOS895" s="926"/>
      <c r="FOT895" s="926"/>
      <c r="FOU895" s="926"/>
      <c r="FOV895" s="926"/>
      <c r="FOW895" s="926"/>
      <c r="FOX895" s="926"/>
      <c r="FOY895" s="926"/>
      <c r="FOZ895" s="926"/>
      <c r="FPA895" s="926"/>
      <c r="FPB895" s="926"/>
      <c r="FPC895" s="926"/>
      <c r="FPD895" s="926"/>
      <c r="FPE895" s="926"/>
      <c r="FPF895" s="926"/>
      <c r="FPG895" s="926"/>
      <c r="FPH895" s="926"/>
      <c r="FPI895" s="926"/>
      <c r="FPJ895" s="926"/>
      <c r="FPK895" s="926"/>
      <c r="FPL895" s="926"/>
      <c r="FPM895" s="926"/>
      <c r="FPN895" s="926"/>
      <c r="FPO895" s="926"/>
      <c r="FPP895" s="926"/>
      <c r="FPQ895" s="926"/>
      <c r="FPR895" s="926"/>
      <c r="FPS895" s="926"/>
      <c r="FPT895" s="926"/>
      <c r="FPU895" s="926"/>
      <c r="FPV895" s="926"/>
      <c r="FPW895" s="926"/>
      <c r="FPX895" s="926"/>
      <c r="FPY895" s="926"/>
      <c r="FPZ895" s="926"/>
      <c r="FQA895" s="926"/>
      <c r="FQB895" s="926"/>
      <c r="FQC895" s="926"/>
      <c r="FQD895" s="926"/>
      <c r="FQE895" s="926"/>
      <c r="FQF895" s="926"/>
      <c r="FQG895" s="926"/>
      <c r="FQH895" s="926"/>
      <c r="FQI895" s="926"/>
      <c r="FQJ895" s="926"/>
      <c r="FQK895" s="926"/>
      <c r="FQL895" s="926"/>
      <c r="FQM895" s="926"/>
      <c r="FQN895" s="926"/>
      <c r="FQO895" s="926"/>
      <c r="FQP895" s="926"/>
      <c r="FQQ895" s="926"/>
      <c r="FQR895" s="926"/>
      <c r="FQS895" s="926"/>
      <c r="FQT895" s="926"/>
      <c r="FQU895" s="926"/>
      <c r="FQV895" s="926"/>
      <c r="FQW895" s="926"/>
      <c r="FQX895" s="926"/>
      <c r="FQY895" s="926"/>
      <c r="FQZ895" s="926"/>
      <c r="FRA895" s="926"/>
      <c r="FRB895" s="926"/>
      <c r="FRC895" s="926"/>
      <c r="FRD895" s="926"/>
      <c r="FRE895" s="926"/>
      <c r="FRF895" s="926"/>
      <c r="FRG895" s="926"/>
      <c r="FRH895" s="926"/>
      <c r="FRI895" s="926"/>
      <c r="FRJ895" s="926"/>
      <c r="FRK895" s="926"/>
      <c r="FRL895" s="926"/>
      <c r="FRM895" s="926"/>
      <c r="FRN895" s="926"/>
      <c r="FRO895" s="926"/>
      <c r="FRP895" s="926"/>
      <c r="FRQ895" s="926"/>
      <c r="FRR895" s="926"/>
      <c r="FRS895" s="926"/>
      <c r="FRT895" s="926"/>
      <c r="FRU895" s="926"/>
      <c r="FRV895" s="926"/>
      <c r="FRW895" s="926"/>
      <c r="FRX895" s="926"/>
      <c r="FRY895" s="926"/>
      <c r="FRZ895" s="926"/>
      <c r="FSA895" s="926"/>
      <c r="FSB895" s="926"/>
      <c r="FSC895" s="926"/>
      <c r="FSD895" s="926"/>
      <c r="FSE895" s="926"/>
      <c r="FSF895" s="926"/>
      <c r="FSG895" s="926"/>
      <c r="FSH895" s="926"/>
      <c r="FSI895" s="926"/>
      <c r="FSJ895" s="926"/>
      <c r="FSK895" s="926"/>
      <c r="FSL895" s="926"/>
      <c r="FSM895" s="926"/>
      <c r="FSN895" s="926"/>
      <c r="FSO895" s="926"/>
      <c r="FSP895" s="926"/>
      <c r="FSQ895" s="926"/>
      <c r="FSR895" s="926"/>
      <c r="FSS895" s="926"/>
      <c r="FST895" s="926"/>
      <c r="FSU895" s="926"/>
      <c r="FSV895" s="926"/>
      <c r="FSW895" s="926"/>
      <c r="FSX895" s="926"/>
      <c r="FSY895" s="926"/>
      <c r="FSZ895" s="926"/>
      <c r="FTA895" s="926"/>
      <c r="FTB895" s="926"/>
      <c r="FTC895" s="926"/>
      <c r="FTD895" s="926"/>
      <c r="FTE895" s="926"/>
      <c r="FTF895" s="926"/>
      <c r="FTG895" s="926"/>
      <c r="FTH895" s="926"/>
      <c r="FTI895" s="926"/>
      <c r="FTJ895" s="926"/>
      <c r="FTK895" s="926"/>
      <c r="FTL895" s="926"/>
      <c r="FTM895" s="926"/>
      <c r="FTN895" s="926"/>
      <c r="FTO895" s="926"/>
      <c r="FTP895" s="926"/>
      <c r="FTQ895" s="926"/>
      <c r="FTR895" s="926"/>
      <c r="FTS895" s="926"/>
      <c r="FTT895" s="926"/>
      <c r="FTU895" s="926"/>
      <c r="FTV895" s="926"/>
      <c r="FTW895" s="926"/>
      <c r="FTX895" s="926"/>
      <c r="FTY895" s="926"/>
      <c r="FTZ895" s="926"/>
      <c r="FUA895" s="926"/>
      <c r="FUB895" s="926"/>
      <c r="FUC895" s="926"/>
      <c r="FUD895" s="926"/>
      <c r="FUE895" s="926"/>
      <c r="FUF895" s="926"/>
      <c r="FUG895" s="926"/>
      <c r="FUH895" s="926"/>
      <c r="FUI895" s="926"/>
      <c r="FUJ895" s="926"/>
      <c r="FUK895" s="926"/>
      <c r="FUL895" s="926"/>
      <c r="FUM895" s="926"/>
      <c r="FUN895" s="926"/>
      <c r="FUO895" s="926"/>
      <c r="FUP895" s="926"/>
      <c r="FUQ895" s="926"/>
      <c r="FUR895" s="926"/>
      <c r="FUS895" s="926"/>
      <c r="FUT895" s="926"/>
      <c r="FUU895" s="926"/>
      <c r="FUV895" s="926"/>
      <c r="FUW895" s="926"/>
      <c r="FUX895" s="926"/>
      <c r="FUY895" s="926"/>
      <c r="FUZ895" s="926"/>
      <c r="FVA895" s="926"/>
      <c r="FVB895" s="926"/>
      <c r="FVC895" s="926"/>
      <c r="FVD895" s="926"/>
      <c r="FVE895" s="926"/>
      <c r="FVF895" s="926"/>
      <c r="FVG895" s="926"/>
      <c r="FVH895" s="926"/>
      <c r="FVI895" s="926"/>
      <c r="FVJ895" s="926"/>
      <c r="FVK895" s="926"/>
      <c r="FVL895" s="926"/>
      <c r="FVM895" s="926"/>
      <c r="FVN895" s="926"/>
      <c r="FVO895" s="926"/>
      <c r="FVP895" s="926"/>
      <c r="FVQ895" s="926"/>
      <c r="FVR895" s="926"/>
      <c r="FVS895" s="926"/>
      <c r="FVT895" s="926"/>
      <c r="FVU895" s="926"/>
      <c r="FVV895" s="926"/>
      <c r="FVW895" s="926"/>
      <c r="FVX895" s="926"/>
      <c r="FVY895" s="926"/>
      <c r="FVZ895" s="926"/>
      <c r="FWA895" s="926"/>
      <c r="FWB895" s="926"/>
      <c r="FWC895" s="926"/>
      <c r="FWD895" s="926"/>
      <c r="FWE895" s="926"/>
      <c r="FWF895" s="926"/>
      <c r="FWG895" s="926"/>
      <c r="FWH895" s="926"/>
      <c r="FWI895" s="926"/>
      <c r="FWJ895" s="926"/>
      <c r="FWK895" s="926"/>
      <c r="FWL895" s="926"/>
      <c r="FWM895" s="926"/>
      <c r="FWN895" s="926"/>
      <c r="FWO895" s="926"/>
      <c r="FWP895" s="926"/>
      <c r="FWQ895" s="926"/>
      <c r="FWR895" s="926"/>
      <c r="FWS895" s="926"/>
      <c r="FWT895" s="926"/>
      <c r="FWU895" s="926"/>
      <c r="FWV895" s="926"/>
      <c r="FWW895" s="926"/>
      <c r="FWX895" s="926"/>
      <c r="FWY895" s="926"/>
      <c r="FWZ895" s="926"/>
      <c r="FXA895" s="926"/>
      <c r="FXB895" s="926"/>
      <c r="FXC895" s="926"/>
      <c r="FXD895" s="926"/>
      <c r="FXE895" s="926"/>
      <c r="FXF895" s="926"/>
      <c r="FXG895" s="926"/>
      <c r="FXH895" s="926"/>
      <c r="FXI895" s="926"/>
      <c r="FXJ895" s="926"/>
      <c r="FXK895" s="926"/>
      <c r="FXL895" s="926"/>
      <c r="FXM895" s="926"/>
      <c r="FXN895" s="926"/>
      <c r="FXO895" s="926"/>
      <c r="FXP895" s="926"/>
      <c r="FXQ895" s="926"/>
      <c r="FXR895" s="926"/>
      <c r="FXS895" s="926"/>
      <c r="FXT895" s="926"/>
      <c r="FXU895" s="926"/>
      <c r="FXV895" s="926"/>
      <c r="FXW895" s="926"/>
      <c r="FXX895" s="926"/>
      <c r="FXY895" s="926"/>
      <c r="FXZ895" s="926"/>
      <c r="FYA895" s="926"/>
      <c r="FYB895" s="926"/>
      <c r="FYC895" s="926"/>
      <c r="FYD895" s="926"/>
      <c r="FYE895" s="926"/>
      <c r="FYF895" s="926"/>
      <c r="FYG895" s="926"/>
      <c r="FYH895" s="926"/>
      <c r="FYI895" s="926"/>
      <c r="FYJ895" s="926"/>
      <c r="FYK895" s="926"/>
      <c r="FYL895" s="926"/>
      <c r="FYM895" s="926"/>
      <c r="FYN895" s="926"/>
      <c r="FYO895" s="926"/>
      <c r="FYP895" s="926"/>
      <c r="FYQ895" s="926"/>
      <c r="FYR895" s="926"/>
      <c r="FYS895" s="926"/>
      <c r="FYT895" s="926"/>
      <c r="FYU895" s="926"/>
      <c r="FYV895" s="926"/>
      <c r="FYW895" s="926"/>
      <c r="FYX895" s="926"/>
      <c r="FYY895" s="926"/>
      <c r="FYZ895" s="926"/>
      <c r="FZA895" s="926"/>
      <c r="FZB895" s="926"/>
      <c r="FZC895" s="926"/>
      <c r="FZD895" s="926"/>
      <c r="FZE895" s="926"/>
      <c r="FZF895" s="926"/>
      <c r="FZG895" s="926"/>
      <c r="FZH895" s="926"/>
      <c r="FZI895" s="926"/>
      <c r="FZJ895" s="926"/>
      <c r="FZK895" s="926"/>
      <c r="FZL895" s="926"/>
      <c r="FZM895" s="926"/>
      <c r="FZN895" s="926"/>
      <c r="FZO895" s="926"/>
      <c r="FZP895" s="926"/>
      <c r="FZQ895" s="926"/>
      <c r="FZR895" s="926"/>
      <c r="FZS895" s="926"/>
      <c r="FZT895" s="926"/>
      <c r="FZU895" s="926"/>
      <c r="FZV895" s="926"/>
      <c r="FZW895" s="926"/>
      <c r="FZX895" s="926"/>
      <c r="FZY895" s="926"/>
      <c r="FZZ895" s="926"/>
      <c r="GAA895" s="926"/>
      <c r="GAB895" s="926"/>
      <c r="GAC895" s="926"/>
      <c r="GAD895" s="926"/>
      <c r="GAE895" s="926"/>
      <c r="GAF895" s="926"/>
      <c r="GAG895" s="926"/>
      <c r="GAH895" s="926"/>
      <c r="GAI895" s="926"/>
      <c r="GAJ895" s="926"/>
      <c r="GAK895" s="926"/>
      <c r="GAL895" s="926"/>
      <c r="GAM895" s="926"/>
      <c r="GAN895" s="926"/>
      <c r="GAO895" s="926"/>
      <c r="GAP895" s="926"/>
      <c r="GAQ895" s="926"/>
      <c r="GAR895" s="926"/>
      <c r="GAS895" s="926"/>
      <c r="GAT895" s="926"/>
      <c r="GAU895" s="926"/>
      <c r="GAV895" s="926"/>
      <c r="GAW895" s="926"/>
      <c r="GAX895" s="926"/>
      <c r="GAY895" s="926"/>
      <c r="GAZ895" s="926"/>
      <c r="GBA895" s="926"/>
      <c r="GBB895" s="926"/>
      <c r="GBC895" s="926"/>
      <c r="GBD895" s="926"/>
      <c r="GBE895" s="926"/>
      <c r="GBF895" s="926"/>
      <c r="GBG895" s="926"/>
      <c r="GBH895" s="926"/>
      <c r="GBI895" s="926"/>
      <c r="GBJ895" s="926"/>
      <c r="GBK895" s="926"/>
      <c r="GBL895" s="926"/>
      <c r="GBM895" s="926"/>
      <c r="GBN895" s="926"/>
      <c r="GBO895" s="926"/>
      <c r="GBP895" s="926"/>
      <c r="GBQ895" s="926"/>
      <c r="GBR895" s="926"/>
      <c r="GBS895" s="926"/>
      <c r="GBT895" s="926"/>
      <c r="GBU895" s="926"/>
      <c r="GBV895" s="926"/>
      <c r="GBW895" s="926"/>
      <c r="GBX895" s="926"/>
      <c r="GBY895" s="926"/>
      <c r="GBZ895" s="926"/>
      <c r="GCA895" s="926"/>
      <c r="GCB895" s="926"/>
      <c r="GCC895" s="926"/>
      <c r="GCD895" s="926"/>
      <c r="GCE895" s="926"/>
      <c r="GCF895" s="926"/>
      <c r="GCG895" s="926"/>
      <c r="GCH895" s="926"/>
      <c r="GCI895" s="926"/>
      <c r="GCJ895" s="926"/>
      <c r="GCK895" s="926"/>
      <c r="GCL895" s="926"/>
      <c r="GCM895" s="926"/>
      <c r="GCN895" s="926"/>
      <c r="GCO895" s="926"/>
      <c r="GCP895" s="926"/>
      <c r="GCQ895" s="926"/>
      <c r="GCR895" s="926"/>
      <c r="GCS895" s="926"/>
      <c r="GCT895" s="926"/>
      <c r="GCU895" s="926"/>
      <c r="GCV895" s="926"/>
      <c r="GCW895" s="926"/>
      <c r="GCX895" s="926"/>
      <c r="GCY895" s="926"/>
      <c r="GCZ895" s="926"/>
      <c r="GDA895" s="926"/>
      <c r="GDB895" s="926"/>
      <c r="GDC895" s="926"/>
      <c r="GDD895" s="926"/>
      <c r="GDE895" s="926"/>
      <c r="GDF895" s="926"/>
      <c r="GDG895" s="926"/>
      <c r="GDH895" s="926"/>
      <c r="GDI895" s="926"/>
      <c r="GDJ895" s="926"/>
      <c r="GDK895" s="926"/>
      <c r="GDL895" s="926"/>
      <c r="GDM895" s="926"/>
      <c r="GDN895" s="926"/>
      <c r="GDO895" s="926"/>
      <c r="GDP895" s="926"/>
      <c r="GDQ895" s="926"/>
      <c r="GDR895" s="926"/>
      <c r="GDS895" s="926"/>
      <c r="GDT895" s="926"/>
      <c r="GDU895" s="926"/>
      <c r="GDV895" s="926"/>
      <c r="GDW895" s="926"/>
      <c r="GDX895" s="926"/>
      <c r="GDY895" s="926"/>
      <c r="GDZ895" s="926"/>
      <c r="GEA895" s="926"/>
      <c r="GEB895" s="926"/>
      <c r="GEC895" s="926"/>
      <c r="GED895" s="926"/>
      <c r="GEE895" s="926"/>
      <c r="GEF895" s="926"/>
      <c r="GEG895" s="926"/>
      <c r="GEH895" s="926"/>
      <c r="GEI895" s="926"/>
      <c r="GEJ895" s="926"/>
      <c r="GEK895" s="926"/>
      <c r="GEL895" s="926"/>
      <c r="GEM895" s="926"/>
      <c r="GEN895" s="926"/>
      <c r="GEO895" s="926"/>
      <c r="GEP895" s="926"/>
      <c r="GEQ895" s="926"/>
      <c r="GER895" s="926"/>
      <c r="GES895" s="926"/>
      <c r="GET895" s="926"/>
      <c r="GEU895" s="926"/>
      <c r="GEV895" s="926"/>
      <c r="GEW895" s="926"/>
      <c r="GEX895" s="926"/>
      <c r="GEY895" s="926"/>
      <c r="GEZ895" s="926"/>
      <c r="GFA895" s="926"/>
      <c r="GFB895" s="926"/>
      <c r="GFC895" s="926"/>
      <c r="GFD895" s="926"/>
      <c r="GFE895" s="926"/>
      <c r="GFF895" s="926"/>
      <c r="GFG895" s="926"/>
      <c r="GFH895" s="926"/>
      <c r="GFI895" s="926"/>
      <c r="GFJ895" s="926"/>
      <c r="GFK895" s="926"/>
      <c r="GFL895" s="926"/>
      <c r="GFM895" s="926"/>
      <c r="GFN895" s="926"/>
      <c r="GFO895" s="926"/>
      <c r="GFP895" s="926"/>
      <c r="GFQ895" s="926"/>
      <c r="GFR895" s="926"/>
      <c r="GFS895" s="926"/>
      <c r="GFT895" s="926"/>
      <c r="GFU895" s="926"/>
      <c r="GFV895" s="926"/>
      <c r="GFW895" s="926"/>
      <c r="GFX895" s="926"/>
      <c r="GFY895" s="926"/>
      <c r="GFZ895" s="926"/>
      <c r="GGA895" s="926"/>
      <c r="GGB895" s="926"/>
      <c r="GGC895" s="926"/>
      <c r="GGD895" s="926"/>
      <c r="GGE895" s="926"/>
      <c r="GGF895" s="926"/>
      <c r="GGG895" s="926"/>
      <c r="GGH895" s="926"/>
      <c r="GGI895" s="926"/>
      <c r="GGJ895" s="926"/>
      <c r="GGK895" s="926"/>
      <c r="GGL895" s="926"/>
      <c r="GGM895" s="926"/>
      <c r="GGN895" s="926"/>
      <c r="GGO895" s="926"/>
      <c r="GGP895" s="926"/>
      <c r="GGQ895" s="926"/>
      <c r="GGR895" s="926"/>
      <c r="GGS895" s="926"/>
      <c r="GGT895" s="926"/>
      <c r="GGU895" s="926"/>
      <c r="GGV895" s="926"/>
      <c r="GGW895" s="926"/>
      <c r="GGX895" s="926"/>
      <c r="GGY895" s="926"/>
      <c r="GGZ895" s="926"/>
      <c r="GHA895" s="926"/>
      <c r="GHB895" s="926"/>
      <c r="GHC895" s="926"/>
      <c r="GHD895" s="926"/>
      <c r="GHE895" s="926"/>
      <c r="GHF895" s="926"/>
      <c r="GHG895" s="926"/>
      <c r="GHH895" s="926"/>
      <c r="GHI895" s="926"/>
      <c r="GHJ895" s="926"/>
      <c r="GHK895" s="926"/>
      <c r="GHL895" s="926"/>
      <c r="GHM895" s="926"/>
      <c r="GHN895" s="926"/>
      <c r="GHO895" s="926"/>
      <c r="GHP895" s="926"/>
      <c r="GHQ895" s="926"/>
      <c r="GHR895" s="926"/>
      <c r="GHS895" s="926"/>
      <c r="GHT895" s="926"/>
      <c r="GHU895" s="926"/>
      <c r="GHV895" s="926"/>
      <c r="GHW895" s="926"/>
      <c r="GHX895" s="926"/>
      <c r="GHY895" s="926"/>
      <c r="GHZ895" s="926"/>
      <c r="GIA895" s="926"/>
      <c r="GIB895" s="926"/>
      <c r="GIC895" s="926"/>
      <c r="GID895" s="926"/>
      <c r="GIE895" s="926"/>
      <c r="GIF895" s="926"/>
      <c r="GIG895" s="926"/>
      <c r="GIH895" s="926"/>
      <c r="GII895" s="926"/>
      <c r="GIJ895" s="926"/>
      <c r="GIK895" s="926"/>
      <c r="GIL895" s="926"/>
      <c r="GIM895" s="926"/>
      <c r="GIN895" s="926"/>
      <c r="GIO895" s="926"/>
      <c r="GIP895" s="926"/>
      <c r="GIQ895" s="926"/>
      <c r="GIR895" s="926"/>
      <c r="GIS895" s="926"/>
      <c r="GIT895" s="926"/>
      <c r="GIU895" s="926"/>
      <c r="GIV895" s="926"/>
      <c r="GIW895" s="926"/>
      <c r="GIX895" s="926"/>
      <c r="GIY895" s="926"/>
      <c r="GIZ895" s="926"/>
      <c r="GJA895" s="926"/>
      <c r="GJB895" s="926"/>
      <c r="GJC895" s="926"/>
      <c r="GJD895" s="926"/>
      <c r="GJE895" s="926"/>
      <c r="GJF895" s="926"/>
      <c r="GJG895" s="926"/>
      <c r="GJH895" s="926"/>
      <c r="GJI895" s="926"/>
      <c r="GJJ895" s="926"/>
      <c r="GJK895" s="926"/>
      <c r="GJL895" s="926"/>
      <c r="GJM895" s="926"/>
      <c r="GJN895" s="926"/>
      <c r="GJO895" s="926"/>
      <c r="GJP895" s="926"/>
      <c r="GJQ895" s="926"/>
      <c r="GJR895" s="926"/>
      <c r="GJS895" s="926"/>
      <c r="GJT895" s="926"/>
      <c r="GJU895" s="926"/>
      <c r="GJV895" s="926"/>
      <c r="GJW895" s="926"/>
      <c r="GJX895" s="926"/>
      <c r="GJY895" s="926"/>
      <c r="GJZ895" s="926"/>
      <c r="GKA895" s="926"/>
      <c r="GKB895" s="926"/>
      <c r="GKC895" s="926"/>
      <c r="GKD895" s="926"/>
      <c r="GKE895" s="926"/>
      <c r="GKF895" s="926"/>
      <c r="GKG895" s="926"/>
      <c r="GKH895" s="926"/>
      <c r="GKI895" s="926"/>
      <c r="GKJ895" s="926"/>
      <c r="GKK895" s="926"/>
      <c r="GKL895" s="926"/>
      <c r="GKM895" s="926"/>
      <c r="GKN895" s="926"/>
      <c r="GKO895" s="926"/>
      <c r="GKP895" s="926"/>
      <c r="GKQ895" s="926"/>
      <c r="GKR895" s="926"/>
      <c r="GKS895" s="926"/>
      <c r="GKT895" s="926"/>
      <c r="GKU895" s="926"/>
      <c r="GKV895" s="926"/>
      <c r="GKW895" s="926"/>
      <c r="GKX895" s="926"/>
      <c r="GKY895" s="926"/>
      <c r="GKZ895" s="926"/>
      <c r="GLA895" s="926"/>
      <c r="GLB895" s="926"/>
      <c r="GLC895" s="926"/>
      <c r="GLD895" s="926"/>
      <c r="GLE895" s="926"/>
      <c r="GLF895" s="926"/>
      <c r="GLG895" s="926"/>
      <c r="GLH895" s="926"/>
      <c r="GLI895" s="926"/>
      <c r="GLJ895" s="926"/>
      <c r="GLK895" s="926"/>
      <c r="GLL895" s="926"/>
      <c r="GLM895" s="926"/>
      <c r="GLN895" s="926"/>
      <c r="GLO895" s="926"/>
      <c r="GLP895" s="926"/>
      <c r="GLQ895" s="926"/>
      <c r="GLR895" s="926"/>
      <c r="GLS895" s="926"/>
      <c r="GLT895" s="926"/>
      <c r="GLU895" s="926"/>
      <c r="GLV895" s="926"/>
      <c r="GLW895" s="926"/>
      <c r="GLX895" s="926"/>
      <c r="GLY895" s="926"/>
      <c r="GLZ895" s="926"/>
      <c r="GMA895" s="926"/>
      <c r="GMB895" s="926"/>
      <c r="GMC895" s="926"/>
      <c r="GMD895" s="926"/>
      <c r="GME895" s="926"/>
      <c r="GMF895" s="926"/>
      <c r="GMG895" s="926"/>
      <c r="GMH895" s="926"/>
      <c r="GMI895" s="926"/>
      <c r="GMJ895" s="926"/>
      <c r="GMK895" s="926"/>
      <c r="GML895" s="926"/>
      <c r="GMM895" s="926"/>
      <c r="GMN895" s="926"/>
      <c r="GMO895" s="926"/>
      <c r="GMP895" s="926"/>
      <c r="GMQ895" s="926"/>
      <c r="GMR895" s="926"/>
      <c r="GMS895" s="926"/>
      <c r="GMT895" s="926"/>
      <c r="GMU895" s="926"/>
      <c r="GMV895" s="926"/>
      <c r="GMW895" s="926"/>
      <c r="GMX895" s="926"/>
      <c r="GMY895" s="926"/>
      <c r="GMZ895" s="926"/>
      <c r="GNA895" s="926"/>
      <c r="GNB895" s="926"/>
      <c r="GNC895" s="926"/>
      <c r="GND895" s="926"/>
      <c r="GNE895" s="926"/>
      <c r="GNF895" s="926"/>
      <c r="GNG895" s="926"/>
      <c r="GNH895" s="926"/>
      <c r="GNI895" s="926"/>
      <c r="GNJ895" s="926"/>
      <c r="GNK895" s="926"/>
      <c r="GNL895" s="926"/>
      <c r="GNM895" s="926"/>
      <c r="GNN895" s="926"/>
      <c r="GNO895" s="926"/>
      <c r="GNP895" s="926"/>
      <c r="GNQ895" s="926"/>
      <c r="GNR895" s="926"/>
      <c r="GNS895" s="926"/>
      <c r="GNT895" s="926"/>
      <c r="GNU895" s="926"/>
      <c r="GNV895" s="926"/>
      <c r="GNW895" s="926"/>
      <c r="GNX895" s="926"/>
      <c r="GNY895" s="926"/>
      <c r="GNZ895" s="926"/>
      <c r="GOA895" s="926"/>
      <c r="GOB895" s="926"/>
      <c r="GOC895" s="926"/>
      <c r="GOD895" s="926"/>
      <c r="GOE895" s="926"/>
      <c r="GOF895" s="926"/>
      <c r="GOG895" s="926"/>
      <c r="GOH895" s="926"/>
      <c r="GOI895" s="926"/>
      <c r="GOJ895" s="926"/>
      <c r="GOK895" s="926"/>
      <c r="GOL895" s="926"/>
      <c r="GOM895" s="926"/>
      <c r="GON895" s="926"/>
      <c r="GOO895" s="926"/>
      <c r="GOP895" s="926"/>
      <c r="GOQ895" s="926"/>
      <c r="GOR895" s="926"/>
      <c r="GOS895" s="926"/>
      <c r="GOT895" s="926"/>
      <c r="GOU895" s="926"/>
      <c r="GOV895" s="926"/>
      <c r="GOW895" s="926"/>
      <c r="GOX895" s="926"/>
      <c r="GOY895" s="926"/>
      <c r="GOZ895" s="926"/>
      <c r="GPA895" s="926"/>
      <c r="GPB895" s="926"/>
      <c r="GPC895" s="926"/>
      <c r="GPD895" s="926"/>
      <c r="GPE895" s="926"/>
      <c r="GPF895" s="926"/>
      <c r="GPG895" s="926"/>
      <c r="GPH895" s="926"/>
      <c r="GPI895" s="926"/>
      <c r="GPJ895" s="926"/>
      <c r="GPK895" s="926"/>
      <c r="GPL895" s="926"/>
      <c r="GPM895" s="926"/>
      <c r="GPN895" s="926"/>
      <c r="GPO895" s="926"/>
      <c r="GPP895" s="926"/>
      <c r="GPQ895" s="926"/>
      <c r="GPR895" s="926"/>
      <c r="GPS895" s="926"/>
      <c r="GPT895" s="926"/>
      <c r="GPU895" s="926"/>
      <c r="GPV895" s="926"/>
      <c r="GPW895" s="926"/>
      <c r="GPX895" s="926"/>
      <c r="GPY895" s="926"/>
      <c r="GPZ895" s="926"/>
      <c r="GQA895" s="926"/>
      <c r="GQB895" s="926"/>
      <c r="GQC895" s="926"/>
      <c r="GQD895" s="926"/>
      <c r="GQE895" s="926"/>
      <c r="GQF895" s="926"/>
      <c r="GQG895" s="926"/>
      <c r="GQH895" s="926"/>
      <c r="GQI895" s="926"/>
      <c r="GQJ895" s="926"/>
      <c r="GQK895" s="926"/>
      <c r="GQL895" s="926"/>
      <c r="GQM895" s="926"/>
      <c r="GQN895" s="926"/>
      <c r="GQO895" s="926"/>
      <c r="GQP895" s="926"/>
      <c r="GQQ895" s="926"/>
      <c r="GQR895" s="926"/>
      <c r="GQS895" s="926"/>
      <c r="GQT895" s="926"/>
      <c r="GQU895" s="926"/>
      <c r="GQV895" s="926"/>
      <c r="GQW895" s="926"/>
      <c r="GQX895" s="926"/>
      <c r="GQY895" s="926"/>
      <c r="GQZ895" s="926"/>
      <c r="GRA895" s="926"/>
      <c r="GRB895" s="926"/>
      <c r="GRC895" s="926"/>
      <c r="GRD895" s="926"/>
      <c r="GRE895" s="926"/>
      <c r="GRF895" s="926"/>
      <c r="GRG895" s="926"/>
      <c r="GRH895" s="926"/>
      <c r="GRI895" s="926"/>
      <c r="GRJ895" s="926"/>
      <c r="GRK895" s="926"/>
      <c r="GRL895" s="926"/>
      <c r="GRM895" s="926"/>
      <c r="GRN895" s="926"/>
      <c r="GRO895" s="926"/>
      <c r="GRP895" s="926"/>
      <c r="GRQ895" s="926"/>
      <c r="GRR895" s="926"/>
      <c r="GRS895" s="926"/>
      <c r="GRT895" s="926"/>
      <c r="GRU895" s="926"/>
      <c r="GRV895" s="926"/>
      <c r="GRW895" s="926"/>
      <c r="GRX895" s="926"/>
      <c r="GRY895" s="926"/>
      <c r="GRZ895" s="926"/>
      <c r="GSA895" s="926"/>
      <c r="GSB895" s="926"/>
      <c r="GSC895" s="926"/>
      <c r="GSD895" s="926"/>
      <c r="GSE895" s="926"/>
      <c r="GSF895" s="926"/>
      <c r="GSG895" s="926"/>
      <c r="GSH895" s="926"/>
      <c r="GSI895" s="926"/>
      <c r="GSJ895" s="926"/>
      <c r="GSK895" s="926"/>
      <c r="GSL895" s="926"/>
      <c r="GSM895" s="926"/>
      <c r="GSN895" s="926"/>
      <c r="GSO895" s="926"/>
      <c r="GSP895" s="926"/>
      <c r="GSQ895" s="926"/>
      <c r="GSR895" s="926"/>
      <c r="GSS895" s="926"/>
      <c r="GST895" s="926"/>
      <c r="GSU895" s="926"/>
      <c r="GSV895" s="926"/>
      <c r="GSW895" s="926"/>
      <c r="GSX895" s="926"/>
      <c r="GSY895" s="926"/>
      <c r="GSZ895" s="926"/>
      <c r="GTA895" s="926"/>
      <c r="GTB895" s="926"/>
      <c r="GTC895" s="926"/>
      <c r="GTD895" s="926"/>
      <c r="GTE895" s="926"/>
      <c r="GTF895" s="926"/>
      <c r="GTG895" s="926"/>
      <c r="GTH895" s="926"/>
      <c r="GTI895" s="926"/>
      <c r="GTJ895" s="926"/>
      <c r="GTK895" s="926"/>
      <c r="GTL895" s="926"/>
      <c r="GTM895" s="926"/>
      <c r="GTN895" s="926"/>
      <c r="GTO895" s="926"/>
      <c r="GTP895" s="926"/>
      <c r="GTQ895" s="926"/>
      <c r="GTR895" s="926"/>
      <c r="GTS895" s="926"/>
      <c r="GTT895" s="926"/>
      <c r="GTU895" s="926"/>
      <c r="GTV895" s="926"/>
      <c r="GTW895" s="926"/>
      <c r="GTX895" s="926"/>
      <c r="GTY895" s="926"/>
      <c r="GTZ895" s="926"/>
      <c r="GUA895" s="926"/>
      <c r="GUB895" s="926"/>
      <c r="GUC895" s="926"/>
      <c r="GUD895" s="926"/>
      <c r="GUE895" s="926"/>
      <c r="GUF895" s="926"/>
      <c r="GUG895" s="926"/>
      <c r="GUH895" s="926"/>
      <c r="GUI895" s="926"/>
      <c r="GUJ895" s="926"/>
      <c r="GUK895" s="926"/>
      <c r="GUL895" s="926"/>
      <c r="GUM895" s="926"/>
      <c r="GUN895" s="926"/>
      <c r="GUO895" s="926"/>
      <c r="GUP895" s="926"/>
      <c r="GUQ895" s="926"/>
      <c r="GUR895" s="926"/>
      <c r="GUS895" s="926"/>
      <c r="GUT895" s="926"/>
      <c r="GUU895" s="926"/>
      <c r="GUV895" s="926"/>
      <c r="GUW895" s="926"/>
      <c r="GUX895" s="926"/>
      <c r="GUY895" s="926"/>
      <c r="GUZ895" s="926"/>
      <c r="GVA895" s="926"/>
      <c r="GVB895" s="926"/>
      <c r="GVC895" s="926"/>
      <c r="GVD895" s="926"/>
      <c r="GVE895" s="926"/>
      <c r="GVF895" s="926"/>
      <c r="GVG895" s="926"/>
      <c r="GVH895" s="926"/>
      <c r="GVI895" s="926"/>
      <c r="GVJ895" s="926"/>
      <c r="GVK895" s="926"/>
      <c r="GVL895" s="926"/>
      <c r="GVM895" s="926"/>
      <c r="GVN895" s="926"/>
      <c r="GVO895" s="926"/>
      <c r="GVP895" s="926"/>
      <c r="GVQ895" s="926"/>
      <c r="GVR895" s="926"/>
      <c r="GVS895" s="926"/>
      <c r="GVT895" s="926"/>
      <c r="GVU895" s="926"/>
      <c r="GVV895" s="926"/>
      <c r="GVW895" s="926"/>
      <c r="GVX895" s="926"/>
      <c r="GVY895" s="926"/>
      <c r="GVZ895" s="926"/>
      <c r="GWA895" s="926"/>
      <c r="GWB895" s="926"/>
      <c r="GWC895" s="926"/>
      <c r="GWD895" s="926"/>
      <c r="GWE895" s="926"/>
      <c r="GWF895" s="926"/>
      <c r="GWG895" s="926"/>
      <c r="GWH895" s="926"/>
      <c r="GWI895" s="926"/>
      <c r="GWJ895" s="926"/>
      <c r="GWK895" s="926"/>
      <c r="GWL895" s="926"/>
      <c r="GWM895" s="926"/>
      <c r="GWN895" s="926"/>
      <c r="GWO895" s="926"/>
      <c r="GWP895" s="926"/>
      <c r="GWQ895" s="926"/>
      <c r="GWR895" s="926"/>
      <c r="GWS895" s="926"/>
      <c r="GWT895" s="926"/>
      <c r="GWU895" s="926"/>
      <c r="GWV895" s="926"/>
      <c r="GWW895" s="926"/>
      <c r="GWX895" s="926"/>
      <c r="GWY895" s="926"/>
      <c r="GWZ895" s="926"/>
      <c r="GXA895" s="926"/>
      <c r="GXB895" s="926"/>
      <c r="GXC895" s="926"/>
      <c r="GXD895" s="926"/>
      <c r="GXE895" s="926"/>
      <c r="GXF895" s="926"/>
      <c r="GXG895" s="926"/>
      <c r="GXH895" s="926"/>
      <c r="GXI895" s="926"/>
      <c r="GXJ895" s="926"/>
      <c r="GXK895" s="926"/>
      <c r="GXL895" s="926"/>
      <c r="GXM895" s="926"/>
      <c r="GXN895" s="926"/>
      <c r="GXO895" s="926"/>
      <c r="GXP895" s="926"/>
      <c r="GXQ895" s="926"/>
      <c r="GXR895" s="926"/>
      <c r="GXS895" s="926"/>
      <c r="GXT895" s="926"/>
      <c r="GXU895" s="926"/>
      <c r="GXV895" s="926"/>
      <c r="GXW895" s="926"/>
      <c r="GXX895" s="926"/>
      <c r="GXY895" s="926"/>
      <c r="GXZ895" s="926"/>
      <c r="GYA895" s="926"/>
      <c r="GYB895" s="926"/>
      <c r="GYC895" s="926"/>
      <c r="GYD895" s="926"/>
      <c r="GYE895" s="926"/>
      <c r="GYF895" s="926"/>
      <c r="GYG895" s="926"/>
      <c r="GYH895" s="926"/>
      <c r="GYI895" s="926"/>
      <c r="GYJ895" s="926"/>
      <c r="GYK895" s="926"/>
      <c r="GYL895" s="926"/>
      <c r="GYM895" s="926"/>
      <c r="GYN895" s="926"/>
      <c r="GYO895" s="926"/>
      <c r="GYP895" s="926"/>
      <c r="GYQ895" s="926"/>
      <c r="GYR895" s="926"/>
      <c r="GYS895" s="926"/>
      <c r="GYT895" s="926"/>
      <c r="GYU895" s="926"/>
      <c r="GYV895" s="926"/>
      <c r="GYW895" s="926"/>
      <c r="GYX895" s="926"/>
      <c r="GYY895" s="926"/>
      <c r="GYZ895" s="926"/>
      <c r="GZA895" s="926"/>
      <c r="GZB895" s="926"/>
      <c r="GZC895" s="926"/>
      <c r="GZD895" s="926"/>
      <c r="GZE895" s="926"/>
      <c r="GZF895" s="926"/>
      <c r="GZG895" s="926"/>
      <c r="GZH895" s="926"/>
      <c r="GZI895" s="926"/>
      <c r="GZJ895" s="926"/>
      <c r="GZK895" s="926"/>
      <c r="GZL895" s="926"/>
      <c r="GZM895" s="926"/>
      <c r="GZN895" s="926"/>
      <c r="GZO895" s="926"/>
      <c r="GZP895" s="926"/>
      <c r="GZQ895" s="926"/>
      <c r="GZR895" s="926"/>
      <c r="GZS895" s="926"/>
      <c r="GZT895" s="926"/>
      <c r="GZU895" s="926"/>
      <c r="GZV895" s="926"/>
      <c r="GZW895" s="926"/>
      <c r="GZX895" s="926"/>
      <c r="GZY895" s="926"/>
      <c r="GZZ895" s="926"/>
      <c r="HAA895" s="926"/>
      <c r="HAB895" s="926"/>
      <c r="HAC895" s="926"/>
      <c r="HAD895" s="926"/>
      <c r="HAE895" s="926"/>
      <c r="HAF895" s="926"/>
      <c r="HAG895" s="926"/>
      <c r="HAH895" s="926"/>
      <c r="HAI895" s="926"/>
      <c r="HAJ895" s="926"/>
      <c r="HAK895" s="926"/>
      <c r="HAL895" s="926"/>
      <c r="HAM895" s="926"/>
      <c r="HAN895" s="926"/>
      <c r="HAO895" s="926"/>
      <c r="HAP895" s="926"/>
      <c r="HAQ895" s="926"/>
      <c r="HAR895" s="926"/>
      <c r="HAS895" s="926"/>
      <c r="HAT895" s="926"/>
      <c r="HAU895" s="926"/>
      <c r="HAV895" s="926"/>
      <c r="HAW895" s="926"/>
      <c r="HAX895" s="926"/>
      <c r="HAY895" s="926"/>
      <c r="HAZ895" s="926"/>
      <c r="HBA895" s="926"/>
      <c r="HBB895" s="926"/>
      <c r="HBC895" s="926"/>
      <c r="HBD895" s="926"/>
      <c r="HBE895" s="926"/>
      <c r="HBF895" s="926"/>
      <c r="HBG895" s="926"/>
      <c r="HBH895" s="926"/>
      <c r="HBI895" s="926"/>
      <c r="HBJ895" s="926"/>
      <c r="HBK895" s="926"/>
      <c r="HBL895" s="926"/>
      <c r="HBM895" s="926"/>
      <c r="HBN895" s="926"/>
      <c r="HBO895" s="926"/>
      <c r="HBP895" s="926"/>
      <c r="HBQ895" s="926"/>
      <c r="HBR895" s="926"/>
      <c r="HBS895" s="926"/>
      <c r="HBT895" s="926"/>
      <c r="HBU895" s="926"/>
      <c r="HBV895" s="926"/>
      <c r="HBW895" s="926"/>
      <c r="HBX895" s="926"/>
      <c r="HBY895" s="926"/>
      <c r="HBZ895" s="926"/>
      <c r="HCA895" s="926"/>
      <c r="HCB895" s="926"/>
      <c r="HCC895" s="926"/>
      <c r="HCD895" s="926"/>
      <c r="HCE895" s="926"/>
      <c r="HCF895" s="926"/>
      <c r="HCG895" s="926"/>
      <c r="HCH895" s="926"/>
      <c r="HCI895" s="926"/>
      <c r="HCJ895" s="926"/>
      <c r="HCK895" s="926"/>
      <c r="HCL895" s="926"/>
      <c r="HCM895" s="926"/>
      <c r="HCN895" s="926"/>
      <c r="HCO895" s="926"/>
      <c r="HCP895" s="926"/>
      <c r="HCQ895" s="926"/>
      <c r="HCR895" s="926"/>
      <c r="HCS895" s="926"/>
      <c r="HCT895" s="926"/>
      <c r="HCU895" s="926"/>
      <c r="HCV895" s="926"/>
      <c r="HCW895" s="926"/>
      <c r="HCX895" s="926"/>
      <c r="HCY895" s="926"/>
      <c r="HCZ895" s="926"/>
      <c r="HDA895" s="926"/>
      <c r="HDB895" s="926"/>
      <c r="HDC895" s="926"/>
      <c r="HDD895" s="926"/>
      <c r="HDE895" s="926"/>
      <c r="HDF895" s="926"/>
      <c r="HDG895" s="926"/>
      <c r="HDH895" s="926"/>
      <c r="HDI895" s="926"/>
      <c r="HDJ895" s="926"/>
      <c r="HDK895" s="926"/>
      <c r="HDL895" s="926"/>
      <c r="HDM895" s="926"/>
      <c r="HDN895" s="926"/>
      <c r="HDO895" s="926"/>
      <c r="HDP895" s="926"/>
      <c r="HDQ895" s="926"/>
      <c r="HDR895" s="926"/>
      <c r="HDS895" s="926"/>
      <c r="HDT895" s="926"/>
      <c r="HDU895" s="926"/>
      <c r="HDV895" s="926"/>
      <c r="HDW895" s="926"/>
      <c r="HDX895" s="926"/>
      <c r="HDY895" s="926"/>
      <c r="HDZ895" s="926"/>
      <c r="HEA895" s="926"/>
      <c r="HEB895" s="926"/>
      <c r="HEC895" s="926"/>
      <c r="HED895" s="926"/>
      <c r="HEE895" s="926"/>
      <c r="HEF895" s="926"/>
      <c r="HEG895" s="926"/>
      <c r="HEH895" s="926"/>
      <c r="HEI895" s="926"/>
      <c r="HEJ895" s="926"/>
      <c r="HEK895" s="926"/>
      <c r="HEL895" s="926"/>
      <c r="HEM895" s="926"/>
      <c r="HEN895" s="926"/>
      <c r="HEO895" s="926"/>
      <c r="HEP895" s="926"/>
      <c r="HEQ895" s="926"/>
      <c r="HER895" s="926"/>
      <c r="HES895" s="926"/>
      <c r="HET895" s="926"/>
      <c r="HEU895" s="926"/>
      <c r="HEV895" s="926"/>
      <c r="HEW895" s="926"/>
      <c r="HEX895" s="926"/>
      <c r="HEY895" s="926"/>
      <c r="HEZ895" s="926"/>
      <c r="HFA895" s="926"/>
      <c r="HFB895" s="926"/>
      <c r="HFC895" s="926"/>
      <c r="HFD895" s="926"/>
      <c r="HFE895" s="926"/>
      <c r="HFF895" s="926"/>
      <c r="HFG895" s="926"/>
      <c r="HFH895" s="926"/>
      <c r="HFI895" s="926"/>
      <c r="HFJ895" s="926"/>
      <c r="HFK895" s="926"/>
      <c r="HFL895" s="926"/>
      <c r="HFM895" s="926"/>
      <c r="HFN895" s="926"/>
      <c r="HFO895" s="926"/>
      <c r="HFP895" s="926"/>
      <c r="HFQ895" s="926"/>
      <c r="HFR895" s="926"/>
      <c r="HFS895" s="926"/>
      <c r="HFT895" s="926"/>
      <c r="HFU895" s="926"/>
      <c r="HFV895" s="926"/>
      <c r="HFW895" s="926"/>
      <c r="HFX895" s="926"/>
      <c r="HFY895" s="926"/>
      <c r="HFZ895" s="926"/>
      <c r="HGA895" s="926"/>
      <c r="HGB895" s="926"/>
      <c r="HGC895" s="926"/>
      <c r="HGD895" s="926"/>
      <c r="HGE895" s="926"/>
      <c r="HGF895" s="926"/>
      <c r="HGG895" s="926"/>
      <c r="HGH895" s="926"/>
      <c r="HGI895" s="926"/>
      <c r="HGJ895" s="926"/>
      <c r="HGK895" s="926"/>
      <c r="HGL895" s="926"/>
      <c r="HGM895" s="926"/>
      <c r="HGN895" s="926"/>
      <c r="HGO895" s="926"/>
      <c r="HGP895" s="926"/>
      <c r="HGQ895" s="926"/>
      <c r="HGR895" s="926"/>
      <c r="HGS895" s="926"/>
      <c r="HGT895" s="926"/>
      <c r="HGU895" s="926"/>
      <c r="HGV895" s="926"/>
      <c r="HGW895" s="926"/>
      <c r="HGX895" s="926"/>
      <c r="HGY895" s="926"/>
      <c r="HGZ895" s="926"/>
      <c r="HHA895" s="926"/>
      <c r="HHB895" s="926"/>
      <c r="HHC895" s="926"/>
      <c r="HHD895" s="926"/>
      <c r="HHE895" s="926"/>
      <c r="HHF895" s="926"/>
      <c r="HHG895" s="926"/>
      <c r="HHH895" s="926"/>
      <c r="HHI895" s="926"/>
      <c r="HHJ895" s="926"/>
      <c r="HHK895" s="926"/>
      <c r="HHL895" s="926"/>
      <c r="HHM895" s="926"/>
      <c r="HHN895" s="926"/>
      <c r="HHO895" s="926"/>
      <c r="HHP895" s="926"/>
      <c r="HHQ895" s="926"/>
      <c r="HHR895" s="926"/>
      <c r="HHS895" s="926"/>
      <c r="HHT895" s="926"/>
      <c r="HHU895" s="926"/>
      <c r="HHV895" s="926"/>
      <c r="HHW895" s="926"/>
      <c r="HHX895" s="926"/>
      <c r="HHY895" s="926"/>
      <c r="HHZ895" s="926"/>
      <c r="HIA895" s="926"/>
      <c r="HIB895" s="926"/>
      <c r="HIC895" s="926"/>
      <c r="HID895" s="926"/>
      <c r="HIE895" s="926"/>
      <c r="HIF895" s="926"/>
      <c r="HIG895" s="926"/>
      <c r="HIH895" s="926"/>
      <c r="HII895" s="926"/>
      <c r="HIJ895" s="926"/>
      <c r="HIK895" s="926"/>
      <c r="HIL895" s="926"/>
      <c r="HIM895" s="926"/>
      <c r="HIN895" s="926"/>
      <c r="HIO895" s="926"/>
      <c r="HIP895" s="926"/>
      <c r="HIQ895" s="926"/>
      <c r="HIR895" s="926"/>
      <c r="HIS895" s="926"/>
      <c r="HIT895" s="926"/>
      <c r="HIU895" s="926"/>
      <c r="HIV895" s="926"/>
      <c r="HIW895" s="926"/>
      <c r="HIX895" s="926"/>
      <c r="HIY895" s="926"/>
      <c r="HIZ895" s="926"/>
      <c r="HJA895" s="926"/>
      <c r="HJB895" s="926"/>
      <c r="HJC895" s="926"/>
      <c r="HJD895" s="926"/>
      <c r="HJE895" s="926"/>
      <c r="HJF895" s="926"/>
      <c r="HJG895" s="926"/>
      <c r="HJH895" s="926"/>
      <c r="HJI895" s="926"/>
      <c r="HJJ895" s="926"/>
      <c r="HJK895" s="926"/>
      <c r="HJL895" s="926"/>
      <c r="HJM895" s="926"/>
      <c r="HJN895" s="926"/>
      <c r="HJO895" s="926"/>
      <c r="HJP895" s="926"/>
      <c r="HJQ895" s="926"/>
      <c r="HJR895" s="926"/>
      <c r="HJS895" s="926"/>
      <c r="HJT895" s="926"/>
      <c r="HJU895" s="926"/>
      <c r="HJV895" s="926"/>
      <c r="HJW895" s="926"/>
      <c r="HJX895" s="926"/>
      <c r="HJY895" s="926"/>
      <c r="HJZ895" s="926"/>
      <c r="HKA895" s="926"/>
      <c r="HKB895" s="926"/>
      <c r="HKC895" s="926"/>
      <c r="HKD895" s="926"/>
      <c r="HKE895" s="926"/>
      <c r="HKF895" s="926"/>
      <c r="HKG895" s="926"/>
      <c r="HKH895" s="926"/>
      <c r="HKI895" s="926"/>
      <c r="HKJ895" s="926"/>
      <c r="HKK895" s="926"/>
      <c r="HKL895" s="926"/>
      <c r="HKM895" s="926"/>
      <c r="HKN895" s="926"/>
      <c r="HKO895" s="926"/>
      <c r="HKP895" s="926"/>
      <c r="HKQ895" s="926"/>
      <c r="HKR895" s="926"/>
      <c r="HKS895" s="926"/>
      <c r="HKT895" s="926"/>
      <c r="HKU895" s="926"/>
      <c r="HKV895" s="926"/>
      <c r="HKW895" s="926"/>
      <c r="HKX895" s="926"/>
      <c r="HKY895" s="926"/>
      <c r="HKZ895" s="926"/>
      <c r="HLA895" s="926"/>
      <c r="HLB895" s="926"/>
      <c r="HLC895" s="926"/>
      <c r="HLD895" s="926"/>
      <c r="HLE895" s="926"/>
      <c r="HLF895" s="926"/>
      <c r="HLG895" s="926"/>
      <c r="HLH895" s="926"/>
      <c r="HLI895" s="926"/>
      <c r="HLJ895" s="926"/>
      <c r="HLK895" s="926"/>
      <c r="HLL895" s="926"/>
      <c r="HLM895" s="926"/>
      <c r="HLN895" s="926"/>
      <c r="HLO895" s="926"/>
      <c r="HLP895" s="926"/>
      <c r="HLQ895" s="926"/>
      <c r="HLR895" s="926"/>
      <c r="HLS895" s="926"/>
      <c r="HLT895" s="926"/>
      <c r="HLU895" s="926"/>
      <c r="HLV895" s="926"/>
      <c r="HLW895" s="926"/>
      <c r="HLX895" s="926"/>
      <c r="HLY895" s="926"/>
      <c r="HLZ895" s="926"/>
      <c r="HMA895" s="926"/>
      <c r="HMB895" s="926"/>
      <c r="HMC895" s="926"/>
      <c r="HMD895" s="926"/>
      <c r="HME895" s="926"/>
      <c r="HMF895" s="926"/>
      <c r="HMG895" s="926"/>
      <c r="HMH895" s="926"/>
      <c r="HMI895" s="926"/>
      <c r="HMJ895" s="926"/>
      <c r="HMK895" s="926"/>
      <c r="HML895" s="926"/>
      <c r="HMM895" s="926"/>
      <c r="HMN895" s="926"/>
      <c r="HMO895" s="926"/>
      <c r="HMP895" s="926"/>
      <c r="HMQ895" s="926"/>
      <c r="HMR895" s="926"/>
      <c r="HMS895" s="926"/>
      <c r="HMT895" s="926"/>
      <c r="HMU895" s="926"/>
      <c r="HMV895" s="926"/>
      <c r="HMW895" s="926"/>
      <c r="HMX895" s="926"/>
      <c r="HMY895" s="926"/>
      <c r="HMZ895" s="926"/>
      <c r="HNA895" s="926"/>
      <c r="HNB895" s="926"/>
      <c r="HNC895" s="926"/>
      <c r="HND895" s="926"/>
      <c r="HNE895" s="926"/>
      <c r="HNF895" s="926"/>
      <c r="HNG895" s="926"/>
      <c r="HNH895" s="926"/>
      <c r="HNI895" s="926"/>
      <c r="HNJ895" s="926"/>
      <c r="HNK895" s="926"/>
      <c r="HNL895" s="926"/>
      <c r="HNM895" s="926"/>
      <c r="HNN895" s="926"/>
      <c r="HNO895" s="926"/>
      <c r="HNP895" s="926"/>
      <c r="HNQ895" s="926"/>
      <c r="HNR895" s="926"/>
      <c r="HNS895" s="926"/>
      <c r="HNT895" s="926"/>
      <c r="HNU895" s="926"/>
      <c r="HNV895" s="926"/>
      <c r="HNW895" s="926"/>
      <c r="HNX895" s="926"/>
      <c r="HNY895" s="926"/>
      <c r="HNZ895" s="926"/>
      <c r="HOA895" s="926"/>
      <c r="HOB895" s="926"/>
      <c r="HOC895" s="926"/>
      <c r="HOD895" s="926"/>
      <c r="HOE895" s="926"/>
      <c r="HOF895" s="926"/>
      <c r="HOG895" s="926"/>
      <c r="HOH895" s="926"/>
      <c r="HOI895" s="926"/>
      <c r="HOJ895" s="926"/>
      <c r="HOK895" s="926"/>
      <c r="HOL895" s="926"/>
      <c r="HOM895" s="926"/>
      <c r="HON895" s="926"/>
      <c r="HOO895" s="926"/>
      <c r="HOP895" s="926"/>
      <c r="HOQ895" s="926"/>
      <c r="HOR895" s="926"/>
      <c r="HOS895" s="926"/>
      <c r="HOT895" s="926"/>
      <c r="HOU895" s="926"/>
      <c r="HOV895" s="926"/>
      <c r="HOW895" s="926"/>
      <c r="HOX895" s="926"/>
      <c r="HOY895" s="926"/>
      <c r="HOZ895" s="926"/>
      <c r="HPA895" s="926"/>
      <c r="HPB895" s="926"/>
      <c r="HPC895" s="926"/>
      <c r="HPD895" s="926"/>
      <c r="HPE895" s="926"/>
      <c r="HPF895" s="926"/>
      <c r="HPG895" s="926"/>
      <c r="HPH895" s="926"/>
      <c r="HPI895" s="926"/>
      <c r="HPJ895" s="926"/>
      <c r="HPK895" s="926"/>
      <c r="HPL895" s="926"/>
      <c r="HPM895" s="926"/>
      <c r="HPN895" s="926"/>
      <c r="HPO895" s="926"/>
      <c r="HPP895" s="926"/>
      <c r="HPQ895" s="926"/>
      <c r="HPR895" s="926"/>
      <c r="HPS895" s="926"/>
      <c r="HPT895" s="926"/>
      <c r="HPU895" s="926"/>
      <c r="HPV895" s="926"/>
      <c r="HPW895" s="926"/>
      <c r="HPX895" s="926"/>
      <c r="HPY895" s="926"/>
      <c r="HPZ895" s="926"/>
      <c r="HQA895" s="926"/>
      <c r="HQB895" s="926"/>
      <c r="HQC895" s="926"/>
      <c r="HQD895" s="926"/>
      <c r="HQE895" s="926"/>
      <c r="HQF895" s="926"/>
      <c r="HQG895" s="926"/>
      <c r="HQH895" s="926"/>
      <c r="HQI895" s="926"/>
      <c r="HQJ895" s="926"/>
      <c r="HQK895" s="926"/>
      <c r="HQL895" s="926"/>
      <c r="HQM895" s="926"/>
      <c r="HQN895" s="926"/>
      <c r="HQO895" s="926"/>
      <c r="HQP895" s="926"/>
      <c r="HQQ895" s="926"/>
      <c r="HQR895" s="926"/>
      <c r="HQS895" s="926"/>
      <c r="HQT895" s="926"/>
      <c r="HQU895" s="926"/>
      <c r="HQV895" s="926"/>
      <c r="HQW895" s="926"/>
      <c r="HQX895" s="926"/>
      <c r="HQY895" s="926"/>
      <c r="HQZ895" s="926"/>
      <c r="HRA895" s="926"/>
      <c r="HRB895" s="926"/>
      <c r="HRC895" s="926"/>
      <c r="HRD895" s="926"/>
      <c r="HRE895" s="926"/>
      <c r="HRF895" s="926"/>
      <c r="HRG895" s="926"/>
      <c r="HRH895" s="926"/>
      <c r="HRI895" s="926"/>
      <c r="HRJ895" s="926"/>
      <c r="HRK895" s="926"/>
      <c r="HRL895" s="926"/>
      <c r="HRM895" s="926"/>
      <c r="HRN895" s="926"/>
      <c r="HRO895" s="926"/>
      <c r="HRP895" s="926"/>
      <c r="HRQ895" s="926"/>
      <c r="HRR895" s="926"/>
      <c r="HRS895" s="926"/>
      <c r="HRT895" s="926"/>
      <c r="HRU895" s="926"/>
      <c r="HRV895" s="926"/>
      <c r="HRW895" s="926"/>
      <c r="HRX895" s="926"/>
      <c r="HRY895" s="926"/>
      <c r="HRZ895" s="926"/>
      <c r="HSA895" s="926"/>
      <c r="HSB895" s="926"/>
      <c r="HSC895" s="926"/>
      <c r="HSD895" s="926"/>
      <c r="HSE895" s="926"/>
      <c r="HSF895" s="926"/>
      <c r="HSG895" s="926"/>
      <c r="HSH895" s="926"/>
      <c r="HSI895" s="926"/>
      <c r="HSJ895" s="926"/>
      <c r="HSK895" s="926"/>
      <c r="HSL895" s="926"/>
      <c r="HSM895" s="926"/>
      <c r="HSN895" s="926"/>
      <c r="HSO895" s="926"/>
      <c r="HSP895" s="926"/>
      <c r="HSQ895" s="926"/>
      <c r="HSR895" s="926"/>
      <c r="HSS895" s="926"/>
      <c r="HST895" s="926"/>
      <c r="HSU895" s="926"/>
      <c r="HSV895" s="926"/>
      <c r="HSW895" s="926"/>
      <c r="HSX895" s="926"/>
      <c r="HSY895" s="926"/>
      <c r="HSZ895" s="926"/>
      <c r="HTA895" s="926"/>
      <c r="HTB895" s="926"/>
      <c r="HTC895" s="926"/>
      <c r="HTD895" s="926"/>
      <c r="HTE895" s="926"/>
      <c r="HTF895" s="926"/>
      <c r="HTG895" s="926"/>
      <c r="HTH895" s="926"/>
      <c r="HTI895" s="926"/>
      <c r="HTJ895" s="926"/>
      <c r="HTK895" s="926"/>
      <c r="HTL895" s="926"/>
      <c r="HTM895" s="926"/>
      <c r="HTN895" s="926"/>
      <c r="HTO895" s="926"/>
      <c r="HTP895" s="926"/>
      <c r="HTQ895" s="926"/>
      <c r="HTR895" s="926"/>
      <c r="HTS895" s="926"/>
      <c r="HTT895" s="926"/>
      <c r="HTU895" s="926"/>
      <c r="HTV895" s="926"/>
      <c r="HTW895" s="926"/>
      <c r="HTX895" s="926"/>
      <c r="HTY895" s="926"/>
      <c r="HTZ895" s="926"/>
      <c r="HUA895" s="926"/>
      <c r="HUB895" s="926"/>
      <c r="HUC895" s="926"/>
      <c r="HUD895" s="926"/>
      <c r="HUE895" s="926"/>
      <c r="HUF895" s="926"/>
      <c r="HUG895" s="926"/>
      <c r="HUH895" s="926"/>
      <c r="HUI895" s="926"/>
      <c r="HUJ895" s="926"/>
      <c r="HUK895" s="926"/>
      <c r="HUL895" s="926"/>
      <c r="HUM895" s="926"/>
      <c r="HUN895" s="926"/>
      <c r="HUO895" s="926"/>
      <c r="HUP895" s="926"/>
      <c r="HUQ895" s="926"/>
      <c r="HUR895" s="926"/>
      <c r="HUS895" s="926"/>
      <c r="HUT895" s="926"/>
      <c r="HUU895" s="926"/>
      <c r="HUV895" s="926"/>
      <c r="HUW895" s="926"/>
      <c r="HUX895" s="926"/>
      <c r="HUY895" s="926"/>
      <c r="HUZ895" s="926"/>
      <c r="HVA895" s="926"/>
      <c r="HVB895" s="926"/>
      <c r="HVC895" s="926"/>
      <c r="HVD895" s="926"/>
      <c r="HVE895" s="926"/>
      <c r="HVF895" s="926"/>
      <c r="HVG895" s="926"/>
      <c r="HVH895" s="926"/>
      <c r="HVI895" s="926"/>
      <c r="HVJ895" s="926"/>
      <c r="HVK895" s="926"/>
      <c r="HVL895" s="926"/>
      <c r="HVM895" s="926"/>
      <c r="HVN895" s="926"/>
      <c r="HVO895" s="926"/>
      <c r="HVP895" s="926"/>
      <c r="HVQ895" s="926"/>
      <c r="HVR895" s="926"/>
      <c r="HVS895" s="926"/>
      <c r="HVT895" s="926"/>
      <c r="HVU895" s="926"/>
      <c r="HVV895" s="926"/>
      <c r="HVW895" s="926"/>
      <c r="HVX895" s="926"/>
      <c r="HVY895" s="926"/>
      <c r="HVZ895" s="926"/>
      <c r="HWA895" s="926"/>
      <c r="HWB895" s="926"/>
      <c r="HWC895" s="926"/>
      <c r="HWD895" s="926"/>
      <c r="HWE895" s="926"/>
      <c r="HWF895" s="926"/>
      <c r="HWG895" s="926"/>
      <c r="HWH895" s="926"/>
      <c r="HWI895" s="926"/>
      <c r="HWJ895" s="926"/>
      <c r="HWK895" s="926"/>
      <c r="HWL895" s="926"/>
      <c r="HWM895" s="926"/>
      <c r="HWN895" s="926"/>
      <c r="HWO895" s="926"/>
      <c r="HWP895" s="926"/>
      <c r="HWQ895" s="926"/>
      <c r="HWR895" s="926"/>
      <c r="HWS895" s="926"/>
      <c r="HWT895" s="926"/>
      <c r="HWU895" s="926"/>
      <c r="HWV895" s="926"/>
      <c r="HWW895" s="926"/>
      <c r="HWX895" s="926"/>
      <c r="HWY895" s="926"/>
      <c r="HWZ895" s="926"/>
      <c r="HXA895" s="926"/>
      <c r="HXB895" s="926"/>
      <c r="HXC895" s="926"/>
      <c r="HXD895" s="926"/>
      <c r="HXE895" s="926"/>
      <c r="HXF895" s="926"/>
      <c r="HXG895" s="926"/>
      <c r="HXH895" s="926"/>
      <c r="HXI895" s="926"/>
      <c r="HXJ895" s="926"/>
      <c r="HXK895" s="926"/>
      <c r="HXL895" s="926"/>
      <c r="HXM895" s="926"/>
      <c r="HXN895" s="926"/>
      <c r="HXO895" s="926"/>
      <c r="HXP895" s="926"/>
      <c r="HXQ895" s="926"/>
      <c r="HXR895" s="926"/>
      <c r="HXS895" s="926"/>
      <c r="HXT895" s="926"/>
      <c r="HXU895" s="926"/>
      <c r="HXV895" s="926"/>
      <c r="HXW895" s="926"/>
      <c r="HXX895" s="926"/>
      <c r="HXY895" s="926"/>
      <c r="HXZ895" s="926"/>
      <c r="HYA895" s="926"/>
      <c r="HYB895" s="926"/>
      <c r="HYC895" s="926"/>
      <c r="HYD895" s="926"/>
      <c r="HYE895" s="926"/>
      <c r="HYF895" s="926"/>
      <c r="HYG895" s="926"/>
      <c r="HYH895" s="926"/>
      <c r="HYI895" s="926"/>
      <c r="HYJ895" s="926"/>
      <c r="HYK895" s="926"/>
      <c r="HYL895" s="926"/>
      <c r="HYM895" s="926"/>
      <c r="HYN895" s="926"/>
      <c r="HYO895" s="926"/>
      <c r="HYP895" s="926"/>
      <c r="HYQ895" s="926"/>
      <c r="HYR895" s="926"/>
      <c r="HYS895" s="926"/>
      <c r="HYT895" s="926"/>
      <c r="HYU895" s="926"/>
      <c r="HYV895" s="926"/>
      <c r="HYW895" s="926"/>
      <c r="HYX895" s="926"/>
      <c r="HYY895" s="926"/>
      <c r="HYZ895" s="926"/>
      <c r="HZA895" s="926"/>
      <c r="HZB895" s="926"/>
      <c r="HZC895" s="926"/>
      <c r="HZD895" s="926"/>
      <c r="HZE895" s="926"/>
      <c r="HZF895" s="926"/>
      <c r="HZG895" s="926"/>
      <c r="HZH895" s="926"/>
      <c r="HZI895" s="926"/>
      <c r="HZJ895" s="926"/>
      <c r="HZK895" s="926"/>
      <c r="HZL895" s="926"/>
      <c r="HZM895" s="926"/>
      <c r="HZN895" s="926"/>
      <c r="HZO895" s="926"/>
      <c r="HZP895" s="926"/>
      <c r="HZQ895" s="926"/>
      <c r="HZR895" s="926"/>
      <c r="HZS895" s="926"/>
      <c r="HZT895" s="926"/>
      <c r="HZU895" s="926"/>
      <c r="HZV895" s="926"/>
      <c r="HZW895" s="926"/>
      <c r="HZX895" s="926"/>
      <c r="HZY895" s="926"/>
      <c r="HZZ895" s="926"/>
      <c r="IAA895" s="926"/>
      <c r="IAB895" s="926"/>
      <c r="IAC895" s="926"/>
      <c r="IAD895" s="926"/>
      <c r="IAE895" s="926"/>
      <c r="IAF895" s="926"/>
      <c r="IAG895" s="926"/>
      <c r="IAH895" s="926"/>
      <c r="IAI895" s="926"/>
      <c r="IAJ895" s="926"/>
      <c r="IAK895" s="926"/>
      <c r="IAL895" s="926"/>
      <c r="IAM895" s="926"/>
      <c r="IAN895" s="926"/>
      <c r="IAO895" s="926"/>
      <c r="IAP895" s="926"/>
      <c r="IAQ895" s="926"/>
      <c r="IAR895" s="926"/>
      <c r="IAS895" s="926"/>
      <c r="IAT895" s="926"/>
      <c r="IAU895" s="926"/>
      <c r="IAV895" s="926"/>
      <c r="IAW895" s="926"/>
      <c r="IAX895" s="926"/>
      <c r="IAY895" s="926"/>
      <c r="IAZ895" s="926"/>
      <c r="IBA895" s="926"/>
      <c r="IBB895" s="926"/>
      <c r="IBC895" s="926"/>
      <c r="IBD895" s="926"/>
      <c r="IBE895" s="926"/>
      <c r="IBF895" s="926"/>
      <c r="IBG895" s="926"/>
      <c r="IBH895" s="926"/>
      <c r="IBI895" s="926"/>
      <c r="IBJ895" s="926"/>
      <c r="IBK895" s="926"/>
      <c r="IBL895" s="926"/>
      <c r="IBM895" s="926"/>
      <c r="IBN895" s="926"/>
      <c r="IBO895" s="926"/>
      <c r="IBP895" s="926"/>
      <c r="IBQ895" s="926"/>
      <c r="IBR895" s="926"/>
      <c r="IBS895" s="926"/>
      <c r="IBT895" s="926"/>
      <c r="IBU895" s="926"/>
      <c r="IBV895" s="926"/>
      <c r="IBW895" s="926"/>
      <c r="IBX895" s="926"/>
      <c r="IBY895" s="926"/>
      <c r="IBZ895" s="926"/>
      <c r="ICA895" s="926"/>
      <c r="ICB895" s="926"/>
      <c r="ICC895" s="926"/>
      <c r="ICD895" s="926"/>
      <c r="ICE895" s="926"/>
      <c r="ICF895" s="926"/>
      <c r="ICG895" s="926"/>
      <c r="ICH895" s="926"/>
      <c r="ICI895" s="926"/>
      <c r="ICJ895" s="926"/>
      <c r="ICK895" s="926"/>
      <c r="ICL895" s="926"/>
      <c r="ICM895" s="926"/>
      <c r="ICN895" s="926"/>
      <c r="ICO895" s="926"/>
      <c r="ICP895" s="926"/>
      <c r="ICQ895" s="926"/>
      <c r="ICR895" s="926"/>
      <c r="ICS895" s="926"/>
      <c r="ICT895" s="926"/>
      <c r="ICU895" s="926"/>
      <c r="ICV895" s="926"/>
      <c r="ICW895" s="926"/>
      <c r="ICX895" s="926"/>
      <c r="ICY895" s="926"/>
      <c r="ICZ895" s="926"/>
      <c r="IDA895" s="926"/>
      <c r="IDB895" s="926"/>
      <c r="IDC895" s="926"/>
      <c r="IDD895" s="926"/>
      <c r="IDE895" s="926"/>
      <c r="IDF895" s="926"/>
      <c r="IDG895" s="926"/>
      <c r="IDH895" s="926"/>
      <c r="IDI895" s="926"/>
      <c r="IDJ895" s="926"/>
      <c r="IDK895" s="926"/>
      <c r="IDL895" s="926"/>
      <c r="IDM895" s="926"/>
      <c r="IDN895" s="926"/>
      <c r="IDO895" s="926"/>
      <c r="IDP895" s="926"/>
      <c r="IDQ895" s="926"/>
      <c r="IDR895" s="926"/>
      <c r="IDS895" s="926"/>
      <c r="IDT895" s="926"/>
      <c r="IDU895" s="926"/>
      <c r="IDV895" s="926"/>
      <c r="IDW895" s="926"/>
      <c r="IDX895" s="926"/>
      <c r="IDY895" s="926"/>
      <c r="IDZ895" s="926"/>
      <c r="IEA895" s="926"/>
      <c r="IEB895" s="926"/>
      <c r="IEC895" s="926"/>
      <c r="IED895" s="926"/>
      <c r="IEE895" s="926"/>
      <c r="IEF895" s="926"/>
      <c r="IEG895" s="926"/>
      <c r="IEH895" s="926"/>
      <c r="IEI895" s="926"/>
      <c r="IEJ895" s="926"/>
      <c r="IEK895" s="926"/>
      <c r="IEL895" s="926"/>
      <c r="IEM895" s="926"/>
      <c r="IEN895" s="926"/>
      <c r="IEO895" s="926"/>
      <c r="IEP895" s="926"/>
      <c r="IEQ895" s="926"/>
      <c r="IER895" s="926"/>
      <c r="IES895" s="926"/>
      <c r="IET895" s="926"/>
      <c r="IEU895" s="926"/>
      <c r="IEV895" s="926"/>
      <c r="IEW895" s="926"/>
      <c r="IEX895" s="926"/>
      <c r="IEY895" s="926"/>
      <c r="IEZ895" s="926"/>
      <c r="IFA895" s="926"/>
      <c r="IFB895" s="926"/>
      <c r="IFC895" s="926"/>
      <c r="IFD895" s="926"/>
      <c r="IFE895" s="926"/>
      <c r="IFF895" s="926"/>
      <c r="IFG895" s="926"/>
      <c r="IFH895" s="926"/>
      <c r="IFI895" s="926"/>
      <c r="IFJ895" s="926"/>
      <c r="IFK895" s="926"/>
      <c r="IFL895" s="926"/>
      <c r="IFM895" s="926"/>
      <c r="IFN895" s="926"/>
      <c r="IFO895" s="926"/>
      <c r="IFP895" s="926"/>
      <c r="IFQ895" s="926"/>
      <c r="IFR895" s="926"/>
      <c r="IFS895" s="926"/>
      <c r="IFT895" s="926"/>
      <c r="IFU895" s="926"/>
      <c r="IFV895" s="926"/>
      <c r="IFW895" s="926"/>
      <c r="IFX895" s="926"/>
      <c r="IFY895" s="926"/>
      <c r="IFZ895" s="926"/>
      <c r="IGA895" s="926"/>
      <c r="IGB895" s="926"/>
      <c r="IGC895" s="926"/>
      <c r="IGD895" s="926"/>
      <c r="IGE895" s="926"/>
      <c r="IGF895" s="926"/>
      <c r="IGG895" s="926"/>
      <c r="IGH895" s="926"/>
      <c r="IGI895" s="926"/>
      <c r="IGJ895" s="926"/>
      <c r="IGK895" s="926"/>
      <c r="IGL895" s="926"/>
      <c r="IGM895" s="926"/>
      <c r="IGN895" s="926"/>
      <c r="IGO895" s="926"/>
      <c r="IGP895" s="926"/>
      <c r="IGQ895" s="926"/>
      <c r="IGR895" s="926"/>
      <c r="IGS895" s="926"/>
      <c r="IGT895" s="926"/>
      <c r="IGU895" s="926"/>
      <c r="IGV895" s="926"/>
      <c r="IGW895" s="926"/>
      <c r="IGX895" s="926"/>
      <c r="IGY895" s="926"/>
      <c r="IGZ895" s="926"/>
      <c r="IHA895" s="926"/>
      <c r="IHB895" s="926"/>
      <c r="IHC895" s="926"/>
      <c r="IHD895" s="926"/>
      <c r="IHE895" s="926"/>
      <c r="IHF895" s="926"/>
      <c r="IHG895" s="926"/>
      <c r="IHH895" s="926"/>
      <c r="IHI895" s="926"/>
      <c r="IHJ895" s="926"/>
      <c r="IHK895" s="926"/>
      <c r="IHL895" s="926"/>
      <c r="IHM895" s="926"/>
      <c r="IHN895" s="926"/>
      <c r="IHO895" s="926"/>
      <c r="IHP895" s="926"/>
      <c r="IHQ895" s="926"/>
      <c r="IHR895" s="926"/>
      <c r="IHS895" s="926"/>
      <c r="IHT895" s="926"/>
      <c r="IHU895" s="926"/>
      <c r="IHV895" s="926"/>
      <c r="IHW895" s="926"/>
      <c r="IHX895" s="926"/>
      <c r="IHY895" s="926"/>
      <c r="IHZ895" s="926"/>
      <c r="IIA895" s="926"/>
      <c r="IIB895" s="926"/>
      <c r="IIC895" s="926"/>
      <c r="IID895" s="926"/>
      <c r="IIE895" s="926"/>
      <c r="IIF895" s="926"/>
      <c r="IIG895" s="926"/>
      <c r="IIH895" s="926"/>
      <c r="III895" s="926"/>
      <c r="IIJ895" s="926"/>
      <c r="IIK895" s="926"/>
      <c r="IIL895" s="926"/>
      <c r="IIM895" s="926"/>
      <c r="IIN895" s="926"/>
      <c r="IIO895" s="926"/>
      <c r="IIP895" s="926"/>
      <c r="IIQ895" s="926"/>
      <c r="IIR895" s="926"/>
      <c r="IIS895" s="926"/>
      <c r="IIT895" s="926"/>
      <c r="IIU895" s="926"/>
      <c r="IIV895" s="926"/>
      <c r="IIW895" s="926"/>
      <c r="IIX895" s="926"/>
      <c r="IIY895" s="926"/>
      <c r="IIZ895" s="926"/>
      <c r="IJA895" s="926"/>
      <c r="IJB895" s="926"/>
      <c r="IJC895" s="926"/>
      <c r="IJD895" s="926"/>
      <c r="IJE895" s="926"/>
      <c r="IJF895" s="926"/>
      <c r="IJG895" s="926"/>
      <c r="IJH895" s="926"/>
      <c r="IJI895" s="926"/>
      <c r="IJJ895" s="926"/>
      <c r="IJK895" s="926"/>
      <c r="IJL895" s="926"/>
      <c r="IJM895" s="926"/>
      <c r="IJN895" s="926"/>
      <c r="IJO895" s="926"/>
      <c r="IJP895" s="926"/>
      <c r="IJQ895" s="926"/>
      <c r="IJR895" s="926"/>
      <c r="IJS895" s="926"/>
      <c r="IJT895" s="926"/>
      <c r="IJU895" s="926"/>
      <c r="IJV895" s="926"/>
      <c r="IJW895" s="926"/>
      <c r="IJX895" s="926"/>
      <c r="IJY895" s="926"/>
      <c r="IJZ895" s="926"/>
      <c r="IKA895" s="926"/>
      <c r="IKB895" s="926"/>
      <c r="IKC895" s="926"/>
      <c r="IKD895" s="926"/>
      <c r="IKE895" s="926"/>
      <c r="IKF895" s="926"/>
      <c r="IKG895" s="926"/>
      <c r="IKH895" s="926"/>
      <c r="IKI895" s="926"/>
      <c r="IKJ895" s="926"/>
      <c r="IKK895" s="926"/>
      <c r="IKL895" s="926"/>
      <c r="IKM895" s="926"/>
      <c r="IKN895" s="926"/>
      <c r="IKO895" s="926"/>
      <c r="IKP895" s="926"/>
      <c r="IKQ895" s="926"/>
      <c r="IKR895" s="926"/>
      <c r="IKS895" s="926"/>
      <c r="IKT895" s="926"/>
      <c r="IKU895" s="926"/>
      <c r="IKV895" s="926"/>
      <c r="IKW895" s="926"/>
      <c r="IKX895" s="926"/>
      <c r="IKY895" s="926"/>
      <c r="IKZ895" s="926"/>
      <c r="ILA895" s="926"/>
      <c r="ILB895" s="926"/>
      <c r="ILC895" s="926"/>
      <c r="ILD895" s="926"/>
      <c r="ILE895" s="926"/>
      <c r="ILF895" s="926"/>
      <c r="ILG895" s="926"/>
      <c r="ILH895" s="926"/>
      <c r="ILI895" s="926"/>
      <c r="ILJ895" s="926"/>
      <c r="ILK895" s="926"/>
      <c r="ILL895" s="926"/>
      <c r="ILM895" s="926"/>
      <c r="ILN895" s="926"/>
      <c r="ILO895" s="926"/>
      <c r="ILP895" s="926"/>
      <c r="ILQ895" s="926"/>
      <c r="ILR895" s="926"/>
      <c r="ILS895" s="926"/>
      <c r="ILT895" s="926"/>
      <c r="ILU895" s="926"/>
      <c r="ILV895" s="926"/>
      <c r="ILW895" s="926"/>
      <c r="ILX895" s="926"/>
      <c r="ILY895" s="926"/>
      <c r="ILZ895" s="926"/>
      <c r="IMA895" s="926"/>
      <c r="IMB895" s="926"/>
      <c r="IMC895" s="926"/>
      <c r="IMD895" s="926"/>
      <c r="IME895" s="926"/>
      <c r="IMF895" s="926"/>
      <c r="IMG895" s="926"/>
      <c r="IMH895" s="926"/>
      <c r="IMI895" s="926"/>
      <c r="IMJ895" s="926"/>
      <c r="IMK895" s="926"/>
      <c r="IML895" s="926"/>
      <c r="IMM895" s="926"/>
      <c r="IMN895" s="926"/>
      <c r="IMO895" s="926"/>
      <c r="IMP895" s="926"/>
      <c r="IMQ895" s="926"/>
      <c r="IMR895" s="926"/>
      <c r="IMS895" s="926"/>
      <c r="IMT895" s="926"/>
      <c r="IMU895" s="926"/>
      <c r="IMV895" s="926"/>
      <c r="IMW895" s="926"/>
      <c r="IMX895" s="926"/>
      <c r="IMY895" s="926"/>
      <c r="IMZ895" s="926"/>
      <c r="INA895" s="926"/>
      <c r="INB895" s="926"/>
      <c r="INC895" s="926"/>
      <c r="IND895" s="926"/>
      <c r="INE895" s="926"/>
      <c r="INF895" s="926"/>
      <c r="ING895" s="926"/>
      <c r="INH895" s="926"/>
      <c r="INI895" s="926"/>
      <c r="INJ895" s="926"/>
      <c r="INK895" s="926"/>
      <c r="INL895" s="926"/>
      <c r="INM895" s="926"/>
      <c r="INN895" s="926"/>
      <c r="INO895" s="926"/>
      <c r="INP895" s="926"/>
      <c r="INQ895" s="926"/>
      <c r="INR895" s="926"/>
      <c r="INS895" s="926"/>
      <c r="INT895" s="926"/>
      <c r="INU895" s="926"/>
      <c r="INV895" s="926"/>
      <c r="INW895" s="926"/>
      <c r="INX895" s="926"/>
      <c r="INY895" s="926"/>
      <c r="INZ895" s="926"/>
      <c r="IOA895" s="926"/>
      <c r="IOB895" s="926"/>
      <c r="IOC895" s="926"/>
      <c r="IOD895" s="926"/>
      <c r="IOE895" s="926"/>
      <c r="IOF895" s="926"/>
      <c r="IOG895" s="926"/>
      <c r="IOH895" s="926"/>
      <c r="IOI895" s="926"/>
      <c r="IOJ895" s="926"/>
      <c r="IOK895" s="926"/>
      <c r="IOL895" s="926"/>
      <c r="IOM895" s="926"/>
      <c r="ION895" s="926"/>
      <c r="IOO895" s="926"/>
      <c r="IOP895" s="926"/>
      <c r="IOQ895" s="926"/>
      <c r="IOR895" s="926"/>
      <c r="IOS895" s="926"/>
      <c r="IOT895" s="926"/>
      <c r="IOU895" s="926"/>
      <c r="IOV895" s="926"/>
      <c r="IOW895" s="926"/>
      <c r="IOX895" s="926"/>
      <c r="IOY895" s="926"/>
      <c r="IOZ895" s="926"/>
      <c r="IPA895" s="926"/>
      <c r="IPB895" s="926"/>
      <c r="IPC895" s="926"/>
      <c r="IPD895" s="926"/>
      <c r="IPE895" s="926"/>
      <c r="IPF895" s="926"/>
      <c r="IPG895" s="926"/>
      <c r="IPH895" s="926"/>
      <c r="IPI895" s="926"/>
      <c r="IPJ895" s="926"/>
      <c r="IPK895" s="926"/>
      <c r="IPL895" s="926"/>
      <c r="IPM895" s="926"/>
      <c r="IPN895" s="926"/>
      <c r="IPO895" s="926"/>
      <c r="IPP895" s="926"/>
      <c r="IPQ895" s="926"/>
      <c r="IPR895" s="926"/>
      <c r="IPS895" s="926"/>
      <c r="IPT895" s="926"/>
      <c r="IPU895" s="926"/>
      <c r="IPV895" s="926"/>
      <c r="IPW895" s="926"/>
      <c r="IPX895" s="926"/>
      <c r="IPY895" s="926"/>
      <c r="IPZ895" s="926"/>
      <c r="IQA895" s="926"/>
      <c r="IQB895" s="926"/>
      <c r="IQC895" s="926"/>
      <c r="IQD895" s="926"/>
      <c r="IQE895" s="926"/>
      <c r="IQF895" s="926"/>
      <c r="IQG895" s="926"/>
      <c r="IQH895" s="926"/>
      <c r="IQI895" s="926"/>
      <c r="IQJ895" s="926"/>
      <c r="IQK895" s="926"/>
      <c r="IQL895" s="926"/>
      <c r="IQM895" s="926"/>
      <c r="IQN895" s="926"/>
      <c r="IQO895" s="926"/>
      <c r="IQP895" s="926"/>
      <c r="IQQ895" s="926"/>
      <c r="IQR895" s="926"/>
      <c r="IQS895" s="926"/>
      <c r="IQT895" s="926"/>
      <c r="IQU895" s="926"/>
      <c r="IQV895" s="926"/>
      <c r="IQW895" s="926"/>
      <c r="IQX895" s="926"/>
      <c r="IQY895" s="926"/>
      <c r="IQZ895" s="926"/>
      <c r="IRA895" s="926"/>
      <c r="IRB895" s="926"/>
      <c r="IRC895" s="926"/>
      <c r="IRD895" s="926"/>
      <c r="IRE895" s="926"/>
      <c r="IRF895" s="926"/>
      <c r="IRG895" s="926"/>
      <c r="IRH895" s="926"/>
      <c r="IRI895" s="926"/>
      <c r="IRJ895" s="926"/>
      <c r="IRK895" s="926"/>
      <c r="IRL895" s="926"/>
      <c r="IRM895" s="926"/>
      <c r="IRN895" s="926"/>
      <c r="IRO895" s="926"/>
      <c r="IRP895" s="926"/>
      <c r="IRQ895" s="926"/>
      <c r="IRR895" s="926"/>
      <c r="IRS895" s="926"/>
      <c r="IRT895" s="926"/>
      <c r="IRU895" s="926"/>
      <c r="IRV895" s="926"/>
      <c r="IRW895" s="926"/>
      <c r="IRX895" s="926"/>
      <c r="IRY895" s="926"/>
      <c r="IRZ895" s="926"/>
      <c r="ISA895" s="926"/>
      <c r="ISB895" s="926"/>
      <c r="ISC895" s="926"/>
      <c r="ISD895" s="926"/>
      <c r="ISE895" s="926"/>
      <c r="ISF895" s="926"/>
      <c r="ISG895" s="926"/>
      <c r="ISH895" s="926"/>
      <c r="ISI895" s="926"/>
      <c r="ISJ895" s="926"/>
      <c r="ISK895" s="926"/>
      <c r="ISL895" s="926"/>
      <c r="ISM895" s="926"/>
      <c r="ISN895" s="926"/>
      <c r="ISO895" s="926"/>
      <c r="ISP895" s="926"/>
      <c r="ISQ895" s="926"/>
      <c r="ISR895" s="926"/>
      <c r="ISS895" s="926"/>
      <c r="IST895" s="926"/>
      <c r="ISU895" s="926"/>
      <c r="ISV895" s="926"/>
      <c r="ISW895" s="926"/>
      <c r="ISX895" s="926"/>
      <c r="ISY895" s="926"/>
      <c r="ISZ895" s="926"/>
      <c r="ITA895" s="926"/>
      <c r="ITB895" s="926"/>
      <c r="ITC895" s="926"/>
      <c r="ITD895" s="926"/>
      <c r="ITE895" s="926"/>
      <c r="ITF895" s="926"/>
      <c r="ITG895" s="926"/>
      <c r="ITH895" s="926"/>
      <c r="ITI895" s="926"/>
      <c r="ITJ895" s="926"/>
      <c r="ITK895" s="926"/>
      <c r="ITL895" s="926"/>
      <c r="ITM895" s="926"/>
      <c r="ITN895" s="926"/>
      <c r="ITO895" s="926"/>
      <c r="ITP895" s="926"/>
      <c r="ITQ895" s="926"/>
      <c r="ITR895" s="926"/>
      <c r="ITS895" s="926"/>
      <c r="ITT895" s="926"/>
      <c r="ITU895" s="926"/>
      <c r="ITV895" s="926"/>
      <c r="ITW895" s="926"/>
      <c r="ITX895" s="926"/>
      <c r="ITY895" s="926"/>
      <c r="ITZ895" s="926"/>
      <c r="IUA895" s="926"/>
      <c r="IUB895" s="926"/>
      <c r="IUC895" s="926"/>
      <c r="IUD895" s="926"/>
      <c r="IUE895" s="926"/>
      <c r="IUF895" s="926"/>
      <c r="IUG895" s="926"/>
      <c r="IUH895" s="926"/>
      <c r="IUI895" s="926"/>
      <c r="IUJ895" s="926"/>
      <c r="IUK895" s="926"/>
      <c r="IUL895" s="926"/>
      <c r="IUM895" s="926"/>
      <c r="IUN895" s="926"/>
      <c r="IUO895" s="926"/>
      <c r="IUP895" s="926"/>
      <c r="IUQ895" s="926"/>
      <c r="IUR895" s="926"/>
      <c r="IUS895" s="926"/>
      <c r="IUT895" s="926"/>
      <c r="IUU895" s="926"/>
      <c r="IUV895" s="926"/>
      <c r="IUW895" s="926"/>
      <c r="IUX895" s="926"/>
      <c r="IUY895" s="926"/>
      <c r="IUZ895" s="926"/>
      <c r="IVA895" s="926"/>
      <c r="IVB895" s="926"/>
      <c r="IVC895" s="926"/>
      <c r="IVD895" s="926"/>
      <c r="IVE895" s="926"/>
      <c r="IVF895" s="926"/>
      <c r="IVG895" s="926"/>
      <c r="IVH895" s="926"/>
      <c r="IVI895" s="926"/>
      <c r="IVJ895" s="926"/>
      <c r="IVK895" s="926"/>
      <c r="IVL895" s="926"/>
      <c r="IVM895" s="926"/>
      <c r="IVN895" s="926"/>
      <c r="IVO895" s="926"/>
      <c r="IVP895" s="926"/>
      <c r="IVQ895" s="926"/>
      <c r="IVR895" s="926"/>
      <c r="IVS895" s="926"/>
      <c r="IVT895" s="926"/>
      <c r="IVU895" s="926"/>
      <c r="IVV895" s="926"/>
      <c r="IVW895" s="926"/>
      <c r="IVX895" s="926"/>
      <c r="IVY895" s="926"/>
      <c r="IVZ895" s="926"/>
      <c r="IWA895" s="926"/>
      <c r="IWB895" s="926"/>
      <c r="IWC895" s="926"/>
      <c r="IWD895" s="926"/>
      <c r="IWE895" s="926"/>
      <c r="IWF895" s="926"/>
      <c r="IWG895" s="926"/>
      <c r="IWH895" s="926"/>
      <c r="IWI895" s="926"/>
      <c r="IWJ895" s="926"/>
      <c r="IWK895" s="926"/>
      <c r="IWL895" s="926"/>
      <c r="IWM895" s="926"/>
      <c r="IWN895" s="926"/>
      <c r="IWO895" s="926"/>
      <c r="IWP895" s="926"/>
      <c r="IWQ895" s="926"/>
      <c r="IWR895" s="926"/>
      <c r="IWS895" s="926"/>
      <c r="IWT895" s="926"/>
      <c r="IWU895" s="926"/>
      <c r="IWV895" s="926"/>
      <c r="IWW895" s="926"/>
      <c r="IWX895" s="926"/>
      <c r="IWY895" s="926"/>
      <c r="IWZ895" s="926"/>
      <c r="IXA895" s="926"/>
      <c r="IXB895" s="926"/>
      <c r="IXC895" s="926"/>
      <c r="IXD895" s="926"/>
      <c r="IXE895" s="926"/>
      <c r="IXF895" s="926"/>
      <c r="IXG895" s="926"/>
      <c r="IXH895" s="926"/>
      <c r="IXI895" s="926"/>
      <c r="IXJ895" s="926"/>
      <c r="IXK895" s="926"/>
      <c r="IXL895" s="926"/>
      <c r="IXM895" s="926"/>
      <c r="IXN895" s="926"/>
      <c r="IXO895" s="926"/>
      <c r="IXP895" s="926"/>
      <c r="IXQ895" s="926"/>
      <c r="IXR895" s="926"/>
      <c r="IXS895" s="926"/>
      <c r="IXT895" s="926"/>
      <c r="IXU895" s="926"/>
      <c r="IXV895" s="926"/>
      <c r="IXW895" s="926"/>
      <c r="IXX895" s="926"/>
      <c r="IXY895" s="926"/>
      <c r="IXZ895" s="926"/>
      <c r="IYA895" s="926"/>
      <c r="IYB895" s="926"/>
      <c r="IYC895" s="926"/>
      <c r="IYD895" s="926"/>
      <c r="IYE895" s="926"/>
      <c r="IYF895" s="926"/>
      <c r="IYG895" s="926"/>
      <c r="IYH895" s="926"/>
      <c r="IYI895" s="926"/>
      <c r="IYJ895" s="926"/>
      <c r="IYK895" s="926"/>
      <c r="IYL895" s="926"/>
      <c r="IYM895" s="926"/>
      <c r="IYN895" s="926"/>
      <c r="IYO895" s="926"/>
      <c r="IYP895" s="926"/>
      <c r="IYQ895" s="926"/>
      <c r="IYR895" s="926"/>
      <c r="IYS895" s="926"/>
      <c r="IYT895" s="926"/>
      <c r="IYU895" s="926"/>
      <c r="IYV895" s="926"/>
      <c r="IYW895" s="926"/>
      <c r="IYX895" s="926"/>
      <c r="IYY895" s="926"/>
      <c r="IYZ895" s="926"/>
      <c r="IZA895" s="926"/>
      <c r="IZB895" s="926"/>
      <c r="IZC895" s="926"/>
      <c r="IZD895" s="926"/>
      <c r="IZE895" s="926"/>
      <c r="IZF895" s="926"/>
      <c r="IZG895" s="926"/>
      <c r="IZH895" s="926"/>
      <c r="IZI895" s="926"/>
      <c r="IZJ895" s="926"/>
      <c r="IZK895" s="926"/>
      <c r="IZL895" s="926"/>
      <c r="IZM895" s="926"/>
      <c r="IZN895" s="926"/>
      <c r="IZO895" s="926"/>
      <c r="IZP895" s="926"/>
      <c r="IZQ895" s="926"/>
      <c r="IZR895" s="926"/>
      <c r="IZS895" s="926"/>
      <c r="IZT895" s="926"/>
      <c r="IZU895" s="926"/>
      <c r="IZV895" s="926"/>
      <c r="IZW895" s="926"/>
      <c r="IZX895" s="926"/>
      <c r="IZY895" s="926"/>
      <c r="IZZ895" s="926"/>
      <c r="JAA895" s="926"/>
      <c r="JAB895" s="926"/>
      <c r="JAC895" s="926"/>
      <c r="JAD895" s="926"/>
      <c r="JAE895" s="926"/>
      <c r="JAF895" s="926"/>
      <c r="JAG895" s="926"/>
      <c r="JAH895" s="926"/>
      <c r="JAI895" s="926"/>
      <c r="JAJ895" s="926"/>
      <c r="JAK895" s="926"/>
      <c r="JAL895" s="926"/>
      <c r="JAM895" s="926"/>
      <c r="JAN895" s="926"/>
      <c r="JAO895" s="926"/>
      <c r="JAP895" s="926"/>
      <c r="JAQ895" s="926"/>
      <c r="JAR895" s="926"/>
      <c r="JAS895" s="926"/>
      <c r="JAT895" s="926"/>
      <c r="JAU895" s="926"/>
      <c r="JAV895" s="926"/>
      <c r="JAW895" s="926"/>
      <c r="JAX895" s="926"/>
      <c r="JAY895" s="926"/>
      <c r="JAZ895" s="926"/>
      <c r="JBA895" s="926"/>
      <c r="JBB895" s="926"/>
      <c r="JBC895" s="926"/>
      <c r="JBD895" s="926"/>
      <c r="JBE895" s="926"/>
      <c r="JBF895" s="926"/>
      <c r="JBG895" s="926"/>
      <c r="JBH895" s="926"/>
      <c r="JBI895" s="926"/>
      <c r="JBJ895" s="926"/>
      <c r="JBK895" s="926"/>
      <c r="JBL895" s="926"/>
      <c r="JBM895" s="926"/>
      <c r="JBN895" s="926"/>
      <c r="JBO895" s="926"/>
      <c r="JBP895" s="926"/>
      <c r="JBQ895" s="926"/>
      <c r="JBR895" s="926"/>
      <c r="JBS895" s="926"/>
      <c r="JBT895" s="926"/>
      <c r="JBU895" s="926"/>
      <c r="JBV895" s="926"/>
      <c r="JBW895" s="926"/>
      <c r="JBX895" s="926"/>
      <c r="JBY895" s="926"/>
      <c r="JBZ895" s="926"/>
      <c r="JCA895" s="926"/>
      <c r="JCB895" s="926"/>
      <c r="JCC895" s="926"/>
      <c r="JCD895" s="926"/>
      <c r="JCE895" s="926"/>
      <c r="JCF895" s="926"/>
      <c r="JCG895" s="926"/>
      <c r="JCH895" s="926"/>
      <c r="JCI895" s="926"/>
      <c r="JCJ895" s="926"/>
      <c r="JCK895" s="926"/>
      <c r="JCL895" s="926"/>
      <c r="JCM895" s="926"/>
      <c r="JCN895" s="926"/>
      <c r="JCO895" s="926"/>
      <c r="JCP895" s="926"/>
      <c r="JCQ895" s="926"/>
      <c r="JCR895" s="926"/>
      <c r="JCS895" s="926"/>
      <c r="JCT895" s="926"/>
      <c r="JCU895" s="926"/>
      <c r="JCV895" s="926"/>
      <c r="JCW895" s="926"/>
      <c r="JCX895" s="926"/>
      <c r="JCY895" s="926"/>
      <c r="JCZ895" s="926"/>
      <c r="JDA895" s="926"/>
      <c r="JDB895" s="926"/>
      <c r="JDC895" s="926"/>
      <c r="JDD895" s="926"/>
      <c r="JDE895" s="926"/>
      <c r="JDF895" s="926"/>
      <c r="JDG895" s="926"/>
      <c r="JDH895" s="926"/>
      <c r="JDI895" s="926"/>
      <c r="JDJ895" s="926"/>
      <c r="JDK895" s="926"/>
      <c r="JDL895" s="926"/>
      <c r="JDM895" s="926"/>
      <c r="JDN895" s="926"/>
      <c r="JDO895" s="926"/>
      <c r="JDP895" s="926"/>
      <c r="JDQ895" s="926"/>
      <c r="JDR895" s="926"/>
      <c r="JDS895" s="926"/>
      <c r="JDT895" s="926"/>
      <c r="JDU895" s="926"/>
      <c r="JDV895" s="926"/>
      <c r="JDW895" s="926"/>
      <c r="JDX895" s="926"/>
      <c r="JDY895" s="926"/>
      <c r="JDZ895" s="926"/>
      <c r="JEA895" s="926"/>
      <c r="JEB895" s="926"/>
      <c r="JEC895" s="926"/>
      <c r="JED895" s="926"/>
      <c r="JEE895" s="926"/>
      <c r="JEF895" s="926"/>
      <c r="JEG895" s="926"/>
      <c r="JEH895" s="926"/>
      <c r="JEI895" s="926"/>
      <c r="JEJ895" s="926"/>
      <c r="JEK895" s="926"/>
      <c r="JEL895" s="926"/>
      <c r="JEM895" s="926"/>
      <c r="JEN895" s="926"/>
      <c r="JEO895" s="926"/>
      <c r="JEP895" s="926"/>
      <c r="JEQ895" s="926"/>
      <c r="JER895" s="926"/>
      <c r="JES895" s="926"/>
      <c r="JET895" s="926"/>
      <c r="JEU895" s="926"/>
      <c r="JEV895" s="926"/>
      <c r="JEW895" s="926"/>
      <c r="JEX895" s="926"/>
      <c r="JEY895" s="926"/>
      <c r="JEZ895" s="926"/>
      <c r="JFA895" s="926"/>
      <c r="JFB895" s="926"/>
      <c r="JFC895" s="926"/>
      <c r="JFD895" s="926"/>
      <c r="JFE895" s="926"/>
      <c r="JFF895" s="926"/>
      <c r="JFG895" s="926"/>
      <c r="JFH895" s="926"/>
      <c r="JFI895" s="926"/>
      <c r="JFJ895" s="926"/>
      <c r="JFK895" s="926"/>
      <c r="JFL895" s="926"/>
      <c r="JFM895" s="926"/>
      <c r="JFN895" s="926"/>
      <c r="JFO895" s="926"/>
      <c r="JFP895" s="926"/>
      <c r="JFQ895" s="926"/>
      <c r="JFR895" s="926"/>
      <c r="JFS895" s="926"/>
      <c r="JFT895" s="926"/>
      <c r="JFU895" s="926"/>
      <c r="JFV895" s="926"/>
      <c r="JFW895" s="926"/>
      <c r="JFX895" s="926"/>
      <c r="JFY895" s="926"/>
      <c r="JFZ895" s="926"/>
      <c r="JGA895" s="926"/>
      <c r="JGB895" s="926"/>
      <c r="JGC895" s="926"/>
      <c r="JGD895" s="926"/>
      <c r="JGE895" s="926"/>
      <c r="JGF895" s="926"/>
      <c r="JGG895" s="926"/>
      <c r="JGH895" s="926"/>
      <c r="JGI895" s="926"/>
      <c r="JGJ895" s="926"/>
      <c r="JGK895" s="926"/>
      <c r="JGL895" s="926"/>
      <c r="JGM895" s="926"/>
      <c r="JGN895" s="926"/>
      <c r="JGO895" s="926"/>
      <c r="JGP895" s="926"/>
      <c r="JGQ895" s="926"/>
      <c r="JGR895" s="926"/>
      <c r="JGS895" s="926"/>
      <c r="JGT895" s="926"/>
      <c r="JGU895" s="926"/>
      <c r="JGV895" s="926"/>
      <c r="JGW895" s="926"/>
      <c r="JGX895" s="926"/>
      <c r="JGY895" s="926"/>
      <c r="JGZ895" s="926"/>
      <c r="JHA895" s="926"/>
      <c r="JHB895" s="926"/>
      <c r="JHC895" s="926"/>
      <c r="JHD895" s="926"/>
      <c r="JHE895" s="926"/>
      <c r="JHF895" s="926"/>
      <c r="JHG895" s="926"/>
      <c r="JHH895" s="926"/>
      <c r="JHI895" s="926"/>
      <c r="JHJ895" s="926"/>
      <c r="JHK895" s="926"/>
      <c r="JHL895" s="926"/>
      <c r="JHM895" s="926"/>
      <c r="JHN895" s="926"/>
      <c r="JHO895" s="926"/>
      <c r="JHP895" s="926"/>
      <c r="JHQ895" s="926"/>
      <c r="JHR895" s="926"/>
      <c r="JHS895" s="926"/>
      <c r="JHT895" s="926"/>
      <c r="JHU895" s="926"/>
      <c r="JHV895" s="926"/>
      <c r="JHW895" s="926"/>
      <c r="JHX895" s="926"/>
      <c r="JHY895" s="926"/>
      <c r="JHZ895" s="926"/>
      <c r="JIA895" s="926"/>
      <c r="JIB895" s="926"/>
      <c r="JIC895" s="926"/>
      <c r="JID895" s="926"/>
      <c r="JIE895" s="926"/>
      <c r="JIF895" s="926"/>
      <c r="JIG895" s="926"/>
      <c r="JIH895" s="926"/>
      <c r="JII895" s="926"/>
      <c r="JIJ895" s="926"/>
      <c r="JIK895" s="926"/>
      <c r="JIL895" s="926"/>
      <c r="JIM895" s="926"/>
      <c r="JIN895" s="926"/>
      <c r="JIO895" s="926"/>
      <c r="JIP895" s="926"/>
      <c r="JIQ895" s="926"/>
      <c r="JIR895" s="926"/>
      <c r="JIS895" s="926"/>
      <c r="JIT895" s="926"/>
      <c r="JIU895" s="926"/>
      <c r="JIV895" s="926"/>
      <c r="JIW895" s="926"/>
      <c r="JIX895" s="926"/>
      <c r="JIY895" s="926"/>
      <c r="JIZ895" s="926"/>
      <c r="JJA895" s="926"/>
      <c r="JJB895" s="926"/>
      <c r="JJC895" s="926"/>
      <c r="JJD895" s="926"/>
      <c r="JJE895" s="926"/>
      <c r="JJF895" s="926"/>
      <c r="JJG895" s="926"/>
      <c r="JJH895" s="926"/>
      <c r="JJI895" s="926"/>
      <c r="JJJ895" s="926"/>
      <c r="JJK895" s="926"/>
      <c r="JJL895" s="926"/>
      <c r="JJM895" s="926"/>
      <c r="JJN895" s="926"/>
      <c r="JJO895" s="926"/>
      <c r="JJP895" s="926"/>
      <c r="JJQ895" s="926"/>
      <c r="JJR895" s="926"/>
      <c r="JJS895" s="926"/>
      <c r="JJT895" s="926"/>
      <c r="JJU895" s="926"/>
      <c r="JJV895" s="926"/>
      <c r="JJW895" s="926"/>
      <c r="JJX895" s="926"/>
      <c r="JJY895" s="926"/>
      <c r="JJZ895" s="926"/>
      <c r="JKA895" s="926"/>
      <c r="JKB895" s="926"/>
      <c r="JKC895" s="926"/>
      <c r="JKD895" s="926"/>
      <c r="JKE895" s="926"/>
      <c r="JKF895" s="926"/>
      <c r="JKG895" s="926"/>
      <c r="JKH895" s="926"/>
      <c r="JKI895" s="926"/>
      <c r="JKJ895" s="926"/>
      <c r="JKK895" s="926"/>
      <c r="JKL895" s="926"/>
      <c r="JKM895" s="926"/>
      <c r="JKN895" s="926"/>
      <c r="JKO895" s="926"/>
      <c r="JKP895" s="926"/>
      <c r="JKQ895" s="926"/>
      <c r="JKR895" s="926"/>
      <c r="JKS895" s="926"/>
      <c r="JKT895" s="926"/>
      <c r="JKU895" s="926"/>
      <c r="JKV895" s="926"/>
      <c r="JKW895" s="926"/>
      <c r="JKX895" s="926"/>
      <c r="JKY895" s="926"/>
      <c r="JKZ895" s="926"/>
      <c r="JLA895" s="926"/>
      <c r="JLB895" s="926"/>
      <c r="JLC895" s="926"/>
      <c r="JLD895" s="926"/>
      <c r="JLE895" s="926"/>
      <c r="JLF895" s="926"/>
      <c r="JLG895" s="926"/>
      <c r="JLH895" s="926"/>
      <c r="JLI895" s="926"/>
      <c r="JLJ895" s="926"/>
      <c r="JLK895" s="926"/>
      <c r="JLL895" s="926"/>
      <c r="JLM895" s="926"/>
      <c r="JLN895" s="926"/>
      <c r="JLO895" s="926"/>
      <c r="JLP895" s="926"/>
      <c r="JLQ895" s="926"/>
      <c r="JLR895" s="926"/>
      <c r="JLS895" s="926"/>
      <c r="JLT895" s="926"/>
      <c r="JLU895" s="926"/>
      <c r="JLV895" s="926"/>
      <c r="JLW895" s="926"/>
      <c r="JLX895" s="926"/>
      <c r="JLY895" s="926"/>
      <c r="JLZ895" s="926"/>
      <c r="JMA895" s="926"/>
      <c r="JMB895" s="926"/>
      <c r="JMC895" s="926"/>
      <c r="JMD895" s="926"/>
      <c r="JME895" s="926"/>
      <c r="JMF895" s="926"/>
      <c r="JMG895" s="926"/>
      <c r="JMH895" s="926"/>
      <c r="JMI895" s="926"/>
      <c r="JMJ895" s="926"/>
      <c r="JMK895" s="926"/>
      <c r="JML895" s="926"/>
      <c r="JMM895" s="926"/>
      <c r="JMN895" s="926"/>
      <c r="JMO895" s="926"/>
      <c r="JMP895" s="926"/>
      <c r="JMQ895" s="926"/>
      <c r="JMR895" s="926"/>
      <c r="JMS895" s="926"/>
      <c r="JMT895" s="926"/>
      <c r="JMU895" s="926"/>
      <c r="JMV895" s="926"/>
      <c r="JMW895" s="926"/>
      <c r="JMX895" s="926"/>
      <c r="JMY895" s="926"/>
      <c r="JMZ895" s="926"/>
      <c r="JNA895" s="926"/>
      <c r="JNB895" s="926"/>
      <c r="JNC895" s="926"/>
      <c r="JND895" s="926"/>
      <c r="JNE895" s="926"/>
      <c r="JNF895" s="926"/>
      <c r="JNG895" s="926"/>
      <c r="JNH895" s="926"/>
      <c r="JNI895" s="926"/>
      <c r="JNJ895" s="926"/>
      <c r="JNK895" s="926"/>
      <c r="JNL895" s="926"/>
      <c r="JNM895" s="926"/>
      <c r="JNN895" s="926"/>
      <c r="JNO895" s="926"/>
      <c r="JNP895" s="926"/>
      <c r="JNQ895" s="926"/>
      <c r="JNR895" s="926"/>
      <c r="JNS895" s="926"/>
      <c r="JNT895" s="926"/>
      <c r="JNU895" s="926"/>
      <c r="JNV895" s="926"/>
      <c r="JNW895" s="926"/>
      <c r="JNX895" s="926"/>
      <c r="JNY895" s="926"/>
      <c r="JNZ895" s="926"/>
      <c r="JOA895" s="926"/>
      <c r="JOB895" s="926"/>
      <c r="JOC895" s="926"/>
      <c r="JOD895" s="926"/>
      <c r="JOE895" s="926"/>
      <c r="JOF895" s="926"/>
      <c r="JOG895" s="926"/>
      <c r="JOH895" s="926"/>
      <c r="JOI895" s="926"/>
      <c r="JOJ895" s="926"/>
      <c r="JOK895" s="926"/>
      <c r="JOL895" s="926"/>
      <c r="JOM895" s="926"/>
      <c r="JON895" s="926"/>
      <c r="JOO895" s="926"/>
      <c r="JOP895" s="926"/>
      <c r="JOQ895" s="926"/>
      <c r="JOR895" s="926"/>
      <c r="JOS895" s="926"/>
      <c r="JOT895" s="926"/>
      <c r="JOU895" s="926"/>
      <c r="JOV895" s="926"/>
      <c r="JOW895" s="926"/>
      <c r="JOX895" s="926"/>
      <c r="JOY895" s="926"/>
      <c r="JOZ895" s="926"/>
      <c r="JPA895" s="926"/>
      <c r="JPB895" s="926"/>
      <c r="JPC895" s="926"/>
      <c r="JPD895" s="926"/>
      <c r="JPE895" s="926"/>
      <c r="JPF895" s="926"/>
      <c r="JPG895" s="926"/>
      <c r="JPH895" s="926"/>
      <c r="JPI895" s="926"/>
      <c r="JPJ895" s="926"/>
      <c r="JPK895" s="926"/>
      <c r="JPL895" s="926"/>
      <c r="JPM895" s="926"/>
      <c r="JPN895" s="926"/>
      <c r="JPO895" s="926"/>
      <c r="JPP895" s="926"/>
      <c r="JPQ895" s="926"/>
      <c r="JPR895" s="926"/>
      <c r="JPS895" s="926"/>
      <c r="JPT895" s="926"/>
      <c r="JPU895" s="926"/>
      <c r="JPV895" s="926"/>
      <c r="JPW895" s="926"/>
      <c r="JPX895" s="926"/>
      <c r="JPY895" s="926"/>
      <c r="JPZ895" s="926"/>
      <c r="JQA895" s="926"/>
      <c r="JQB895" s="926"/>
      <c r="JQC895" s="926"/>
      <c r="JQD895" s="926"/>
      <c r="JQE895" s="926"/>
      <c r="JQF895" s="926"/>
      <c r="JQG895" s="926"/>
      <c r="JQH895" s="926"/>
      <c r="JQI895" s="926"/>
      <c r="JQJ895" s="926"/>
      <c r="JQK895" s="926"/>
      <c r="JQL895" s="926"/>
      <c r="JQM895" s="926"/>
      <c r="JQN895" s="926"/>
      <c r="JQO895" s="926"/>
      <c r="JQP895" s="926"/>
      <c r="JQQ895" s="926"/>
      <c r="JQR895" s="926"/>
      <c r="JQS895" s="926"/>
      <c r="JQT895" s="926"/>
      <c r="JQU895" s="926"/>
      <c r="JQV895" s="926"/>
      <c r="JQW895" s="926"/>
      <c r="JQX895" s="926"/>
      <c r="JQY895" s="926"/>
      <c r="JQZ895" s="926"/>
      <c r="JRA895" s="926"/>
      <c r="JRB895" s="926"/>
      <c r="JRC895" s="926"/>
      <c r="JRD895" s="926"/>
      <c r="JRE895" s="926"/>
      <c r="JRF895" s="926"/>
      <c r="JRG895" s="926"/>
      <c r="JRH895" s="926"/>
      <c r="JRI895" s="926"/>
      <c r="JRJ895" s="926"/>
      <c r="JRK895" s="926"/>
      <c r="JRL895" s="926"/>
      <c r="JRM895" s="926"/>
      <c r="JRN895" s="926"/>
      <c r="JRO895" s="926"/>
      <c r="JRP895" s="926"/>
      <c r="JRQ895" s="926"/>
      <c r="JRR895" s="926"/>
      <c r="JRS895" s="926"/>
      <c r="JRT895" s="926"/>
      <c r="JRU895" s="926"/>
      <c r="JRV895" s="926"/>
      <c r="JRW895" s="926"/>
      <c r="JRX895" s="926"/>
      <c r="JRY895" s="926"/>
      <c r="JRZ895" s="926"/>
      <c r="JSA895" s="926"/>
      <c r="JSB895" s="926"/>
      <c r="JSC895" s="926"/>
      <c r="JSD895" s="926"/>
      <c r="JSE895" s="926"/>
      <c r="JSF895" s="926"/>
      <c r="JSG895" s="926"/>
      <c r="JSH895" s="926"/>
      <c r="JSI895" s="926"/>
      <c r="JSJ895" s="926"/>
      <c r="JSK895" s="926"/>
      <c r="JSL895" s="926"/>
      <c r="JSM895" s="926"/>
      <c r="JSN895" s="926"/>
      <c r="JSO895" s="926"/>
      <c r="JSP895" s="926"/>
      <c r="JSQ895" s="926"/>
      <c r="JSR895" s="926"/>
      <c r="JSS895" s="926"/>
      <c r="JST895" s="926"/>
      <c r="JSU895" s="926"/>
      <c r="JSV895" s="926"/>
      <c r="JSW895" s="926"/>
      <c r="JSX895" s="926"/>
      <c r="JSY895" s="926"/>
      <c r="JSZ895" s="926"/>
      <c r="JTA895" s="926"/>
      <c r="JTB895" s="926"/>
      <c r="JTC895" s="926"/>
      <c r="JTD895" s="926"/>
      <c r="JTE895" s="926"/>
      <c r="JTF895" s="926"/>
      <c r="JTG895" s="926"/>
      <c r="JTH895" s="926"/>
      <c r="JTI895" s="926"/>
      <c r="JTJ895" s="926"/>
      <c r="JTK895" s="926"/>
      <c r="JTL895" s="926"/>
      <c r="JTM895" s="926"/>
      <c r="JTN895" s="926"/>
      <c r="JTO895" s="926"/>
      <c r="JTP895" s="926"/>
      <c r="JTQ895" s="926"/>
      <c r="JTR895" s="926"/>
      <c r="JTS895" s="926"/>
      <c r="JTT895" s="926"/>
      <c r="JTU895" s="926"/>
      <c r="JTV895" s="926"/>
      <c r="JTW895" s="926"/>
      <c r="JTX895" s="926"/>
      <c r="JTY895" s="926"/>
      <c r="JTZ895" s="926"/>
      <c r="JUA895" s="926"/>
      <c r="JUB895" s="926"/>
      <c r="JUC895" s="926"/>
      <c r="JUD895" s="926"/>
      <c r="JUE895" s="926"/>
      <c r="JUF895" s="926"/>
      <c r="JUG895" s="926"/>
      <c r="JUH895" s="926"/>
      <c r="JUI895" s="926"/>
      <c r="JUJ895" s="926"/>
      <c r="JUK895" s="926"/>
      <c r="JUL895" s="926"/>
      <c r="JUM895" s="926"/>
      <c r="JUN895" s="926"/>
      <c r="JUO895" s="926"/>
      <c r="JUP895" s="926"/>
      <c r="JUQ895" s="926"/>
      <c r="JUR895" s="926"/>
      <c r="JUS895" s="926"/>
      <c r="JUT895" s="926"/>
      <c r="JUU895" s="926"/>
      <c r="JUV895" s="926"/>
      <c r="JUW895" s="926"/>
      <c r="JUX895" s="926"/>
      <c r="JUY895" s="926"/>
      <c r="JUZ895" s="926"/>
      <c r="JVA895" s="926"/>
      <c r="JVB895" s="926"/>
      <c r="JVC895" s="926"/>
      <c r="JVD895" s="926"/>
      <c r="JVE895" s="926"/>
      <c r="JVF895" s="926"/>
      <c r="JVG895" s="926"/>
      <c r="JVH895" s="926"/>
      <c r="JVI895" s="926"/>
      <c r="JVJ895" s="926"/>
      <c r="JVK895" s="926"/>
      <c r="JVL895" s="926"/>
      <c r="JVM895" s="926"/>
      <c r="JVN895" s="926"/>
      <c r="JVO895" s="926"/>
      <c r="JVP895" s="926"/>
      <c r="JVQ895" s="926"/>
      <c r="JVR895" s="926"/>
      <c r="JVS895" s="926"/>
      <c r="JVT895" s="926"/>
      <c r="JVU895" s="926"/>
      <c r="JVV895" s="926"/>
      <c r="JVW895" s="926"/>
      <c r="JVX895" s="926"/>
      <c r="JVY895" s="926"/>
      <c r="JVZ895" s="926"/>
      <c r="JWA895" s="926"/>
      <c r="JWB895" s="926"/>
      <c r="JWC895" s="926"/>
      <c r="JWD895" s="926"/>
      <c r="JWE895" s="926"/>
      <c r="JWF895" s="926"/>
      <c r="JWG895" s="926"/>
      <c r="JWH895" s="926"/>
      <c r="JWI895" s="926"/>
      <c r="JWJ895" s="926"/>
      <c r="JWK895" s="926"/>
      <c r="JWL895" s="926"/>
      <c r="JWM895" s="926"/>
      <c r="JWN895" s="926"/>
      <c r="JWO895" s="926"/>
      <c r="JWP895" s="926"/>
      <c r="JWQ895" s="926"/>
      <c r="JWR895" s="926"/>
      <c r="JWS895" s="926"/>
      <c r="JWT895" s="926"/>
      <c r="JWU895" s="926"/>
      <c r="JWV895" s="926"/>
      <c r="JWW895" s="926"/>
      <c r="JWX895" s="926"/>
      <c r="JWY895" s="926"/>
      <c r="JWZ895" s="926"/>
      <c r="JXA895" s="926"/>
      <c r="JXB895" s="926"/>
      <c r="JXC895" s="926"/>
      <c r="JXD895" s="926"/>
      <c r="JXE895" s="926"/>
      <c r="JXF895" s="926"/>
      <c r="JXG895" s="926"/>
      <c r="JXH895" s="926"/>
      <c r="JXI895" s="926"/>
      <c r="JXJ895" s="926"/>
      <c r="JXK895" s="926"/>
      <c r="JXL895" s="926"/>
      <c r="JXM895" s="926"/>
      <c r="JXN895" s="926"/>
      <c r="JXO895" s="926"/>
      <c r="JXP895" s="926"/>
      <c r="JXQ895" s="926"/>
      <c r="JXR895" s="926"/>
      <c r="JXS895" s="926"/>
      <c r="JXT895" s="926"/>
      <c r="JXU895" s="926"/>
      <c r="JXV895" s="926"/>
      <c r="JXW895" s="926"/>
      <c r="JXX895" s="926"/>
      <c r="JXY895" s="926"/>
      <c r="JXZ895" s="926"/>
      <c r="JYA895" s="926"/>
      <c r="JYB895" s="926"/>
      <c r="JYC895" s="926"/>
      <c r="JYD895" s="926"/>
      <c r="JYE895" s="926"/>
      <c r="JYF895" s="926"/>
      <c r="JYG895" s="926"/>
      <c r="JYH895" s="926"/>
      <c r="JYI895" s="926"/>
      <c r="JYJ895" s="926"/>
      <c r="JYK895" s="926"/>
      <c r="JYL895" s="926"/>
      <c r="JYM895" s="926"/>
      <c r="JYN895" s="926"/>
      <c r="JYO895" s="926"/>
      <c r="JYP895" s="926"/>
      <c r="JYQ895" s="926"/>
      <c r="JYR895" s="926"/>
      <c r="JYS895" s="926"/>
      <c r="JYT895" s="926"/>
      <c r="JYU895" s="926"/>
      <c r="JYV895" s="926"/>
      <c r="JYW895" s="926"/>
      <c r="JYX895" s="926"/>
      <c r="JYY895" s="926"/>
      <c r="JYZ895" s="926"/>
      <c r="JZA895" s="926"/>
      <c r="JZB895" s="926"/>
      <c r="JZC895" s="926"/>
      <c r="JZD895" s="926"/>
      <c r="JZE895" s="926"/>
      <c r="JZF895" s="926"/>
      <c r="JZG895" s="926"/>
      <c r="JZH895" s="926"/>
      <c r="JZI895" s="926"/>
      <c r="JZJ895" s="926"/>
      <c r="JZK895" s="926"/>
      <c r="JZL895" s="926"/>
      <c r="JZM895" s="926"/>
      <c r="JZN895" s="926"/>
      <c r="JZO895" s="926"/>
      <c r="JZP895" s="926"/>
      <c r="JZQ895" s="926"/>
      <c r="JZR895" s="926"/>
      <c r="JZS895" s="926"/>
      <c r="JZT895" s="926"/>
      <c r="JZU895" s="926"/>
      <c r="JZV895" s="926"/>
      <c r="JZW895" s="926"/>
      <c r="JZX895" s="926"/>
      <c r="JZY895" s="926"/>
      <c r="JZZ895" s="926"/>
      <c r="KAA895" s="926"/>
      <c r="KAB895" s="926"/>
      <c r="KAC895" s="926"/>
      <c r="KAD895" s="926"/>
      <c r="KAE895" s="926"/>
      <c r="KAF895" s="926"/>
      <c r="KAG895" s="926"/>
      <c r="KAH895" s="926"/>
      <c r="KAI895" s="926"/>
      <c r="KAJ895" s="926"/>
      <c r="KAK895" s="926"/>
      <c r="KAL895" s="926"/>
      <c r="KAM895" s="926"/>
      <c r="KAN895" s="926"/>
      <c r="KAO895" s="926"/>
      <c r="KAP895" s="926"/>
      <c r="KAQ895" s="926"/>
      <c r="KAR895" s="926"/>
      <c r="KAS895" s="926"/>
      <c r="KAT895" s="926"/>
      <c r="KAU895" s="926"/>
      <c r="KAV895" s="926"/>
      <c r="KAW895" s="926"/>
      <c r="KAX895" s="926"/>
      <c r="KAY895" s="926"/>
      <c r="KAZ895" s="926"/>
      <c r="KBA895" s="926"/>
      <c r="KBB895" s="926"/>
      <c r="KBC895" s="926"/>
      <c r="KBD895" s="926"/>
      <c r="KBE895" s="926"/>
      <c r="KBF895" s="926"/>
      <c r="KBG895" s="926"/>
      <c r="KBH895" s="926"/>
      <c r="KBI895" s="926"/>
      <c r="KBJ895" s="926"/>
      <c r="KBK895" s="926"/>
      <c r="KBL895" s="926"/>
      <c r="KBM895" s="926"/>
      <c r="KBN895" s="926"/>
      <c r="KBO895" s="926"/>
      <c r="KBP895" s="926"/>
      <c r="KBQ895" s="926"/>
      <c r="KBR895" s="926"/>
      <c r="KBS895" s="926"/>
      <c r="KBT895" s="926"/>
      <c r="KBU895" s="926"/>
      <c r="KBV895" s="926"/>
      <c r="KBW895" s="926"/>
      <c r="KBX895" s="926"/>
      <c r="KBY895" s="926"/>
      <c r="KBZ895" s="926"/>
      <c r="KCA895" s="926"/>
      <c r="KCB895" s="926"/>
      <c r="KCC895" s="926"/>
      <c r="KCD895" s="926"/>
      <c r="KCE895" s="926"/>
      <c r="KCF895" s="926"/>
      <c r="KCG895" s="926"/>
      <c r="KCH895" s="926"/>
      <c r="KCI895" s="926"/>
      <c r="KCJ895" s="926"/>
      <c r="KCK895" s="926"/>
      <c r="KCL895" s="926"/>
      <c r="KCM895" s="926"/>
      <c r="KCN895" s="926"/>
      <c r="KCO895" s="926"/>
      <c r="KCP895" s="926"/>
      <c r="KCQ895" s="926"/>
      <c r="KCR895" s="926"/>
      <c r="KCS895" s="926"/>
      <c r="KCT895" s="926"/>
      <c r="KCU895" s="926"/>
      <c r="KCV895" s="926"/>
      <c r="KCW895" s="926"/>
      <c r="KCX895" s="926"/>
      <c r="KCY895" s="926"/>
      <c r="KCZ895" s="926"/>
      <c r="KDA895" s="926"/>
      <c r="KDB895" s="926"/>
      <c r="KDC895" s="926"/>
      <c r="KDD895" s="926"/>
      <c r="KDE895" s="926"/>
      <c r="KDF895" s="926"/>
      <c r="KDG895" s="926"/>
      <c r="KDH895" s="926"/>
      <c r="KDI895" s="926"/>
      <c r="KDJ895" s="926"/>
      <c r="KDK895" s="926"/>
      <c r="KDL895" s="926"/>
      <c r="KDM895" s="926"/>
      <c r="KDN895" s="926"/>
      <c r="KDO895" s="926"/>
      <c r="KDP895" s="926"/>
      <c r="KDQ895" s="926"/>
      <c r="KDR895" s="926"/>
      <c r="KDS895" s="926"/>
      <c r="KDT895" s="926"/>
      <c r="KDU895" s="926"/>
      <c r="KDV895" s="926"/>
      <c r="KDW895" s="926"/>
      <c r="KDX895" s="926"/>
      <c r="KDY895" s="926"/>
      <c r="KDZ895" s="926"/>
      <c r="KEA895" s="926"/>
      <c r="KEB895" s="926"/>
      <c r="KEC895" s="926"/>
      <c r="KED895" s="926"/>
      <c r="KEE895" s="926"/>
      <c r="KEF895" s="926"/>
      <c r="KEG895" s="926"/>
      <c r="KEH895" s="926"/>
      <c r="KEI895" s="926"/>
      <c r="KEJ895" s="926"/>
      <c r="KEK895" s="926"/>
      <c r="KEL895" s="926"/>
      <c r="KEM895" s="926"/>
      <c r="KEN895" s="926"/>
      <c r="KEO895" s="926"/>
      <c r="KEP895" s="926"/>
      <c r="KEQ895" s="926"/>
      <c r="KER895" s="926"/>
      <c r="KES895" s="926"/>
      <c r="KET895" s="926"/>
      <c r="KEU895" s="926"/>
      <c r="KEV895" s="926"/>
      <c r="KEW895" s="926"/>
      <c r="KEX895" s="926"/>
      <c r="KEY895" s="926"/>
      <c r="KEZ895" s="926"/>
      <c r="KFA895" s="926"/>
      <c r="KFB895" s="926"/>
      <c r="KFC895" s="926"/>
      <c r="KFD895" s="926"/>
      <c r="KFE895" s="926"/>
      <c r="KFF895" s="926"/>
      <c r="KFG895" s="926"/>
      <c r="KFH895" s="926"/>
      <c r="KFI895" s="926"/>
      <c r="KFJ895" s="926"/>
      <c r="KFK895" s="926"/>
      <c r="KFL895" s="926"/>
      <c r="KFM895" s="926"/>
      <c r="KFN895" s="926"/>
      <c r="KFO895" s="926"/>
      <c r="KFP895" s="926"/>
      <c r="KFQ895" s="926"/>
      <c r="KFR895" s="926"/>
      <c r="KFS895" s="926"/>
      <c r="KFT895" s="926"/>
      <c r="KFU895" s="926"/>
      <c r="KFV895" s="926"/>
      <c r="KFW895" s="926"/>
      <c r="KFX895" s="926"/>
      <c r="KFY895" s="926"/>
      <c r="KFZ895" s="926"/>
      <c r="KGA895" s="926"/>
      <c r="KGB895" s="926"/>
      <c r="KGC895" s="926"/>
      <c r="KGD895" s="926"/>
      <c r="KGE895" s="926"/>
      <c r="KGF895" s="926"/>
      <c r="KGG895" s="926"/>
      <c r="KGH895" s="926"/>
      <c r="KGI895" s="926"/>
      <c r="KGJ895" s="926"/>
      <c r="KGK895" s="926"/>
      <c r="KGL895" s="926"/>
      <c r="KGM895" s="926"/>
      <c r="KGN895" s="926"/>
      <c r="KGO895" s="926"/>
      <c r="KGP895" s="926"/>
      <c r="KGQ895" s="926"/>
      <c r="KGR895" s="926"/>
      <c r="KGS895" s="926"/>
      <c r="KGT895" s="926"/>
      <c r="KGU895" s="926"/>
      <c r="KGV895" s="926"/>
      <c r="KGW895" s="926"/>
      <c r="KGX895" s="926"/>
      <c r="KGY895" s="926"/>
      <c r="KGZ895" s="926"/>
      <c r="KHA895" s="926"/>
      <c r="KHB895" s="926"/>
      <c r="KHC895" s="926"/>
      <c r="KHD895" s="926"/>
      <c r="KHE895" s="926"/>
      <c r="KHF895" s="926"/>
      <c r="KHG895" s="926"/>
      <c r="KHH895" s="926"/>
      <c r="KHI895" s="926"/>
      <c r="KHJ895" s="926"/>
      <c r="KHK895" s="926"/>
      <c r="KHL895" s="926"/>
      <c r="KHM895" s="926"/>
      <c r="KHN895" s="926"/>
      <c r="KHO895" s="926"/>
      <c r="KHP895" s="926"/>
      <c r="KHQ895" s="926"/>
      <c r="KHR895" s="926"/>
      <c r="KHS895" s="926"/>
      <c r="KHT895" s="926"/>
      <c r="KHU895" s="926"/>
      <c r="KHV895" s="926"/>
      <c r="KHW895" s="926"/>
      <c r="KHX895" s="926"/>
      <c r="KHY895" s="926"/>
      <c r="KHZ895" s="926"/>
      <c r="KIA895" s="926"/>
      <c r="KIB895" s="926"/>
      <c r="KIC895" s="926"/>
      <c r="KID895" s="926"/>
      <c r="KIE895" s="926"/>
      <c r="KIF895" s="926"/>
      <c r="KIG895" s="926"/>
      <c r="KIH895" s="926"/>
      <c r="KII895" s="926"/>
      <c r="KIJ895" s="926"/>
      <c r="KIK895" s="926"/>
      <c r="KIL895" s="926"/>
      <c r="KIM895" s="926"/>
      <c r="KIN895" s="926"/>
      <c r="KIO895" s="926"/>
      <c r="KIP895" s="926"/>
      <c r="KIQ895" s="926"/>
      <c r="KIR895" s="926"/>
      <c r="KIS895" s="926"/>
      <c r="KIT895" s="926"/>
      <c r="KIU895" s="926"/>
      <c r="KIV895" s="926"/>
      <c r="KIW895" s="926"/>
      <c r="KIX895" s="926"/>
      <c r="KIY895" s="926"/>
      <c r="KIZ895" s="926"/>
      <c r="KJA895" s="926"/>
      <c r="KJB895" s="926"/>
      <c r="KJC895" s="926"/>
      <c r="KJD895" s="926"/>
      <c r="KJE895" s="926"/>
      <c r="KJF895" s="926"/>
      <c r="KJG895" s="926"/>
      <c r="KJH895" s="926"/>
      <c r="KJI895" s="926"/>
      <c r="KJJ895" s="926"/>
      <c r="KJK895" s="926"/>
      <c r="KJL895" s="926"/>
      <c r="KJM895" s="926"/>
      <c r="KJN895" s="926"/>
      <c r="KJO895" s="926"/>
      <c r="KJP895" s="926"/>
      <c r="KJQ895" s="926"/>
      <c r="KJR895" s="926"/>
      <c r="KJS895" s="926"/>
      <c r="KJT895" s="926"/>
      <c r="KJU895" s="926"/>
      <c r="KJV895" s="926"/>
      <c r="KJW895" s="926"/>
      <c r="KJX895" s="926"/>
      <c r="KJY895" s="926"/>
      <c r="KJZ895" s="926"/>
      <c r="KKA895" s="926"/>
      <c r="KKB895" s="926"/>
      <c r="KKC895" s="926"/>
      <c r="KKD895" s="926"/>
      <c r="KKE895" s="926"/>
      <c r="KKF895" s="926"/>
      <c r="KKG895" s="926"/>
      <c r="KKH895" s="926"/>
      <c r="KKI895" s="926"/>
      <c r="KKJ895" s="926"/>
      <c r="KKK895" s="926"/>
      <c r="KKL895" s="926"/>
      <c r="KKM895" s="926"/>
      <c r="KKN895" s="926"/>
      <c r="KKO895" s="926"/>
      <c r="KKP895" s="926"/>
      <c r="KKQ895" s="926"/>
      <c r="KKR895" s="926"/>
      <c r="KKS895" s="926"/>
      <c r="KKT895" s="926"/>
      <c r="KKU895" s="926"/>
      <c r="KKV895" s="926"/>
      <c r="KKW895" s="926"/>
      <c r="KKX895" s="926"/>
      <c r="KKY895" s="926"/>
      <c r="KKZ895" s="926"/>
      <c r="KLA895" s="926"/>
      <c r="KLB895" s="926"/>
      <c r="KLC895" s="926"/>
      <c r="KLD895" s="926"/>
      <c r="KLE895" s="926"/>
      <c r="KLF895" s="926"/>
      <c r="KLG895" s="926"/>
      <c r="KLH895" s="926"/>
      <c r="KLI895" s="926"/>
      <c r="KLJ895" s="926"/>
      <c r="KLK895" s="926"/>
      <c r="KLL895" s="926"/>
      <c r="KLM895" s="926"/>
      <c r="KLN895" s="926"/>
      <c r="KLO895" s="926"/>
      <c r="KLP895" s="926"/>
      <c r="KLQ895" s="926"/>
      <c r="KLR895" s="926"/>
      <c r="KLS895" s="926"/>
      <c r="KLT895" s="926"/>
      <c r="KLU895" s="926"/>
      <c r="KLV895" s="926"/>
      <c r="KLW895" s="926"/>
      <c r="KLX895" s="926"/>
      <c r="KLY895" s="926"/>
      <c r="KLZ895" s="926"/>
      <c r="KMA895" s="926"/>
      <c r="KMB895" s="926"/>
      <c r="KMC895" s="926"/>
      <c r="KMD895" s="926"/>
      <c r="KME895" s="926"/>
      <c r="KMF895" s="926"/>
      <c r="KMG895" s="926"/>
      <c r="KMH895" s="926"/>
      <c r="KMI895" s="926"/>
      <c r="KMJ895" s="926"/>
      <c r="KMK895" s="926"/>
      <c r="KML895" s="926"/>
      <c r="KMM895" s="926"/>
      <c r="KMN895" s="926"/>
      <c r="KMO895" s="926"/>
      <c r="KMP895" s="926"/>
      <c r="KMQ895" s="926"/>
      <c r="KMR895" s="926"/>
      <c r="KMS895" s="926"/>
      <c r="KMT895" s="926"/>
      <c r="KMU895" s="926"/>
      <c r="KMV895" s="926"/>
      <c r="KMW895" s="926"/>
      <c r="KMX895" s="926"/>
      <c r="KMY895" s="926"/>
      <c r="KMZ895" s="926"/>
      <c r="KNA895" s="926"/>
      <c r="KNB895" s="926"/>
      <c r="KNC895" s="926"/>
      <c r="KND895" s="926"/>
      <c r="KNE895" s="926"/>
      <c r="KNF895" s="926"/>
      <c r="KNG895" s="926"/>
      <c r="KNH895" s="926"/>
      <c r="KNI895" s="926"/>
      <c r="KNJ895" s="926"/>
      <c r="KNK895" s="926"/>
      <c r="KNL895" s="926"/>
      <c r="KNM895" s="926"/>
      <c r="KNN895" s="926"/>
      <c r="KNO895" s="926"/>
      <c r="KNP895" s="926"/>
      <c r="KNQ895" s="926"/>
      <c r="KNR895" s="926"/>
      <c r="KNS895" s="926"/>
      <c r="KNT895" s="926"/>
      <c r="KNU895" s="926"/>
      <c r="KNV895" s="926"/>
      <c r="KNW895" s="926"/>
      <c r="KNX895" s="926"/>
      <c r="KNY895" s="926"/>
      <c r="KNZ895" s="926"/>
      <c r="KOA895" s="926"/>
      <c r="KOB895" s="926"/>
      <c r="KOC895" s="926"/>
      <c r="KOD895" s="926"/>
      <c r="KOE895" s="926"/>
      <c r="KOF895" s="926"/>
      <c r="KOG895" s="926"/>
      <c r="KOH895" s="926"/>
      <c r="KOI895" s="926"/>
      <c r="KOJ895" s="926"/>
      <c r="KOK895" s="926"/>
      <c r="KOL895" s="926"/>
      <c r="KOM895" s="926"/>
      <c r="KON895" s="926"/>
      <c r="KOO895" s="926"/>
      <c r="KOP895" s="926"/>
      <c r="KOQ895" s="926"/>
      <c r="KOR895" s="926"/>
      <c r="KOS895" s="926"/>
      <c r="KOT895" s="926"/>
      <c r="KOU895" s="926"/>
      <c r="KOV895" s="926"/>
      <c r="KOW895" s="926"/>
      <c r="KOX895" s="926"/>
      <c r="KOY895" s="926"/>
      <c r="KOZ895" s="926"/>
      <c r="KPA895" s="926"/>
      <c r="KPB895" s="926"/>
      <c r="KPC895" s="926"/>
      <c r="KPD895" s="926"/>
      <c r="KPE895" s="926"/>
      <c r="KPF895" s="926"/>
      <c r="KPG895" s="926"/>
      <c r="KPH895" s="926"/>
      <c r="KPI895" s="926"/>
      <c r="KPJ895" s="926"/>
      <c r="KPK895" s="926"/>
      <c r="KPL895" s="926"/>
      <c r="KPM895" s="926"/>
      <c r="KPN895" s="926"/>
      <c r="KPO895" s="926"/>
      <c r="KPP895" s="926"/>
      <c r="KPQ895" s="926"/>
      <c r="KPR895" s="926"/>
      <c r="KPS895" s="926"/>
      <c r="KPT895" s="926"/>
      <c r="KPU895" s="926"/>
      <c r="KPV895" s="926"/>
      <c r="KPW895" s="926"/>
      <c r="KPX895" s="926"/>
      <c r="KPY895" s="926"/>
      <c r="KPZ895" s="926"/>
      <c r="KQA895" s="926"/>
      <c r="KQB895" s="926"/>
      <c r="KQC895" s="926"/>
      <c r="KQD895" s="926"/>
      <c r="KQE895" s="926"/>
      <c r="KQF895" s="926"/>
      <c r="KQG895" s="926"/>
      <c r="KQH895" s="926"/>
      <c r="KQI895" s="926"/>
      <c r="KQJ895" s="926"/>
      <c r="KQK895" s="926"/>
      <c r="KQL895" s="926"/>
      <c r="KQM895" s="926"/>
      <c r="KQN895" s="926"/>
      <c r="KQO895" s="926"/>
      <c r="KQP895" s="926"/>
      <c r="KQQ895" s="926"/>
      <c r="KQR895" s="926"/>
      <c r="KQS895" s="926"/>
      <c r="KQT895" s="926"/>
      <c r="KQU895" s="926"/>
      <c r="KQV895" s="926"/>
      <c r="KQW895" s="926"/>
      <c r="KQX895" s="926"/>
      <c r="KQY895" s="926"/>
      <c r="KQZ895" s="926"/>
      <c r="KRA895" s="926"/>
      <c r="KRB895" s="926"/>
      <c r="KRC895" s="926"/>
      <c r="KRD895" s="926"/>
      <c r="KRE895" s="926"/>
      <c r="KRF895" s="926"/>
      <c r="KRG895" s="926"/>
      <c r="KRH895" s="926"/>
      <c r="KRI895" s="926"/>
      <c r="KRJ895" s="926"/>
      <c r="KRK895" s="926"/>
      <c r="KRL895" s="926"/>
      <c r="KRM895" s="926"/>
      <c r="KRN895" s="926"/>
      <c r="KRO895" s="926"/>
      <c r="KRP895" s="926"/>
      <c r="KRQ895" s="926"/>
      <c r="KRR895" s="926"/>
      <c r="KRS895" s="926"/>
      <c r="KRT895" s="926"/>
      <c r="KRU895" s="926"/>
      <c r="KRV895" s="926"/>
      <c r="KRW895" s="926"/>
      <c r="KRX895" s="926"/>
      <c r="KRY895" s="926"/>
      <c r="KRZ895" s="926"/>
      <c r="KSA895" s="926"/>
      <c r="KSB895" s="926"/>
      <c r="KSC895" s="926"/>
      <c r="KSD895" s="926"/>
      <c r="KSE895" s="926"/>
      <c r="KSF895" s="926"/>
      <c r="KSG895" s="926"/>
      <c r="KSH895" s="926"/>
      <c r="KSI895" s="926"/>
      <c r="KSJ895" s="926"/>
      <c r="KSK895" s="926"/>
      <c r="KSL895" s="926"/>
      <c r="KSM895" s="926"/>
      <c r="KSN895" s="926"/>
      <c r="KSO895" s="926"/>
      <c r="KSP895" s="926"/>
      <c r="KSQ895" s="926"/>
      <c r="KSR895" s="926"/>
      <c r="KSS895" s="926"/>
      <c r="KST895" s="926"/>
      <c r="KSU895" s="926"/>
      <c r="KSV895" s="926"/>
      <c r="KSW895" s="926"/>
      <c r="KSX895" s="926"/>
      <c r="KSY895" s="926"/>
      <c r="KSZ895" s="926"/>
      <c r="KTA895" s="926"/>
      <c r="KTB895" s="926"/>
      <c r="KTC895" s="926"/>
      <c r="KTD895" s="926"/>
      <c r="KTE895" s="926"/>
      <c r="KTF895" s="926"/>
      <c r="KTG895" s="926"/>
      <c r="KTH895" s="926"/>
      <c r="KTI895" s="926"/>
      <c r="KTJ895" s="926"/>
      <c r="KTK895" s="926"/>
      <c r="KTL895" s="926"/>
      <c r="KTM895" s="926"/>
      <c r="KTN895" s="926"/>
      <c r="KTO895" s="926"/>
      <c r="KTP895" s="926"/>
      <c r="KTQ895" s="926"/>
      <c r="KTR895" s="926"/>
      <c r="KTS895" s="926"/>
      <c r="KTT895" s="926"/>
      <c r="KTU895" s="926"/>
      <c r="KTV895" s="926"/>
      <c r="KTW895" s="926"/>
      <c r="KTX895" s="926"/>
      <c r="KTY895" s="926"/>
      <c r="KTZ895" s="926"/>
      <c r="KUA895" s="926"/>
      <c r="KUB895" s="926"/>
      <c r="KUC895" s="926"/>
      <c r="KUD895" s="926"/>
      <c r="KUE895" s="926"/>
      <c r="KUF895" s="926"/>
      <c r="KUG895" s="926"/>
      <c r="KUH895" s="926"/>
      <c r="KUI895" s="926"/>
      <c r="KUJ895" s="926"/>
      <c r="KUK895" s="926"/>
      <c r="KUL895" s="926"/>
      <c r="KUM895" s="926"/>
      <c r="KUN895" s="926"/>
      <c r="KUO895" s="926"/>
      <c r="KUP895" s="926"/>
      <c r="KUQ895" s="926"/>
      <c r="KUR895" s="926"/>
      <c r="KUS895" s="926"/>
      <c r="KUT895" s="926"/>
      <c r="KUU895" s="926"/>
      <c r="KUV895" s="926"/>
      <c r="KUW895" s="926"/>
      <c r="KUX895" s="926"/>
      <c r="KUY895" s="926"/>
      <c r="KUZ895" s="926"/>
      <c r="KVA895" s="926"/>
      <c r="KVB895" s="926"/>
      <c r="KVC895" s="926"/>
      <c r="KVD895" s="926"/>
      <c r="KVE895" s="926"/>
      <c r="KVF895" s="926"/>
      <c r="KVG895" s="926"/>
      <c r="KVH895" s="926"/>
      <c r="KVI895" s="926"/>
      <c r="KVJ895" s="926"/>
      <c r="KVK895" s="926"/>
      <c r="KVL895" s="926"/>
      <c r="KVM895" s="926"/>
      <c r="KVN895" s="926"/>
      <c r="KVO895" s="926"/>
      <c r="KVP895" s="926"/>
      <c r="KVQ895" s="926"/>
      <c r="KVR895" s="926"/>
      <c r="KVS895" s="926"/>
      <c r="KVT895" s="926"/>
      <c r="KVU895" s="926"/>
      <c r="KVV895" s="926"/>
      <c r="KVW895" s="926"/>
      <c r="KVX895" s="926"/>
      <c r="KVY895" s="926"/>
      <c r="KVZ895" s="926"/>
      <c r="KWA895" s="926"/>
      <c r="KWB895" s="926"/>
      <c r="KWC895" s="926"/>
      <c r="KWD895" s="926"/>
      <c r="KWE895" s="926"/>
      <c r="KWF895" s="926"/>
      <c r="KWG895" s="926"/>
      <c r="KWH895" s="926"/>
      <c r="KWI895" s="926"/>
      <c r="KWJ895" s="926"/>
      <c r="KWK895" s="926"/>
      <c r="KWL895" s="926"/>
      <c r="KWM895" s="926"/>
      <c r="KWN895" s="926"/>
      <c r="KWO895" s="926"/>
      <c r="KWP895" s="926"/>
      <c r="KWQ895" s="926"/>
      <c r="KWR895" s="926"/>
      <c r="KWS895" s="926"/>
      <c r="KWT895" s="926"/>
      <c r="KWU895" s="926"/>
      <c r="KWV895" s="926"/>
      <c r="KWW895" s="926"/>
      <c r="KWX895" s="926"/>
      <c r="KWY895" s="926"/>
      <c r="KWZ895" s="926"/>
      <c r="KXA895" s="926"/>
      <c r="KXB895" s="926"/>
      <c r="KXC895" s="926"/>
      <c r="KXD895" s="926"/>
      <c r="KXE895" s="926"/>
      <c r="KXF895" s="926"/>
      <c r="KXG895" s="926"/>
      <c r="KXH895" s="926"/>
      <c r="KXI895" s="926"/>
      <c r="KXJ895" s="926"/>
      <c r="KXK895" s="926"/>
      <c r="KXL895" s="926"/>
      <c r="KXM895" s="926"/>
      <c r="KXN895" s="926"/>
      <c r="KXO895" s="926"/>
      <c r="KXP895" s="926"/>
      <c r="KXQ895" s="926"/>
      <c r="KXR895" s="926"/>
      <c r="KXS895" s="926"/>
      <c r="KXT895" s="926"/>
      <c r="KXU895" s="926"/>
      <c r="KXV895" s="926"/>
      <c r="KXW895" s="926"/>
      <c r="KXX895" s="926"/>
      <c r="KXY895" s="926"/>
      <c r="KXZ895" s="926"/>
      <c r="KYA895" s="926"/>
      <c r="KYB895" s="926"/>
      <c r="KYC895" s="926"/>
      <c r="KYD895" s="926"/>
      <c r="KYE895" s="926"/>
      <c r="KYF895" s="926"/>
      <c r="KYG895" s="926"/>
      <c r="KYH895" s="926"/>
      <c r="KYI895" s="926"/>
      <c r="KYJ895" s="926"/>
      <c r="KYK895" s="926"/>
      <c r="KYL895" s="926"/>
      <c r="KYM895" s="926"/>
      <c r="KYN895" s="926"/>
      <c r="KYO895" s="926"/>
      <c r="KYP895" s="926"/>
      <c r="KYQ895" s="926"/>
      <c r="KYR895" s="926"/>
      <c r="KYS895" s="926"/>
      <c r="KYT895" s="926"/>
      <c r="KYU895" s="926"/>
      <c r="KYV895" s="926"/>
      <c r="KYW895" s="926"/>
      <c r="KYX895" s="926"/>
      <c r="KYY895" s="926"/>
      <c r="KYZ895" s="926"/>
      <c r="KZA895" s="926"/>
      <c r="KZB895" s="926"/>
      <c r="KZC895" s="926"/>
      <c r="KZD895" s="926"/>
      <c r="KZE895" s="926"/>
      <c r="KZF895" s="926"/>
      <c r="KZG895" s="926"/>
      <c r="KZH895" s="926"/>
      <c r="KZI895" s="926"/>
      <c r="KZJ895" s="926"/>
      <c r="KZK895" s="926"/>
      <c r="KZL895" s="926"/>
      <c r="KZM895" s="926"/>
      <c r="KZN895" s="926"/>
      <c r="KZO895" s="926"/>
      <c r="KZP895" s="926"/>
      <c r="KZQ895" s="926"/>
      <c r="KZR895" s="926"/>
      <c r="KZS895" s="926"/>
      <c r="KZT895" s="926"/>
      <c r="KZU895" s="926"/>
      <c r="KZV895" s="926"/>
      <c r="KZW895" s="926"/>
      <c r="KZX895" s="926"/>
      <c r="KZY895" s="926"/>
      <c r="KZZ895" s="926"/>
      <c r="LAA895" s="926"/>
      <c r="LAB895" s="926"/>
      <c r="LAC895" s="926"/>
      <c r="LAD895" s="926"/>
      <c r="LAE895" s="926"/>
      <c r="LAF895" s="926"/>
      <c r="LAG895" s="926"/>
      <c r="LAH895" s="926"/>
      <c r="LAI895" s="926"/>
      <c r="LAJ895" s="926"/>
      <c r="LAK895" s="926"/>
      <c r="LAL895" s="926"/>
      <c r="LAM895" s="926"/>
      <c r="LAN895" s="926"/>
      <c r="LAO895" s="926"/>
      <c r="LAP895" s="926"/>
      <c r="LAQ895" s="926"/>
      <c r="LAR895" s="926"/>
      <c r="LAS895" s="926"/>
      <c r="LAT895" s="926"/>
      <c r="LAU895" s="926"/>
      <c r="LAV895" s="926"/>
      <c r="LAW895" s="926"/>
      <c r="LAX895" s="926"/>
      <c r="LAY895" s="926"/>
      <c r="LAZ895" s="926"/>
      <c r="LBA895" s="926"/>
      <c r="LBB895" s="926"/>
      <c r="LBC895" s="926"/>
      <c r="LBD895" s="926"/>
      <c r="LBE895" s="926"/>
      <c r="LBF895" s="926"/>
      <c r="LBG895" s="926"/>
      <c r="LBH895" s="926"/>
      <c r="LBI895" s="926"/>
      <c r="LBJ895" s="926"/>
      <c r="LBK895" s="926"/>
      <c r="LBL895" s="926"/>
      <c r="LBM895" s="926"/>
      <c r="LBN895" s="926"/>
      <c r="LBO895" s="926"/>
      <c r="LBP895" s="926"/>
      <c r="LBQ895" s="926"/>
      <c r="LBR895" s="926"/>
      <c r="LBS895" s="926"/>
      <c r="LBT895" s="926"/>
      <c r="LBU895" s="926"/>
      <c r="LBV895" s="926"/>
      <c r="LBW895" s="926"/>
      <c r="LBX895" s="926"/>
      <c r="LBY895" s="926"/>
      <c r="LBZ895" s="926"/>
      <c r="LCA895" s="926"/>
      <c r="LCB895" s="926"/>
      <c r="LCC895" s="926"/>
      <c r="LCD895" s="926"/>
      <c r="LCE895" s="926"/>
      <c r="LCF895" s="926"/>
      <c r="LCG895" s="926"/>
      <c r="LCH895" s="926"/>
      <c r="LCI895" s="926"/>
      <c r="LCJ895" s="926"/>
      <c r="LCK895" s="926"/>
      <c r="LCL895" s="926"/>
      <c r="LCM895" s="926"/>
      <c r="LCN895" s="926"/>
      <c r="LCO895" s="926"/>
      <c r="LCP895" s="926"/>
      <c r="LCQ895" s="926"/>
      <c r="LCR895" s="926"/>
      <c r="LCS895" s="926"/>
      <c r="LCT895" s="926"/>
      <c r="LCU895" s="926"/>
      <c r="LCV895" s="926"/>
      <c r="LCW895" s="926"/>
      <c r="LCX895" s="926"/>
      <c r="LCY895" s="926"/>
      <c r="LCZ895" s="926"/>
      <c r="LDA895" s="926"/>
      <c r="LDB895" s="926"/>
      <c r="LDC895" s="926"/>
      <c r="LDD895" s="926"/>
      <c r="LDE895" s="926"/>
      <c r="LDF895" s="926"/>
      <c r="LDG895" s="926"/>
      <c r="LDH895" s="926"/>
      <c r="LDI895" s="926"/>
      <c r="LDJ895" s="926"/>
      <c r="LDK895" s="926"/>
      <c r="LDL895" s="926"/>
      <c r="LDM895" s="926"/>
      <c r="LDN895" s="926"/>
      <c r="LDO895" s="926"/>
      <c r="LDP895" s="926"/>
      <c r="LDQ895" s="926"/>
      <c r="LDR895" s="926"/>
      <c r="LDS895" s="926"/>
      <c r="LDT895" s="926"/>
      <c r="LDU895" s="926"/>
      <c r="LDV895" s="926"/>
      <c r="LDW895" s="926"/>
      <c r="LDX895" s="926"/>
      <c r="LDY895" s="926"/>
      <c r="LDZ895" s="926"/>
      <c r="LEA895" s="926"/>
      <c r="LEB895" s="926"/>
      <c r="LEC895" s="926"/>
      <c r="LED895" s="926"/>
      <c r="LEE895" s="926"/>
      <c r="LEF895" s="926"/>
      <c r="LEG895" s="926"/>
      <c r="LEH895" s="926"/>
      <c r="LEI895" s="926"/>
      <c r="LEJ895" s="926"/>
      <c r="LEK895" s="926"/>
      <c r="LEL895" s="926"/>
      <c r="LEM895" s="926"/>
      <c r="LEN895" s="926"/>
      <c r="LEO895" s="926"/>
      <c r="LEP895" s="926"/>
      <c r="LEQ895" s="926"/>
      <c r="LER895" s="926"/>
      <c r="LES895" s="926"/>
      <c r="LET895" s="926"/>
      <c r="LEU895" s="926"/>
      <c r="LEV895" s="926"/>
      <c r="LEW895" s="926"/>
      <c r="LEX895" s="926"/>
      <c r="LEY895" s="926"/>
      <c r="LEZ895" s="926"/>
      <c r="LFA895" s="926"/>
      <c r="LFB895" s="926"/>
      <c r="LFC895" s="926"/>
      <c r="LFD895" s="926"/>
      <c r="LFE895" s="926"/>
      <c r="LFF895" s="926"/>
      <c r="LFG895" s="926"/>
      <c r="LFH895" s="926"/>
      <c r="LFI895" s="926"/>
      <c r="LFJ895" s="926"/>
      <c r="LFK895" s="926"/>
      <c r="LFL895" s="926"/>
      <c r="LFM895" s="926"/>
      <c r="LFN895" s="926"/>
      <c r="LFO895" s="926"/>
      <c r="LFP895" s="926"/>
      <c r="LFQ895" s="926"/>
      <c r="LFR895" s="926"/>
      <c r="LFS895" s="926"/>
      <c r="LFT895" s="926"/>
      <c r="LFU895" s="926"/>
      <c r="LFV895" s="926"/>
      <c r="LFW895" s="926"/>
      <c r="LFX895" s="926"/>
      <c r="LFY895" s="926"/>
      <c r="LFZ895" s="926"/>
      <c r="LGA895" s="926"/>
      <c r="LGB895" s="926"/>
      <c r="LGC895" s="926"/>
      <c r="LGD895" s="926"/>
      <c r="LGE895" s="926"/>
      <c r="LGF895" s="926"/>
      <c r="LGG895" s="926"/>
      <c r="LGH895" s="926"/>
      <c r="LGI895" s="926"/>
      <c r="LGJ895" s="926"/>
      <c r="LGK895" s="926"/>
      <c r="LGL895" s="926"/>
      <c r="LGM895" s="926"/>
      <c r="LGN895" s="926"/>
      <c r="LGO895" s="926"/>
      <c r="LGP895" s="926"/>
      <c r="LGQ895" s="926"/>
      <c r="LGR895" s="926"/>
      <c r="LGS895" s="926"/>
      <c r="LGT895" s="926"/>
      <c r="LGU895" s="926"/>
      <c r="LGV895" s="926"/>
      <c r="LGW895" s="926"/>
      <c r="LGX895" s="926"/>
      <c r="LGY895" s="926"/>
      <c r="LGZ895" s="926"/>
      <c r="LHA895" s="926"/>
      <c r="LHB895" s="926"/>
      <c r="LHC895" s="926"/>
      <c r="LHD895" s="926"/>
      <c r="LHE895" s="926"/>
      <c r="LHF895" s="926"/>
      <c r="LHG895" s="926"/>
      <c r="LHH895" s="926"/>
      <c r="LHI895" s="926"/>
      <c r="LHJ895" s="926"/>
      <c r="LHK895" s="926"/>
      <c r="LHL895" s="926"/>
      <c r="LHM895" s="926"/>
      <c r="LHN895" s="926"/>
      <c r="LHO895" s="926"/>
      <c r="LHP895" s="926"/>
      <c r="LHQ895" s="926"/>
      <c r="LHR895" s="926"/>
      <c r="LHS895" s="926"/>
      <c r="LHT895" s="926"/>
      <c r="LHU895" s="926"/>
      <c r="LHV895" s="926"/>
      <c r="LHW895" s="926"/>
      <c r="LHX895" s="926"/>
      <c r="LHY895" s="926"/>
      <c r="LHZ895" s="926"/>
      <c r="LIA895" s="926"/>
      <c r="LIB895" s="926"/>
      <c r="LIC895" s="926"/>
      <c r="LID895" s="926"/>
      <c r="LIE895" s="926"/>
      <c r="LIF895" s="926"/>
      <c r="LIG895" s="926"/>
      <c r="LIH895" s="926"/>
      <c r="LII895" s="926"/>
      <c r="LIJ895" s="926"/>
      <c r="LIK895" s="926"/>
      <c r="LIL895" s="926"/>
      <c r="LIM895" s="926"/>
      <c r="LIN895" s="926"/>
      <c r="LIO895" s="926"/>
      <c r="LIP895" s="926"/>
      <c r="LIQ895" s="926"/>
      <c r="LIR895" s="926"/>
      <c r="LIS895" s="926"/>
      <c r="LIT895" s="926"/>
      <c r="LIU895" s="926"/>
      <c r="LIV895" s="926"/>
      <c r="LIW895" s="926"/>
      <c r="LIX895" s="926"/>
      <c r="LIY895" s="926"/>
      <c r="LIZ895" s="926"/>
      <c r="LJA895" s="926"/>
      <c r="LJB895" s="926"/>
      <c r="LJC895" s="926"/>
      <c r="LJD895" s="926"/>
      <c r="LJE895" s="926"/>
      <c r="LJF895" s="926"/>
      <c r="LJG895" s="926"/>
      <c r="LJH895" s="926"/>
      <c r="LJI895" s="926"/>
      <c r="LJJ895" s="926"/>
      <c r="LJK895" s="926"/>
      <c r="LJL895" s="926"/>
      <c r="LJM895" s="926"/>
      <c r="LJN895" s="926"/>
      <c r="LJO895" s="926"/>
      <c r="LJP895" s="926"/>
      <c r="LJQ895" s="926"/>
      <c r="LJR895" s="926"/>
      <c r="LJS895" s="926"/>
      <c r="LJT895" s="926"/>
      <c r="LJU895" s="926"/>
      <c r="LJV895" s="926"/>
      <c r="LJW895" s="926"/>
      <c r="LJX895" s="926"/>
      <c r="LJY895" s="926"/>
      <c r="LJZ895" s="926"/>
      <c r="LKA895" s="926"/>
      <c r="LKB895" s="926"/>
      <c r="LKC895" s="926"/>
      <c r="LKD895" s="926"/>
      <c r="LKE895" s="926"/>
      <c r="LKF895" s="926"/>
      <c r="LKG895" s="926"/>
      <c r="LKH895" s="926"/>
      <c r="LKI895" s="926"/>
      <c r="LKJ895" s="926"/>
      <c r="LKK895" s="926"/>
      <c r="LKL895" s="926"/>
      <c r="LKM895" s="926"/>
      <c r="LKN895" s="926"/>
      <c r="LKO895" s="926"/>
      <c r="LKP895" s="926"/>
      <c r="LKQ895" s="926"/>
      <c r="LKR895" s="926"/>
      <c r="LKS895" s="926"/>
      <c r="LKT895" s="926"/>
      <c r="LKU895" s="926"/>
      <c r="LKV895" s="926"/>
      <c r="LKW895" s="926"/>
      <c r="LKX895" s="926"/>
      <c r="LKY895" s="926"/>
      <c r="LKZ895" s="926"/>
      <c r="LLA895" s="926"/>
      <c r="LLB895" s="926"/>
      <c r="LLC895" s="926"/>
      <c r="LLD895" s="926"/>
      <c r="LLE895" s="926"/>
      <c r="LLF895" s="926"/>
      <c r="LLG895" s="926"/>
      <c r="LLH895" s="926"/>
      <c r="LLI895" s="926"/>
      <c r="LLJ895" s="926"/>
      <c r="LLK895" s="926"/>
      <c r="LLL895" s="926"/>
      <c r="LLM895" s="926"/>
      <c r="LLN895" s="926"/>
      <c r="LLO895" s="926"/>
      <c r="LLP895" s="926"/>
      <c r="LLQ895" s="926"/>
      <c r="LLR895" s="926"/>
      <c r="LLS895" s="926"/>
      <c r="LLT895" s="926"/>
      <c r="LLU895" s="926"/>
      <c r="LLV895" s="926"/>
      <c r="LLW895" s="926"/>
      <c r="LLX895" s="926"/>
      <c r="LLY895" s="926"/>
      <c r="LLZ895" s="926"/>
      <c r="LMA895" s="926"/>
      <c r="LMB895" s="926"/>
      <c r="LMC895" s="926"/>
      <c r="LMD895" s="926"/>
      <c r="LME895" s="926"/>
      <c r="LMF895" s="926"/>
      <c r="LMG895" s="926"/>
      <c r="LMH895" s="926"/>
      <c r="LMI895" s="926"/>
      <c r="LMJ895" s="926"/>
      <c r="LMK895" s="926"/>
      <c r="LML895" s="926"/>
      <c r="LMM895" s="926"/>
      <c r="LMN895" s="926"/>
      <c r="LMO895" s="926"/>
      <c r="LMP895" s="926"/>
      <c r="LMQ895" s="926"/>
      <c r="LMR895" s="926"/>
      <c r="LMS895" s="926"/>
      <c r="LMT895" s="926"/>
      <c r="LMU895" s="926"/>
      <c r="LMV895" s="926"/>
      <c r="LMW895" s="926"/>
      <c r="LMX895" s="926"/>
      <c r="LMY895" s="926"/>
      <c r="LMZ895" s="926"/>
      <c r="LNA895" s="926"/>
      <c r="LNB895" s="926"/>
      <c r="LNC895" s="926"/>
      <c r="LND895" s="926"/>
      <c r="LNE895" s="926"/>
      <c r="LNF895" s="926"/>
      <c r="LNG895" s="926"/>
      <c r="LNH895" s="926"/>
      <c r="LNI895" s="926"/>
      <c r="LNJ895" s="926"/>
      <c r="LNK895" s="926"/>
      <c r="LNL895" s="926"/>
      <c r="LNM895" s="926"/>
      <c r="LNN895" s="926"/>
      <c r="LNO895" s="926"/>
      <c r="LNP895" s="926"/>
      <c r="LNQ895" s="926"/>
      <c r="LNR895" s="926"/>
      <c r="LNS895" s="926"/>
      <c r="LNT895" s="926"/>
      <c r="LNU895" s="926"/>
      <c r="LNV895" s="926"/>
      <c r="LNW895" s="926"/>
      <c r="LNX895" s="926"/>
      <c r="LNY895" s="926"/>
      <c r="LNZ895" s="926"/>
      <c r="LOA895" s="926"/>
      <c r="LOB895" s="926"/>
      <c r="LOC895" s="926"/>
      <c r="LOD895" s="926"/>
      <c r="LOE895" s="926"/>
      <c r="LOF895" s="926"/>
      <c r="LOG895" s="926"/>
      <c r="LOH895" s="926"/>
      <c r="LOI895" s="926"/>
      <c r="LOJ895" s="926"/>
      <c r="LOK895" s="926"/>
      <c r="LOL895" s="926"/>
      <c r="LOM895" s="926"/>
      <c r="LON895" s="926"/>
      <c r="LOO895" s="926"/>
      <c r="LOP895" s="926"/>
      <c r="LOQ895" s="926"/>
      <c r="LOR895" s="926"/>
      <c r="LOS895" s="926"/>
      <c r="LOT895" s="926"/>
      <c r="LOU895" s="926"/>
      <c r="LOV895" s="926"/>
      <c r="LOW895" s="926"/>
      <c r="LOX895" s="926"/>
      <c r="LOY895" s="926"/>
      <c r="LOZ895" s="926"/>
      <c r="LPA895" s="926"/>
      <c r="LPB895" s="926"/>
      <c r="LPC895" s="926"/>
      <c r="LPD895" s="926"/>
      <c r="LPE895" s="926"/>
      <c r="LPF895" s="926"/>
      <c r="LPG895" s="926"/>
      <c r="LPH895" s="926"/>
      <c r="LPI895" s="926"/>
      <c r="LPJ895" s="926"/>
      <c r="LPK895" s="926"/>
      <c r="LPL895" s="926"/>
      <c r="LPM895" s="926"/>
      <c r="LPN895" s="926"/>
      <c r="LPO895" s="926"/>
      <c r="LPP895" s="926"/>
      <c r="LPQ895" s="926"/>
      <c r="LPR895" s="926"/>
      <c r="LPS895" s="926"/>
      <c r="LPT895" s="926"/>
      <c r="LPU895" s="926"/>
      <c r="LPV895" s="926"/>
      <c r="LPW895" s="926"/>
      <c r="LPX895" s="926"/>
      <c r="LPY895" s="926"/>
      <c r="LPZ895" s="926"/>
      <c r="LQA895" s="926"/>
      <c r="LQB895" s="926"/>
      <c r="LQC895" s="926"/>
      <c r="LQD895" s="926"/>
      <c r="LQE895" s="926"/>
      <c r="LQF895" s="926"/>
      <c r="LQG895" s="926"/>
      <c r="LQH895" s="926"/>
      <c r="LQI895" s="926"/>
      <c r="LQJ895" s="926"/>
      <c r="LQK895" s="926"/>
      <c r="LQL895" s="926"/>
      <c r="LQM895" s="926"/>
      <c r="LQN895" s="926"/>
      <c r="LQO895" s="926"/>
      <c r="LQP895" s="926"/>
      <c r="LQQ895" s="926"/>
      <c r="LQR895" s="926"/>
      <c r="LQS895" s="926"/>
      <c r="LQT895" s="926"/>
      <c r="LQU895" s="926"/>
      <c r="LQV895" s="926"/>
      <c r="LQW895" s="926"/>
      <c r="LQX895" s="926"/>
      <c r="LQY895" s="926"/>
      <c r="LQZ895" s="926"/>
      <c r="LRA895" s="926"/>
      <c r="LRB895" s="926"/>
      <c r="LRC895" s="926"/>
      <c r="LRD895" s="926"/>
      <c r="LRE895" s="926"/>
      <c r="LRF895" s="926"/>
      <c r="LRG895" s="926"/>
      <c r="LRH895" s="926"/>
      <c r="LRI895" s="926"/>
      <c r="LRJ895" s="926"/>
      <c r="LRK895" s="926"/>
      <c r="LRL895" s="926"/>
      <c r="LRM895" s="926"/>
      <c r="LRN895" s="926"/>
      <c r="LRO895" s="926"/>
      <c r="LRP895" s="926"/>
      <c r="LRQ895" s="926"/>
      <c r="LRR895" s="926"/>
      <c r="LRS895" s="926"/>
      <c r="LRT895" s="926"/>
      <c r="LRU895" s="926"/>
      <c r="LRV895" s="926"/>
      <c r="LRW895" s="926"/>
      <c r="LRX895" s="926"/>
      <c r="LRY895" s="926"/>
      <c r="LRZ895" s="926"/>
      <c r="LSA895" s="926"/>
      <c r="LSB895" s="926"/>
      <c r="LSC895" s="926"/>
      <c r="LSD895" s="926"/>
      <c r="LSE895" s="926"/>
      <c r="LSF895" s="926"/>
      <c r="LSG895" s="926"/>
      <c r="LSH895" s="926"/>
      <c r="LSI895" s="926"/>
      <c r="LSJ895" s="926"/>
      <c r="LSK895" s="926"/>
      <c r="LSL895" s="926"/>
      <c r="LSM895" s="926"/>
      <c r="LSN895" s="926"/>
      <c r="LSO895" s="926"/>
      <c r="LSP895" s="926"/>
      <c r="LSQ895" s="926"/>
      <c r="LSR895" s="926"/>
      <c r="LSS895" s="926"/>
      <c r="LST895" s="926"/>
      <c r="LSU895" s="926"/>
      <c r="LSV895" s="926"/>
      <c r="LSW895" s="926"/>
      <c r="LSX895" s="926"/>
      <c r="LSY895" s="926"/>
      <c r="LSZ895" s="926"/>
      <c r="LTA895" s="926"/>
      <c r="LTB895" s="926"/>
      <c r="LTC895" s="926"/>
      <c r="LTD895" s="926"/>
      <c r="LTE895" s="926"/>
      <c r="LTF895" s="926"/>
      <c r="LTG895" s="926"/>
      <c r="LTH895" s="926"/>
      <c r="LTI895" s="926"/>
      <c r="LTJ895" s="926"/>
      <c r="LTK895" s="926"/>
      <c r="LTL895" s="926"/>
      <c r="LTM895" s="926"/>
      <c r="LTN895" s="926"/>
      <c r="LTO895" s="926"/>
      <c r="LTP895" s="926"/>
      <c r="LTQ895" s="926"/>
      <c r="LTR895" s="926"/>
      <c r="LTS895" s="926"/>
      <c r="LTT895" s="926"/>
      <c r="LTU895" s="926"/>
      <c r="LTV895" s="926"/>
      <c r="LTW895" s="926"/>
      <c r="LTX895" s="926"/>
      <c r="LTY895" s="926"/>
      <c r="LTZ895" s="926"/>
      <c r="LUA895" s="926"/>
      <c r="LUB895" s="926"/>
      <c r="LUC895" s="926"/>
      <c r="LUD895" s="926"/>
      <c r="LUE895" s="926"/>
      <c r="LUF895" s="926"/>
      <c r="LUG895" s="926"/>
      <c r="LUH895" s="926"/>
      <c r="LUI895" s="926"/>
      <c r="LUJ895" s="926"/>
      <c r="LUK895" s="926"/>
      <c r="LUL895" s="926"/>
      <c r="LUM895" s="926"/>
      <c r="LUN895" s="926"/>
      <c r="LUO895" s="926"/>
      <c r="LUP895" s="926"/>
      <c r="LUQ895" s="926"/>
      <c r="LUR895" s="926"/>
      <c r="LUS895" s="926"/>
      <c r="LUT895" s="926"/>
      <c r="LUU895" s="926"/>
      <c r="LUV895" s="926"/>
      <c r="LUW895" s="926"/>
      <c r="LUX895" s="926"/>
      <c r="LUY895" s="926"/>
      <c r="LUZ895" s="926"/>
      <c r="LVA895" s="926"/>
      <c r="LVB895" s="926"/>
      <c r="LVC895" s="926"/>
      <c r="LVD895" s="926"/>
      <c r="LVE895" s="926"/>
      <c r="LVF895" s="926"/>
      <c r="LVG895" s="926"/>
      <c r="LVH895" s="926"/>
      <c r="LVI895" s="926"/>
      <c r="LVJ895" s="926"/>
      <c r="LVK895" s="926"/>
      <c r="LVL895" s="926"/>
      <c r="LVM895" s="926"/>
      <c r="LVN895" s="926"/>
      <c r="LVO895" s="926"/>
      <c r="LVP895" s="926"/>
      <c r="LVQ895" s="926"/>
      <c r="LVR895" s="926"/>
      <c r="LVS895" s="926"/>
      <c r="LVT895" s="926"/>
      <c r="LVU895" s="926"/>
      <c r="LVV895" s="926"/>
      <c r="LVW895" s="926"/>
      <c r="LVX895" s="926"/>
      <c r="LVY895" s="926"/>
      <c r="LVZ895" s="926"/>
      <c r="LWA895" s="926"/>
      <c r="LWB895" s="926"/>
      <c r="LWC895" s="926"/>
      <c r="LWD895" s="926"/>
      <c r="LWE895" s="926"/>
      <c r="LWF895" s="926"/>
      <c r="LWG895" s="926"/>
      <c r="LWH895" s="926"/>
      <c r="LWI895" s="926"/>
      <c r="LWJ895" s="926"/>
      <c r="LWK895" s="926"/>
      <c r="LWL895" s="926"/>
      <c r="LWM895" s="926"/>
      <c r="LWN895" s="926"/>
      <c r="LWO895" s="926"/>
      <c r="LWP895" s="926"/>
      <c r="LWQ895" s="926"/>
      <c r="LWR895" s="926"/>
      <c r="LWS895" s="926"/>
      <c r="LWT895" s="926"/>
      <c r="LWU895" s="926"/>
      <c r="LWV895" s="926"/>
      <c r="LWW895" s="926"/>
      <c r="LWX895" s="926"/>
      <c r="LWY895" s="926"/>
      <c r="LWZ895" s="926"/>
      <c r="LXA895" s="926"/>
      <c r="LXB895" s="926"/>
      <c r="LXC895" s="926"/>
      <c r="LXD895" s="926"/>
      <c r="LXE895" s="926"/>
      <c r="LXF895" s="926"/>
      <c r="LXG895" s="926"/>
      <c r="LXH895" s="926"/>
      <c r="LXI895" s="926"/>
      <c r="LXJ895" s="926"/>
      <c r="LXK895" s="926"/>
      <c r="LXL895" s="926"/>
      <c r="LXM895" s="926"/>
      <c r="LXN895" s="926"/>
      <c r="LXO895" s="926"/>
      <c r="LXP895" s="926"/>
      <c r="LXQ895" s="926"/>
      <c r="LXR895" s="926"/>
      <c r="LXS895" s="926"/>
      <c r="LXT895" s="926"/>
      <c r="LXU895" s="926"/>
      <c r="LXV895" s="926"/>
      <c r="LXW895" s="926"/>
      <c r="LXX895" s="926"/>
      <c r="LXY895" s="926"/>
      <c r="LXZ895" s="926"/>
      <c r="LYA895" s="926"/>
      <c r="LYB895" s="926"/>
      <c r="LYC895" s="926"/>
      <c r="LYD895" s="926"/>
      <c r="LYE895" s="926"/>
      <c r="LYF895" s="926"/>
      <c r="LYG895" s="926"/>
      <c r="LYH895" s="926"/>
      <c r="LYI895" s="926"/>
      <c r="LYJ895" s="926"/>
      <c r="LYK895" s="926"/>
      <c r="LYL895" s="926"/>
      <c r="LYM895" s="926"/>
      <c r="LYN895" s="926"/>
      <c r="LYO895" s="926"/>
      <c r="LYP895" s="926"/>
      <c r="LYQ895" s="926"/>
      <c r="LYR895" s="926"/>
      <c r="LYS895" s="926"/>
      <c r="LYT895" s="926"/>
      <c r="LYU895" s="926"/>
      <c r="LYV895" s="926"/>
      <c r="LYW895" s="926"/>
      <c r="LYX895" s="926"/>
      <c r="LYY895" s="926"/>
      <c r="LYZ895" s="926"/>
      <c r="LZA895" s="926"/>
      <c r="LZB895" s="926"/>
      <c r="LZC895" s="926"/>
      <c r="LZD895" s="926"/>
      <c r="LZE895" s="926"/>
      <c r="LZF895" s="926"/>
      <c r="LZG895" s="926"/>
      <c r="LZH895" s="926"/>
      <c r="LZI895" s="926"/>
      <c r="LZJ895" s="926"/>
      <c r="LZK895" s="926"/>
      <c r="LZL895" s="926"/>
      <c r="LZM895" s="926"/>
      <c r="LZN895" s="926"/>
      <c r="LZO895" s="926"/>
      <c r="LZP895" s="926"/>
      <c r="LZQ895" s="926"/>
      <c r="LZR895" s="926"/>
      <c r="LZS895" s="926"/>
      <c r="LZT895" s="926"/>
      <c r="LZU895" s="926"/>
      <c r="LZV895" s="926"/>
      <c r="LZW895" s="926"/>
      <c r="LZX895" s="926"/>
      <c r="LZY895" s="926"/>
      <c r="LZZ895" s="926"/>
      <c r="MAA895" s="926"/>
      <c r="MAB895" s="926"/>
      <c r="MAC895" s="926"/>
      <c r="MAD895" s="926"/>
      <c r="MAE895" s="926"/>
      <c r="MAF895" s="926"/>
      <c r="MAG895" s="926"/>
      <c r="MAH895" s="926"/>
      <c r="MAI895" s="926"/>
      <c r="MAJ895" s="926"/>
      <c r="MAK895" s="926"/>
      <c r="MAL895" s="926"/>
      <c r="MAM895" s="926"/>
      <c r="MAN895" s="926"/>
      <c r="MAO895" s="926"/>
      <c r="MAP895" s="926"/>
      <c r="MAQ895" s="926"/>
      <c r="MAR895" s="926"/>
      <c r="MAS895" s="926"/>
      <c r="MAT895" s="926"/>
      <c r="MAU895" s="926"/>
      <c r="MAV895" s="926"/>
      <c r="MAW895" s="926"/>
      <c r="MAX895" s="926"/>
      <c r="MAY895" s="926"/>
      <c r="MAZ895" s="926"/>
      <c r="MBA895" s="926"/>
      <c r="MBB895" s="926"/>
      <c r="MBC895" s="926"/>
      <c r="MBD895" s="926"/>
      <c r="MBE895" s="926"/>
      <c r="MBF895" s="926"/>
      <c r="MBG895" s="926"/>
      <c r="MBH895" s="926"/>
      <c r="MBI895" s="926"/>
      <c r="MBJ895" s="926"/>
      <c r="MBK895" s="926"/>
      <c r="MBL895" s="926"/>
      <c r="MBM895" s="926"/>
      <c r="MBN895" s="926"/>
      <c r="MBO895" s="926"/>
      <c r="MBP895" s="926"/>
      <c r="MBQ895" s="926"/>
      <c r="MBR895" s="926"/>
      <c r="MBS895" s="926"/>
      <c r="MBT895" s="926"/>
      <c r="MBU895" s="926"/>
      <c r="MBV895" s="926"/>
      <c r="MBW895" s="926"/>
      <c r="MBX895" s="926"/>
      <c r="MBY895" s="926"/>
      <c r="MBZ895" s="926"/>
      <c r="MCA895" s="926"/>
      <c r="MCB895" s="926"/>
      <c r="MCC895" s="926"/>
      <c r="MCD895" s="926"/>
      <c r="MCE895" s="926"/>
      <c r="MCF895" s="926"/>
      <c r="MCG895" s="926"/>
      <c r="MCH895" s="926"/>
      <c r="MCI895" s="926"/>
      <c r="MCJ895" s="926"/>
      <c r="MCK895" s="926"/>
      <c r="MCL895" s="926"/>
      <c r="MCM895" s="926"/>
      <c r="MCN895" s="926"/>
      <c r="MCO895" s="926"/>
      <c r="MCP895" s="926"/>
      <c r="MCQ895" s="926"/>
      <c r="MCR895" s="926"/>
      <c r="MCS895" s="926"/>
      <c r="MCT895" s="926"/>
      <c r="MCU895" s="926"/>
      <c r="MCV895" s="926"/>
      <c r="MCW895" s="926"/>
      <c r="MCX895" s="926"/>
      <c r="MCY895" s="926"/>
      <c r="MCZ895" s="926"/>
      <c r="MDA895" s="926"/>
      <c r="MDB895" s="926"/>
      <c r="MDC895" s="926"/>
      <c r="MDD895" s="926"/>
      <c r="MDE895" s="926"/>
      <c r="MDF895" s="926"/>
      <c r="MDG895" s="926"/>
      <c r="MDH895" s="926"/>
      <c r="MDI895" s="926"/>
      <c r="MDJ895" s="926"/>
      <c r="MDK895" s="926"/>
      <c r="MDL895" s="926"/>
      <c r="MDM895" s="926"/>
      <c r="MDN895" s="926"/>
      <c r="MDO895" s="926"/>
      <c r="MDP895" s="926"/>
      <c r="MDQ895" s="926"/>
      <c r="MDR895" s="926"/>
      <c r="MDS895" s="926"/>
      <c r="MDT895" s="926"/>
      <c r="MDU895" s="926"/>
      <c r="MDV895" s="926"/>
      <c r="MDW895" s="926"/>
      <c r="MDX895" s="926"/>
      <c r="MDY895" s="926"/>
      <c r="MDZ895" s="926"/>
      <c r="MEA895" s="926"/>
      <c r="MEB895" s="926"/>
      <c r="MEC895" s="926"/>
      <c r="MED895" s="926"/>
      <c r="MEE895" s="926"/>
      <c r="MEF895" s="926"/>
      <c r="MEG895" s="926"/>
      <c r="MEH895" s="926"/>
      <c r="MEI895" s="926"/>
      <c r="MEJ895" s="926"/>
      <c r="MEK895" s="926"/>
      <c r="MEL895" s="926"/>
      <c r="MEM895" s="926"/>
      <c r="MEN895" s="926"/>
      <c r="MEO895" s="926"/>
      <c r="MEP895" s="926"/>
      <c r="MEQ895" s="926"/>
      <c r="MER895" s="926"/>
      <c r="MES895" s="926"/>
      <c r="MET895" s="926"/>
      <c r="MEU895" s="926"/>
      <c r="MEV895" s="926"/>
      <c r="MEW895" s="926"/>
      <c r="MEX895" s="926"/>
      <c r="MEY895" s="926"/>
      <c r="MEZ895" s="926"/>
      <c r="MFA895" s="926"/>
      <c r="MFB895" s="926"/>
      <c r="MFC895" s="926"/>
      <c r="MFD895" s="926"/>
      <c r="MFE895" s="926"/>
      <c r="MFF895" s="926"/>
      <c r="MFG895" s="926"/>
      <c r="MFH895" s="926"/>
      <c r="MFI895" s="926"/>
      <c r="MFJ895" s="926"/>
      <c r="MFK895" s="926"/>
      <c r="MFL895" s="926"/>
      <c r="MFM895" s="926"/>
      <c r="MFN895" s="926"/>
      <c r="MFO895" s="926"/>
      <c r="MFP895" s="926"/>
      <c r="MFQ895" s="926"/>
      <c r="MFR895" s="926"/>
      <c r="MFS895" s="926"/>
      <c r="MFT895" s="926"/>
      <c r="MFU895" s="926"/>
      <c r="MFV895" s="926"/>
      <c r="MFW895" s="926"/>
      <c r="MFX895" s="926"/>
      <c r="MFY895" s="926"/>
      <c r="MFZ895" s="926"/>
      <c r="MGA895" s="926"/>
      <c r="MGB895" s="926"/>
      <c r="MGC895" s="926"/>
      <c r="MGD895" s="926"/>
      <c r="MGE895" s="926"/>
      <c r="MGF895" s="926"/>
      <c r="MGG895" s="926"/>
      <c r="MGH895" s="926"/>
      <c r="MGI895" s="926"/>
      <c r="MGJ895" s="926"/>
      <c r="MGK895" s="926"/>
      <c r="MGL895" s="926"/>
      <c r="MGM895" s="926"/>
      <c r="MGN895" s="926"/>
      <c r="MGO895" s="926"/>
      <c r="MGP895" s="926"/>
      <c r="MGQ895" s="926"/>
      <c r="MGR895" s="926"/>
      <c r="MGS895" s="926"/>
      <c r="MGT895" s="926"/>
      <c r="MGU895" s="926"/>
      <c r="MGV895" s="926"/>
      <c r="MGW895" s="926"/>
      <c r="MGX895" s="926"/>
      <c r="MGY895" s="926"/>
      <c r="MGZ895" s="926"/>
      <c r="MHA895" s="926"/>
      <c r="MHB895" s="926"/>
      <c r="MHC895" s="926"/>
      <c r="MHD895" s="926"/>
      <c r="MHE895" s="926"/>
      <c r="MHF895" s="926"/>
      <c r="MHG895" s="926"/>
      <c r="MHH895" s="926"/>
      <c r="MHI895" s="926"/>
      <c r="MHJ895" s="926"/>
      <c r="MHK895" s="926"/>
      <c r="MHL895" s="926"/>
      <c r="MHM895" s="926"/>
      <c r="MHN895" s="926"/>
      <c r="MHO895" s="926"/>
      <c r="MHP895" s="926"/>
      <c r="MHQ895" s="926"/>
      <c r="MHR895" s="926"/>
      <c r="MHS895" s="926"/>
      <c r="MHT895" s="926"/>
      <c r="MHU895" s="926"/>
      <c r="MHV895" s="926"/>
      <c r="MHW895" s="926"/>
      <c r="MHX895" s="926"/>
      <c r="MHY895" s="926"/>
      <c r="MHZ895" s="926"/>
      <c r="MIA895" s="926"/>
      <c r="MIB895" s="926"/>
      <c r="MIC895" s="926"/>
      <c r="MID895" s="926"/>
      <c r="MIE895" s="926"/>
      <c r="MIF895" s="926"/>
      <c r="MIG895" s="926"/>
      <c r="MIH895" s="926"/>
      <c r="MII895" s="926"/>
      <c r="MIJ895" s="926"/>
      <c r="MIK895" s="926"/>
      <c r="MIL895" s="926"/>
      <c r="MIM895" s="926"/>
      <c r="MIN895" s="926"/>
      <c r="MIO895" s="926"/>
      <c r="MIP895" s="926"/>
      <c r="MIQ895" s="926"/>
      <c r="MIR895" s="926"/>
      <c r="MIS895" s="926"/>
      <c r="MIT895" s="926"/>
      <c r="MIU895" s="926"/>
      <c r="MIV895" s="926"/>
      <c r="MIW895" s="926"/>
      <c r="MIX895" s="926"/>
      <c r="MIY895" s="926"/>
      <c r="MIZ895" s="926"/>
      <c r="MJA895" s="926"/>
      <c r="MJB895" s="926"/>
      <c r="MJC895" s="926"/>
      <c r="MJD895" s="926"/>
      <c r="MJE895" s="926"/>
      <c r="MJF895" s="926"/>
      <c r="MJG895" s="926"/>
      <c r="MJH895" s="926"/>
      <c r="MJI895" s="926"/>
      <c r="MJJ895" s="926"/>
      <c r="MJK895" s="926"/>
      <c r="MJL895" s="926"/>
      <c r="MJM895" s="926"/>
      <c r="MJN895" s="926"/>
      <c r="MJO895" s="926"/>
      <c r="MJP895" s="926"/>
      <c r="MJQ895" s="926"/>
      <c r="MJR895" s="926"/>
      <c r="MJS895" s="926"/>
      <c r="MJT895" s="926"/>
      <c r="MJU895" s="926"/>
      <c r="MJV895" s="926"/>
      <c r="MJW895" s="926"/>
      <c r="MJX895" s="926"/>
      <c r="MJY895" s="926"/>
      <c r="MJZ895" s="926"/>
      <c r="MKA895" s="926"/>
      <c r="MKB895" s="926"/>
      <c r="MKC895" s="926"/>
      <c r="MKD895" s="926"/>
      <c r="MKE895" s="926"/>
      <c r="MKF895" s="926"/>
      <c r="MKG895" s="926"/>
      <c r="MKH895" s="926"/>
      <c r="MKI895" s="926"/>
      <c r="MKJ895" s="926"/>
      <c r="MKK895" s="926"/>
      <c r="MKL895" s="926"/>
      <c r="MKM895" s="926"/>
      <c r="MKN895" s="926"/>
      <c r="MKO895" s="926"/>
      <c r="MKP895" s="926"/>
      <c r="MKQ895" s="926"/>
      <c r="MKR895" s="926"/>
      <c r="MKS895" s="926"/>
      <c r="MKT895" s="926"/>
      <c r="MKU895" s="926"/>
      <c r="MKV895" s="926"/>
      <c r="MKW895" s="926"/>
      <c r="MKX895" s="926"/>
      <c r="MKY895" s="926"/>
      <c r="MKZ895" s="926"/>
      <c r="MLA895" s="926"/>
      <c r="MLB895" s="926"/>
      <c r="MLC895" s="926"/>
      <c r="MLD895" s="926"/>
      <c r="MLE895" s="926"/>
      <c r="MLF895" s="926"/>
      <c r="MLG895" s="926"/>
      <c r="MLH895" s="926"/>
      <c r="MLI895" s="926"/>
      <c r="MLJ895" s="926"/>
      <c r="MLK895" s="926"/>
      <c r="MLL895" s="926"/>
      <c r="MLM895" s="926"/>
      <c r="MLN895" s="926"/>
      <c r="MLO895" s="926"/>
      <c r="MLP895" s="926"/>
      <c r="MLQ895" s="926"/>
      <c r="MLR895" s="926"/>
      <c r="MLS895" s="926"/>
      <c r="MLT895" s="926"/>
      <c r="MLU895" s="926"/>
      <c r="MLV895" s="926"/>
      <c r="MLW895" s="926"/>
      <c r="MLX895" s="926"/>
      <c r="MLY895" s="926"/>
      <c r="MLZ895" s="926"/>
      <c r="MMA895" s="926"/>
      <c r="MMB895" s="926"/>
      <c r="MMC895" s="926"/>
      <c r="MMD895" s="926"/>
      <c r="MME895" s="926"/>
      <c r="MMF895" s="926"/>
      <c r="MMG895" s="926"/>
      <c r="MMH895" s="926"/>
      <c r="MMI895" s="926"/>
      <c r="MMJ895" s="926"/>
      <c r="MMK895" s="926"/>
      <c r="MML895" s="926"/>
      <c r="MMM895" s="926"/>
      <c r="MMN895" s="926"/>
      <c r="MMO895" s="926"/>
      <c r="MMP895" s="926"/>
      <c r="MMQ895" s="926"/>
      <c r="MMR895" s="926"/>
      <c r="MMS895" s="926"/>
      <c r="MMT895" s="926"/>
      <c r="MMU895" s="926"/>
      <c r="MMV895" s="926"/>
      <c r="MMW895" s="926"/>
      <c r="MMX895" s="926"/>
      <c r="MMY895" s="926"/>
      <c r="MMZ895" s="926"/>
      <c r="MNA895" s="926"/>
      <c r="MNB895" s="926"/>
      <c r="MNC895" s="926"/>
      <c r="MND895" s="926"/>
      <c r="MNE895" s="926"/>
      <c r="MNF895" s="926"/>
      <c r="MNG895" s="926"/>
      <c r="MNH895" s="926"/>
      <c r="MNI895" s="926"/>
      <c r="MNJ895" s="926"/>
      <c r="MNK895" s="926"/>
      <c r="MNL895" s="926"/>
      <c r="MNM895" s="926"/>
      <c r="MNN895" s="926"/>
      <c r="MNO895" s="926"/>
      <c r="MNP895" s="926"/>
      <c r="MNQ895" s="926"/>
      <c r="MNR895" s="926"/>
      <c r="MNS895" s="926"/>
      <c r="MNT895" s="926"/>
      <c r="MNU895" s="926"/>
      <c r="MNV895" s="926"/>
      <c r="MNW895" s="926"/>
      <c r="MNX895" s="926"/>
      <c r="MNY895" s="926"/>
      <c r="MNZ895" s="926"/>
      <c r="MOA895" s="926"/>
      <c r="MOB895" s="926"/>
      <c r="MOC895" s="926"/>
      <c r="MOD895" s="926"/>
      <c r="MOE895" s="926"/>
      <c r="MOF895" s="926"/>
      <c r="MOG895" s="926"/>
      <c r="MOH895" s="926"/>
      <c r="MOI895" s="926"/>
      <c r="MOJ895" s="926"/>
      <c r="MOK895" s="926"/>
      <c r="MOL895" s="926"/>
      <c r="MOM895" s="926"/>
      <c r="MON895" s="926"/>
      <c r="MOO895" s="926"/>
      <c r="MOP895" s="926"/>
      <c r="MOQ895" s="926"/>
      <c r="MOR895" s="926"/>
      <c r="MOS895" s="926"/>
      <c r="MOT895" s="926"/>
      <c r="MOU895" s="926"/>
      <c r="MOV895" s="926"/>
      <c r="MOW895" s="926"/>
      <c r="MOX895" s="926"/>
      <c r="MOY895" s="926"/>
      <c r="MOZ895" s="926"/>
      <c r="MPA895" s="926"/>
      <c r="MPB895" s="926"/>
      <c r="MPC895" s="926"/>
      <c r="MPD895" s="926"/>
      <c r="MPE895" s="926"/>
      <c r="MPF895" s="926"/>
      <c r="MPG895" s="926"/>
      <c r="MPH895" s="926"/>
      <c r="MPI895" s="926"/>
      <c r="MPJ895" s="926"/>
      <c r="MPK895" s="926"/>
      <c r="MPL895" s="926"/>
      <c r="MPM895" s="926"/>
      <c r="MPN895" s="926"/>
      <c r="MPO895" s="926"/>
      <c r="MPP895" s="926"/>
      <c r="MPQ895" s="926"/>
      <c r="MPR895" s="926"/>
      <c r="MPS895" s="926"/>
      <c r="MPT895" s="926"/>
      <c r="MPU895" s="926"/>
      <c r="MPV895" s="926"/>
      <c r="MPW895" s="926"/>
      <c r="MPX895" s="926"/>
      <c r="MPY895" s="926"/>
      <c r="MPZ895" s="926"/>
      <c r="MQA895" s="926"/>
      <c r="MQB895" s="926"/>
      <c r="MQC895" s="926"/>
      <c r="MQD895" s="926"/>
      <c r="MQE895" s="926"/>
      <c r="MQF895" s="926"/>
      <c r="MQG895" s="926"/>
      <c r="MQH895" s="926"/>
      <c r="MQI895" s="926"/>
      <c r="MQJ895" s="926"/>
      <c r="MQK895" s="926"/>
      <c r="MQL895" s="926"/>
      <c r="MQM895" s="926"/>
      <c r="MQN895" s="926"/>
      <c r="MQO895" s="926"/>
      <c r="MQP895" s="926"/>
      <c r="MQQ895" s="926"/>
      <c r="MQR895" s="926"/>
      <c r="MQS895" s="926"/>
      <c r="MQT895" s="926"/>
      <c r="MQU895" s="926"/>
      <c r="MQV895" s="926"/>
      <c r="MQW895" s="926"/>
      <c r="MQX895" s="926"/>
      <c r="MQY895" s="926"/>
      <c r="MQZ895" s="926"/>
      <c r="MRA895" s="926"/>
      <c r="MRB895" s="926"/>
      <c r="MRC895" s="926"/>
      <c r="MRD895" s="926"/>
      <c r="MRE895" s="926"/>
      <c r="MRF895" s="926"/>
      <c r="MRG895" s="926"/>
      <c r="MRH895" s="926"/>
      <c r="MRI895" s="926"/>
      <c r="MRJ895" s="926"/>
      <c r="MRK895" s="926"/>
      <c r="MRL895" s="926"/>
      <c r="MRM895" s="926"/>
      <c r="MRN895" s="926"/>
      <c r="MRO895" s="926"/>
      <c r="MRP895" s="926"/>
      <c r="MRQ895" s="926"/>
      <c r="MRR895" s="926"/>
      <c r="MRS895" s="926"/>
      <c r="MRT895" s="926"/>
      <c r="MRU895" s="926"/>
      <c r="MRV895" s="926"/>
      <c r="MRW895" s="926"/>
      <c r="MRX895" s="926"/>
      <c r="MRY895" s="926"/>
      <c r="MRZ895" s="926"/>
      <c r="MSA895" s="926"/>
      <c r="MSB895" s="926"/>
      <c r="MSC895" s="926"/>
      <c r="MSD895" s="926"/>
      <c r="MSE895" s="926"/>
      <c r="MSF895" s="926"/>
      <c r="MSG895" s="926"/>
      <c r="MSH895" s="926"/>
      <c r="MSI895" s="926"/>
      <c r="MSJ895" s="926"/>
      <c r="MSK895" s="926"/>
      <c r="MSL895" s="926"/>
      <c r="MSM895" s="926"/>
      <c r="MSN895" s="926"/>
      <c r="MSO895" s="926"/>
      <c r="MSP895" s="926"/>
      <c r="MSQ895" s="926"/>
      <c r="MSR895" s="926"/>
      <c r="MSS895" s="926"/>
      <c r="MST895" s="926"/>
      <c r="MSU895" s="926"/>
      <c r="MSV895" s="926"/>
      <c r="MSW895" s="926"/>
      <c r="MSX895" s="926"/>
      <c r="MSY895" s="926"/>
      <c r="MSZ895" s="926"/>
      <c r="MTA895" s="926"/>
      <c r="MTB895" s="926"/>
      <c r="MTC895" s="926"/>
      <c r="MTD895" s="926"/>
      <c r="MTE895" s="926"/>
      <c r="MTF895" s="926"/>
      <c r="MTG895" s="926"/>
      <c r="MTH895" s="926"/>
      <c r="MTI895" s="926"/>
      <c r="MTJ895" s="926"/>
      <c r="MTK895" s="926"/>
      <c r="MTL895" s="926"/>
      <c r="MTM895" s="926"/>
      <c r="MTN895" s="926"/>
      <c r="MTO895" s="926"/>
      <c r="MTP895" s="926"/>
      <c r="MTQ895" s="926"/>
      <c r="MTR895" s="926"/>
      <c r="MTS895" s="926"/>
      <c r="MTT895" s="926"/>
      <c r="MTU895" s="926"/>
      <c r="MTV895" s="926"/>
      <c r="MTW895" s="926"/>
      <c r="MTX895" s="926"/>
      <c r="MTY895" s="926"/>
      <c r="MTZ895" s="926"/>
      <c r="MUA895" s="926"/>
      <c r="MUB895" s="926"/>
      <c r="MUC895" s="926"/>
      <c r="MUD895" s="926"/>
      <c r="MUE895" s="926"/>
      <c r="MUF895" s="926"/>
      <c r="MUG895" s="926"/>
      <c r="MUH895" s="926"/>
      <c r="MUI895" s="926"/>
      <c r="MUJ895" s="926"/>
      <c r="MUK895" s="926"/>
      <c r="MUL895" s="926"/>
      <c r="MUM895" s="926"/>
      <c r="MUN895" s="926"/>
      <c r="MUO895" s="926"/>
      <c r="MUP895" s="926"/>
      <c r="MUQ895" s="926"/>
      <c r="MUR895" s="926"/>
      <c r="MUS895" s="926"/>
      <c r="MUT895" s="926"/>
      <c r="MUU895" s="926"/>
      <c r="MUV895" s="926"/>
      <c r="MUW895" s="926"/>
      <c r="MUX895" s="926"/>
      <c r="MUY895" s="926"/>
      <c r="MUZ895" s="926"/>
      <c r="MVA895" s="926"/>
      <c r="MVB895" s="926"/>
      <c r="MVC895" s="926"/>
      <c r="MVD895" s="926"/>
      <c r="MVE895" s="926"/>
      <c r="MVF895" s="926"/>
      <c r="MVG895" s="926"/>
      <c r="MVH895" s="926"/>
      <c r="MVI895" s="926"/>
      <c r="MVJ895" s="926"/>
      <c r="MVK895" s="926"/>
      <c r="MVL895" s="926"/>
      <c r="MVM895" s="926"/>
      <c r="MVN895" s="926"/>
      <c r="MVO895" s="926"/>
      <c r="MVP895" s="926"/>
      <c r="MVQ895" s="926"/>
      <c r="MVR895" s="926"/>
      <c r="MVS895" s="926"/>
      <c r="MVT895" s="926"/>
      <c r="MVU895" s="926"/>
      <c r="MVV895" s="926"/>
      <c r="MVW895" s="926"/>
      <c r="MVX895" s="926"/>
      <c r="MVY895" s="926"/>
      <c r="MVZ895" s="926"/>
      <c r="MWA895" s="926"/>
      <c r="MWB895" s="926"/>
      <c r="MWC895" s="926"/>
      <c r="MWD895" s="926"/>
      <c r="MWE895" s="926"/>
      <c r="MWF895" s="926"/>
      <c r="MWG895" s="926"/>
      <c r="MWH895" s="926"/>
      <c r="MWI895" s="926"/>
      <c r="MWJ895" s="926"/>
      <c r="MWK895" s="926"/>
      <c r="MWL895" s="926"/>
      <c r="MWM895" s="926"/>
      <c r="MWN895" s="926"/>
      <c r="MWO895" s="926"/>
      <c r="MWP895" s="926"/>
      <c r="MWQ895" s="926"/>
      <c r="MWR895" s="926"/>
      <c r="MWS895" s="926"/>
      <c r="MWT895" s="926"/>
      <c r="MWU895" s="926"/>
      <c r="MWV895" s="926"/>
      <c r="MWW895" s="926"/>
      <c r="MWX895" s="926"/>
      <c r="MWY895" s="926"/>
      <c r="MWZ895" s="926"/>
      <c r="MXA895" s="926"/>
      <c r="MXB895" s="926"/>
      <c r="MXC895" s="926"/>
      <c r="MXD895" s="926"/>
      <c r="MXE895" s="926"/>
      <c r="MXF895" s="926"/>
      <c r="MXG895" s="926"/>
      <c r="MXH895" s="926"/>
      <c r="MXI895" s="926"/>
      <c r="MXJ895" s="926"/>
      <c r="MXK895" s="926"/>
      <c r="MXL895" s="926"/>
      <c r="MXM895" s="926"/>
      <c r="MXN895" s="926"/>
      <c r="MXO895" s="926"/>
      <c r="MXP895" s="926"/>
      <c r="MXQ895" s="926"/>
      <c r="MXR895" s="926"/>
      <c r="MXS895" s="926"/>
      <c r="MXT895" s="926"/>
      <c r="MXU895" s="926"/>
      <c r="MXV895" s="926"/>
      <c r="MXW895" s="926"/>
      <c r="MXX895" s="926"/>
      <c r="MXY895" s="926"/>
      <c r="MXZ895" s="926"/>
      <c r="MYA895" s="926"/>
      <c r="MYB895" s="926"/>
      <c r="MYC895" s="926"/>
      <c r="MYD895" s="926"/>
      <c r="MYE895" s="926"/>
      <c r="MYF895" s="926"/>
      <c r="MYG895" s="926"/>
      <c r="MYH895" s="926"/>
      <c r="MYI895" s="926"/>
      <c r="MYJ895" s="926"/>
      <c r="MYK895" s="926"/>
      <c r="MYL895" s="926"/>
      <c r="MYM895" s="926"/>
      <c r="MYN895" s="926"/>
      <c r="MYO895" s="926"/>
      <c r="MYP895" s="926"/>
      <c r="MYQ895" s="926"/>
      <c r="MYR895" s="926"/>
      <c r="MYS895" s="926"/>
      <c r="MYT895" s="926"/>
      <c r="MYU895" s="926"/>
      <c r="MYV895" s="926"/>
      <c r="MYW895" s="926"/>
      <c r="MYX895" s="926"/>
      <c r="MYY895" s="926"/>
      <c r="MYZ895" s="926"/>
      <c r="MZA895" s="926"/>
      <c r="MZB895" s="926"/>
      <c r="MZC895" s="926"/>
      <c r="MZD895" s="926"/>
      <c r="MZE895" s="926"/>
      <c r="MZF895" s="926"/>
      <c r="MZG895" s="926"/>
      <c r="MZH895" s="926"/>
      <c r="MZI895" s="926"/>
      <c r="MZJ895" s="926"/>
      <c r="MZK895" s="926"/>
      <c r="MZL895" s="926"/>
      <c r="MZM895" s="926"/>
      <c r="MZN895" s="926"/>
      <c r="MZO895" s="926"/>
      <c r="MZP895" s="926"/>
      <c r="MZQ895" s="926"/>
      <c r="MZR895" s="926"/>
      <c r="MZS895" s="926"/>
      <c r="MZT895" s="926"/>
      <c r="MZU895" s="926"/>
      <c r="MZV895" s="926"/>
      <c r="MZW895" s="926"/>
      <c r="MZX895" s="926"/>
      <c r="MZY895" s="926"/>
      <c r="MZZ895" s="926"/>
      <c r="NAA895" s="926"/>
      <c r="NAB895" s="926"/>
      <c r="NAC895" s="926"/>
      <c r="NAD895" s="926"/>
      <c r="NAE895" s="926"/>
      <c r="NAF895" s="926"/>
      <c r="NAG895" s="926"/>
      <c r="NAH895" s="926"/>
      <c r="NAI895" s="926"/>
      <c r="NAJ895" s="926"/>
      <c r="NAK895" s="926"/>
      <c r="NAL895" s="926"/>
      <c r="NAM895" s="926"/>
      <c r="NAN895" s="926"/>
      <c r="NAO895" s="926"/>
      <c r="NAP895" s="926"/>
      <c r="NAQ895" s="926"/>
      <c r="NAR895" s="926"/>
      <c r="NAS895" s="926"/>
      <c r="NAT895" s="926"/>
      <c r="NAU895" s="926"/>
      <c r="NAV895" s="926"/>
      <c r="NAW895" s="926"/>
      <c r="NAX895" s="926"/>
      <c r="NAY895" s="926"/>
      <c r="NAZ895" s="926"/>
      <c r="NBA895" s="926"/>
      <c r="NBB895" s="926"/>
      <c r="NBC895" s="926"/>
      <c r="NBD895" s="926"/>
      <c r="NBE895" s="926"/>
      <c r="NBF895" s="926"/>
      <c r="NBG895" s="926"/>
      <c r="NBH895" s="926"/>
      <c r="NBI895" s="926"/>
      <c r="NBJ895" s="926"/>
      <c r="NBK895" s="926"/>
      <c r="NBL895" s="926"/>
      <c r="NBM895" s="926"/>
      <c r="NBN895" s="926"/>
      <c r="NBO895" s="926"/>
      <c r="NBP895" s="926"/>
      <c r="NBQ895" s="926"/>
      <c r="NBR895" s="926"/>
      <c r="NBS895" s="926"/>
      <c r="NBT895" s="926"/>
      <c r="NBU895" s="926"/>
      <c r="NBV895" s="926"/>
      <c r="NBW895" s="926"/>
      <c r="NBX895" s="926"/>
      <c r="NBY895" s="926"/>
      <c r="NBZ895" s="926"/>
      <c r="NCA895" s="926"/>
      <c r="NCB895" s="926"/>
      <c r="NCC895" s="926"/>
      <c r="NCD895" s="926"/>
      <c r="NCE895" s="926"/>
      <c r="NCF895" s="926"/>
      <c r="NCG895" s="926"/>
      <c r="NCH895" s="926"/>
      <c r="NCI895" s="926"/>
      <c r="NCJ895" s="926"/>
      <c r="NCK895" s="926"/>
      <c r="NCL895" s="926"/>
      <c r="NCM895" s="926"/>
      <c r="NCN895" s="926"/>
      <c r="NCO895" s="926"/>
      <c r="NCP895" s="926"/>
      <c r="NCQ895" s="926"/>
      <c r="NCR895" s="926"/>
      <c r="NCS895" s="926"/>
      <c r="NCT895" s="926"/>
      <c r="NCU895" s="926"/>
      <c r="NCV895" s="926"/>
      <c r="NCW895" s="926"/>
      <c r="NCX895" s="926"/>
      <c r="NCY895" s="926"/>
      <c r="NCZ895" s="926"/>
      <c r="NDA895" s="926"/>
      <c r="NDB895" s="926"/>
      <c r="NDC895" s="926"/>
      <c r="NDD895" s="926"/>
      <c r="NDE895" s="926"/>
      <c r="NDF895" s="926"/>
      <c r="NDG895" s="926"/>
      <c r="NDH895" s="926"/>
      <c r="NDI895" s="926"/>
      <c r="NDJ895" s="926"/>
      <c r="NDK895" s="926"/>
      <c r="NDL895" s="926"/>
      <c r="NDM895" s="926"/>
      <c r="NDN895" s="926"/>
      <c r="NDO895" s="926"/>
      <c r="NDP895" s="926"/>
      <c r="NDQ895" s="926"/>
      <c r="NDR895" s="926"/>
      <c r="NDS895" s="926"/>
      <c r="NDT895" s="926"/>
      <c r="NDU895" s="926"/>
      <c r="NDV895" s="926"/>
      <c r="NDW895" s="926"/>
      <c r="NDX895" s="926"/>
      <c r="NDY895" s="926"/>
      <c r="NDZ895" s="926"/>
      <c r="NEA895" s="926"/>
      <c r="NEB895" s="926"/>
      <c r="NEC895" s="926"/>
      <c r="NED895" s="926"/>
      <c r="NEE895" s="926"/>
      <c r="NEF895" s="926"/>
      <c r="NEG895" s="926"/>
      <c r="NEH895" s="926"/>
      <c r="NEI895" s="926"/>
      <c r="NEJ895" s="926"/>
      <c r="NEK895" s="926"/>
      <c r="NEL895" s="926"/>
      <c r="NEM895" s="926"/>
      <c r="NEN895" s="926"/>
      <c r="NEO895" s="926"/>
      <c r="NEP895" s="926"/>
      <c r="NEQ895" s="926"/>
      <c r="NER895" s="926"/>
      <c r="NES895" s="926"/>
      <c r="NET895" s="926"/>
      <c r="NEU895" s="926"/>
      <c r="NEV895" s="926"/>
      <c r="NEW895" s="926"/>
      <c r="NEX895" s="926"/>
      <c r="NEY895" s="926"/>
      <c r="NEZ895" s="926"/>
      <c r="NFA895" s="926"/>
      <c r="NFB895" s="926"/>
      <c r="NFC895" s="926"/>
      <c r="NFD895" s="926"/>
      <c r="NFE895" s="926"/>
      <c r="NFF895" s="926"/>
      <c r="NFG895" s="926"/>
      <c r="NFH895" s="926"/>
      <c r="NFI895" s="926"/>
      <c r="NFJ895" s="926"/>
      <c r="NFK895" s="926"/>
      <c r="NFL895" s="926"/>
      <c r="NFM895" s="926"/>
      <c r="NFN895" s="926"/>
      <c r="NFO895" s="926"/>
      <c r="NFP895" s="926"/>
      <c r="NFQ895" s="926"/>
      <c r="NFR895" s="926"/>
      <c r="NFS895" s="926"/>
      <c r="NFT895" s="926"/>
      <c r="NFU895" s="926"/>
      <c r="NFV895" s="926"/>
      <c r="NFW895" s="926"/>
      <c r="NFX895" s="926"/>
      <c r="NFY895" s="926"/>
      <c r="NFZ895" s="926"/>
      <c r="NGA895" s="926"/>
      <c r="NGB895" s="926"/>
      <c r="NGC895" s="926"/>
      <c r="NGD895" s="926"/>
      <c r="NGE895" s="926"/>
      <c r="NGF895" s="926"/>
      <c r="NGG895" s="926"/>
      <c r="NGH895" s="926"/>
      <c r="NGI895" s="926"/>
      <c r="NGJ895" s="926"/>
      <c r="NGK895" s="926"/>
      <c r="NGL895" s="926"/>
      <c r="NGM895" s="926"/>
      <c r="NGN895" s="926"/>
      <c r="NGO895" s="926"/>
      <c r="NGP895" s="926"/>
      <c r="NGQ895" s="926"/>
      <c r="NGR895" s="926"/>
      <c r="NGS895" s="926"/>
      <c r="NGT895" s="926"/>
      <c r="NGU895" s="926"/>
      <c r="NGV895" s="926"/>
      <c r="NGW895" s="926"/>
      <c r="NGX895" s="926"/>
      <c r="NGY895" s="926"/>
      <c r="NGZ895" s="926"/>
      <c r="NHA895" s="926"/>
      <c r="NHB895" s="926"/>
      <c r="NHC895" s="926"/>
      <c r="NHD895" s="926"/>
      <c r="NHE895" s="926"/>
      <c r="NHF895" s="926"/>
      <c r="NHG895" s="926"/>
      <c r="NHH895" s="926"/>
      <c r="NHI895" s="926"/>
      <c r="NHJ895" s="926"/>
      <c r="NHK895" s="926"/>
      <c r="NHL895" s="926"/>
      <c r="NHM895" s="926"/>
      <c r="NHN895" s="926"/>
      <c r="NHO895" s="926"/>
      <c r="NHP895" s="926"/>
      <c r="NHQ895" s="926"/>
      <c r="NHR895" s="926"/>
      <c r="NHS895" s="926"/>
      <c r="NHT895" s="926"/>
      <c r="NHU895" s="926"/>
      <c r="NHV895" s="926"/>
      <c r="NHW895" s="926"/>
      <c r="NHX895" s="926"/>
      <c r="NHY895" s="926"/>
      <c r="NHZ895" s="926"/>
      <c r="NIA895" s="926"/>
      <c r="NIB895" s="926"/>
      <c r="NIC895" s="926"/>
      <c r="NID895" s="926"/>
      <c r="NIE895" s="926"/>
      <c r="NIF895" s="926"/>
      <c r="NIG895" s="926"/>
      <c r="NIH895" s="926"/>
      <c r="NII895" s="926"/>
      <c r="NIJ895" s="926"/>
      <c r="NIK895" s="926"/>
      <c r="NIL895" s="926"/>
      <c r="NIM895" s="926"/>
      <c r="NIN895" s="926"/>
      <c r="NIO895" s="926"/>
      <c r="NIP895" s="926"/>
      <c r="NIQ895" s="926"/>
      <c r="NIR895" s="926"/>
      <c r="NIS895" s="926"/>
      <c r="NIT895" s="926"/>
      <c r="NIU895" s="926"/>
      <c r="NIV895" s="926"/>
      <c r="NIW895" s="926"/>
      <c r="NIX895" s="926"/>
      <c r="NIY895" s="926"/>
      <c r="NIZ895" s="926"/>
      <c r="NJA895" s="926"/>
      <c r="NJB895" s="926"/>
      <c r="NJC895" s="926"/>
      <c r="NJD895" s="926"/>
      <c r="NJE895" s="926"/>
      <c r="NJF895" s="926"/>
      <c r="NJG895" s="926"/>
      <c r="NJH895" s="926"/>
      <c r="NJI895" s="926"/>
      <c r="NJJ895" s="926"/>
      <c r="NJK895" s="926"/>
      <c r="NJL895" s="926"/>
      <c r="NJM895" s="926"/>
      <c r="NJN895" s="926"/>
      <c r="NJO895" s="926"/>
      <c r="NJP895" s="926"/>
      <c r="NJQ895" s="926"/>
      <c r="NJR895" s="926"/>
      <c r="NJS895" s="926"/>
      <c r="NJT895" s="926"/>
      <c r="NJU895" s="926"/>
      <c r="NJV895" s="926"/>
      <c r="NJW895" s="926"/>
      <c r="NJX895" s="926"/>
      <c r="NJY895" s="926"/>
      <c r="NJZ895" s="926"/>
      <c r="NKA895" s="926"/>
      <c r="NKB895" s="926"/>
      <c r="NKC895" s="926"/>
      <c r="NKD895" s="926"/>
      <c r="NKE895" s="926"/>
      <c r="NKF895" s="926"/>
      <c r="NKG895" s="926"/>
      <c r="NKH895" s="926"/>
      <c r="NKI895" s="926"/>
      <c r="NKJ895" s="926"/>
      <c r="NKK895" s="926"/>
      <c r="NKL895" s="926"/>
      <c r="NKM895" s="926"/>
      <c r="NKN895" s="926"/>
      <c r="NKO895" s="926"/>
      <c r="NKP895" s="926"/>
      <c r="NKQ895" s="926"/>
      <c r="NKR895" s="926"/>
      <c r="NKS895" s="926"/>
      <c r="NKT895" s="926"/>
      <c r="NKU895" s="926"/>
      <c r="NKV895" s="926"/>
      <c r="NKW895" s="926"/>
      <c r="NKX895" s="926"/>
      <c r="NKY895" s="926"/>
      <c r="NKZ895" s="926"/>
      <c r="NLA895" s="926"/>
      <c r="NLB895" s="926"/>
      <c r="NLC895" s="926"/>
      <c r="NLD895" s="926"/>
      <c r="NLE895" s="926"/>
      <c r="NLF895" s="926"/>
      <c r="NLG895" s="926"/>
      <c r="NLH895" s="926"/>
      <c r="NLI895" s="926"/>
      <c r="NLJ895" s="926"/>
      <c r="NLK895" s="926"/>
      <c r="NLL895" s="926"/>
      <c r="NLM895" s="926"/>
      <c r="NLN895" s="926"/>
      <c r="NLO895" s="926"/>
      <c r="NLP895" s="926"/>
      <c r="NLQ895" s="926"/>
      <c r="NLR895" s="926"/>
      <c r="NLS895" s="926"/>
      <c r="NLT895" s="926"/>
      <c r="NLU895" s="926"/>
      <c r="NLV895" s="926"/>
      <c r="NLW895" s="926"/>
      <c r="NLX895" s="926"/>
      <c r="NLY895" s="926"/>
      <c r="NLZ895" s="926"/>
      <c r="NMA895" s="926"/>
      <c r="NMB895" s="926"/>
      <c r="NMC895" s="926"/>
      <c r="NMD895" s="926"/>
      <c r="NME895" s="926"/>
      <c r="NMF895" s="926"/>
      <c r="NMG895" s="926"/>
      <c r="NMH895" s="926"/>
      <c r="NMI895" s="926"/>
      <c r="NMJ895" s="926"/>
      <c r="NMK895" s="926"/>
      <c r="NML895" s="926"/>
      <c r="NMM895" s="926"/>
      <c r="NMN895" s="926"/>
      <c r="NMO895" s="926"/>
      <c r="NMP895" s="926"/>
      <c r="NMQ895" s="926"/>
      <c r="NMR895" s="926"/>
      <c r="NMS895" s="926"/>
      <c r="NMT895" s="926"/>
      <c r="NMU895" s="926"/>
      <c r="NMV895" s="926"/>
      <c r="NMW895" s="926"/>
      <c r="NMX895" s="926"/>
      <c r="NMY895" s="926"/>
      <c r="NMZ895" s="926"/>
      <c r="NNA895" s="926"/>
      <c r="NNB895" s="926"/>
      <c r="NNC895" s="926"/>
      <c r="NND895" s="926"/>
      <c r="NNE895" s="926"/>
      <c r="NNF895" s="926"/>
      <c r="NNG895" s="926"/>
      <c r="NNH895" s="926"/>
      <c r="NNI895" s="926"/>
      <c r="NNJ895" s="926"/>
      <c r="NNK895" s="926"/>
      <c r="NNL895" s="926"/>
      <c r="NNM895" s="926"/>
      <c r="NNN895" s="926"/>
      <c r="NNO895" s="926"/>
      <c r="NNP895" s="926"/>
      <c r="NNQ895" s="926"/>
      <c r="NNR895" s="926"/>
      <c r="NNS895" s="926"/>
      <c r="NNT895" s="926"/>
      <c r="NNU895" s="926"/>
      <c r="NNV895" s="926"/>
      <c r="NNW895" s="926"/>
      <c r="NNX895" s="926"/>
      <c r="NNY895" s="926"/>
      <c r="NNZ895" s="926"/>
      <c r="NOA895" s="926"/>
      <c r="NOB895" s="926"/>
      <c r="NOC895" s="926"/>
      <c r="NOD895" s="926"/>
      <c r="NOE895" s="926"/>
      <c r="NOF895" s="926"/>
      <c r="NOG895" s="926"/>
      <c r="NOH895" s="926"/>
      <c r="NOI895" s="926"/>
      <c r="NOJ895" s="926"/>
      <c r="NOK895" s="926"/>
      <c r="NOL895" s="926"/>
      <c r="NOM895" s="926"/>
      <c r="NON895" s="926"/>
      <c r="NOO895" s="926"/>
      <c r="NOP895" s="926"/>
      <c r="NOQ895" s="926"/>
      <c r="NOR895" s="926"/>
      <c r="NOS895" s="926"/>
      <c r="NOT895" s="926"/>
      <c r="NOU895" s="926"/>
      <c r="NOV895" s="926"/>
      <c r="NOW895" s="926"/>
      <c r="NOX895" s="926"/>
      <c r="NOY895" s="926"/>
      <c r="NOZ895" s="926"/>
      <c r="NPA895" s="926"/>
      <c r="NPB895" s="926"/>
      <c r="NPC895" s="926"/>
      <c r="NPD895" s="926"/>
      <c r="NPE895" s="926"/>
      <c r="NPF895" s="926"/>
      <c r="NPG895" s="926"/>
      <c r="NPH895" s="926"/>
      <c r="NPI895" s="926"/>
      <c r="NPJ895" s="926"/>
      <c r="NPK895" s="926"/>
      <c r="NPL895" s="926"/>
      <c r="NPM895" s="926"/>
      <c r="NPN895" s="926"/>
      <c r="NPO895" s="926"/>
      <c r="NPP895" s="926"/>
      <c r="NPQ895" s="926"/>
      <c r="NPR895" s="926"/>
      <c r="NPS895" s="926"/>
      <c r="NPT895" s="926"/>
      <c r="NPU895" s="926"/>
      <c r="NPV895" s="926"/>
      <c r="NPW895" s="926"/>
      <c r="NPX895" s="926"/>
      <c r="NPY895" s="926"/>
      <c r="NPZ895" s="926"/>
      <c r="NQA895" s="926"/>
      <c r="NQB895" s="926"/>
      <c r="NQC895" s="926"/>
      <c r="NQD895" s="926"/>
      <c r="NQE895" s="926"/>
      <c r="NQF895" s="926"/>
      <c r="NQG895" s="926"/>
      <c r="NQH895" s="926"/>
      <c r="NQI895" s="926"/>
      <c r="NQJ895" s="926"/>
      <c r="NQK895" s="926"/>
      <c r="NQL895" s="926"/>
      <c r="NQM895" s="926"/>
      <c r="NQN895" s="926"/>
      <c r="NQO895" s="926"/>
      <c r="NQP895" s="926"/>
      <c r="NQQ895" s="926"/>
      <c r="NQR895" s="926"/>
      <c r="NQS895" s="926"/>
      <c r="NQT895" s="926"/>
      <c r="NQU895" s="926"/>
      <c r="NQV895" s="926"/>
      <c r="NQW895" s="926"/>
      <c r="NQX895" s="926"/>
      <c r="NQY895" s="926"/>
      <c r="NQZ895" s="926"/>
      <c r="NRA895" s="926"/>
      <c r="NRB895" s="926"/>
      <c r="NRC895" s="926"/>
      <c r="NRD895" s="926"/>
      <c r="NRE895" s="926"/>
      <c r="NRF895" s="926"/>
      <c r="NRG895" s="926"/>
      <c r="NRH895" s="926"/>
      <c r="NRI895" s="926"/>
      <c r="NRJ895" s="926"/>
      <c r="NRK895" s="926"/>
      <c r="NRL895" s="926"/>
      <c r="NRM895" s="926"/>
      <c r="NRN895" s="926"/>
      <c r="NRO895" s="926"/>
      <c r="NRP895" s="926"/>
      <c r="NRQ895" s="926"/>
      <c r="NRR895" s="926"/>
      <c r="NRS895" s="926"/>
      <c r="NRT895" s="926"/>
      <c r="NRU895" s="926"/>
      <c r="NRV895" s="926"/>
      <c r="NRW895" s="926"/>
      <c r="NRX895" s="926"/>
      <c r="NRY895" s="926"/>
      <c r="NRZ895" s="926"/>
      <c r="NSA895" s="926"/>
      <c r="NSB895" s="926"/>
      <c r="NSC895" s="926"/>
      <c r="NSD895" s="926"/>
      <c r="NSE895" s="926"/>
      <c r="NSF895" s="926"/>
      <c r="NSG895" s="926"/>
      <c r="NSH895" s="926"/>
      <c r="NSI895" s="926"/>
      <c r="NSJ895" s="926"/>
      <c r="NSK895" s="926"/>
      <c r="NSL895" s="926"/>
      <c r="NSM895" s="926"/>
      <c r="NSN895" s="926"/>
      <c r="NSO895" s="926"/>
      <c r="NSP895" s="926"/>
      <c r="NSQ895" s="926"/>
      <c r="NSR895" s="926"/>
      <c r="NSS895" s="926"/>
      <c r="NST895" s="926"/>
      <c r="NSU895" s="926"/>
      <c r="NSV895" s="926"/>
      <c r="NSW895" s="926"/>
      <c r="NSX895" s="926"/>
      <c r="NSY895" s="926"/>
      <c r="NSZ895" s="926"/>
      <c r="NTA895" s="926"/>
      <c r="NTB895" s="926"/>
      <c r="NTC895" s="926"/>
      <c r="NTD895" s="926"/>
      <c r="NTE895" s="926"/>
      <c r="NTF895" s="926"/>
      <c r="NTG895" s="926"/>
      <c r="NTH895" s="926"/>
      <c r="NTI895" s="926"/>
      <c r="NTJ895" s="926"/>
      <c r="NTK895" s="926"/>
      <c r="NTL895" s="926"/>
      <c r="NTM895" s="926"/>
      <c r="NTN895" s="926"/>
      <c r="NTO895" s="926"/>
      <c r="NTP895" s="926"/>
      <c r="NTQ895" s="926"/>
      <c r="NTR895" s="926"/>
      <c r="NTS895" s="926"/>
      <c r="NTT895" s="926"/>
      <c r="NTU895" s="926"/>
      <c r="NTV895" s="926"/>
      <c r="NTW895" s="926"/>
      <c r="NTX895" s="926"/>
      <c r="NTY895" s="926"/>
      <c r="NTZ895" s="926"/>
      <c r="NUA895" s="926"/>
      <c r="NUB895" s="926"/>
      <c r="NUC895" s="926"/>
      <c r="NUD895" s="926"/>
      <c r="NUE895" s="926"/>
      <c r="NUF895" s="926"/>
      <c r="NUG895" s="926"/>
      <c r="NUH895" s="926"/>
      <c r="NUI895" s="926"/>
      <c r="NUJ895" s="926"/>
      <c r="NUK895" s="926"/>
      <c r="NUL895" s="926"/>
      <c r="NUM895" s="926"/>
      <c r="NUN895" s="926"/>
      <c r="NUO895" s="926"/>
      <c r="NUP895" s="926"/>
      <c r="NUQ895" s="926"/>
      <c r="NUR895" s="926"/>
      <c r="NUS895" s="926"/>
      <c r="NUT895" s="926"/>
      <c r="NUU895" s="926"/>
      <c r="NUV895" s="926"/>
      <c r="NUW895" s="926"/>
      <c r="NUX895" s="926"/>
      <c r="NUY895" s="926"/>
      <c r="NUZ895" s="926"/>
      <c r="NVA895" s="926"/>
      <c r="NVB895" s="926"/>
      <c r="NVC895" s="926"/>
      <c r="NVD895" s="926"/>
      <c r="NVE895" s="926"/>
      <c r="NVF895" s="926"/>
      <c r="NVG895" s="926"/>
      <c r="NVH895" s="926"/>
      <c r="NVI895" s="926"/>
      <c r="NVJ895" s="926"/>
      <c r="NVK895" s="926"/>
      <c r="NVL895" s="926"/>
      <c r="NVM895" s="926"/>
      <c r="NVN895" s="926"/>
      <c r="NVO895" s="926"/>
      <c r="NVP895" s="926"/>
      <c r="NVQ895" s="926"/>
      <c r="NVR895" s="926"/>
      <c r="NVS895" s="926"/>
      <c r="NVT895" s="926"/>
      <c r="NVU895" s="926"/>
      <c r="NVV895" s="926"/>
      <c r="NVW895" s="926"/>
      <c r="NVX895" s="926"/>
      <c r="NVY895" s="926"/>
      <c r="NVZ895" s="926"/>
      <c r="NWA895" s="926"/>
      <c r="NWB895" s="926"/>
      <c r="NWC895" s="926"/>
      <c r="NWD895" s="926"/>
      <c r="NWE895" s="926"/>
      <c r="NWF895" s="926"/>
      <c r="NWG895" s="926"/>
      <c r="NWH895" s="926"/>
      <c r="NWI895" s="926"/>
      <c r="NWJ895" s="926"/>
      <c r="NWK895" s="926"/>
      <c r="NWL895" s="926"/>
      <c r="NWM895" s="926"/>
      <c r="NWN895" s="926"/>
      <c r="NWO895" s="926"/>
      <c r="NWP895" s="926"/>
      <c r="NWQ895" s="926"/>
      <c r="NWR895" s="926"/>
      <c r="NWS895" s="926"/>
      <c r="NWT895" s="926"/>
      <c r="NWU895" s="926"/>
      <c r="NWV895" s="926"/>
      <c r="NWW895" s="926"/>
      <c r="NWX895" s="926"/>
      <c r="NWY895" s="926"/>
      <c r="NWZ895" s="926"/>
      <c r="NXA895" s="926"/>
      <c r="NXB895" s="926"/>
      <c r="NXC895" s="926"/>
      <c r="NXD895" s="926"/>
      <c r="NXE895" s="926"/>
      <c r="NXF895" s="926"/>
      <c r="NXG895" s="926"/>
      <c r="NXH895" s="926"/>
      <c r="NXI895" s="926"/>
      <c r="NXJ895" s="926"/>
      <c r="NXK895" s="926"/>
      <c r="NXL895" s="926"/>
      <c r="NXM895" s="926"/>
      <c r="NXN895" s="926"/>
      <c r="NXO895" s="926"/>
      <c r="NXP895" s="926"/>
      <c r="NXQ895" s="926"/>
      <c r="NXR895" s="926"/>
      <c r="NXS895" s="926"/>
      <c r="NXT895" s="926"/>
      <c r="NXU895" s="926"/>
      <c r="NXV895" s="926"/>
      <c r="NXW895" s="926"/>
      <c r="NXX895" s="926"/>
      <c r="NXY895" s="926"/>
      <c r="NXZ895" s="926"/>
      <c r="NYA895" s="926"/>
      <c r="NYB895" s="926"/>
      <c r="NYC895" s="926"/>
      <c r="NYD895" s="926"/>
      <c r="NYE895" s="926"/>
      <c r="NYF895" s="926"/>
      <c r="NYG895" s="926"/>
      <c r="NYH895" s="926"/>
      <c r="NYI895" s="926"/>
      <c r="NYJ895" s="926"/>
      <c r="NYK895" s="926"/>
      <c r="NYL895" s="926"/>
      <c r="NYM895" s="926"/>
      <c r="NYN895" s="926"/>
      <c r="NYO895" s="926"/>
      <c r="NYP895" s="926"/>
      <c r="NYQ895" s="926"/>
      <c r="NYR895" s="926"/>
      <c r="NYS895" s="926"/>
      <c r="NYT895" s="926"/>
      <c r="NYU895" s="926"/>
      <c r="NYV895" s="926"/>
      <c r="NYW895" s="926"/>
      <c r="NYX895" s="926"/>
      <c r="NYY895" s="926"/>
      <c r="NYZ895" s="926"/>
      <c r="NZA895" s="926"/>
      <c r="NZB895" s="926"/>
      <c r="NZC895" s="926"/>
      <c r="NZD895" s="926"/>
      <c r="NZE895" s="926"/>
      <c r="NZF895" s="926"/>
      <c r="NZG895" s="926"/>
      <c r="NZH895" s="926"/>
      <c r="NZI895" s="926"/>
      <c r="NZJ895" s="926"/>
      <c r="NZK895" s="926"/>
      <c r="NZL895" s="926"/>
      <c r="NZM895" s="926"/>
      <c r="NZN895" s="926"/>
      <c r="NZO895" s="926"/>
      <c r="NZP895" s="926"/>
      <c r="NZQ895" s="926"/>
      <c r="NZR895" s="926"/>
      <c r="NZS895" s="926"/>
      <c r="NZT895" s="926"/>
      <c r="NZU895" s="926"/>
      <c r="NZV895" s="926"/>
      <c r="NZW895" s="926"/>
      <c r="NZX895" s="926"/>
      <c r="NZY895" s="926"/>
      <c r="NZZ895" s="926"/>
      <c r="OAA895" s="926"/>
      <c r="OAB895" s="926"/>
      <c r="OAC895" s="926"/>
      <c r="OAD895" s="926"/>
      <c r="OAE895" s="926"/>
      <c r="OAF895" s="926"/>
      <c r="OAG895" s="926"/>
      <c r="OAH895" s="926"/>
      <c r="OAI895" s="926"/>
      <c r="OAJ895" s="926"/>
      <c r="OAK895" s="926"/>
      <c r="OAL895" s="926"/>
      <c r="OAM895" s="926"/>
      <c r="OAN895" s="926"/>
      <c r="OAO895" s="926"/>
      <c r="OAP895" s="926"/>
      <c r="OAQ895" s="926"/>
      <c r="OAR895" s="926"/>
      <c r="OAS895" s="926"/>
      <c r="OAT895" s="926"/>
      <c r="OAU895" s="926"/>
      <c r="OAV895" s="926"/>
      <c r="OAW895" s="926"/>
      <c r="OAX895" s="926"/>
      <c r="OAY895" s="926"/>
      <c r="OAZ895" s="926"/>
      <c r="OBA895" s="926"/>
      <c r="OBB895" s="926"/>
      <c r="OBC895" s="926"/>
      <c r="OBD895" s="926"/>
      <c r="OBE895" s="926"/>
      <c r="OBF895" s="926"/>
      <c r="OBG895" s="926"/>
      <c r="OBH895" s="926"/>
      <c r="OBI895" s="926"/>
      <c r="OBJ895" s="926"/>
      <c r="OBK895" s="926"/>
      <c r="OBL895" s="926"/>
      <c r="OBM895" s="926"/>
      <c r="OBN895" s="926"/>
      <c r="OBO895" s="926"/>
      <c r="OBP895" s="926"/>
      <c r="OBQ895" s="926"/>
      <c r="OBR895" s="926"/>
      <c r="OBS895" s="926"/>
      <c r="OBT895" s="926"/>
      <c r="OBU895" s="926"/>
      <c r="OBV895" s="926"/>
      <c r="OBW895" s="926"/>
      <c r="OBX895" s="926"/>
      <c r="OBY895" s="926"/>
      <c r="OBZ895" s="926"/>
      <c r="OCA895" s="926"/>
      <c r="OCB895" s="926"/>
      <c r="OCC895" s="926"/>
      <c r="OCD895" s="926"/>
      <c r="OCE895" s="926"/>
      <c r="OCF895" s="926"/>
      <c r="OCG895" s="926"/>
      <c r="OCH895" s="926"/>
      <c r="OCI895" s="926"/>
      <c r="OCJ895" s="926"/>
      <c r="OCK895" s="926"/>
      <c r="OCL895" s="926"/>
      <c r="OCM895" s="926"/>
      <c r="OCN895" s="926"/>
      <c r="OCO895" s="926"/>
      <c r="OCP895" s="926"/>
      <c r="OCQ895" s="926"/>
      <c r="OCR895" s="926"/>
      <c r="OCS895" s="926"/>
      <c r="OCT895" s="926"/>
      <c r="OCU895" s="926"/>
      <c r="OCV895" s="926"/>
      <c r="OCW895" s="926"/>
      <c r="OCX895" s="926"/>
      <c r="OCY895" s="926"/>
      <c r="OCZ895" s="926"/>
      <c r="ODA895" s="926"/>
      <c r="ODB895" s="926"/>
      <c r="ODC895" s="926"/>
      <c r="ODD895" s="926"/>
      <c r="ODE895" s="926"/>
      <c r="ODF895" s="926"/>
      <c r="ODG895" s="926"/>
      <c r="ODH895" s="926"/>
      <c r="ODI895" s="926"/>
      <c r="ODJ895" s="926"/>
      <c r="ODK895" s="926"/>
      <c r="ODL895" s="926"/>
      <c r="ODM895" s="926"/>
      <c r="ODN895" s="926"/>
      <c r="ODO895" s="926"/>
      <c r="ODP895" s="926"/>
      <c r="ODQ895" s="926"/>
      <c r="ODR895" s="926"/>
      <c r="ODS895" s="926"/>
      <c r="ODT895" s="926"/>
      <c r="ODU895" s="926"/>
      <c r="ODV895" s="926"/>
      <c r="ODW895" s="926"/>
      <c r="ODX895" s="926"/>
      <c r="ODY895" s="926"/>
      <c r="ODZ895" s="926"/>
      <c r="OEA895" s="926"/>
      <c r="OEB895" s="926"/>
      <c r="OEC895" s="926"/>
      <c r="OED895" s="926"/>
      <c r="OEE895" s="926"/>
      <c r="OEF895" s="926"/>
      <c r="OEG895" s="926"/>
      <c r="OEH895" s="926"/>
      <c r="OEI895" s="926"/>
      <c r="OEJ895" s="926"/>
      <c r="OEK895" s="926"/>
      <c r="OEL895" s="926"/>
      <c r="OEM895" s="926"/>
      <c r="OEN895" s="926"/>
      <c r="OEO895" s="926"/>
      <c r="OEP895" s="926"/>
      <c r="OEQ895" s="926"/>
      <c r="OER895" s="926"/>
      <c r="OES895" s="926"/>
      <c r="OET895" s="926"/>
      <c r="OEU895" s="926"/>
      <c r="OEV895" s="926"/>
      <c r="OEW895" s="926"/>
      <c r="OEX895" s="926"/>
      <c r="OEY895" s="926"/>
      <c r="OEZ895" s="926"/>
      <c r="OFA895" s="926"/>
      <c r="OFB895" s="926"/>
      <c r="OFC895" s="926"/>
      <c r="OFD895" s="926"/>
      <c r="OFE895" s="926"/>
      <c r="OFF895" s="926"/>
      <c r="OFG895" s="926"/>
      <c r="OFH895" s="926"/>
      <c r="OFI895" s="926"/>
      <c r="OFJ895" s="926"/>
      <c r="OFK895" s="926"/>
      <c r="OFL895" s="926"/>
      <c r="OFM895" s="926"/>
      <c r="OFN895" s="926"/>
      <c r="OFO895" s="926"/>
      <c r="OFP895" s="926"/>
      <c r="OFQ895" s="926"/>
      <c r="OFR895" s="926"/>
      <c r="OFS895" s="926"/>
      <c r="OFT895" s="926"/>
      <c r="OFU895" s="926"/>
      <c r="OFV895" s="926"/>
      <c r="OFW895" s="926"/>
      <c r="OFX895" s="926"/>
      <c r="OFY895" s="926"/>
      <c r="OFZ895" s="926"/>
      <c r="OGA895" s="926"/>
      <c r="OGB895" s="926"/>
      <c r="OGC895" s="926"/>
      <c r="OGD895" s="926"/>
      <c r="OGE895" s="926"/>
      <c r="OGF895" s="926"/>
      <c r="OGG895" s="926"/>
      <c r="OGH895" s="926"/>
      <c r="OGI895" s="926"/>
      <c r="OGJ895" s="926"/>
      <c r="OGK895" s="926"/>
      <c r="OGL895" s="926"/>
      <c r="OGM895" s="926"/>
      <c r="OGN895" s="926"/>
      <c r="OGO895" s="926"/>
      <c r="OGP895" s="926"/>
      <c r="OGQ895" s="926"/>
      <c r="OGR895" s="926"/>
      <c r="OGS895" s="926"/>
      <c r="OGT895" s="926"/>
      <c r="OGU895" s="926"/>
      <c r="OGV895" s="926"/>
      <c r="OGW895" s="926"/>
      <c r="OGX895" s="926"/>
      <c r="OGY895" s="926"/>
      <c r="OGZ895" s="926"/>
      <c r="OHA895" s="926"/>
      <c r="OHB895" s="926"/>
      <c r="OHC895" s="926"/>
      <c r="OHD895" s="926"/>
      <c r="OHE895" s="926"/>
      <c r="OHF895" s="926"/>
      <c r="OHG895" s="926"/>
      <c r="OHH895" s="926"/>
      <c r="OHI895" s="926"/>
      <c r="OHJ895" s="926"/>
      <c r="OHK895" s="926"/>
      <c r="OHL895" s="926"/>
      <c r="OHM895" s="926"/>
      <c r="OHN895" s="926"/>
      <c r="OHO895" s="926"/>
      <c r="OHP895" s="926"/>
      <c r="OHQ895" s="926"/>
      <c r="OHR895" s="926"/>
      <c r="OHS895" s="926"/>
      <c r="OHT895" s="926"/>
      <c r="OHU895" s="926"/>
      <c r="OHV895" s="926"/>
      <c r="OHW895" s="926"/>
      <c r="OHX895" s="926"/>
      <c r="OHY895" s="926"/>
      <c r="OHZ895" s="926"/>
      <c r="OIA895" s="926"/>
      <c r="OIB895" s="926"/>
      <c r="OIC895" s="926"/>
      <c r="OID895" s="926"/>
      <c r="OIE895" s="926"/>
      <c r="OIF895" s="926"/>
      <c r="OIG895" s="926"/>
      <c r="OIH895" s="926"/>
      <c r="OII895" s="926"/>
      <c r="OIJ895" s="926"/>
      <c r="OIK895" s="926"/>
      <c r="OIL895" s="926"/>
      <c r="OIM895" s="926"/>
      <c r="OIN895" s="926"/>
      <c r="OIO895" s="926"/>
      <c r="OIP895" s="926"/>
      <c r="OIQ895" s="926"/>
      <c r="OIR895" s="926"/>
      <c r="OIS895" s="926"/>
      <c r="OIT895" s="926"/>
      <c r="OIU895" s="926"/>
      <c r="OIV895" s="926"/>
      <c r="OIW895" s="926"/>
      <c r="OIX895" s="926"/>
      <c r="OIY895" s="926"/>
      <c r="OIZ895" s="926"/>
      <c r="OJA895" s="926"/>
      <c r="OJB895" s="926"/>
      <c r="OJC895" s="926"/>
      <c r="OJD895" s="926"/>
      <c r="OJE895" s="926"/>
      <c r="OJF895" s="926"/>
      <c r="OJG895" s="926"/>
      <c r="OJH895" s="926"/>
      <c r="OJI895" s="926"/>
      <c r="OJJ895" s="926"/>
      <c r="OJK895" s="926"/>
      <c r="OJL895" s="926"/>
      <c r="OJM895" s="926"/>
      <c r="OJN895" s="926"/>
      <c r="OJO895" s="926"/>
      <c r="OJP895" s="926"/>
      <c r="OJQ895" s="926"/>
      <c r="OJR895" s="926"/>
      <c r="OJS895" s="926"/>
      <c r="OJT895" s="926"/>
      <c r="OJU895" s="926"/>
      <c r="OJV895" s="926"/>
      <c r="OJW895" s="926"/>
      <c r="OJX895" s="926"/>
      <c r="OJY895" s="926"/>
      <c r="OJZ895" s="926"/>
      <c r="OKA895" s="926"/>
      <c r="OKB895" s="926"/>
      <c r="OKC895" s="926"/>
      <c r="OKD895" s="926"/>
      <c r="OKE895" s="926"/>
      <c r="OKF895" s="926"/>
      <c r="OKG895" s="926"/>
      <c r="OKH895" s="926"/>
      <c r="OKI895" s="926"/>
      <c r="OKJ895" s="926"/>
      <c r="OKK895" s="926"/>
      <c r="OKL895" s="926"/>
      <c r="OKM895" s="926"/>
      <c r="OKN895" s="926"/>
      <c r="OKO895" s="926"/>
      <c r="OKP895" s="926"/>
      <c r="OKQ895" s="926"/>
      <c r="OKR895" s="926"/>
      <c r="OKS895" s="926"/>
      <c r="OKT895" s="926"/>
      <c r="OKU895" s="926"/>
      <c r="OKV895" s="926"/>
      <c r="OKW895" s="926"/>
      <c r="OKX895" s="926"/>
      <c r="OKY895" s="926"/>
      <c r="OKZ895" s="926"/>
      <c r="OLA895" s="926"/>
      <c r="OLB895" s="926"/>
      <c r="OLC895" s="926"/>
      <c r="OLD895" s="926"/>
      <c r="OLE895" s="926"/>
      <c r="OLF895" s="926"/>
      <c r="OLG895" s="926"/>
      <c r="OLH895" s="926"/>
      <c r="OLI895" s="926"/>
      <c r="OLJ895" s="926"/>
      <c r="OLK895" s="926"/>
      <c r="OLL895" s="926"/>
      <c r="OLM895" s="926"/>
      <c r="OLN895" s="926"/>
      <c r="OLO895" s="926"/>
      <c r="OLP895" s="926"/>
      <c r="OLQ895" s="926"/>
      <c r="OLR895" s="926"/>
      <c r="OLS895" s="926"/>
      <c r="OLT895" s="926"/>
      <c r="OLU895" s="926"/>
      <c r="OLV895" s="926"/>
      <c r="OLW895" s="926"/>
      <c r="OLX895" s="926"/>
      <c r="OLY895" s="926"/>
      <c r="OLZ895" s="926"/>
      <c r="OMA895" s="926"/>
      <c r="OMB895" s="926"/>
      <c r="OMC895" s="926"/>
      <c r="OMD895" s="926"/>
      <c r="OME895" s="926"/>
      <c r="OMF895" s="926"/>
      <c r="OMG895" s="926"/>
      <c r="OMH895" s="926"/>
      <c r="OMI895" s="926"/>
      <c r="OMJ895" s="926"/>
      <c r="OMK895" s="926"/>
      <c r="OML895" s="926"/>
      <c r="OMM895" s="926"/>
      <c r="OMN895" s="926"/>
      <c r="OMO895" s="926"/>
      <c r="OMP895" s="926"/>
      <c r="OMQ895" s="926"/>
      <c r="OMR895" s="926"/>
      <c r="OMS895" s="926"/>
      <c r="OMT895" s="926"/>
      <c r="OMU895" s="926"/>
      <c r="OMV895" s="926"/>
      <c r="OMW895" s="926"/>
      <c r="OMX895" s="926"/>
      <c r="OMY895" s="926"/>
      <c r="OMZ895" s="926"/>
      <c r="ONA895" s="926"/>
      <c r="ONB895" s="926"/>
      <c r="ONC895" s="926"/>
      <c r="OND895" s="926"/>
      <c r="ONE895" s="926"/>
      <c r="ONF895" s="926"/>
      <c r="ONG895" s="926"/>
      <c r="ONH895" s="926"/>
      <c r="ONI895" s="926"/>
      <c r="ONJ895" s="926"/>
      <c r="ONK895" s="926"/>
      <c r="ONL895" s="926"/>
      <c r="ONM895" s="926"/>
      <c r="ONN895" s="926"/>
      <c r="ONO895" s="926"/>
      <c r="ONP895" s="926"/>
      <c r="ONQ895" s="926"/>
      <c r="ONR895" s="926"/>
      <c r="ONS895" s="926"/>
      <c r="ONT895" s="926"/>
      <c r="ONU895" s="926"/>
      <c r="ONV895" s="926"/>
      <c r="ONW895" s="926"/>
      <c r="ONX895" s="926"/>
      <c r="ONY895" s="926"/>
      <c r="ONZ895" s="926"/>
      <c r="OOA895" s="926"/>
      <c r="OOB895" s="926"/>
      <c r="OOC895" s="926"/>
      <c r="OOD895" s="926"/>
      <c r="OOE895" s="926"/>
      <c r="OOF895" s="926"/>
      <c r="OOG895" s="926"/>
      <c r="OOH895" s="926"/>
      <c r="OOI895" s="926"/>
      <c r="OOJ895" s="926"/>
      <c r="OOK895" s="926"/>
      <c r="OOL895" s="926"/>
      <c r="OOM895" s="926"/>
      <c r="OON895" s="926"/>
      <c r="OOO895" s="926"/>
      <c r="OOP895" s="926"/>
      <c r="OOQ895" s="926"/>
      <c r="OOR895" s="926"/>
      <c r="OOS895" s="926"/>
      <c r="OOT895" s="926"/>
      <c r="OOU895" s="926"/>
      <c r="OOV895" s="926"/>
      <c r="OOW895" s="926"/>
      <c r="OOX895" s="926"/>
      <c r="OOY895" s="926"/>
      <c r="OOZ895" s="926"/>
      <c r="OPA895" s="926"/>
      <c r="OPB895" s="926"/>
      <c r="OPC895" s="926"/>
      <c r="OPD895" s="926"/>
      <c r="OPE895" s="926"/>
      <c r="OPF895" s="926"/>
      <c r="OPG895" s="926"/>
      <c r="OPH895" s="926"/>
      <c r="OPI895" s="926"/>
      <c r="OPJ895" s="926"/>
      <c r="OPK895" s="926"/>
      <c r="OPL895" s="926"/>
      <c r="OPM895" s="926"/>
      <c r="OPN895" s="926"/>
      <c r="OPO895" s="926"/>
      <c r="OPP895" s="926"/>
      <c r="OPQ895" s="926"/>
      <c r="OPR895" s="926"/>
      <c r="OPS895" s="926"/>
      <c r="OPT895" s="926"/>
      <c r="OPU895" s="926"/>
      <c r="OPV895" s="926"/>
      <c r="OPW895" s="926"/>
      <c r="OPX895" s="926"/>
      <c r="OPY895" s="926"/>
      <c r="OPZ895" s="926"/>
      <c r="OQA895" s="926"/>
      <c r="OQB895" s="926"/>
      <c r="OQC895" s="926"/>
      <c r="OQD895" s="926"/>
      <c r="OQE895" s="926"/>
      <c r="OQF895" s="926"/>
      <c r="OQG895" s="926"/>
      <c r="OQH895" s="926"/>
      <c r="OQI895" s="926"/>
      <c r="OQJ895" s="926"/>
      <c r="OQK895" s="926"/>
      <c r="OQL895" s="926"/>
      <c r="OQM895" s="926"/>
      <c r="OQN895" s="926"/>
      <c r="OQO895" s="926"/>
      <c r="OQP895" s="926"/>
      <c r="OQQ895" s="926"/>
      <c r="OQR895" s="926"/>
      <c r="OQS895" s="926"/>
      <c r="OQT895" s="926"/>
      <c r="OQU895" s="926"/>
      <c r="OQV895" s="926"/>
      <c r="OQW895" s="926"/>
      <c r="OQX895" s="926"/>
      <c r="OQY895" s="926"/>
      <c r="OQZ895" s="926"/>
      <c r="ORA895" s="926"/>
      <c r="ORB895" s="926"/>
      <c r="ORC895" s="926"/>
      <c r="ORD895" s="926"/>
      <c r="ORE895" s="926"/>
      <c r="ORF895" s="926"/>
      <c r="ORG895" s="926"/>
      <c r="ORH895" s="926"/>
      <c r="ORI895" s="926"/>
      <c r="ORJ895" s="926"/>
      <c r="ORK895" s="926"/>
      <c r="ORL895" s="926"/>
      <c r="ORM895" s="926"/>
      <c r="ORN895" s="926"/>
      <c r="ORO895" s="926"/>
      <c r="ORP895" s="926"/>
      <c r="ORQ895" s="926"/>
      <c r="ORR895" s="926"/>
      <c r="ORS895" s="926"/>
      <c r="ORT895" s="926"/>
      <c r="ORU895" s="926"/>
      <c r="ORV895" s="926"/>
      <c r="ORW895" s="926"/>
      <c r="ORX895" s="926"/>
      <c r="ORY895" s="926"/>
      <c r="ORZ895" s="926"/>
      <c r="OSA895" s="926"/>
      <c r="OSB895" s="926"/>
      <c r="OSC895" s="926"/>
      <c r="OSD895" s="926"/>
      <c r="OSE895" s="926"/>
      <c r="OSF895" s="926"/>
      <c r="OSG895" s="926"/>
      <c r="OSH895" s="926"/>
      <c r="OSI895" s="926"/>
      <c r="OSJ895" s="926"/>
      <c r="OSK895" s="926"/>
      <c r="OSL895" s="926"/>
      <c r="OSM895" s="926"/>
      <c r="OSN895" s="926"/>
      <c r="OSO895" s="926"/>
      <c r="OSP895" s="926"/>
      <c r="OSQ895" s="926"/>
      <c r="OSR895" s="926"/>
      <c r="OSS895" s="926"/>
      <c r="OST895" s="926"/>
      <c r="OSU895" s="926"/>
      <c r="OSV895" s="926"/>
      <c r="OSW895" s="926"/>
      <c r="OSX895" s="926"/>
      <c r="OSY895" s="926"/>
      <c r="OSZ895" s="926"/>
      <c r="OTA895" s="926"/>
      <c r="OTB895" s="926"/>
      <c r="OTC895" s="926"/>
      <c r="OTD895" s="926"/>
      <c r="OTE895" s="926"/>
      <c r="OTF895" s="926"/>
      <c r="OTG895" s="926"/>
      <c r="OTH895" s="926"/>
      <c r="OTI895" s="926"/>
      <c r="OTJ895" s="926"/>
      <c r="OTK895" s="926"/>
      <c r="OTL895" s="926"/>
      <c r="OTM895" s="926"/>
      <c r="OTN895" s="926"/>
      <c r="OTO895" s="926"/>
      <c r="OTP895" s="926"/>
      <c r="OTQ895" s="926"/>
      <c r="OTR895" s="926"/>
      <c r="OTS895" s="926"/>
      <c r="OTT895" s="926"/>
      <c r="OTU895" s="926"/>
      <c r="OTV895" s="926"/>
      <c r="OTW895" s="926"/>
      <c r="OTX895" s="926"/>
      <c r="OTY895" s="926"/>
      <c r="OTZ895" s="926"/>
      <c r="OUA895" s="926"/>
      <c r="OUB895" s="926"/>
      <c r="OUC895" s="926"/>
      <c r="OUD895" s="926"/>
      <c r="OUE895" s="926"/>
      <c r="OUF895" s="926"/>
      <c r="OUG895" s="926"/>
      <c r="OUH895" s="926"/>
      <c r="OUI895" s="926"/>
      <c r="OUJ895" s="926"/>
      <c r="OUK895" s="926"/>
      <c r="OUL895" s="926"/>
      <c r="OUM895" s="926"/>
      <c r="OUN895" s="926"/>
      <c r="OUO895" s="926"/>
      <c r="OUP895" s="926"/>
      <c r="OUQ895" s="926"/>
      <c r="OUR895" s="926"/>
      <c r="OUS895" s="926"/>
      <c r="OUT895" s="926"/>
      <c r="OUU895" s="926"/>
      <c r="OUV895" s="926"/>
      <c r="OUW895" s="926"/>
      <c r="OUX895" s="926"/>
      <c r="OUY895" s="926"/>
      <c r="OUZ895" s="926"/>
      <c r="OVA895" s="926"/>
      <c r="OVB895" s="926"/>
      <c r="OVC895" s="926"/>
      <c r="OVD895" s="926"/>
      <c r="OVE895" s="926"/>
      <c r="OVF895" s="926"/>
      <c r="OVG895" s="926"/>
      <c r="OVH895" s="926"/>
      <c r="OVI895" s="926"/>
      <c r="OVJ895" s="926"/>
      <c r="OVK895" s="926"/>
      <c r="OVL895" s="926"/>
      <c r="OVM895" s="926"/>
      <c r="OVN895" s="926"/>
      <c r="OVO895" s="926"/>
      <c r="OVP895" s="926"/>
      <c r="OVQ895" s="926"/>
      <c r="OVR895" s="926"/>
      <c r="OVS895" s="926"/>
      <c r="OVT895" s="926"/>
      <c r="OVU895" s="926"/>
      <c r="OVV895" s="926"/>
      <c r="OVW895" s="926"/>
      <c r="OVX895" s="926"/>
      <c r="OVY895" s="926"/>
      <c r="OVZ895" s="926"/>
      <c r="OWA895" s="926"/>
      <c r="OWB895" s="926"/>
      <c r="OWC895" s="926"/>
      <c r="OWD895" s="926"/>
      <c r="OWE895" s="926"/>
      <c r="OWF895" s="926"/>
      <c r="OWG895" s="926"/>
      <c r="OWH895" s="926"/>
      <c r="OWI895" s="926"/>
      <c r="OWJ895" s="926"/>
      <c r="OWK895" s="926"/>
      <c r="OWL895" s="926"/>
      <c r="OWM895" s="926"/>
      <c r="OWN895" s="926"/>
      <c r="OWO895" s="926"/>
      <c r="OWP895" s="926"/>
      <c r="OWQ895" s="926"/>
      <c r="OWR895" s="926"/>
      <c r="OWS895" s="926"/>
      <c r="OWT895" s="926"/>
      <c r="OWU895" s="926"/>
      <c r="OWV895" s="926"/>
      <c r="OWW895" s="926"/>
      <c r="OWX895" s="926"/>
      <c r="OWY895" s="926"/>
      <c r="OWZ895" s="926"/>
      <c r="OXA895" s="926"/>
      <c r="OXB895" s="926"/>
      <c r="OXC895" s="926"/>
      <c r="OXD895" s="926"/>
      <c r="OXE895" s="926"/>
      <c r="OXF895" s="926"/>
      <c r="OXG895" s="926"/>
      <c r="OXH895" s="926"/>
      <c r="OXI895" s="926"/>
      <c r="OXJ895" s="926"/>
      <c r="OXK895" s="926"/>
      <c r="OXL895" s="926"/>
      <c r="OXM895" s="926"/>
      <c r="OXN895" s="926"/>
      <c r="OXO895" s="926"/>
      <c r="OXP895" s="926"/>
      <c r="OXQ895" s="926"/>
      <c r="OXR895" s="926"/>
      <c r="OXS895" s="926"/>
      <c r="OXT895" s="926"/>
      <c r="OXU895" s="926"/>
      <c r="OXV895" s="926"/>
      <c r="OXW895" s="926"/>
      <c r="OXX895" s="926"/>
      <c r="OXY895" s="926"/>
      <c r="OXZ895" s="926"/>
      <c r="OYA895" s="926"/>
      <c r="OYB895" s="926"/>
      <c r="OYC895" s="926"/>
      <c r="OYD895" s="926"/>
      <c r="OYE895" s="926"/>
      <c r="OYF895" s="926"/>
      <c r="OYG895" s="926"/>
      <c r="OYH895" s="926"/>
      <c r="OYI895" s="926"/>
      <c r="OYJ895" s="926"/>
      <c r="OYK895" s="926"/>
      <c r="OYL895" s="926"/>
      <c r="OYM895" s="926"/>
      <c r="OYN895" s="926"/>
      <c r="OYO895" s="926"/>
      <c r="OYP895" s="926"/>
      <c r="OYQ895" s="926"/>
      <c r="OYR895" s="926"/>
      <c r="OYS895" s="926"/>
      <c r="OYT895" s="926"/>
      <c r="OYU895" s="926"/>
      <c r="OYV895" s="926"/>
      <c r="OYW895" s="926"/>
      <c r="OYX895" s="926"/>
      <c r="OYY895" s="926"/>
      <c r="OYZ895" s="926"/>
      <c r="OZA895" s="926"/>
      <c r="OZB895" s="926"/>
      <c r="OZC895" s="926"/>
      <c r="OZD895" s="926"/>
      <c r="OZE895" s="926"/>
      <c r="OZF895" s="926"/>
      <c r="OZG895" s="926"/>
      <c r="OZH895" s="926"/>
      <c r="OZI895" s="926"/>
      <c r="OZJ895" s="926"/>
      <c r="OZK895" s="926"/>
      <c r="OZL895" s="926"/>
      <c r="OZM895" s="926"/>
      <c r="OZN895" s="926"/>
      <c r="OZO895" s="926"/>
      <c r="OZP895" s="926"/>
      <c r="OZQ895" s="926"/>
      <c r="OZR895" s="926"/>
      <c r="OZS895" s="926"/>
      <c r="OZT895" s="926"/>
      <c r="OZU895" s="926"/>
      <c r="OZV895" s="926"/>
      <c r="OZW895" s="926"/>
      <c r="OZX895" s="926"/>
      <c r="OZY895" s="926"/>
      <c r="OZZ895" s="926"/>
      <c r="PAA895" s="926"/>
      <c r="PAB895" s="926"/>
      <c r="PAC895" s="926"/>
      <c r="PAD895" s="926"/>
      <c r="PAE895" s="926"/>
      <c r="PAF895" s="926"/>
      <c r="PAG895" s="926"/>
      <c r="PAH895" s="926"/>
      <c r="PAI895" s="926"/>
      <c r="PAJ895" s="926"/>
      <c r="PAK895" s="926"/>
      <c r="PAL895" s="926"/>
      <c r="PAM895" s="926"/>
      <c r="PAN895" s="926"/>
      <c r="PAO895" s="926"/>
      <c r="PAP895" s="926"/>
      <c r="PAQ895" s="926"/>
      <c r="PAR895" s="926"/>
      <c r="PAS895" s="926"/>
      <c r="PAT895" s="926"/>
      <c r="PAU895" s="926"/>
      <c r="PAV895" s="926"/>
      <c r="PAW895" s="926"/>
      <c r="PAX895" s="926"/>
      <c r="PAY895" s="926"/>
      <c r="PAZ895" s="926"/>
      <c r="PBA895" s="926"/>
      <c r="PBB895" s="926"/>
      <c r="PBC895" s="926"/>
      <c r="PBD895" s="926"/>
      <c r="PBE895" s="926"/>
      <c r="PBF895" s="926"/>
      <c r="PBG895" s="926"/>
      <c r="PBH895" s="926"/>
      <c r="PBI895" s="926"/>
      <c r="PBJ895" s="926"/>
      <c r="PBK895" s="926"/>
      <c r="PBL895" s="926"/>
      <c r="PBM895" s="926"/>
      <c r="PBN895" s="926"/>
      <c r="PBO895" s="926"/>
      <c r="PBP895" s="926"/>
      <c r="PBQ895" s="926"/>
      <c r="PBR895" s="926"/>
      <c r="PBS895" s="926"/>
      <c r="PBT895" s="926"/>
      <c r="PBU895" s="926"/>
      <c r="PBV895" s="926"/>
      <c r="PBW895" s="926"/>
      <c r="PBX895" s="926"/>
      <c r="PBY895" s="926"/>
      <c r="PBZ895" s="926"/>
      <c r="PCA895" s="926"/>
      <c r="PCB895" s="926"/>
      <c r="PCC895" s="926"/>
      <c r="PCD895" s="926"/>
      <c r="PCE895" s="926"/>
      <c r="PCF895" s="926"/>
      <c r="PCG895" s="926"/>
      <c r="PCH895" s="926"/>
      <c r="PCI895" s="926"/>
      <c r="PCJ895" s="926"/>
      <c r="PCK895" s="926"/>
      <c r="PCL895" s="926"/>
      <c r="PCM895" s="926"/>
      <c r="PCN895" s="926"/>
      <c r="PCO895" s="926"/>
      <c r="PCP895" s="926"/>
      <c r="PCQ895" s="926"/>
      <c r="PCR895" s="926"/>
      <c r="PCS895" s="926"/>
      <c r="PCT895" s="926"/>
      <c r="PCU895" s="926"/>
      <c r="PCV895" s="926"/>
      <c r="PCW895" s="926"/>
      <c r="PCX895" s="926"/>
      <c r="PCY895" s="926"/>
      <c r="PCZ895" s="926"/>
      <c r="PDA895" s="926"/>
      <c r="PDB895" s="926"/>
      <c r="PDC895" s="926"/>
      <c r="PDD895" s="926"/>
      <c r="PDE895" s="926"/>
      <c r="PDF895" s="926"/>
      <c r="PDG895" s="926"/>
      <c r="PDH895" s="926"/>
      <c r="PDI895" s="926"/>
      <c r="PDJ895" s="926"/>
      <c r="PDK895" s="926"/>
      <c r="PDL895" s="926"/>
      <c r="PDM895" s="926"/>
      <c r="PDN895" s="926"/>
      <c r="PDO895" s="926"/>
      <c r="PDP895" s="926"/>
      <c r="PDQ895" s="926"/>
      <c r="PDR895" s="926"/>
      <c r="PDS895" s="926"/>
      <c r="PDT895" s="926"/>
      <c r="PDU895" s="926"/>
      <c r="PDV895" s="926"/>
      <c r="PDW895" s="926"/>
      <c r="PDX895" s="926"/>
      <c r="PDY895" s="926"/>
      <c r="PDZ895" s="926"/>
      <c r="PEA895" s="926"/>
      <c r="PEB895" s="926"/>
      <c r="PEC895" s="926"/>
      <c r="PED895" s="926"/>
      <c r="PEE895" s="926"/>
      <c r="PEF895" s="926"/>
      <c r="PEG895" s="926"/>
      <c r="PEH895" s="926"/>
      <c r="PEI895" s="926"/>
      <c r="PEJ895" s="926"/>
      <c r="PEK895" s="926"/>
      <c r="PEL895" s="926"/>
      <c r="PEM895" s="926"/>
      <c r="PEN895" s="926"/>
      <c r="PEO895" s="926"/>
      <c r="PEP895" s="926"/>
      <c r="PEQ895" s="926"/>
      <c r="PER895" s="926"/>
      <c r="PES895" s="926"/>
      <c r="PET895" s="926"/>
      <c r="PEU895" s="926"/>
      <c r="PEV895" s="926"/>
      <c r="PEW895" s="926"/>
      <c r="PEX895" s="926"/>
      <c r="PEY895" s="926"/>
      <c r="PEZ895" s="926"/>
      <c r="PFA895" s="926"/>
      <c r="PFB895" s="926"/>
      <c r="PFC895" s="926"/>
      <c r="PFD895" s="926"/>
      <c r="PFE895" s="926"/>
      <c r="PFF895" s="926"/>
      <c r="PFG895" s="926"/>
      <c r="PFH895" s="926"/>
      <c r="PFI895" s="926"/>
      <c r="PFJ895" s="926"/>
      <c r="PFK895" s="926"/>
      <c r="PFL895" s="926"/>
      <c r="PFM895" s="926"/>
      <c r="PFN895" s="926"/>
      <c r="PFO895" s="926"/>
      <c r="PFP895" s="926"/>
      <c r="PFQ895" s="926"/>
      <c r="PFR895" s="926"/>
      <c r="PFS895" s="926"/>
      <c r="PFT895" s="926"/>
      <c r="PFU895" s="926"/>
      <c r="PFV895" s="926"/>
      <c r="PFW895" s="926"/>
      <c r="PFX895" s="926"/>
      <c r="PFY895" s="926"/>
      <c r="PFZ895" s="926"/>
      <c r="PGA895" s="926"/>
      <c r="PGB895" s="926"/>
      <c r="PGC895" s="926"/>
      <c r="PGD895" s="926"/>
      <c r="PGE895" s="926"/>
      <c r="PGF895" s="926"/>
      <c r="PGG895" s="926"/>
      <c r="PGH895" s="926"/>
      <c r="PGI895" s="926"/>
      <c r="PGJ895" s="926"/>
      <c r="PGK895" s="926"/>
      <c r="PGL895" s="926"/>
      <c r="PGM895" s="926"/>
      <c r="PGN895" s="926"/>
      <c r="PGO895" s="926"/>
      <c r="PGP895" s="926"/>
      <c r="PGQ895" s="926"/>
      <c r="PGR895" s="926"/>
      <c r="PGS895" s="926"/>
      <c r="PGT895" s="926"/>
      <c r="PGU895" s="926"/>
      <c r="PGV895" s="926"/>
      <c r="PGW895" s="926"/>
      <c r="PGX895" s="926"/>
      <c r="PGY895" s="926"/>
      <c r="PGZ895" s="926"/>
      <c r="PHA895" s="926"/>
      <c r="PHB895" s="926"/>
      <c r="PHC895" s="926"/>
      <c r="PHD895" s="926"/>
      <c r="PHE895" s="926"/>
      <c r="PHF895" s="926"/>
      <c r="PHG895" s="926"/>
      <c r="PHH895" s="926"/>
      <c r="PHI895" s="926"/>
      <c r="PHJ895" s="926"/>
      <c r="PHK895" s="926"/>
      <c r="PHL895" s="926"/>
      <c r="PHM895" s="926"/>
      <c r="PHN895" s="926"/>
      <c r="PHO895" s="926"/>
      <c r="PHP895" s="926"/>
      <c r="PHQ895" s="926"/>
      <c r="PHR895" s="926"/>
      <c r="PHS895" s="926"/>
      <c r="PHT895" s="926"/>
      <c r="PHU895" s="926"/>
      <c r="PHV895" s="926"/>
      <c r="PHW895" s="926"/>
      <c r="PHX895" s="926"/>
      <c r="PHY895" s="926"/>
      <c r="PHZ895" s="926"/>
      <c r="PIA895" s="926"/>
      <c r="PIB895" s="926"/>
      <c r="PIC895" s="926"/>
      <c r="PID895" s="926"/>
      <c r="PIE895" s="926"/>
      <c r="PIF895" s="926"/>
      <c r="PIG895" s="926"/>
      <c r="PIH895" s="926"/>
      <c r="PII895" s="926"/>
      <c r="PIJ895" s="926"/>
      <c r="PIK895" s="926"/>
      <c r="PIL895" s="926"/>
      <c r="PIM895" s="926"/>
      <c r="PIN895" s="926"/>
      <c r="PIO895" s="926"/>
      <c r="PIP895" s="926"/>
      <c r="PIQ895" s="926"/>
      <c r="PIR895" s="926"/>
      <c r="PIS895" s="926"/>
      <c r="PIT895" s="926"/>
      <c r="PIU895" s="926"/>
      <c r="PIV895" s="926"/>
      <c r="PIW895" s="926"/>
      <c r="PIX895" s="926"/>
      <c r="PIY895" s="926"/>
      <c r="PIZ895" s="926"/>
      <c r="PJA895" s="926"/>
      <c r="PJB895" s="926"/>
      <c r="PJC895" s="926"/>
      <c r="PJD895" s="926"/>
      <c r="PJE895" s="926"/>
      <c r="PJF895" s="926"/>
      <c r="PJG895" s="926"/>
      <c r="PJH895" s="926"/>
      <c r="PJI895" s="926"/>
      <c r="PJJ895" s="926"/>
      <c r="PJK895" s="926"/>
      <c r="PJL895" s="926"/>
      <c r="PJM895" s="926"/>
      <c r="PJN895" s="926"/>
      <c r="PJO895" s="926"/>
      <c r="PJP895" s="926"/>
      <c r="PJQ895" s="926"/>
      <c r="PJR895" s="926"/>
      <c r="PJS895" s="926"/>
      <c r="PJT895" s="926"/>
      <c r="PJU895" s="926"/>
      <c r="PJV895" s="926"/>
      <c r="PJW895" s="926"/>
      <c r="PJX895" s="926"/>
      <c r="PJY895" s="926"/>
      <c r="PJZ895" s="926"/>
      <c r="PKA895" s="926"/>
      <c r="PKB895" s="926"/>
      <c r="PKC895" s="926"/>
      <c r="PKD895" s="926"/>
      <c r="PKE895" s="926"/>
      <c r="PKF895" s="926"/>
      <c r="PKG895" s="926"/>
      <c r="PKH895" s="926"/>
      <c r="PKI895" s="926"/>
      <c r="PKJ895" s="926"/>
      <c r="PKK895" s="926"/>
      <c r="PKL895" s="926"/>
      <c r="PKM895" s="926"/>
      <c r="PKN895" s="926"/>
      <c r="PKO895" s="926"/>
      <c r="PKP895" s="926"/>
      <c r="PKQ895" s="926"/>
      <c r="PKR895" s="926"/>
      <c r="PKS895" s="926"/>
      <c r="PKT895" s="926"/>
      <c r="PKU895" s="926"/>
      <c r="PKV895" s="926"/>
      <c r="PKW895" s="926"/>
      <c r="PKX895" s="926"/>
      <c r="PKY895" s="926"/>
      <c r="PKZ895" s="926"/>
      <c r="PLA895" s="926"/>
      <c r="PLB895" s="926"/>
      <c r="PLC895" s="926"/>
      <c r="PLD895" s="926"/>
      <c r="PLE895" s="926"/>
      <c r="PLF895" s="926"/>
      <c r="PLG895" s="926"/>
      <c r="PLH895" s="926"/>
      <c r="PLI895" s="926"/>
      <c r="PLJ895" s="926"/>
      <c r="PLK895" s="926"/>
      <c r="PLL895" s="926"/>
      <c r="PLM895" s="926"/>
      <c r="PLN895" s="926"/>
      <c r="PLO895" s="926"/>
      <c r="PLP895" s="926"/>
      <c r="PLQ895" s="926"/>
      <c r="PLR895" s="926"/>
      <c r="PLS895" s="926"/>
      <c r="PLT895" s="926"/>
      <c r="PLU895" s="926"/>
      <c r="PLV895" s="926"/>
      <c r="PLW895" s="926"/>
      <c r="PLX895" s="926"/>
      <c r="PLY895" s="926"/>
      <c r="PLZ895" s="926"/>
      <c r="PMA895" s="926"/>
      <c r="PMB895" s="926"/>
      <c r="PMC895" s="926"/>
      <c r="PMD895" s="926"/>
      <c r="PME895" s="926"/>
      <c r="PMF895" s="926"/>
      <c r="PMG895" s="926"/>
      <c r="PMH895" s="926"/>
      <c r="PMI895" s="926"/>
      <c r="PMJ895" s="926"/>
      <c r="PMK895" s="926"/>
      <c r="PML895" s="926"/>
      <c r="PMM895" s="926"/>
      <c r="PMN895" s="926"/>
      <c r="PMO895" s="926"/>
      <c r="PMP895" s="926"/>
      <c r="PMQ895" s="926"/>
      <c r="PMR895" s="926"/>
      <c r="PMS895" s="926"/>
      <c r="PMT895" s="926"/>
      <c r="PMU895" s="926"/>
      <c r="PMV895" s="926"/>
      <c r="PMW895" s="926"/>
      <c r="PMX895" s="926"/>
      <c r="PMY895" s="926"/>
      <c r="PMZ895" s="926"/>
      <c r="PNA895" s="926"/>
      <c r="PNB895" s="926"/>
      <c r="PNC895" s="926"/>
      <c r="PND895" s="926"/>
      <c r="PNE895" s="926"/>
      <c r="PNF895" s="926"/>
      <c r="PNG895" s="926"/>
      <c r="PNH895" s="926"/>
      <c r="PNI895" s="926"/>
      <c r="PNJ895" s="926"/>
      <c r="PNK895" s="926"/>
      <c r="PNL895" s="926"/>
      <c r="PNM895" s="926"/>
      <c r="PNN895" s="926"/>
      <c r="PNO895" s="926"/>
      <c r="PNP895" s="926"/>
      <c r="PNQ895" s="926"/>
      <c r="PNR895" s="926"/>
      <c r="PNS895" s="926"/>
      <c r="PNT895" s="926"/>
      <c r="PNU895" s="926"/>
      <c r="PNV895" s="926"/>
      <c r="PNW895" s="926"/>
      <c r="PNX895" s="926"/>
      <c r="PNY895" s="926"/>
      <c r="PNZ895" s="926"/>
      <c r="POA895" s="926"/>
      <c r="POB895" s="926"/>
      <c r="POC895" s="926"/>
      <c r="POD895" s="926"/>
      <c r="POE895" s="926"/>
      <c r="POF895" s="926"/>
      <c r="POG895" s="926"/>
      <c r="POH895" s="926"/>
      <c r="POI895" s="926"/>
      <c r="POJ895" s="926"/>
      <c r="POK895" s="926"/>
      <c r="POL895" s="926"/>
      <c r="POM895" s="926"/>
      <c r="PON895" s="926"/>
      <c r="POO895" s="926"/>
      <c r="POP895" s="926"/>
      <c r="POQ895" s="926"/>
      <c r="POR895" s="926"/>
      <c r="POS895" s="926"/>
      <c r="POT895" s="926"/>
      <c r="POU895" s="926"/>
      <c r="POV895" s="926"/>
      <c r="POW895" s="926"/>
      <c r="POX895" s="926"/>
      <c r="POY895" s="926"/>
      <c r="POZ895" s="926"/>
      <c r="PPA895" s="926"/>
      <c r="PPB895" s="926"/>
      <c r="PPC895" s="926"/>
      <c r="PPD895" s="926"/>
      <c r="PPE895" s="926"/>
      <c r="PPF895" s="926"/>
      <c r="PPG895" s="926"/>
      <c r="PPH895" s="926"/>
      <c r="PPI895" s="926"/>
      <c r="PPJ895" s="926"/>
      <c r="PPK895" s="926"/>
      <c r="PPL895" s="926"/>
      <c r="PPM895" s="926"/>
      <c r="PPN895" s="926"/>
      <c r="PPO895" s="926"/>
      <c r="PPP895" s="926"/>
      <c r="PPQ895" s="926"/>
      <c r="PPR895" s="926"/>
      <c r="PPS895" s="926"/>
      <c r="PPT895" s="926"/>
      <c r="PPU895" s="926"/>
      <c r="PPV895" s="926"/>
      <c r="PPW895" s="926"/>
      <c r="PPX895" s="926"/>
      <c r="PPY895" s="926"/>
      <c r="PPZ895" s="926"/>
      <c r="PQA895" s="926"/>
      <c r="PQB895" s="926"/>
      <c r="PQC895" s="926"/>
      <c r="PQD895" s="926"/>
      <c r="PQE895" s="926"/>
      <c r="PQF895" s="926"/>
      <c r="PQG895" s="926"/>
      <c r="PQH895" s="926"/>
      <c r="PQI895" s="926"/>
      <c r="PQJ895" s="926"/>
      <c r="PQK895" s="926"/>
      <c r="PQL895" s="926"/>
      <c r="PQM895" s="926"/>
      <c r="PQN895" s="926"/>
      <c r="PQO895" s="926"/>
      <c r="PQP895" s="926"/>
      <c r="PQQ895" s="926"/>
      <c r="PQR895" s="926"/>
      <c r="PQS895" s="926"/>
      <c r="PQT895" s="926"/>
      <c r="PQU895" s="926"/>
      <c r="PQV895" s="926"/>
      <c r="PQW895" s="926"/>
      <c r="PQX895" s="926"/>
      <c r="PQY895" s="926"/>
      <c r="PQZ895" s="926"/>
      <c r="PRA895" s="926"/>
      <c r="PRB895" s="926"/>
      <c r="PRC895" s="926"/>
      <c r="PRD895" s="926"/>
      <c r="PRE895" s="926"/>
      <c r="PRF895" s="926"/>
      <c r="PRG895" s="926"/>
      <c r="PRH895" s="926"/>
      <c r="PRI895" s="926"/>
      <c r="PRJ895" s="926"/>
      <c r="PRK895" s="926"/>
      <c r="PRL895" s="926"/>
      <c r="PRM895" s="926"/>
      <c r="PRN895" s="926"/>
      <c r="PRO895" s="926"/>
      <c r="PRP895" s="926"/>
      <c r="PRQ895" s="926"/>
      <c r="PRR895" s="926"/>
      <c r="PRS895" s="926"/>
      <c r="PRT895" s="926"/>
      <c r="PRU895" s="926"/>
      <c r="PRV895" s="926"/>
      <c r="PRW895" s="926"/>
      <c r="PRX895" s="926"/>
      <c r="PRY895" s="926"/>
      <c r="PRZ895" s="926"/>
      <c r="PSA895" s="926"/>
      <c r="PSB895" s="926"/>
      <c r="PSC895" s="926"/>
      <c r="PSD895" s="926"/>
      <c r="PSE895" s="926"/>
      <c r="PSF895" s="926"/>
      <c r="PSG895" s="926"/>
      <c r="PSH895" s="926"/>
      <c r="PSI895" s="926"/>
      <c r="PSJ895" s="926"/>
      <c r="PSK895" s="926"/>
      <c r="PSL895" s="926"/>
      <c r="PSM895" s="926"/>
      <c r="PSN895" s="926"/>
      <c r="PSO895" s="926"/>
      <c r="PSP895" s="926"/>
      <c r="PSQ895" s="926"/>
      <c r="PSR895" s="926"/>
      <c r="PSS895" s="926"/>
      <c r="PST895" s="926"/>
      <c r="PSU895" s="926"/>
      <c r="PSV895" s="926"/>
      <c r="PSW895" s="926"/>
      <c r="PSX895" s="926"/>
      <c r="PSY895" s="926"/>
      <c r="PSZ895" s="926"/>
      <c r="PTA895" s="926"/>
      <c r="PTB895" s="926"/>
      <c r="PTC895" s="926"/>
      <c r="PTD895" s="926"/>
      <c r="PTE895" s="926"/>
      <c r="PTF895" s="926"/>
      <c r="PTG895" s="926"/>
      <c r="PTH895" s="926"/>
      <c r="PTI895" s="926"/>
      <c r="PTJ895" s="926"/>
      <c r="PTK895" s="926"/>
      <c r="PTL895" s="926"/>
      <c r="PTM895" s="926"/>
      <c r="PTN895" s="926"/>
      <c r="PTO895" s="926"/>
      <c r="PTP895" s="926"/>
      <c r="PTQ895" s="926"/>
      <c r="PTR895" s="926"/>
      <c r="PTS895" s="926"/>
      <c r="PTT895" s="926"/>
      <c r="PTU895" s="926"/>
      <c r="PTV895" s="926"/>
      <c r="PTW895" s="926"/>
      <c r="PTX895" s="926"/>
      <c r="PTY895" s="926"/>
      <c r="PTZ895" s="926"/>
      <c r="PUA895" s="926"/>
      <c r="PUB895" s="926"/>
      <c r="PUC895" s="926"/>
      <c r="PUD895" s="926"/>
      <c r="PUE895" s="926"/>
      <c r="PUF895" s="926"/>
      <c r="PUG895" s="926"/>
      <c r="PUH895" s="926"/>
      <c r="PUI895" s="926"/>
      <c r="PUJ895" s="926"/>
      <c r="PUK895" s="926"/>
      <c r="PUL895" s="926"/>
      <c r="PUM895" s="926"/>
      <c r="PUN895" s="926"/>
      <c r="PUO895" s="926"/>
      <c r="PUP895" s="926"/>
      <c r="PUQ895" s="926"/>
      <c r="PUR895" s="926"/>
      <c r="PUS895" s="926"/>
      <c r="PUT895" s="926"/>
      <c r="PUU895" s="926"/>
      <c r="PUV895" s="926"/>
      <c r="PUW895" s="926"/>
      <c r="PUX895" s="926"/>
      <c r="PUY895" s="926"/>
      <c r="PUZ895" s="926"/>
      <c r="PVA895" s="926"/>
      <c r="PVB895" s="926"/>
      <c r="PVC895" s="926"/>
      <c r="PVD895" s="926"/>
      <c r="PVE895" s="926"/>
      <c r="PVF895" s="926"/>
      <c r="PVG895" s="926"/>
      <c r="PVH895" s="926"/>
      <c r="PVI895" s="926"/>
      <c r="PVJ895" s="926"/>
      <c r="PVK895" s="926"/>
      <c r="PVL895" s="926"/>
      <c r="PVM895" s="926"/>
      <c r="PVN895" s="926"/>
      <c r="PVO895" s="926"/>
      <c r="PVP895" s="926"/>
      <c r="PVQ895" s="926"/>
      <c r="PVR895" s="926"/>
      <c r="PVS895" s="926"/>
      <c r="PVT895" s="926"/>
      <c r="PVU895" s="926"/>
      <c r="PVV895" s="926"/>
      <c r="PVW895" s="926"/>
      <c r="PVX895" s="926"/>
      <c r="PVY895" s="926"/>
      <c r="PVZ895" s="926"/>
      <c r="PWA895" s="926"/>
      <c r="PWB895" s="926"/>
      <c r="PWC895" s="926"/>
      <c r="PWD895" s="926"/>
      <c r="PWE895" s="926"/>
      <c r="PWF895" s="926"/>
      <c r="PWG895" s="926"/>
      <c r="PWH895" s="926"/>
      <c r="PWI895" s="926"/>
      <c r="PWJ895" s="926"/>
      <c r="PWK895" s="926"/>
      <c r="PWL895" s="926"/>
      <c r="PWM895" s="926"/>
      <c r="PWN895" s="926"/>
      <c r="PWO895" s="926"/>
      <c r="PWP895" s="926"/>
      <c r="PWQ895" s="926"/>
      <c r="PWR895" s="926"/>
      <c r="PWS895" s="926"/>
      <c r="PWT895" s="926"/>
      <c r="PWU895" s="926"/>
      <c r="PWV895" s="926"/>
      <c r="PWW895" s="926"/>
      <c r="PWX895" s="926"/>
      <c r="PWY895" s="926"/>
      <c r="PWZ895" s="926"/>
      <c r="PXA895" s="926"/>
      <c r="PXB895" s="926"/>
      <c r="PXC895" s="926"/>
      <c r="PXD895" s="926"/>
      <c r="PXE895" s="926"/>
      <c r="PXF895" s="926"/>
      <c r="PXG895" s="926"/>
      <c r="PXH895" s="926"/>
      <c r="PXI895" s="926"/>
      <c r="PXJ895" s="926"/>
      <c r="PXK895" s="926"/>
      <c r="PXL895" s="926"/>
      <c r="PXM895" s="926"/>
      <c r="PXN895" s="926"/>
      <c r="PXO895" s="926"/>
      <c r="PXP895" s="926"/>
      <c r="PXQ895" s="926"/>
      <c r="PXR895" s="926"/>
      <c r="PXS895" s="926"/>
      <c r="PXT895" s="926"/>
      <c r="PXU895" s="926"/>
      <c r="PXV895" s="926"/>
      <c r="PXW895" s="926"/>
      <c r="PXX895" s="926"/>
      <c r="PXY895" s="926"/>
      <c r="PXZ895" s="926"/>
      <c r="PYA895" s="926"/>
      <c r="PYB895" s="926"/>
      <c r="PYC895" s="926"/>
      <c r="PYD895" s="926"/>
      <c r="PYE895" s="926"/>
      <c r="PYF895" s="926"/>
      <c r="PYG895" s="926"/>
      <c r="PYH895" s="926"/>
      <c r="PYI895" s="926"/>
      <c r="PYJ895" s="926"/>
      <c r="PYK895" s="926"/>
      <c r="PYL895" s="926"/>
      <c r="PYM895" s="926"/>
      <c r="PYN895" s="926"/>
      <c r="PYO895" s="926"/>
      <c r="PYP895" s="926"/>
      <c r="PYQ895" s="926"/>
      <c r="PYR895" s="926"/>
      <c r="PYS895" s="926"/>
      <c r="PYT895" s="926"/>
      <c r="PYU895" s="926"/>
      <c r="PYV895" s="926"/>
      <c r="PYW895" s="926"/>
      <c r="PYX895" s="926"/>
      <c r="PYY895" s="926"/>
      <c r="PYZ895" s="926"/>
      <c r="PZA895" s="926"/>
      <c r="PZB895" s="926"/>
      <c r="PZC895" s="926"/>
      <c r="PZD895" s="926"/>
      <c r="PZE895" s="926"/>
      <c r="PZF895" s="926"/>
      <c r="PZG895" s="926"/>
      <c r="PZH895" s="926"/>
      <c r="PZI895" s="926"/>
      <c r="PZJ895" s="926"/>
      <c r="PZK895" s="926"/>
      <c r="PZL895" s="926"/>
      <c r="PZM895" s="926"/>
      <c r="PZN895" s="926"/>
      <c r="PZO895" s="926"/>
      <c r="PZP895" s="926"/>
      <c r="PZQ895" s="926"/>
      <c r="PZR895" s="926"/>
      <c r="PZS895" s="926"/>
      <c r="PZT895" s="926"/>
      <c r="PZU895" s="926"/>
      <c r="PZV895" s="926"/>
      <c r="PZW895" s="926"/>
      <c r="PZX895" s="926"/>
      <c r="PZY895" s="926"/>
      <c r="PZZ895" s="926"/>
      <c r="QAA895" s="926"/>
      <c r="QAB895" s="926"/>
      <c r="QAC895" s="926"/>
      <c r="QAD895" s="926"/>
      <c r="QAE895" s="926"/>
      <c r="QAF895" s="926"/>
      <c r="QAG895" s="926"/>
      <c r="QAH895" s="926"/>
      <c r="QAI895" s="926"/>
      <c r="QAJ895" s="926"/>
      <c r="QAK895" s="926"/>
      <c r="QAL895" s="926"/>
      <c r="QAM895" s="926"/>
      <c r="QAN895" s="926"/>
      <c r="QAO895" s="926"/>
      <c r="QAP895" s="926"/>
      <c r="QAQ895" s="926"/>
      <c r="QAR895" s="926"/>
      <c r="QAS895" s="926"/>
      <c r="QAT895" s="926"/>
      <c r="QAU895" s="926"/>
      <c r="QAV895" s="926"/>
      <c r="QAW895" s="926"/>
      <c r="QAX895" s="926"/>
      <c r="QAY895" s="926"/>
      <c r="QAZ895" s="926"/>
      <c r="QBA895" s="926"/>
      <c r="QBB895" s="926"/>
      <c r="QBC895" s="926"/>
      <c r="QBD895" s="926"/>
      <c r="QBE895" s="926"/>
      <c r="QBF895" s="926"/>
      <c r="QBG895" s="926"/>
      <c r="QBH895" s="926"/>
      <c r="QBI895" s="926"/>
      <c r="QBJ895" s="926"/>
      <c r="QBK895" s="926"/>
      <c r="QBL895" s="926"/>
      <c r="QBM895" s="926"/>
      <c r="QBN895" s="926"/>
      <c r="QBO895" s="926"/>
      <c r="QBP895" s="926"/>
      <c r="QBQ895" s="926"/>
      <c r="QBR895" s="926"/>
      <c r="QBS895" s="926"/>
      <c r="QBT895" s="926"/>
      <c r="QBU895" s="926"/>
      <c r="QBV895" s="926"/>
      <c r="QBW895" s="926"/>
      <c r="QBX895" s="926"/>
      <c r="QBY895" s="926"/>
      <c r="QBZ895" s="926"/>
      <c r="QCA895" s="926"/>
      <c r="QCB895" s="926"/>
      <c r="QCC895" s="926"/>
      <c r="QCD895" s="926"/>
      <c r="QCE895" s="926"/>
      <c r="QCF895" s="926"/>
      <c r="QCG895" s="926"/>
      <c r="QCH895" s="926"/>
      <c r="QCI895" s="926"/>
      <c r="QCJ895" s="926"/>
      <c r="QCK895" s="926"/>
      <c r="QCL895" s="926"/>
      <c r="QCM895" s="926"/>
      <c r="QCN895" s="926"/>
      <c r="QCO895" s="926"/>
      <c r="QCP895" s="926"/>
      <c r="QCQ895" s="926"/>
      <c r="QCR895" s="926"/>
      <c r="QCS895" s="926"/>
      <c r="QCT895" s="926"/>
      <c r="QCU895" s="926"/>
      <c r="QCV895" s="926"/>
      <c r="QCW895" s="926"/>
      <c r="QCX895" s="926"/>
      <c r="QCY895" s="926"/>
      <c r="QCZ895" s="926"/>
      <c r="QDA895" s="926"/>
      <c r="QDB895" s="926"/>
      <c r="QDC895" s="926"/>
      <c r="QDD895" s="926"/>
      <c r="QDE895" s="926"/>
      <c r="QDF895" s="926"/>
      <c r="QDG895" s="926"/>
      <c r="QDH895" s="926"/>
      <c r="QDI895" s="926"/>
      <c r="QDJ895" s="926"/>
      <c r="QDK895" s="926"/>
      <c r="QDL895" s="926"/>
      <c r="QDM895" s="926"/>
      <c r="QDN895" s="926"/>
      <c r="QDO895" s="926"/>
      <c r="QDP895" s="926"/>
      <c r="QDQ895" s="926"/>
      <c r="QDR895" s="926"/>
      <c r="QDS895" s="926"/>
      <c r="QDT895" s="926"/>
      <c r="QDU895" s="926"/>
      <c r="QDV895" s="926"/>
      <c r="QDW895" s="926"/>
      <c r="QDX895" s="926"/>
      <c r="QDY895" s="926"/>
      <c r="QDZ895" s="926"/>
      <c r="QEA895" s="926"/>
      <c r="QEB895" s="926"/>
      <c r="QEC895" s="926"/>
      <c r="QED895" s="926"/>
      <c r="QEE895" s="926"/>
      <c r="QEF895" s="926"/>
      <c r="QEG895" s="926"/>
      <c r="QEH895" s="926"/>
      <c r="QEI895" s="926"/>
      <c r="QEJ895" s="926"/>
      <c r="QEK895" s="926"/>
      <c r="QEL895" s="926"/>
      <c r="QEM895" s="926"/>
      <c r="QEN895" s="926"/>
      <c r="QEO895" s="926"/>
      <c r="QEP895" s="926"/>
      <c r="QEQ895" s="926"/>
      <c r="QER895" s="926"/>
      <c r="QES895" s="926"/>
      <c r="QET895" s="926"/>
      <c r="QEU895" s="926"/>
      <c r="QEV895" s="926"/>
      <c r="QEW895" s="926"/>
      <c r="QEX895" s="926"/>
      <c r="QEY895" s="926"/>
      <c r="QEZ895" s="926"/>
      <c r="QFA895" s="926"/>
      <c r="QFB895" s="926"/>
      <c r="QFC895" s="926"/>
      <c r="QFD895" s="926"/>
      <c r="QFE895" s="926"/>
      <c r="QFF895" s="926"/>
      <c r="QFG895" s="926"/>
      <c r="QFH895" s="926"/>
      <c r="QFI895" s="926"/>
      <c r="QFJ895" s="926"/>
      <c r="QFK895" s="926"/>
      <c r="QFL895" s="926"/>
      <c r="QFM895" s="926"/>
      <c r="QFN895" s="926"/>
      <c r="QFO895" s="926"/>
      <c r="QFP895" s="926"/>
      <c r="QFQ895" s="926"/>
      <c r="QFR895" s="926"/>
      <c r="QFS895" s="926"/>
      <c r="QFT895" s="926"/>
      <c r="QFU895" s="926"/>
      <c r="QFV895" s="926"/>
      <c r="QFW895" s="926"/>
      <c r="QFX895" s="926"/>
      <c r="QFY895" s="926"/>
      <c r="QFZ895" s="926"/>
      <c r="QGA895" s="926"/>
      <c r="QGB895" s="926"/>
      <c r="QGC895" s="926"/>
      <c r="QGD895" s="926"/>
      <c r="QGE895" s="926"/>
      <c r="QGF895" s="926"/>
      <c r="QGG895" s="926"/>
      <c r="QGH895" s="926"/>
      <c r="QGI895" s="926"/>
      <c r="QGJ895" s="926"/>
      <c r="QGK895" s="926"/>
      <c r="QGL895" s="926"/>
      <c r="QGM895" s="926"/>
      <c r="QGN895" s="926"/>
      <c r="QGO895" s="926"/>
      <c r="QGP895" s="926"/>
      <c r="QGQ895" s="926"/>
      <c r="QGR895" s="926"/>
      <c r="QGS895" s="926"/>
      <c r="QGT895" s="926"/>
      <c r="QGU895" s="926"/>
      <c r="QGV895" s="926"/>
      <c r="QGW895" s="926"/>
      <c r="QGX895" s="926"/>
      <c r="QGY895" s="926"/>
      <c r="QGZ895" s="926"/>
      <c r="QHA895" s="926"/>
      <c r="QHB895" s="926"/>
      <c r="QHC895" s="926"/>
      <c r="QHD895" s="926"/>
      <c r="QHE895" s="926"/>
      <c r="QHF895" s="926"/>
      <c r="QHG895" s="926"/>
      <c r="QHH895" s="926"/>
      <c r="QHI895" s="926"/>
      <c r="QHJ895" s="926"/>
      <c r="QHK895" s="926"/>
      <c r="QHL895" s="926"/>
      <c r="QHM895" s="926"/>
      <c r="QHN895" s="926"/>
      <c r="QHO895" s="926"/>
      <c r="QHP895" s="926"/>
      <c r="QHQ895" s="926"/>
      <c r="QHR895" s="926"/>
      <c r="QHS895" s="926"/>
      <c r="QHT895" s="926"/>
      <c r="QHU895" s="926"/>
      <c r="QHV895" s="926"/>
      <c r="QHW895" s="926"/>
      <c r="QHX895" s="926"/>
      <c r="QHY895" s="926"/>
      <c r="QHZ895" s="926"/>
      <c r="QIA895" s="926"/>
      <c r="QIB895" s="926"/>
      <c r="QIC895" s="926"/>
      <c r="QID895" s="926"/>
      <c r="QIE895" s="926"/>
      <c r="QIF895" s="926"/>
      <c r="QIG895" s="926"/>
      <c r="QIH895" s="926"/>
      <c r="QII895" s="926"/>
      <c r="QIJ895" s="926"/>
      <c r="QIK895" s="926"/>
      <c r="QIL895" s="926"/>
      <c r="QIM895" s="926"/>
      <c r="QIN895" s="926"/>
      <c r="QIO895" s="926"/>
      <c r="QIP895" s="926"/>
      <c r="QIQ895" s="926"/>
      <c r="QIR895" s="926"/>
      <c r="QIS895" s="926"/>
      <c r="QIT895" s="926"/>
      <c r="QIU895" s="926"/>
      <c r="QIV895" s="926"/>
      <c r="QIW895" s="926"/>
      <c r="QIX895" s="926"/>
      <c r="QIY895" s="926"/>
      <c r="QIZ895" s="926"/>
      <c r="QJA895" s="926"/>
      <c r="QJB895" s="926"/>
      <c r="QJC895" s="926"/>
      <c r="QJD895" s="926"/>
      <c r="QJE895" s="926"/>
      <c r="QJF895" s="926"/>
      <c r="QJG895" s="926"/>
      <c r="QJH895" s="926"/>
      <c r="QJI895" s="926"/>
      <c r="QJJ895" s="926"/>
      <c r="QJK895" s="926"/>
      <c r="QJL895" s="926"/>
      <c r="QJM895" s="926"/>
      <c r="QJN895" s="926"/>
      <c r="QJO895" s="926"/>
      <c r="QJP895" s="926"/>
      <c r="QJQ895" s="926"/>
      <c r="QJR895" s="926"/>
      <c r="QJS895" s="926"/>
      <c r="QJT895" s="926"/>
      <c r="QJU895" s="926"/>
      <c r="QJV895" s="926"/>
      <c r="QJW895" s="926"/>
      <c r="QJX895" s="926"/>
      <c r="QJY895" s="926"/>
      <c r="QJZ895" s="926"/>
      <c r="QKA895" s="926"/>
      <c r="QKB895" s="926"/>
      <c r="QKC895" s="926"/>
      <c r="QKD895" s="926"/>
      <c r="QKE895" s="926"/>
      <c r="QKF895" s="926"/>
      <c r="QKG895" s="926"/>
      <c r="QKH895" s="926"/>
      <c r="QKI895" s="926"/>
      <c r="QKJ895" s="926"/>
      <c r="QKK895" s="926"/>
      <c r="QKL895" s="926"/>
      <c r="QKM895" s="926"/>
      <c r="QKN895" s="926"/>
      <c r="QKO895" s="926"/>
      <c r="QKP895" s="926"/>
      <c r="QKQ895" s="926"/>
      <c r="QKR895" s="926"/>
      <c r="QKS895" s="926"/>
      <c r="QKT895" s="926"/>
      <c r="QKU895" s="926"/>
      <c r="QKV895" s="926"/>
      <c r="QKW895" s="926"/>
      <c r="QKX895" s="926"/>
      <c r="QKY895" s="926"/>
      <c r="QKZ895" s="926"/>
      <c r="QLA895" s="926"/>
      <c r="QLB895" s="926"/>
      <c r="QLC895" s="926"/>
      <c r="QLD895" s="926"/>
      <c r="QLE895" s="926"/>
      <c r="QLF895" s="926"/>
      <c r="QLG895" s="926"/>
      <c r="QLH895" s="926"/>
      <c r="QLI895" s="926"/>
      <c r="QLJ895" s="926"/>
      <c r="QLK895" s="926"/>
      <c r="QLL895" s="926"/>
      <c r="QLM895" s="926"/>
      <c r="QLN895" s="926"/>
      <c r="QLO895" s="926"/>
      <c r="QLP895" s="926"/>
      <c r="QLQ895" s="926"/>
      <c r="QLR895" s="926"/>
      <c r="QLS895" s="926"/>
      <c r="QLT895" s="926"/>
      <c r="QLU895" s="926"/>
      <c r="QLV895" s="926"/>
      <c r="QLW895" s="926"/>
      <c r="QLX895" s="926"/>
      <c r="QLY895" s="926"/>
      <c r="QLZ895" s="926"/>
      <c r="QMA895" s="926"/>
      <c r="QMB895" s="926"/>
      <c r="QMC895" s="926"/>
      <c r="QMD895" s="926"/>
      <c r="QME895" s="926"/>
      <c r="QMF895" s="926"/>
      <c r="QMG895" s="926"/>
      <c r="QMH895" s="926"/>
      <c r="QMI895" s="926"/>
      <c r="QMJ895" s="926"/>
      <c r="QMK895" s="926"/>
      <c r="QML895" s="926"/>
      <c r="QMM895" s="926"/>
      <c r="QMN895" s="926"/>
      <c r="QMO895" s="926"/>
      <c r="QMP895" s="926"/>
      <c r="QMQ895" s="926"/>
      <c r="QMR895" s="926"/>
      <c r="QMS895" s="926"/>
      <c r="QMT895" s="926"/>
      <c r="QMU895" s="926"/>
      <c r="QMV895" s="926"/>
      <c r="QMW895" s="926"/>
      <c r="QMX895" s="926"/>
      <c r="QMY895" s="926"/>
      <c r="QMZ895" s="926"/>
      <c r="QNA895" s="926"/>
      <c r="QNB895" s="926"/>
      <c r="QNC895" s="926"/>
      <c r="QND895" s="926"/>
      <c r="QNE895" s="926"/>
      <c r="QNF895" s="926"/>
      <c r="QNG895" s="926"/>
      <c r="QNH895" s="926"/>
      <c r="QNI895" s="926"/>
      <c r="QNJ895" s="926"/>
      <c r="QNK895" s="926"/>
      <c r="QNL895" s="926"/>
      <c r="QNM895" s="926"/>
      <c r="QNN895" s="926"/>
      <c r="QNO895" s="926"/>
      <c r="QNP895" s="926"/>
      <c r="QNQ895" s="926"/>
      <c r="QNR895" s="926"/>
      <c r="QNS895" s="926"/>
      <c r="QNT895" s="926"/>
      <c r="QNU895" s="926"/>
      <c r="QNV895" s="926"/>
      <c r="QNW895" s="926"/>
      <c r="QNX895" s="926"/>
      <c r="QNY895" s="926"/>
      <c r="QNZ895" s="926"/>
      <c r="QOA895" s="926"/>
      <c r="QOB895" s="926"/>
      <c r="QOC895" s="926"/>
      <c r="QOD895" s="926"/>
      <c r="QOE895" s="926"/>
      <c r="QOF895" s="926"/>
      <c r="QOG895" s="926"/>
      <c r="QOH895" s="926"/>
      <c r="QOI895" s="926"/>
      <c r="QOJ895" s="926"/>
      <c r="QOK895" s="926"/>
      <c r="QOL895" s="926"/>
      <c r="QOM895" s="926"/>
      <c r="QON895" s="926"/>
      <c r="QOO895" s="926"/>
      <c r="QOP895" s="926"/>
      <c r="QOQ895" s="926"/>
      <c r="QOR895" s="926"/>
      <c r="QOS895" s="926"/>
      <c r="QOT895" s="926"/>
      <c r="QOU895" s="926"/>
      <c r="QOV895" s="926"/>
      <c r="QOW895" s="926"/>
      <c r="QOX895" s="926"/>
      <c r="QOY895" s="926"/>
      <c r="QOZ895" s="926"/>
      <c r="QPA895" s="926"/>
      <c r="QPB895" s="926"/>
      <c r="QPC895" s="926"/>
      <c r="QPD895" s="926"/>
      <c r="QPE895" s="926"/>
      <c r="QPF895" s="926"/>
      <c r="QPG895" s="926"/>
      <c r="QPH895" s="926"/>
      <c r="QPI895" s="926"/>
      <c r="QPJ895" s="926"/>
      <c r="QPK895" s="926"/>
      <c r="QPL895" s="926"/>
      <c r="QPM895" s="926"/>
      <c r="QPN895" s="926"/>
      <c r="QPO895" s="926"/>
      <c r="QPP895" s="926"/>
      <c r="QPQ895" s="926"/>
      <c r="QPR895" s="926"/>
      <c r="QPS895" s="926"/>
      <c r="QPT895" s="926"/>
      <c r="QPU895" s="926"/>
      <c r="QPV895" s="926"/>
      <c r="QPW895" s="926"/>
      <c r="QPX895" s="926"/>
      <c r="QPY895" s="926"/>
      <c r="QPZ895" s="926"/>
      <c r="QQA895" s="926"/>
      <c r="QQB895" s="926"/>
      <c r="QQC895" s="926"/>
      <c r="QQD895" s="926"/>
      <c r="QQE895" s="926"/>
      <c r="QQF895" s="926"/>
      <c r="QQG895" s="926"/>
      <c r="QQH895" s="926"/>
      <c r="QQI895" s="926"/>
      <c r="QQJ895" s="926"/>
      <c r="QQK895" s="926"/>
      <c r="QQL895" s="926"/>
      <c r="QQM895" s="926"/>
      <c r="QQN895" s="926"/>
      <c r="QQO895" s="926"/>
      <c r="QQP895" s="926"/>
      <c r="QQQ895" s="926"/>
      <c r="QQR895" s="926"/>
      <c r="QQS895" s="926"/>
      <c r="QQT895" s="926"/>
      <c r="QQU895" s="926"/>
      <c r="QQV895" s="926"/>
      <c r="QQW895" s="926"/>
      <c r="QQX895" s="926"/>
      <c r="QQY895" s="926"/>
      <c r="QQZ895" s="926"/>
      <c r="QRA895" s="926"/>
      <c r="QRB895" s="926"/>
      <c r="QRC895" s="926"/>
      <c r="QRD895" s="926"/>
      <c r="QRE895" s="926"/>
      <c r="QRF895" s="926"/>
      <c r="QRG895" s="926"/>
      <c r="QRH895" s="926"/>
      <c r="QRI895" s="926"/>
      <c r="QRJ895" s="926"/>
      <c r="QRK895" s="926"/>
      <c r="QRL895" s="926"/>
      <c r="QRM895" s="926"/>
      <c r="QRN895" s="926"/>
      <c r="QRO895" s="926"/>
      <c r="QRP895" s="926"/>
      <c r="QRQ895" s="926"/>
      <c r="QRR895" s="926"/>
      <c r="QRS895" s="926"/>
      <c r="QRT895" s="926"/>
      <c r="QRU895" s="926"/>
      <c r="QRV895" s="926"/>
      <c r="QRW895" s="926"/>
      <c r="QRX895" s="926"/>
      <c r="QRY895" s="926"/>
      <c r="QRZ895" s="926"/>
      <c r="QSA895" s="926"/>
      <c r="QSB895" s="926"/>
      <c r="QSC895" s="926"/>
      <c r="QSD895" s="926"/>
      <c r="QSE895" s="926"/>
      <c r="QSF895" s="926"/>
      <c r="QSG895" s="926"/>
      <c r="QSH895" s="926"/>
      <c r="QSI895" s="926"/>
      <c r="QSJ895" s="926"/>
      <c r="QSK895" s="926"/>
      <c r="QSL895" s="926"/>
      <c r="QSM895" s="926"/>
      <c r="QSN895" s="926"/>
      <c r="QSO895" s="926"/>
      <c r="QSP895" s="926"/>
      <c r="QSQ895" s="926"/>
      <c r="QSR895" s="926"/>
      <c r="QSS895" s="926"/>
      <c r="QST895" s="926"/>
      <c r="QSU895" s="926"/>
      <c r="QSV895" s="926"/>
      <c r="QSW895" s="926"/>
      <c r="QSX895" s="926"/>
      <c r="QSY895" s="926"/>
      <c r="QSZ895" s="926"/>
      <c r="QTA895" s="926"/>
      <c r="QTB895" s="926"/>
      <c r="QTC895" s="926"/>
      <c r="QTD895" s="926"/>
      <c r="QTE895" s="926"/>
      <c r="QTF895" s="926"/>
      <c r="QTG895" s="926"/>
      <c r="QTH895" s="926"/>
      <c r="QTI895" s="926"/>
      <c r="QTJ895" s="926"/>
      <c r="QTK895" s="926"/>
      <c r="QTL895" s="926"/>
      <c r="QTM895" s="926"/>
      <c r="QTN895" s="926"/>
      <c r="QTO895" s="926"/>
      <c r="QTP895" s="926"/>
      <c r="QTQ895" s="926"/>
      <c r="QTR895" s="926"/>
      <c r="QTS895" s="926"/>
      <c r="QTT895" s="926"/>
      <c r="QTU895" s="926"/>
      <c r="QTV895" s="926"/>
      <c r="QTW895" s="926"/>
      <c r="QTX895" s="926"/>
      <c r="QTY895" s="926"/>
      <c r="QTZ895" s="926"/>
      <c r="QUA895" s="926"/>
      <c r="QUB895" s="926"/>
      <c r="QUC895" s="926"/>
      <c r="QUD895" s="926"/>
      <c r="QUE895" s="926"/>
      <c r="QUF895" s="926"/>
      <c r="QUG895" s="926"/>
      <c r="QUH895" s="926"/>
      <c r="QUI895" s="926"/>
      <c r="QUJ895" s="926"/>
      <c r="QUK895" s="926"/>
      <c r="QUL895" s="926"/>
      <c r="QUM895" s="926"/>
      <c r="QUN895" s="926"/>
      <c r="QUO895" s="926"/>
      <c r="QUP895" s="926"/>
      <c r="QUQ895" s="926"/>
      <c r="QUR895" s="926"/>
      <c r="QUS895" s="926"/>
      <c r="QUT895" s="926"/>
      <c r="QUU895" s="926"/>
      <c r="QUV895" s="926"/>
      <c r="QUW895" s="926"/>
      <c r="QUX895" s="926"/>
      <c r="QUY895" s="926"/>
      <c r="QUZ895" s="926"/>
      <c r="QVA895" s="926"/>
      <c r="QVB895" s="926"/>
      <c r="QVC895" s="926"/>
      <c r="QVD895" s="926"/>
      <c r="QVE895" s="926"/>
      <c r="QVF895" s="926"/>
      <c r="QVG895" s="926"/>
      <c r="QVH895" s="926"/>
      <c r="QVI895" s="926"/>
      <c r="QVJ895" s="926"/>
      <c r="QVK895" s="926"/>
      <c r="QVL895" s="926"/>
      <c r="QVM895" s="926"/>
      <c r="QVN895" s="926"/>
      <c r="QVO895" s="926"/>
      <c r="QVP895" s="926"/>
      <c r="QVQ895" s="926"/>
      <c r="QVR895" s="926"/>
      <c r="QVS895" s="926"/>
      <c r="QVT895" s="926"/>
      <c r="QVU895" s="926"/>
      <c r="QVV895" s="926"/>
      <c r="QVW895" s="926"/>
      <c r="QVX895" s="926"/>
      <c r="QVY895" s="926"/>
      <c r="QVZ895" s="926"/>
      <c r="QWA895" s="926"/>
      <c r="QWB895" s="926"/>
      <c r="QWC895" s="926"/>
      <c r="QWD895" s="926"/>
      <c r="QWE895" s="926"/>
      <c r="QWF895" s="926"/>
      <c r="QWG895" s="926"/>
      <c r="QWH895" s="926"/>
      <c r="QWI895" s="926"/>
      <c r="QWJ895" s="926"/>
      <c r="QWK895" s="926"/>
      <c r="QWL895" s="926"/>
      <c r="QWM895" s="926"/>
      <c r="QWN895" s="926"/>
      <c r="QWO895" s="926"/>
      <c r="QWP895" s="926"/>
      <c r="QWQ895" s="926"/>
      <c r="QWR895" s="926"/>
      <c r="QWS895" s="926"/>
      <c r="QWT895" s="926"/>
      <c r="QWU895" s="926"/>
      <c r="QWV895" s="926"/>
      <c r="QWW895" s="926"/>
      <c r="QWX895" s="926"/>
      <c r="QWY895" s="926"/>
      <c r="QWZ895" s="926"/>
      <c r="QXA895" s="926"/>
      <c r="QXB895" s="926"/>
      <c r="QXC895" s="926"/>
      <c r="QXD895" s="926"/>
      <c r="QXE895" s="926"/>
      <c r="QXF895" s="926"/>
      <c r="QXG895" s="926"/>
      <c r="QXH895" s="926"/>
      <c r="QXI895" s="926"/>
      <c r="QXJ895" s="926"/>
      <c r="QXK895" s="926"/>
      <c r="QXL895" s="926"/>
      <c r="QXM895" s="926"/>
      <c r="QXN895" s="926"/>
      <c r="QXO895" s="926"/>
      <c r="QXP895" s="926"/>
      <c r="QXQ895" s="926"/>
      <c r="QXR895" s="926"/>
      <c r="QXS895" s="926"/>
      <c r="QXT895" s="926"/>
      <c r="QXU895" s="926"/>
      <c r="QXV895" s="926"/>
      <c r="QXW895" s="926"/>
      <c r="QXX895" s="926"/>
      <c r="QXY895" s="926"/>
      <c r="QXZ895" s="926"/>
      <c r="QYA895" s="926"/>
      <c r="QYB895" s="926"/>
      <c r="QYC895" s="926"/>
      <c r="QYD895" s="926"/>
      <c r="QYE895" s="926"/>
      <c r="QYF895" s="926"/>
      <c r="QYG895" s="926"/>
      <c r="QYH895" s="926"/>
      <c r="QYI895" s="926"/>
      <c r="QYJ895" s="926"/>
      <c r="QYK895" s="926"/>
      <c r="QYL895" s="926"/>
      <c r="QYM895" s="926"/>
      <c r="QYN895" s="926"/>
      <c r="QYO895" s="926"/>
      <c r="QYP895" s="926"/>
      <c r="QYQ895" s="926"/>
      <c r="QYR895" s="926"/>
      <c r="QYS895" s="926"/>
      <c r="QYT895" s="926"/>
      <c r="QYU895" s="926"/>
      <c r="QYV895" s="926"/>
      <c r="QYW895" s="926"/>
      <c r="QYX895" s="926"/>
      <c r="QYY895" s="926"/>
      <c r="QYZ895" s="926"/>
      <c r="QZA895" s="926"/>
      <c r="QZB895" s="926"/>
      <c r="QZC895" s="926"/>
      <c r="QZD895" s="926"/>
      <c r="QZE895" s="926"/>
      <c r="QZF895" s="926"/>
      <c r="QZG895" s="926"/>
      <c r="QZH895" s="926"/>
      <c r="QZI895" s="926"/>
      <c r="QZJ895" s="926"/>
      <c r="QZK895" s="926"/>
      <c r="QZL895" s="926"/>
      <c r="QZM895" s="926"/>
      <c r="QZN895" s="926"/>
      <c r="QZO895" s="926"/>
      <c r="QZP895" s="926"/>
      <c r="QZQ895" s="926"/>
      <c r="QZR895" s="926"/>
      <c r="QZS895" s="926"/>
      <c r="QZT895" s="926"/>
      <c r="QZU895" s="926"/>
      <c r="QZV895" s="926"/>
      <c r="QZW895" s="926"/>
      <c r="QZX895" s="926"/>
      <c r="QZY895" s="926"/>
      <c r="QZZ895" s="926"/>
      <c r="RAA895" s="926"/>
      <c r="RAB895" s="926"/>
      <c r="RAC895" s="926"/>
      <c r="RAD895" s="926"/>
      <c r="RAE895" s="926"/>
      <c r="RAF895" s="926"/>
      <c r="RAG895" s="926"/>
      <c r="RAH895" s="926"/>
      <c r="RAI895" s="926"/>
      <c r="RAJ895" s="926"/>
      <c r="RAK895" s="926"/>
      <c r="RAL895" s="926"/>
      <c r="RAM895" s="926"/>
      <c r="RAN895" s="926"/>
      <c r="RAO895" s="926"/>
      <c r="RAP895" s="926"/>
      <c r="RAQ895" s="926"/>
      <c r="RAR895" s="926"/>
      <c r="RAS895" s="926"/>
      <c r="RAT895" s="926"/>
      <c r="RAU895" s="926"/>
      <c r="RAV895" s="926"/>
      <c r="RAW895" s="926"/>
      <c r="RAX895" s="926"/>
      <c r="RAY895" s="926"/>
      <c r="RAZ895" s="926"/>
      <c r="RBA895" s="926"/>
      <c r="RBB895" s="926"/>
      <c r="RBC895" s="926"/>
      <c r="RBD895" s="926"/>
      <c r="RBE895" s="926"/>
      <c r="RBF895" s="926"/>
      <c r="RBG895" s="926"/>
      <c r="RBH895" s="926"/>
      <c r="RBI895" s="926"/>
      <c r="RBJ895" s="926"/>
      <c r="RBK895" s="926"/>
      <c r="RBL895" s="926"/>
      <c r="RBM895" s="926"/>
      <c r="RBN895" s="926"/>
      <c r="RBO895" s="926"/>
      <c r="RBP895" s="926"/>
      <c r="RBQ895" s="926"/>
      <c r="RBR895" s="926"/>
      <c r="RBS895" s="926"/>
      <c r="RBT895" s="926"/>
      <c r="RBU895" s="926"/>
      <c r="RBV895" s="926"/>
      <c r="RBW895" s="926"/>
      <c r="RBX895" s="926"/>
      <c r="RBY895" s="926"/>
      <c r="RBZ895" s="926"/>
      <c r="RCA895" s="926"/>
      <c r="RCB895" s="926"/>
      <c r="RCC895" s="926"/>
      <c r="RCD895" s="926"/>
      <c r="RCE895" s="926"/>
      <c r="RCF895" s="926"/>
      <c r="RCG895" s="926"/>
      <c r="RCH895" s="926"/>
      <c r="RCI895" s="926"/>
      <c r="RCJ895" s="926"/>
      <c r="RCK895" s="926"/>
      <c r="RCL895" s="926"/>
      <c r="RCM895" s="926"/>
      <c r="RCN895" s="926"/>
      <c r="RCO895" s="926"/>
      <c r="RCP895" s="926"/>
      <c r="RCQ895" s="926"/>
      <c r="RCR895" s="926"/>
      <c r="RCS895" s="926"/>
      <c r="RCT895" s="926"/>
      <c r="RCU895" s="926"/>
      <c r="RCV895" s="926"/>
      <c r="RCW895" s="926"/>
      <c r="RCX895" s="926"/>
      <c r="RCY895" s="926"/>
      <c r="RCZ895" s="926"/>
      <c r="RDA895" s="926"/>
      <c r="RDB895" s="926"/>
      <c r="RDC895" s="926"/>
      <c r="RDD895" s="926"/>
      <c r="RDE895" s="926"/>
      <c r="RDF895" s="926"/>
      <c r="RDG895" s="926"/>
      <c r="RDH895" s="926"/>
      <c r="RDI895" s="926"/>
      <c r="RDJ895" s="926"/>
      <c r="RDK895" s="926"/>
      <c r="RDL895" s="926"/>
      <c r="RDM895" s="926"/>
      <c r="RDN895" s="926"/>
      <c r="RDO895" s="926"/>
      <c r="RDP895" s="926"/>
      <c r="RDQ895" s="926"/>
      <c r="RDR895" s="926"/>
      <c r="RDS895" s="926"/>
      <c r="RDT895" s="926"/>
      <c r="RDU895" s="926"/>
      <c r="RDV895" s="926"/>
      <c r="RDW895" s="926"/>
      <c r="RDX895" s="926"/>
      <c r="RDY895" s="926"/>
      <c r="RDZ895" s="926"/>
      <c r="REA895" s="926"/>
      <c r="REB895" s="926"/>
      <c r="REC895" s="926"/>
      <c r="RED895" s="926"/>
      <c r="REE895" s="926"/>
      <c r="REF895" s="926"/>
      <c r="REG895" s="926"/>
      <c r="REH895" s="926"/>
      <c r="REI895" s="926"/>
      <c r="REJ895" s="926"/>
      <c r="REK895" s="926"/>
      <c r="REL895" s="926"/>
      <c r="REM895" s="926"/>
      <c r="REN895" s="926"/>
      <c r="REO895" s="926"/>
      <c r="REP895" s="926"/>
      <c r="REQ895" s="926"/>
      <c r="RER895" s="926"/>
      <c r="RES895" s="926"/>
      <c r="RET895" s="926"/>
      <c r="REU895" s="926"/>
      <c r="REV895" s="926"/>
      <c r="REW895" s="926"/>
      <c r="REX895" s="926"/>
      <c r="REY895" s="926"/>
      <c r="REZ895" s="926"/>
      <c r="RFA895" s="926"/>
      <c r="RFB895" s="926"/>
      <c r="RFC895" s="926"/>
      <c r="RFD895" s="926"/>
      <c r="RFE895" s="926"/>
      <c r="RFF895" s="926"/>
      <c r="RFG895" s="926"/>
      <c r="RFH895" s="926"/>
      <c r="RFI895" s="926"/>
      <c r="RFJ895" s="926"/>
      <c r="RFK895" s="926"/>
      <c r="RFL895" s="926"/>
      <c r="RFM895" s="926"/>
      <c r="RFN895" s="926"/>
      <c r="RFO895" s="926"/>
      <c r="RFP895" s="926"/>
      <c r="RFQ895" s="926"/>
      <c r="RFR895" s="926"/>
      <c r="RFS895" s="926"/>
      <c r="RFT895" s="926"/>
      <c r="RFU895" s="926"/>
      <c r="RFV895" s="926"/>
      <c r="RFW895" s="926"/>
      <c r="RFX895" s="926"/>
      <c r="RFY895" s="926"/>
      <c r="RFZ895" s="926"/>
      <c r="RGA895" s="926"/>
      <c r="RGB895" s="926"/>
      <c r="RGC895" s="926"/>
      <c r="RGD895" s="926"/>
      <c r="RGE895" s="926"/>
      <c r="RGF895" s="926"/>
      <c r="RGG895" s="926"/>
      <c r="RGH895" s="926"/>
      <c r="RGI895" s="926"/>
      <c r="RGJ895" s="926"/>
      <c r="RGK895" s="926"/>
      <c r="RGL895" s="926"/>
      <c r="RGM895" s="926"/>
      <c r="RGN895" s="926"/>
      <c r="RGO895" s="926"/>
      <c r="RGP895" s="926"/>
      <c r="RGQ895" s="926"/>
      <c r="RGR895" s="926"/>
      <c r="RGS895" s="926"/>
      <c r="RGT895" s="926"/>
      <c r="RGU895" s="926"/>
      <c r="RGV895" s="926"/>
      <c r="RGW895" s="926"/>
      <c r="RGX895" s="926"/>
      <c r="RGY895" s="926"/>
      <c r="RGZ895" s="926"/>
      <c r="RHA895" s="926"/>
      <c r="RHB895" s="926"/>
      <c r="RHC895" s="926"/>
      <c r="RHD895" s="926"/>
      <c r="RHE895" s="926"/>
      <c r="RHF895" s="926"/>
      <c r="RHG895" s="926"/>
      <c r="RHH895" s="926"/>
      <c r="RHI895" s="926"/>
      <c r="RHJ895" s="926"/>
      <c r="RHK895" s="926"/>
      <c r="RHL895" s="926"/>
      <c r="RHM895" s="926"/>
      <c r="RHN895" s="926"/>
      <c r="RHO895" s="926"/>
      <c r="RHP895" s="926"/>
      <c r="RHQ895" s="926"/>
      <c r="RHR895" s="926"/>
      <c r="RHS895" s="926"/>
      <c r="RHT895" s="926"/>
      <c r="RHU895" s="926"/>
      <c r="RHV895" s="926"/>
      <c r="RHW895" s="926"/>
      <c r="RHX895" s="926"/>
      <c r="RHY895" s="926"/>
      <c r="RHZ895" s="926"/>
      <c r="RIA895" s="926"/>
      <c r="RIB895" s="926"/>
      <c r="RIC895" s="926"/>
      <c r="RID895" s="926"/>
      <c r="RIE895" s="926"/>
      <c r="RIF895" s="926"/>
      <c r="RIG895" s="926"/>
      <c r="RIH895" s="926"/>
      <c r="RII895" s="926"/>
      <c r="RIJ895" s="926"/>
      <c r="RIK895" s="926"/>
      <c r="RIL895" s="926"/>
      <c r="RIM895" s="926"/>
      <c r="RIN895" s="926"/>
      <c r="RIO895" s="926"/>
      <c r="RIP895" s="926"/>
      <c r="RIQ895" s="926"/>
      <c r="RIR895" s="926"/>
      <c r="RIS895" s="926"/>
      <c r="RIT895" s="926"/>
      <c r="RIU895" s="926"/>
      <c r="RIV895" s="926"/>
      <c r="RIW895" s="926"/>
      <c r="RIX895" s="926"/>
      <c r="RIY895" s="926"/>
      <c r="RIZ895" s="926"/>
      <c r="RJA895" s="926"/>
      <c r="RJB895" s="926"/>
      <c r="RJC895" s="926"/>
      <c r="RJD895" s="926"/>
      <c r="RJE895" s="926"/>
      <c r="RJF895" s="926"/>
      <c r="RJG895" s="926"/>
      <c r="RJH895" s="926"/>
      <c r="RJI895" s="926"/>
      <c r="RJJ895" s="926"/>
      <c r="RJK895" s="926"/>
      <c r="RJL895" s="926"/>
      <c r="RJM895" s="926"/>
      <c r="RJN895" s="926"/>
      <c r="RJO895" s="926"/>
      <c r="RJP895" s="926"/>
      <c r="RJQ895" s="926"/>
      <c r="RJR895" s="926"/>
      <c r="RJS895" s="926"/>
      <c r="RJT895" s="926"/>
      <c r="RJU895" s="926"/>
      <c r="RJV895" s="926"/>
      <c r="RJW895" s="926"/>
      <c r="RJX895" s="926"/>
      <c r="RJY895" s="926"/>
      <c r="RJZ895" s="926"/>
      <c r="RKA895" s="926"/>
      <c r="RKB895" s="926"/>
      <c r="RKC895" s="926"/>
      <c r="RKD895" s="926"/>
      <c r="RKE895" s="926"/>
      <c r="RKF895" s="926"/>
      <c r="RKG895" s="926"/>
      <c r="RKH895" s="926"/>
      <c r="RKI895" s="926"/>
      <c r="RKJ895" s="926"/>
      <c r="RKK895" s="926"/>
      <c r="RKL895" s="926"/>
      <c r="RKM895" s="926"/>
      <c r="RKN895" s="926"/>
      <c r="RKO895" s="926"/>
      <c r="RKP895" s="926"/>
      <c r="RKQ895" s="926"/>
      <c r="RKR895" s="926"/>
      <c r="RKS895" s="926"/>
      <c r="RKT895" s="926"/>
      <c r="RKU895" s="926"/>
      <c r="RKV895" s="926"/>
      <c r="RKW895" s="926"/>
      <c r="RKX895" s="926"/>
      <c r="RKY895" s="926"/>
      <c r="RKZ895" s="926"/>
      <c r="RLA895" s="926"/>
      <c r="RLB895" s="926"/>
      <c r="RLC895" s="926"/>
      <c r="RLD895" s="926"/>
      <c r="RLE895" s="926"/>
      <c r="RLF895" s="926"/>
      <c r="RLG895" s="926"/>
      <c r="RLH895" s="926"/>
      <c r="RLI895" s="926"/>
      <c r="RLJ895" s="926"/>
      <c r="RLK895" s="926"/>
      <c r="RLL895" s="926"/>
      <c r="RLM895" s="926"/>
      <c r="RLN895" s="926"/>
      <c r="RLO895" s="926"/>
      <c r="RLP895" s="926"/>
      <c r="RLQ895" s="926"/>
      <c r="RLR895" s="926"/>
      <c r="RLS895" s="926"/>
      <c r="RLT895" s="926"/>
      <c r="RLU895" s="926"/>
      <c r="RLV895" s="926"/>
      <c r="RLW895" s="926"/>
      <c r="RLX895" s="926"/>
      <c r="RLY895" s="926"/>
      <c r="RLZ895" s="926"/>
      <c r="RMA895" s="926"/>
      <c r="RMB895" s="926"/>
      <c r="RMC895" s="926"/>
      <c r="RMD895" s="926"/>
      <c r="RME895" s="926"/>
      <c r="RMF895" s="926"/>
      <c r="RMG895" s="926"/>
      <c r="RMH895" s="926"/>
      <c r="RMI895" s="926"/>
      <c r="RMJ895" s="926"/>
      <c r="RMK895" s="926"/>
      <c r="RML895" s="926"/>
      <c r="RMM895" s="926"/>
      <c r="RMN895" s="926"/>
      <c r="RMO895" s="926"/>
      <c r="RMP895" s="926"/>
      <c r="RMQ895" s="926"/>
      <c r="RMR895" s="926"/>
      <c r="RMS895" s="926"/>
      <c r="RMT895" s="926"/>
      <c r="RMU895" s="926"/>
      <c r="RMV895" s="926"/>
      <c r="RMW895" s="926"/>
      <c r="RMX895" s="926"/>
      <c r="RMY895" s="926"/>
      <c r="RMZ895" s="926"/>
      <c r="RNA895" s="926"/>
      <c r="RNB895" s="926"/>
      <c r="RNC895" s="926"/>
      <c r="RND895" s="926"/>
      <c r="RNE895" s="926"/>
      <c r="RNF895" s="926"/>
      <c r="RNG895" s="926"/>
      <c r="RNH895" s="926"/>
      <c r="RNI895" s="926"/>
      <c r="RNJ895" s="926"/>
      <c r="RNK895" s="926"/>
      <c r="RNL895" s="926"/>
      <c r="RNM895" s="926"/>
      <c r="RNN895" s="926"/>
      <c r="RNO895" s="926"/>
      <c r="RNP895" s="926"/>
      <c r="RNQ895" s="926"/>
      <c r="RNR895" s="926"/>
      <c r="RNS895" s="926"/>
      <c r="RNT895" s="926"/>
      <c r="RNU895" s="926"/>
      <c r="RNV895" s="926"/>
      <c r="RNW895" s="926"/>
      <c r="RNX895" s="926"/>
      <c r="RNY895" s="926"/>
      <c r="RNZ895" s="926"/>
      <c r="ROA895" s="926"/>
      <c r="ROB895" s="926"/>
      <c r="ROC895" s="926"/>
      <c r="ROD895" s="926"/>
      <c r="ROE895" s="926"/>
      <c r="ROF895" s="926"/>
      <c r="ROG895" s="926"/>
      <c r="ROH895" s="926"/>
      <c r="ROI895" s="926"/>
      <c r="ROJ895" s="926"/>
      <c r="ROK895" s="926"/>
      <c r="ROL895" s="926"/>
      <c r="ROM895" s="926"/>
      <c r="RON895" s="926"/>
      <c r="ROO895" s="926"/>
      <c r="ROP895" s="926"/>
      <c r="ROQ895" s="926"/>
      <c r="ROR895" s="926"/>
      <c r="ROS895" s="926"/>
      <c r="ROT895" s="926"/>
      <c r="ROU895" s="926"/>
      <c r="ROV895" s="926"/>
      <c r="ROW895" s="926"/>
      <c r="ROX895" s="926"/>
      <c r="ROY895" s="926"/>
      <c r="ROZ895" s="926"/>
      <c r="RPA895" s="926"/>
      <c r="RPB895" s="926"/>
      <c r="RPC895" s="926"/>
      <c r="RPD895" s="926"/>
      <c r="RPE895" s="926"/>
      <c r="RPF895" s="926"/>
      <c r="RPG895" s="926"/>
      <c r="RPH895" s="926"/>
      <c r="RPI895" s="926"/>
      <c r="RPJ895" s="926"/>
      <c r="RPK895" s="926"/>
      <c r="RPL895" s="926"/>
      <c r="RPM895" s="926"/>
      <c r="RPN895" s="926"/>
      <c r="RPO895" s="926"/>
      <c r="RPP895" s="926"/>
      <c r="RPQ895" s="926"/>
      <c r="RPR895" s="926"/>
      <c r="RPS895" s="926"/>
      <c r="RPT895" s="926"/>
      <c r="RPU895" s="926"/>
      <c r="RPV895" s="926"/>
      <c r="RPW895" s="926"/>
      <c r="RPX895" s="926"/>
      <c r="RPY895" s="926"/>
      <c r="RPZ895" s="926"/>
      <c r="RQA895" s="926"/>
      <c r="RQB895" s="926"/>
      <c r="RQC895" s="926"/>
      <c r="RQD895" s="926"/>
      <c r="RQE895" s="926"/>
      <c r="RQF895" s="926"/>
      <c r="RQG895" s="926"/>
      <c r="RQH895" s="926"/>
      <c r="RQI895" s="926"/>
      <c r="RQJ895" s="926"/>
      <c r="RQK895" s="926"/>
      <c r="RQL895" s="926"/>
      <c r="RQM895" s="926"/>
      <c r="RQN895" s="926"/>
      <c r="RQO895" s="926"/>
      <c r="RQP895" s="926"/>
      <c r="RQQ895" s="926"/>
      <c r="RQR895" s="926"/>
      <c r="RQS895" s="926"/>
      <c r="RQT895" s="926"/>
      <c r="RQU895" s="926"/>
      <c r="RQV895" s="926"/>
      <c r="RQW895" s="926"/>
      <c r="RQX895" s="926"/>
      <c r="RQY895" s="926"/>
      <c r="RQZ895" s="926"/>
      <c r="RRA895" s="926"/>
      <c r="RRB895" s="926"/>
      <c r="RRC895" s="926"/>
      <c r="RRD895" s="926"/>
      <c r="RRE895" s="926"/>
      <c r="RRF895" s="926"/>
      <c r="RRG895" s="926"/>
      <c r="RRH895" s="926"/>
      <c r="RRI895" s="926"/>
      <c r="RRJ895" s="926"/>
      <c r="RRK895" s="926"/>
      <c r="RRL895" s="926"/>
      <c r="RRM895" s="926"/>
      <c r="RRN895" s="926"/>
      <c r="RRO895" s="926"/>
      <c r="RRP895" s="926"/>
      <c r="RRQ895" s="926"/>
      <c r="RRR895" s="926"/>
      <c r="RRS895" s="926"/>
      <c r="RRT895" s="926"/>
      <c r="RRU895" s="926"/>
      <c r="RRV895" s="926"/>
      <c r="RRW895" s="926"/>
      <c r="RRX895" s="926"/>
      <c r="RRY895" s="926"/>
      <c r="RRZ895" s="926"/>
      <c r="RSA895" s="926"/>
      <c r="RSB895" s="926"/>
      <c r="RSC895" s="926"/>
      <c r="RSD895" s="926"/>
      <c r="RSE895" s="926"/>
      <c r="RSF895" s="926"/>
      <c r="RSG895" s="926"/>
      <c r="RSH895" s="926"/>
      <c r="RSI895" s="926"/>
      <c r="RSJ895" s="926"/>
      <c r="RSK895" s="926"/>
      <c r="RSL895" s="926"/>
      <c r="RSM895" s="926"/>
      <c r="RSN895" s="926"/>
      <c r="RSO895" s="926"/>
      <c r="RSP895" s="926"/>
      <c r="RSQ895" s="926"/>
      <c r="RSR895" s="926"/>
      <c r="RSS895" s="926"/>
      <c r="RST895" s="926"/>
      <c r="RSU895" s="926"/>
      <c r="RSV895" s="926"/>
      <c r="RSW895" s="926"/>
      <c r="RSX895" s="926"/>
      <c r="RSY895" s="926"/>
      <c r="RSZ895" s="926"/>
      <c r="RTA895" s="926"/>
      <c r="RTB895" s="926"/>
      <c r="RTC895" s="926"/>
      <c r="RTD895" s="926"/>
      <c r="RTE895" s="926"/>
      <c r="RTF895" s="926"/>
      <c r="RTG895" s="926"/>
      <c r="RTH895" s="926"/>
      <c r="RTI895" s="926"/>
      <c r="RTJ895" s="926"/>
      <c r="RTK895" s="926"/>
      <c r="RTL895" s="926"/>
      <c r="RTM895" s="926"/>
      <c r="RTN895" s="926"/>
      <c r="RTO895" s="926"/>
      <c r="RTP895" s="926"/>
      <c r="RTQ895" s="926"/>
      <c r="RTR895" s="926"/>
      <c r="RTS895" s="926"/>
      <c r="RTT895" s="926"/>
      <c r="RTU895" s="926"/>
      <c r="RTV895" s="926"/>
      <c r="RTW895" s="926"/>
      <c r="RTX895" s="926"/>
      <c r="RTY895" s="926"/>
      <c r="RTZ895" s="926"/>
      <c r="RUA895" s="926"/>
      <c r="RUB895" s="926"/>
      <c r="RUC895" s="926"/>
      <c r="RUD895" s="926"/>
      <c r="RUE895" s="926"/>
      <c r="RUF895" s="926"/>
      <c r="RUG895" s="926"/>
      <c r="RUH895" s="926"/>
      <c r="RUI895" s="926"/>
      <c r="RUJ895" s="926"/>
      <c r="RUK895" s="926"/>
      <c r="RUL895" s="926"/>
      <c r="RUM895" s="926"/>
      <c r="RUN895" s="926"/>
      <c r="RUO895" s="926"/>
      <c r="RUP895" s="926"/>
      <c r="RUQ895" s="926"/>
      <c r="RUR895" s="926"/>
      <c r="RUS895" s="926"/>
      <c r="RUT895" s="926"/>
      <c r="RUU895" s="926"/>
      <c r="RUV895" s="926"/>
      <c r="RUW895" s="926"/>
      <c r="RUX895" s="926"/>
      <c r="RUY895" s="926"/>
      <c r="RUZ895" s="926"/>
      <c r="RVA895" s="926"/>
      <c r="RVB895" s="926"/>
      <c r="RVC895" s="926"/>
      <c r="RVD895" s="926"/>
      <c r="RVE895" s="926"/>
      <c r="RVF895" s="926"/>
      <c r="RVG895" s="926"/>
      <c r="RVH895" s="926"/>
      <c r="RVI895" s="926"/>
      <c r="RVJ895" s="926"/>
      <c r="RVK895" s="926"/>
      <c r="RVL895" s="926"/>
      <c r="RVM895" s="926"/>
      <c r="RVN895" s="926"/>
      <c r="RVO895" s="926"/>
      <c r="RVP895" s="926"/>
      <c r="RVQ895" s="926"/>
      <c r="RVR895" s="926"/>
      <c r="RVS895" s="926"/>
      <c r="RVT895" s="926"/>
      <c r="RVU895" s="926"/>
      <c r="RVV895" s="926"/>
      <c r="RVW895" s="926"/>
      <c r="RVX895" s="926"/>
      <c r="RVY895" s="926"/>
      <c r="RVZ895" s="926"/>
      <c r="RWA895" s="926"/>
      <c r="RWB895" s="926"/>
      <c r="RWC895" s="926"/>
      <c r="RWD895" s="926"/>
      <c r="RWE895" s="926"/>
      <c r="RWF895" s="926"/>
      <c r="RWG895" s="926"/>
      <c r="RWH895" s="926"/>
      <c r="RWI895" s="926"/>
      <c r="RWJ895" s="926"/>
      <c r="RWK895" s="926"/>
      <c r="RWL895" s="926"/>
      <c r="RWM895" s="926"/>
      <c r="RWN895" s="926"/>
      <c r="RWO895" s="926"/>
      <c r="RWP895" s="926"/>
      <c r="RWQ895" s="926"/>
      <c r="RWR895" s="926"/>
      <c r="RWS895" s="926"/>
      <c r="RWT895" s="926"/>
      <c r="RWU895" s="926"/>
      <c r="RWV895" s="926"/>
      <c r="RWW895" s="926"/>
      <c r="RWX895" s="926"/>
      <c r="RWY895" s="926"/>
      <c r="RWZ895" s="926"/>
      <c r="RXA895" s="926"/>
      <c r="RXB895" s="926"/>
      <c r="RXC895" s="926"/>
      <c r="RXD895" s="926"/>
      <c r="RXE895" s="926"/>
      <c r="RXF895" s="926"/>
      <c r="RXG895" s="926"/>
      <c r="RXH895" s="926"/>
      <c r="RXI895" s="926"/>
      <c r="RXJ895" s="926"/>
      <c r="RXK895" s="926"/>
      <c r="RXL895" s="926"/>
      <c r="RXM895" s="926"/>
      <c r="RXN895" s="926"/>
      <c r="RXO895" s="926"/>
      <c r="RXP895" s="926"/>
      <c r="RXQ895" s="926"/>
      <c r="RXR895" s="926"/>
      <c r="RXS895" s="926"/>
      <c r="RXT895" s="926"/>
      <c r="RXU895" s="926"/>
      <c r="RXV895" s="926"/>
      <c r="RXW895" s="926"/>
      <c r="RXX895" s="926"/>
      <c r="RXY895" s="926"/>
      <c r="RXZ895" s="926"/>
      <c r="RYA895" s="926"/>
      <c r="RYB895" s="926"/>
      <c r="RYC895" s="926"/>
      <c r="RYD895" s="926"/>
      <c r="RYE895" s="926"/>
      <c r="RYF895" s="926"/>
      <c r="RYG895" s="926"/>
      <c r="RYH895" s="926"/>
      <c r="RYI895" s="926"/>
      <c r="RYJ895" s="926"/>
      <c r="RYK895" s="926"/>
      <c r="RYL895" s="926"/>
      <c r="RYM895" s="926"/>
      <c r="RYN895" s="926"/>
      <c r="RYO895" s="926"/>
      <c r="RYP895" s="926"/>
      <c r="RYQ895" s="926"/>
      <c r="RYR895" s="926"/>
      <c r="RYS895" s="926"/>
      <c r="RYT895" s="926"/>
      <c r="RYU895" s="926"/>
      <c r="RYV895" s="926"/>
      <c r="RYW895" s="926"/>
      <c r="RYX895" s="926"/>
      <c r="RYY895" s="926"/>
      <c r="RYZ895" s="926"/>
      <c r="RZA895" s="926"/>
      <c r="RZB895" s="926"/>
      <c r="RZC895" s="926"/>
      <c r="RZD895" s="926"/>
      <c r="RZE895" s="926"/>
      <c r="RZF895" s="926"/>
      <c r="RZG895" s="926"/>
      <c r="RZH895" s="926"/>
      <c r="RZI895" s="926"/>
      <c r="RZJ895" s="926"/>
      <c r="RZK895" s="926"/>
      <c r="RZL895" s="926"/>
      <c r="RZM895" s="926"/>
      <c r="RZN895" s="926"/>
      <c r="RZO895" s="926"/>
      <c r="RZP895" s="926"/>
      <c r="RZQ895" s="926"/>
      <c r="RZR895" s="926"/>
      <c r="RZS895" s="926"/>
      <c r="RZT895" s="926"/>
      <c r="RZU895" s="926"/>
      <c r="RZV895" s="926"/>
      <c r="RZW895" s="926"/>
      <c r="RZX895" s="926"/>
      <c r="RZY895" s="926"/>
      <c r="RZZ895" s="926"/>
      <c r="SAA895" s="926"/>
      <c r="SAB895" s="926"/>
      <c r="SAC895" s="926"/>
      <c r="SAD895" s="926"/>
      <c r="SAE895" s="926"/>
      <c r="SAF895" s="926"/>
      <c r="SAG895" s="926"/>
      <c r="SAH895" s="926"/>
      <c r="SAI895" s="926"/>
      <c r="SAJ895" s="926"/>
      <c r="SAK895" s="926"/>
      <c r="SAL895" s="926"/>
      <c r="SAM895" s="926"/>
      <c r="SAN895" s="926"/>
      <c r="SAO895" s="926"/>
      <c r="SAP895" s="926"/>
      <c r="SAQ895" s="926"/>
      <c r="SAR895" s="926"/>
      <c r="SAS895" s="926"/>
      <c r="SAT895" s="926"/>
      <c r="SAU895" s="926"/>
      <c r="SAV895" s="926"/>
      <c r="SAW895" s="926"/>
      <c r="SAX895" s="926"/>
      <c r="SAY895" s="926"/>
      <c r="SAZ895" s="926"/>
      <c r="SBA895" s="926"/>
      <c r="SBB895" s="926"/>
      <c r="SBC895" s="926"/>
      <c r="SBD895" s="926"/>
      <c r="SBE895" s="926"/>
      <c r="SBF895" s="926"/>
      <c r="SBG895" s="926"/>
      <c r="SBH895" s="926"/>
      <c r="SBI895" s="926"/>
      <c r="SBJ895" s="926"/>
      <c r="SBK895" s="926"/>
      <c r="SBL895" s="926"/>
      <c r="SBM895" s="926"/>
      <c r="SBN895" s="926"/>
      <c r="SBO895" s="926"/>
      <c r="SBP895" s="926"/>
      <c r="SBQ895" s="926"/>
      <c r="SBR895" s="926"/>
      <c r="SBS895" s="926"/>
      <c r="SBT895" s="926"/>
      <c r="SBU895" s="926"/>
      <c r="SBV895" s="926"/>
      <c r="SBW895" s="926"/>
      <c r="SBX895" s="926"/>
      <c r="SBY895" s="926"/>
      <c r="SBZ895" s="926"/>
      <c r="SCA895" s="926"/>
      <c r="SCB895" s="926"/>
      <c r="SCC895" s="926"/>
      <c r="SCD895" s="926"/>
      <c r="SCE895" s="926"/>
      <c r="SCF895" s="926"/>
      <c r="SCG895" s="926"/>
      <c r="SCH895" s="926"/>
      <c r="SCI895" s="926"/>
      <c r="SCJ895" s="926"/>
      <c r="SCK895" s="926"/>
      <c r="SCL895" s="926"/>
      <c r="SCM895" s="926"/>
      <c r="SCN895" s="926"/>
      <c r="SCO895" s="926"/>
      <c r="SCP895" s="926"/>
      <c r="SCQ895" s="926"/>
      <c r="SCR895" s="926"/>
      <c r="SCS895" s="926"/>
      <c r="SCT895" s="926"/>
      <c r="SCU895" s="926"/>
      <c r="SCV895" s="926"/>
      <c r="SCW895" s="926"/>
      <c r="SCX895" s="926"/>
      <c r="SCY895" s="926"/>
      <c r="SCZ895" s="926"/>
      <c r="SDA895" s="926"/>
      <c r="SDB895" s="926"/>
      <c r="SDC895" s="926"/>
      <c r="SDD895" s="926"/>
      <c r="SDE895" s="926"/>
      <c r="SDF895" s="926"/>
      <c r="SDG895" s="926"/>
      <c r="SDH895" s="926"/>
      <c r="SDI895" s="926"/>
      <c r="SDJ895" s="926"/>
      <c r="SDK895" s="926"/>
      <c r="SDL895" s="926"/>
      <c r="SDM895" s="926"/>
      <c r="SDN895" s="926"/>
      <c r="SDO895" s="926"/>
      <c r="SDP895" s="926"/>
      <c r="SDQ895" s="926"/>
      <c r="SDR895" s="926"/>
      <c r="SDS895" s="926"/>
      <c r="SDT895" s="926"/>
      <c r="SDU895" s="926"/>
      <c r="SDV895" s="926"/>
      <c r="SDW895" s="926"/>
      <c r="SDX895" s="926"/>
      <c r="SDY895" s="926"/>
      <c r="SDZ895" s="926"/>
      <c r="SEA895" s="926"/>
      <c r="SEB895" s="926"/>
      <c r="SEC895" s="926"/>
      <c r="SED895" s="926"/>
      <c r="SEE895" s="926"/>
      <c r="SEF895" s="926"/>
      <c r="SEG895" s="926"/>
      <c r="SEH895" s="926"/>
      <c r="SEI895" s="926"/>
      <c r="SEJ895" s="926"/>
      <c r="SEK895" s="926"/>
      <c r="SEL895" s="926"/>
      <c r="SEM895" s="926"/>
      <c r="SEN895" s="926"/>
      <c r="SEO895" s="926"/>
      <c r="SEP895" s="926"/>
      <c r="SEQ895" s="926"/>
      <c r="SER895" s="926"/>
      <c r="SES895" s="926"/>
      <c r="SET895" s="926"/>
      <c r="SEU895" s="926"/>
      <c r="SEV895" s="926"/>
      <c r="SEW895" s="926"/>
      <c r="SEX895" s="926"/>
      <c r="SEY895" s="926"/>
      <c r="SEZ895" s="926"/>
      <c r="SFA895" s="926"/>
      <c r="SFB895" s="926"/>
      <c r="SFC895" s="926"/>
      <c r="SFD895" s="926"/>
      <c r="SFE895" s="926"/>
      <c r="SFF895" s="926"/>
      <c r="SFG895" s="926"/>
      <c r="SFH895" s="926"/>
      <c r="SFI895" s="926"/>
      <c r="SFJ895" s="926"/>
      <c r="SFK895" s="926"/>
      <c r="SFL895" s="926"/>
      <c r="SFM895" s="926"/>
      <c r="SFN895" s="926"/>
      <c r="SFO895" s="926"/>
      <c r="SFP895" s="926"/>
      <c r="SFQ895" s="926"/>
      <c r="SFR895" s="926"/>
      <c r="SFS895" s="926"/>
      <c r="SFT895" s="926"/>
      <c r="SFU895" s="926"/>
      <c r="SFV895" s="926"/>
      <c r="SFW895" s="926"/>
      <c r="SFX895" s="926"/>
      <c r="SFY895" s="926"/>
      <c r="SFZ895" s="926"/>
      <c r="SGA895" s="926"/>
      <c r="SGB895" s="926"/>
      <c r="SGC895" s="926"/>
      <c r="SGD895" s="926"/>
      <c r="SGE895" s="926"/>
      <c r="SGF895" s="926"/>
      <c r="SGG895" s="926"/>
      <c r="SGH895" s="926"/>
      <c r="SGI895" s="926"/>
      <c r="SGJ895" s="926"/>
      <c r="SGK895" s="926"/>
      <c r="SGL895" s="926"/>
      <c r="SGM895" s="926"/>
      <c r="SGN895" s="926"/>
      <c r="SGO895" s="926"/>
      <c r="SGP895" s="926"/>
      <c r="SGQ895" s="926"/>
      <c r="SGR895" s="926"/>
      <c r="SGS895" s="926"/>
      <c r="SGT895" s="926"/>
      <c r="SGU895" s="926"/>
      <c r="SGV895" s="926"/>
      <c r="SGW895" s="926"/>
      <c r="SGX895" s="926"/>
      <c r="SGY895" s="926"/>
      <c r="SGZ895" s="926"/>
      <c r="SHA895" s="926"/>
      <c r="SHB895" s="926"/>
      <c r="SHC895" s="926"/>
      <c r="SHD895" s="926"/>
      <c r="SHE895" s="926"/>
      <c r="SHF895" s="926"/>
      <c r="SHG895" s="926"/>
      <c r="SHH895" s="926"/>
      <c r="SHI895" s="926"/>
      <c r="SHJ895" s="926"/>
      <c r="SHK895" s="926"/>
      <c r="SHL895" s="926"/>
      <c r="SHM895" s="926"/>
      <c r="SHN895" s="926"/>
      <c r="SHO895" s="926"/>
      <c r="SHP895" s="926"/>
      <c r="SHQ895" s="926"/>
      <c r="SHR895" s="926"/>
      <c r="SHS895" s="926"/>
      <c r="SHT895" s="926"/>
      <c r="SHU895" s="926"/>
      <c r="SHV895" s="926"/>
      <c r="SHW895" s="926"/>
      <c r="SHX895" s="926"/>
      <c r="SHY895" s="926"/>
      <c r="SHZ895" s="926"/>
      <c r="SIA895" s="926"/>
      <c r="SIB895" s="926"/>
      <c r="SIC895" s="926"/>
      <c r="SID895" s="926"/>
      <c r="SIE895" s="926"/>
      <c r="SIF895" s="926"/>
      <c r="SIG895" s="926"/>
      <c r="SIH895" s="926"/>
      <c r="SII895" s="926"/>
      <c r="SIJ895" s="926"/>
      <c r="SIK895" s="926"/>
      <c r="SIL895" s="926"/>
      <c r="SIM895" s="926"/>
      <c r="SIN895" s="926"/>
      <c r="SIO895" s="926"/>
      <c r="SIP895" s="926"/>
      <c r="SIQ895" s="926"/>
      <c r="SIR895" s="926"/>
      <c r="SIS895" s="926"/>
      <c r="SIT895" s="926"/>
      <c r="SIU895" s="926"/>
      <c r="SIV895" s="926"/>
      <c r="SIW895" s="926"/>
      <c r="SIX895" s="926"/>
      <c r="SIY895" s="926"/>
      <c r="SIZ895" s="926"/>
      <c r="SJA895" s="926"/>
      <c r="SJB895" s="926"/>
      <c r="SJC895" s="926"/>
      <c r="SJD895" s="926"/>
      <c r="SJE895" s="926"/>
      <c r="SJF895" s="926"/>
      <c r="SJG895" s="926"/>
      <c r="SJH895" s="926"/>
      <c r="SJI895" s="926"/>
      <c r="SJJ895" s="926"/>
      <c r="SJK895" s="926"/>
      <c r="SJL895" s="926"/>
      <c r="SJM895" s="926"/>
      <c r="SJN895" s="926"/>
      <c r="SJO895" s="926"/>
      <c r="SJP895" s="926"/>
      <c r="SJQ895" s="926"/>
      <c r="SJR895" s="926"/>
      <c r="SJS895" s="926"/>
      <c r="SJT895" s="926"/>
      <c r="SJU895" s="926"/>
      <c r="SJV895" s="926"/>
      <c r="SJW895" s="926"/>
      <c r="SJX895" s="926"/>
      <c r="SJY895" s="926"/>
      <c r="SJZ895" s="926"/>
      <c r="SKA895" s="926"/>
      <c r="SKB895" s="926"/>
      <c r="SKC895" s="926"/>
      <c r="SKD895" s="926"/>
      <c r="SKE895" s="926"/>
      <c r="SKF895" s="926"/>
      <c r="SKG895" s="926"/>
      <c r="SKH895" s="926"/>
      <c r="SKI895" s="926"/>
      <c r="SKJ895" s="926"/>
      <c r="SKK895" s="926"/>
      <c r="SKL895" s="926"/>
      <c r="SKM895" s="926"/>
      <c r="SKN895" s="926"/>
      <c r="SKO895" s="926"/>
      <c r="SKP895" s="926"/>
      <c r="SKQ895" s="926"/>
      <c r="SKR895" s="926"/>
      <c r="SKS895" s="926"/>
      <c r="SKT895" s="926"/>
      <c r="SKU895" s="926"/>
      <c r="SKV895" s="926"/>
      <c r="SKW895" s="926"/>
      <c r="SKX895" s="926"/>
      <c r="SKY895" s="926"/>
      <c r="SKZ895" s="926"/>
      <c r="SLA895" s="926"/>
      <c r="SLB895" s="926"/>
      <c r="SLC895" s="926"/>
      <c r="SLD895" s="926"/>
      <c r="SLE895" s="926"/>
      <c r="SLF895" s="926"/>
      <c r="SLG895" s="926"/>
      <c r="SLH895" s="926"/>
      <c r="SLI895" s="926"/>
      <c r="SLJ895" s="926"/>
      <c r="SLK895" s="926"/>
      <c r="SLL895" s="926"/>
      <c r="SLM895" s="926"/>
      <c r="SLN895" s="926"/>
      <c r="SLO895" s="926"/>
      <c r="SLP895" s="926"/>
      <c r="SLQ895" s="926"/>
      <c r="SLR895" s="926"/>
      <c r="SLS895" s="926"/>
      <c r="SLT895" s="926"/>
      <c r="SLU895" s="926"/>
      <c r="SLV895" s="926"/>
      <c r="SLW895" s="926"/>
      <c r="SLX895" s="926"/>
      <c r="SLY895" s="926"/>
      <c r="SLZ895" s="926"/>
      <c r="SMA895" s="926"/>
      <c r="SMB895" s="926"/>
      <c r="SMC895" s="926"/>
      <c r="SMD895" s="926"/>
      <c r="SME895" s="926"/>
      <c r="SMF895" s="926"/>
      <c r="SMG895" s="926"/>
      <c r="SMH895" s="926"/>
      <c r="SMI895" s="926"/>
      <c r="SMJ895" s="926"/>
      <c r="SMK895" s="926"/>
      <c r="SML895" s="926"/>
      <c r="SMM895" s="926"/>
      <c r="SMN895" s="926"/>
      <c r="SMO895" s="926"/>
      <c r="SMP895" s="926"/>
      <c r="SMQ895" s="926"/>
      <c r="SMR895" s="926"/>
      <c r="SMS895" s="926"/>
      <c r="SMT895" s="926"/>
      <c r="SMU895" s="926"/>
      <c r="SMV895" s="926"/>
      <c r="SMW895" s="926"/>
      <c r="SMX895" s="926"/>
      <c r="SMY895" s="926"/>
      <c r="SMZ895" s="926"/>
      <c r="SNA895" s="926"/>
      <c r="SNB895" s="926"/>
      <c r="SNC895" s="926"/>
      <c r="SND895" s="926"/>
      <c r="SNE895" s="926"/>
      <c r="SNF895" s="926"/>
      <c r="SNG895" s="926"/>
      <c r="SNH895" s="926"/>
      <c r="SNI895" s="926"/>
      <c r="SNJ895" s="926"/>
      <c r="SNK895" s="926"/>
      <c r="SNL895" s="926"/>
      <c r="SNM895" s="926"/>
      <c r="SNN895" s="926"/>
      <c r="SNO895" s="926"/>
      <c r="SNP895" s="926"/>
      <c r="SNQ895" s="926"/>
      <c r="SNR895" s="926"/>
      <c r="SNS895" s="926"/>
      <c r="SNT895" s="926"/>
      <c r="SNU895" s="926"/>
      <c r="SNV895" s="926"/>
      <c r="SNW895" s="926"/>
      <c r="SNX895" s="926"/>
      <c r="SNY895" s="926"/>
      <c r="SNZ895" s="926"/>
      <c r="SOA895" s="926"/>
      <c r="SOB895" s="926"/>
      <c r="SOC895" s="926"/>
      <c r="SOD895" s="926"/>
      <c r="SOE895" s="926"/>
      <c r="SOF895" s="926"/>
      <c r="SOG895" s="926"/>
      <c r="SOH895" s="926"/>
      <c r="SOI895" s="926"/>
      <c r="SOJ895" s="926"/>
      <c r="SOK895" s="926"/>
      <c r="SOL895" s="926"/>
      <c r="SOM895" s="926"/>
      <c r="SON895" s="926"/>
      <c r="SOO895" s="926"/>
      <c r="SOP895" s="926"/>
      <c r="SOQ895" s="926"/>
      <c r="SOR895" s="926"/>
      <c r="SOS895" s="926"/>
      <c r="SOT895" s="926"/>
      <c r="SOU895" s="926"/>
      <c r="SOV895" s="926"/>
      <c r="SOW895" s="926"/>
      <c r="SOX895" s="926"/>
      <c r="SOY895" s="926"/>
      <c r="SOZ895" s="926"/>
      <c r="SPA895" s="926"/>
      <c r="SPB895" s="926"/>
      <c r="SPC895" s="926"/>
      <c r="SPD895" s="926"/>
      <c r="SPE895" s="926"/>
      <c r="SPF895" s="926"/>
      <c r="SPG895" s="926"/>
      <c r="SPH895" s="926"/>
      <c r="SPI895" s="926"/>
      <c r="SPJ895" s="926"/>
      <c r="SPK895" s="926"/>
      <c r="SPL895" s="926"/>
      <c r="SPM895" s="926"/>
      <c r="SPN895" s="926"/>
      <c r="SPO895" s="926"/>
      <c r="SPP895" s="926"/>
      <c r="SPQ895" s="926"/>
      <c r="SPR895" s="926"/>
      <c r="SPS895" s="926"/>
      <c r="SPT895" s="926"/>
      <c r="SPU895" s="926"/>
      <c r="SPV895" s="926"/>
      <c r="SPW895" s="926"/>
      <c r="SPX895" s="926"/>
      <c r="SPY895" s="926"/>
      <c r="SPZ895" s="926"/>
      <c r="SQA895" s="926"/>
      <c r="SQB895" s="926"/>
      <c r="SQC895" s="926"/>
      <c r="SQD895" s="926"/>
      <c r="SQE895" s="926"/>
      <c r="SQF895" s="926"/>
      <c r="SQG895" s="926"/>
      <c r="SQH895" s="926"/>
      <c r="SQI895" s="926"/>
      <c r="SQJ895" s="926"/>
      <c r="SQK895" s="926"/>
      <c r="SQL895" s="926"/>
      <c r="SQM895" s="926"/>
      <c r="SQN895" s="926"/>
      <c r="SQO895" s="926"/>
      <c r="SQP895" s="926"/>
      <c r="SQQ895" s="926"/>
      <c r="SQR895" s="926"/>
      <c r="SQS895" s="926"/>
      <c r="SQT895" s="926"/>
      <c r="SQU895" s="926"/>
      <c r="SQV895" s="926"/>
      <c r="SQW895" s="926"/>
      <c r="SQX895" s="926"/>
      <c r="SQY895" s="926"/>
      <c r="SQZ895" s="926"/>
      <c r="SRA895" s="926"/>
      <c r="SRB895" s="926"/>
      <c r="SRC895" s="926"/>
      <c r="SRD895" s="926"/>
      <c r="SRE895" s="926"/>
      <c r="SRF895" s="926"/>
      <c r="SRG895" s="926"/>
      <c r="SRH895" s="926"/>
      <c r="SRI895" s="926"/>
      <c r="SRJ895" s="926"/>
      <c r="SRK895" s="926"/>
      <c r="SRL895" s="926"/>
      <c r="SRM895" s="926"/>
      <c r="SRN895" s="926"/>
      <c r="SRO895" s="926"/>
      <c r="SRP895" s="926"/>
      <c r="SRQ895" s="926"/>
      <c r="SRR895" s="926"/>
      <c r="SRS895" s="926"/>
      <c r="SRT895" s="926"/>
      <c r="SRU895" s="926"/>
      <c r="SRV895" s="926"/>
      <c r="SRW895" s="926"/>
      <c r="SRX895" s="926"/>
      <c r="SRY895" s="926"/>
      <c r="SRZ895" s="926"/>
      <c r="SSA895" s="926"/>
      <c r="SSB895" s="926"/>
      <c r="SSC895" s="926"/>
      <c r="SSD895" s="926"/>
      <c r="SSE895" s="926"/>
      <c r="SSF895" s="926"/>
      <c r="SSG895" s="926"/>
      <c r="SSH895" s="926"/>
      <c r="SSI895" s="926"/>
      <c r="SSJ895" s="926"/>
      <c r="SSK895" s="926"/>
      <c r="SSL895" s="926"/>
      <c r="SSM895" s="926"/>
      <c r="SSN895" s="926"/>
      <c r="SSO895" s="926"/>
      <c r="SSP895" s="926"/>
      <c r="SSQ895" s="926"/>
      <c r="SSR895" s="926"/>
      <c r="SSS895" s="926"/>
      <c r="SST895" s="926"/>
      <c r="SSU895" s="926"/>
      <c r="SSV895" s="926"/>
      <c r="SSW895" s="926"/>
      <c r="SSX895" s="926"/>
      <c r="SSY895" s="926"/>
      <c r="SSZ895" s="926"/>
      <c r="STA895" s="926"/>
      <c r="STB895" s="926"/>
      <c r="STC895" s="926"/>
      <c r="STD895" s="926"/>
      <c r="STE895" s="926"/>
      <c r="STF895" s="926"/>
      <c r="STG895" s="926"/>
      <c r="STH895" s="926"/>
      <c r="STI895" s="926"/>
      <c r="STJ895" s="926"/>
      <c r="STK895" s="926"/>
      <c r="STL895" s="926"/>
      <c r="STM895" s="926"/>
      <c r="STN895" s="926"/>
      <c r="STO895" s="926"/>
      <c r="STP895" s="926"/>
      <c r="STQ895" s="926"/>
      <c r="STR895" s="926"/>
      <c r="STS895" s="926"/>
      <c r="STT895" s="926"/>
      <c r="STU895" s="926"/>
      <c r="STV895" s="926"/>
      <c r="STW895" s="926"/>
      <c r="STX895" s="926"/>
      <c r="STY895" s="926"/>
      <c r="STZ895" s="926"/>
      <c r="SUA895" s="926"/>
      <c r="SUB895" s="926"/>
      <c r="SUC895" s="926"/>
      <c r="SUD895" s="926"/>
      <c r="SUE895" s="926"/>
      <c r="SUF895" s="926"/>
      <c r="SUG895" s="926"/>
      <c r="SUH895" s="926"/>
      <c r="SUI895" s="926"/>
      <c r="SUJ895" s="926"/>
      <c r="SUK895" s="926"/>
      <c r="SUL895" s="926"/>
      <c r="SUM895" s="926"/>
      <c r="SUN895" s="926"/>
      <c r="SUO895" s="926"/>
      <c r="SUP895" s="926"/>
      <c r="SUQ895" s="926"/>
      <c r="SUR895" s="926"/>
      <c r="SUS895" s="926"/>
      <c r="SUT895" s="926"/>
      <c r="SUU895" s="926"/>
      <c r="SUV895" s="926"/>
      <c r="SUW895" s="926"/>
      <c r="SUX895" s="926"/>
      <c r="SUY895" s="926"/>
      <c r="SUZ895" s="926"/>
      <c r="SVA895" s="926"/>
      <c r="SVB895" s="926"/>
      <c r="SVC895" s="926"/>
      <c r="SVD895" s="926"/>
      <c r="SVE895" s="926"/>
      <c r="SVF895" s="926"/>
      <c r="SVG895" s="926"/>
      <c r="SVH895" s="926"/>
      <c r="SVI895" s="926"/>
      <c r="SVJ895" s="926"/>
      <c r="SVK895" s="926"/>
      <c r="SVL895" s="926"/>
      <c r="SVM895" s="926"/>
      <c r="SVN895" s="926"/>
      <c r="SVO895" s="926"/>
      <c r="SVP895" s="926"/>
      <c r="SVQ895" s="926"/>
      <c r="SVR895" s="926"/>
      <c r="SVS895" s="926"/>
      <c r="SVT895" s="926"/>
      <c r="SVU895" s="926"/>
      <c r="SVV895" s="926"/>
      <c r="SVW895" s="926"/>
      <c r="SVX895" s="926"/>
      <c r="SVY895" s="926"/>
      <c r="SVZ895" s="926"/>
      <c r="SWA895" s="926"/>
      <c r="SWB895" s="926"/>
      <c r="SWC895" s="926"/>
      <c r="SWD895" s="926"/>
      <c r="SWE895" s="926"/>
      <c r="SWF895" s="926"/>
      <c r="SWG895" s="926"/>
      <c r="SWH895" s="926"/>
      <c r="SWI895" s="926"/>
      <c r="SWJ895" s="926"/>
      <c r="SWK895" s="926"/>
      <c r="SWL895" s="926"/>
      <c r="SWM895" s="926"/>
      <c r="SWN895" s="926"/>
      <c r="SWO895" s="926"/>
      <c r="SWP895" s="926"/>
      <c r="SWQ895" s="926"/>
      <c r="SWR895" s="926"/>
      <c r="SWS895" s="926"/>
      <c r="SWT895" s="926"/>
      <c r="SWU895" s="926"/>
      <c r="SWV895" s="926"/>
      <c r="SWW895" s="926"/>
      <c r="SWX895" s="926"/>
      <c r="SWY895" s="926"/>
      <c r="SWZ895" s="926"/>
      <c r="SXA895" s="926"/>
      <c r="SXB895" s="926"/>
      <c r="SXC895" s="926"/>
      <c r="SXD895" s="926"/>
      <c r="SXE895" s="926"/>
      <c r="SXF895" s="926"/>
      <c r="SXG895" s="926"/>
      <c r="SXH895" s="926"/>
      <c r="SXI895" s="926"/>
      <c r="SXJ895" s="926"/>
      <c r="SXK895" s="926"/>
      <c r="SXL895" s="926"/>
      <c r="SXM895" s="926"/>
      <c r="SXN895" s="926"/>
      <c r="SXO895" s="926"/>
      <c r="SXP895" s="926"/>
      <c r="SXQ895" s="926"/>
      <c r="SXR895" s="926"/>
      <c r="SXS895" s="926"/>
      <c r="SXT895" s="926"/>
      <c r="SXU895" s="926"/>
      <c r="SXV895" s="926"/>
      <c r="SXW895" s="926"/>
      <c r="SXX895" s="926"/>
      <c r="SXY895" s="926"/>
      <c r="SXZ895" s="926"/>
      <c r="SYA895" s="926"/>
      <c r="SYB895" s="926"/>
      <c r="SYC895" s="926"/>
      <c r="SYD895" s="926"/>
      <c r="SYE895" s="926"/>
      <c r="SYF895" s="926"/>
      <c r="SYG895" s="926"/>
      <c r="SYH895" s="926"/>
      <c r="SYI895" s="926"/>
      <c r="SYJ895" s="926"/>
      <c r="SYK895" s="926"/>
      <c r="SYL895" s="926"/>
      <c r="SYM895" s="926"/>
      <c r="SYN895" s="926"/>
      <c r="SYO895" s="926"/>
      <c r="SYP895" s="926"/>
      <c r="SYQ895" s="926"/>
      <c r="SYR895" s="926"/>
      <c r="SYS895" s="926"/>
      <c r="SYT895" s="926"/>
      <c r="SYU895" s="926"/>
      <c r="SYV895" s="926"/>
      <c r="SYW895" s="926"/>
      <c r="SYX895" s="926"/>
      <c r="SYY895" s="926"/>
      <c r="SYZ895" s="926"/>
      <c r="SZA895" s="926"/>
      <c r="SZB895" s="926"/>
      <c r="SZC895" s="926"/>
      <c r="SZD895" s="926"/>
      <c r="SZE895" s="926"/>
      <c r="SZF895" s="926"/>
      <c r="SZG895" s="926"/>
      <c r="SZH895" s="926"/>
      <c r="SZI895" s="926"/>
      <c r="SZJ895" s="926"/>
      <c r="SZK895" s="926"/>
      <c r="SZL895" s="926"/>
      <c r="SZM895" s="926"/>
      <c r="SZN895" s="926"/>
      <c r="SZO895" s="926"/>
      <c r="SZP895" s="926"/>
      <c r="SZQ895" s="926"/>
      <c r="SZR895" s="926"/>
      <c r="SZS895" s="926"/>
      <c r="SZT895" s="926"/>
      <c r="SZU895" s="926"/>
      <c r="SZV895" s="926"/>
      <c r="SZW895" s="926"/>
      <c r="SZX895" s="926"/>
      <c r="SZY895" s="926"/>
      <c r="SZZ895" s="926"/>
      <c r="TAA895" s="926"/>
      <c r="TAB895" s="926"/>
      <c r="TAC895" s="926"/>
      <c r="TAD895" s="926"/>
      <c r="TAE895" s="926"/>
      <c r="TAF895" s="926"/>
      <c r="TAG895" s="926"/>
      <c r="TAH895" s="926"/>
      <c r="TAI895" s="926"/>
      <c r="TAJ895" s="926"/>
      <c r="TAK895" s="926"/>
      <c r="TAL895" s="926"/>
      <c r="TAM895" s="926"/>
      <c r="TAN895" s="926"/>
      <c r="TAO895" s="926"/>
      <c r="TAP895" s="926"/>
      <c r="TAQ895" s="926"/>
      <c r="TAR895" s="926"/>
      <c r="TAS895" s="926"/>
      <c r="TAT895" s="926"/>
      <c r="TAU895" s="926"/>
      <c r="TAV895" s="926"/>
      <c r="TAW895" s="926"/>
      <c r="TAX895" s="926"/>
      <c r="TAY895" s="926"/>
      <c r="TAZ895" s="926"/>
      <c r="TBA895" s="926"/>
      <c r="TBB895" s="926"/>
      <c r="TBC895" s="926"/>
      <c r="TBD895" s="926"/>
      <c r="TBE895" s="926"/>
      <c r="TBF895" s="926"/>
      <c r="TBG895" s="926"/>
      <c r="TBH895" s="926"/>
      <c r="TBI895" s="926"/>
      <c r="TBJ895" s="926"/>
      <c r="TBK895" s="926"/>
      <c r="TBL895" s="926"/>
      <c r="TBM895" s="926"/>
      <c r="TBN895" s="926"/>
      <c r="TBO895" s="926"/>
      <c r="TBP895" s="926"/>
      <c r="TBQ895" s="926"/>
      <c r="TBR895" s="926"/>
      <c r="TBS895" s="926"/>
      <c r="TBT895" s="926"/>
      <c r="TBU895" s="926"/>
      <c r="TBV895" s="926"/>
      <c r="TBW895" s="926"/>
      <c r="TBX895" s="926"/>
      <c r="TBY895" s="926"/>
      <c r="TBZ895" s="926"/>
      <c r="TCA895" s="926"/>
      <c r="TCB895" s="926"/>
      <c r="TCC895" s="926"/>
      <c r="TCD895" s="926"/>
      <c r="TCE895" s="926"/>
      <c r="TCF895" s="926"/>
      <c r="TCG895" s="926"/>
      <c r="TCH895" s="926"/>
      <c r="TCI895" s="926"/>
      <c r="TCJ895" s="926"/>
      <c r="TCK895" s="926"/>
      <c r="TCL895" s="926"/>
      <c r="TCM895" s="926"/>
      <c r="TCN895" s="926"/>
      <c r="TCO895" s="926"/>
      <c r="TCP895" s="926"/>
      <c r="TCQ895" s="926"/>
      <c r="TCR895" s="926"/>
      <c r="TCS895" s="926"/>
      <c r="TCT895" s="926"/>
      <c r="TCU895" s="926"/>
      <c r="TCV895" s="926"/>
      <c r="TCW895" s="926"/>
      <c r="TCX895" s="926"/>
      <c r="TCY895" s="926"/>
      <c r="TCZ895" s="926"/>
      <c r="TDA895" s="926"/>
      <c r="TDB895" s="926"/>
      <c r="TDC895" s="926"/>
      <c r="TDD895" s="926"/>
      <c r="TDE895" s="926"/>
      <c r="TDF895" s="926"/>
      <c r="TDG895" s="926"/>
      <c r="TDH895" s="926"/>
      <c r="TDI895" s="926"/>
      <c r="TDJ895" s="926"/>
      <c r="TDK895" s="926"/>
      <c r="TDL895" s="926"/>
      <c r="TDM895" s="926"/>
      <c r="TDN895" s="926"/>
      <c r="TDO895" s="926"/>
      <c r="TDP895" s="926"/>
      <c r="TDQ895" s="926"/>
      <c r="TDR895" s="926"/>
      <c r="TDS895" s="926"/>
      <c r="TDT895" s="926"/>
      <c r="TDU895" s="926"/>
      <c r="TDV895" s="926"/>
      <c r="TDW895" s="926"/>
      <c r="TDX895" s="926"/>
      <c r="TDY895" s="926"/>
      <c r="TDZ895" s="926"/>
      <c r="TEA895" s="926"/>
      <c r="TEB895" s="926"/>
      <c r="TEC895" s="926"/>
      <c r="TED895" s="926"/>
      <c r="TEE895" s="926"/>
      <c r="TEF895" s="926"/>
      <c r="TEG895" s="926"/>
      <c r="TEH895" s="926"/>
      <c r="TEI895" s="926"/>
      <c r="TEJ895" s="926"/>
      <c r="TEK895" s="926"/>
      <c r="TEL895" s="926"/>
      <c r="TEM895" s="926"/>
      <c r="TEN895" s="926"/>
      <c r="TEO895" s="926"/>
      <c r="TEP895" s="926"/>
      <c r="TEQ895" s="926"/>
      <c r="TER895" s="926"/>
      <c r="TES895" s="926"/>
      <c r="TET895" s="926"/>
      <c r="TEU895" s="926"/>
      <c r="TEV895" s="926"/>
      <c r="TEW895" s="926"/>
      <c r="TEX895" s="926"/>
      <c r="TEY895" s="926"/>
      <c r="TEZ895" s="926"/>
      <c r="TFA895" s="926"/>
      <c r="TFB895" s="926"/>
      <c r="TFC895" s="926"/>
      <c r="TFD895" s="926"/>
      <c r="TFE895" s="926"/>
      <c r="TFF895" s="926"/>
      <c r="TFG895" s="926"/>
      <c r="TFH895" s="926"/>
      <c r="TFI895" s="926"/>
      <c r="TFJ895" s="926"/>
      <c r="TFK895" s="926"/>
      <c r="TFL895" s="926"/>
      <c r="TFM895" s="926"/>
      <c r="TFN895" s="926"/>
      <c r="TFO895" s="926"/>
      <c r="TFP895" s="926"/>
      <c r="TFQ895" s="926"/>
      <c r="TFR895" s="926"/>
      <c r="TFS895" s="926"/>
      <c r="TFT895" s="926"/>
      <c r="TFU895" s="926"/>
      <c r="TFV895" s="926"/>
      <c r="TFW895" s="926"/>
      <c r="TFX895" s="926"/>
      <c r="TFY895" s="926"/>
      <c r="TFZ895" s="926"/>
      <c r="TGA895" s="926"/>
      <c r="TGB895" s="926"/>
      <c r="TGC895" s="926"/>
      <c r="TGD895" s="926"/>
      <c r="TGE895" s="926"/>
      <c r="TGF895" s="926"/>
      <c r="TGG895" s="926"/>
      <c r="TGH895" s="926"/>
      <c r="TGI895" s="926"/>
      <c r="TGJ895" s="926"/>
      <c r="TGK895" s="926"/>
      <c r="TGL895" s="926"/>
      <c r="TGM895" s="926"/>
      <c r="TGN895" s="926"/>
      <c r="TGO895" s="926"/>
      <c r="TGP895" s="926"/>
      <c r="TGQ895" s="926"/>
      <c r="TGR895" s="926"/>
      <c r="TGS895" s="926"/>
      <c r="TGT895" s="926"/>
      <c r="TGU895" s="926"/>
      <c r="TGV895" s="926"/>
      <c r="TGW895" s="926"/>
      <c r="TGX895" s="926"/>
      <c r="TGY895" s="926"/>
      <c r="TGZ895" s="926"/>
      <c r="THA895" s="926"/>
      <c r="THB895" s="926"/>
      <c r="THC895" s="926"/>
      <c r="THD895" s="926"/>
      <c r="THE895" s="926"/>
      <c r="THF895" s="926"/>
      <c r="THG895" s="926"/>
      <c r="THH895" s="926"/>
      <c r="THI895" s="926"/>
      <c r="THJ895" s="926"/>
      <c r="THK895" s="926"/>
      <c r="THL895" s="926"/>
      <c r="THM895" s="926"/>
      <c r="THN895" s="926"/>
      <c r="THO895" s="926"/>
      <c r="THP895" s="926"/>
      <c r="THQ895" s="926"/>
      <c r="THR895" s="926"/>
      <c r="THS895" s="926"/>
      <c r="THT895" s="926"/>
      <c r="THU895" s="926"/>
      <c r="THV895" s="926"/>
      <c r="THW895" s="926"/>
      <c r="THX895" s="926"/>
      <c r="THY895" s="926"/>
      <c r="THZ895" s="926"/>
      <c r="TIA895" s="926"/>
      <c r="TIB895" s="926"/>
      <c r="TIC895" s="926"/>
      <c r="TID895" s="926"/>
      <c r="TIE895" s="926"/>
      <c r="TIF895" s="926"/>
      <c r="TIG895" s="926"/>
      <c r="TIH895" s="926"/>
      <c r="TII895" s="926"/>
      <c r="TIJ895" s="926"/>
      <c r="TIK895" s="926"/>
      <c r="TIL895" s="926"/>
      <c r="TIM895" s="926"/>
      <c r="TIN895" s="926"/>
      <c r="TIO895" s="926"/>
      <c r="TIP895" s="926"/>
      <c r="TIQ895" s="926"/>
      <c r="TIR895" s="926"/>
      <c r="TIS895" s="926"/>
      <c r="TIT895" s="926"/>
      <c r="TIU895" s="926"/>
      <c r="TIV895" s="926"/>
      <c r="TIW895" s="926"/>
      <c r="TIX895" s="926"/>
      <c r="TIY895" s="926"/>
      <c r="TIZ895" s="926"/>
      <c r="TJA895" s="926"/>
      <c r="TJB895" s="926"/>
      <c r="TJC895" s="926"/>
      <c r="TJD895" s="926"/>
      <c r="TJE895" s="926"/>
      <c r="TJF895" s="926"/>
      <c r="TJG895" s="926"/>
      <c r="TJH895" s="926"/>
      <c r="TJI895" s="926"/>
      <c r="TJJ895" s="926"/>
      <c r="TJK895" s="926"/>
      <c r="TJL895" s="926"/>
      <c r="TJM895" s="926"/>
      <c r="TJN895" s="926"/>
      <c r="TJO895" s="926"/>
      <c r="TJP895" s="926"/>
      <c r="TJQ895" s="926"/>
      <c r="TJR895" s="926"/>
      <c r="TJS895" s="926"/>
      <c r="TJT895" s="926"/>
      <c r="TJU895" s="926"/>
      <c r="TJV895" s="926"/>
      <c r="TJW895" s="926"/>
      <c r="TJX895" s="926"/>
      <c r="TJY895" s="926"/>
      <c r="TJZ895" s="926"/>
      <c r="TKA895" s="926"/>
      <c r="TKB895" s="926"/>
      <c r="TKC895" s="926"/>
      <c r="TKD895" s="926"/>
      <c r="TKE895" s="926"/>
      <c r="TKF895" s="926"/>
      <c r="TKG895" s="926"/>
      <c r="TKH895" s="926"/>
      <c r="TKI895" s="926"/>
      <c r="TKJ895" s="926"/>
      <c r="TKK895" s="926"/>
      <c r="TKL895" s="926"/>
      <c r="TKM895" s="926"/>
      <c r="TKN895" s="926"/>
      <c r="TKO895" s="926"/>
      <c r="TKP895" s="926"/>
      <c r="TKQ895" s="926"/>
      <c r="TKR895" s="926"/>
      <c r="TKS895" s="926"/>
      <c r="TKT895" s="926"/>
      <c r="TKU895" s="926"/>
      <c r="TKV895" s="926"/>
      <c r="TKW895" s="926"/>
      <c r="TKX895" s="926"/>
      <c r="TKY895" s="926"/>
      <c r="TKZ895" s="926"/>
      <c r="TLA895" s="926"/>
      <c r="TLB895" s="926"/>
      <c r="TLC895" s="926"/>
      <c r="TLD895" s="926"/>
      <c r="TLE895" s="926"/>
      <c r="TLF895" s="926"/>
      <c r="TLG895" s="926"/>
      <c r="TLH895" s="926"/>
      <c r="TLI895" s="926"/>
      <c r="TLJ895" s="926"/>
      <c r="TLK895" s="926"/>
      <c r="TLL895" s="926"/>
      <c r="TLM895" s="926"/>
      <c r="TLN895" s="926"/>
      <c r="TLO895" s="926"/>
      <c r="TLP895" s="926"/>
      <c r="TLQ895" s="926"/>
      <c r="TLR895" s="926"/>
      <c r="TLS895" s="926"/>
      <c r="TLT895" s="926"/>
      <c r="TLU895" s="926"/>
      <c r="TLV895" s="926"/>
      <c r="TLW895" s="926"/>
      <c r="TLX895" s="926"/>
      <c r="TLY895" s="926"/>
      <c r="TLZ895" s="926"/>
      <c r="TMA895" s="926"/>
      <c r="TMB895" s="926"/>
      <c r="TMC895" s="926"/>
      <c r="TMD895" s="926"/>
      <c r="TME895" s="926"/>
      <c r="TMF895" s="926"/>
      <c r="TMG895" s="926"/>
      <c r="TMH895" s="926"/>
      <c r="TMI895" s="926"/>
      <c r="TMJ895" s="926"/>
      <c r="TMK895" s="926"/>
      <c r="TML895" s="926"/>
      <c r="TMM895" s="926"/>
      <c r="TMN895" s="926"/>
      <c r="TMO895" s="926"/>
      <c r="TMP895" s="926"/>
      <c r="TMQ895" s="926"/>
      <c r="TMR895" s="926"/>
      <c r="TMS895" s="926"/>
      <c r="TMT895" s="926"/>
      <c r="TMU895" s="926"/>
      <c r="TMV895" s="926"/>
      <c r="TMW895" s="926"/>
      <c r="TMX895" s="926"/>
      <c r="TMY895" s="926"/>
      <c r="TMZ895" s="926"/>
      <c r="TNA895" s="926"/>
      <c r="TNB895" s="926"/>
      <c r="TNC895" s="926"/>
      <c r="TND895" s="926"/>
      <c r="TNE895" s="926"/>
      <c r="TNF895" s="926"/>
      <c r="TNG895" s="926"/>
      <c r="TNH895" s="926"/>
      <c r="TNI895" s="926"/>
      <c r="TNJ895" s="926"/>
      <c r="TNK895" s="926"/>
      <c r="TNL895" s="926"/>
      <c r="TNM895" s="926"/>
      <c r="TNN895" s="926"/>
      <c r="TNO895" s="926"/>
      <c r="TNP895" s="926"/>
      <c r="TNQ895" s="926"/>
      <c r="TNR895" s="926"/>
      <c r="TNS895" s="926"/>
      <c r="TNT895" s="926"/>
      <c r="TNU895" s="926"/>
      <c r="TNV895" s="926"/>
      <c r="TNW895" s="926"/>
      <c r="TNX895" s="926"/>
      <c r="TNY895" s="926"/>
      <c r="TNZ895" s="926"/>
      <c r="TOA895" s="926"/>
      <c r="TOB895" s="926"/>
      <c r="TOC895" s="926"/>
      <c r="TOD895" s="926"/>
      <c r="TOE895" s="926"/>
      <c r="TOF895" s="926"/>
      <c r="TOG895" s="926"/>
      <c r="TOH895" s="926"/>
      <c r="TOI895" s="926"/>
      <c r="TOJ895" s="926"/>
      <c r="TOK895" s="926"/>
      <c r="TOL895" s="926"/>
      <c r="TOM895" s="926"/>
      <c r="TON895" s="926"/>
      <c r="TOO895" s="926"/>
      <c r="TOP895" s="926"/>
      <c r="TOQ895" s="926"/>
      <c r="TOR895" s="926"/>
      <c r="TOS895" s="926"/>
      <c r="TOT895" s="926"/>
      <c r="TOU895" s="926"/>
      <c r="TOV895" s="926"/>
      <c r="TOW895" s="926"/>
      <c r="TOX895" s="926"/>
      <c r="TOY895" s="926"/>
      <c r="TOZ895" s="926"/>
      <c r="TPA895" s="926"/>
      <c r="TPB895" s="926"/>
      <c r="TPC895" s="926"/>
      <c r="TPD895" s="926"/>
      <c r="TPE895" s="926"/>
      <c r="TPF895" s="926"/>
      <c r="TPG895" s="926"/>
      <c r="TPH895" s="926"/>
      <c r="TPI895" s="926"/>
      <c r="TPJ895" s="926"/>
      <c r="TPK895" s="926"/>
      <c r="TPL895" s="926"/>
      <c r="TPM895" s="926"/>
      <c r="TPN895" s="926"/>
      <c r="TPO895" s="926"/>
      <c r="TPP895" s="926"/>
      <c r="TPQ895" s="926"/>
      <c r="TPR895" s="926"/>
      <c r="TPS895" s="926"/>
      <c r="TPT895" s="926"/>
      <c r="TPU895" s="926"/>
      <c r="TPV895" s="926"/>
      <c r="TPW895" s="926"/>
      <c r="TPX895" s="926"/>
      <c r="TPY895" s="926"/>
      <c r="TPZ895" s="926"/>
      <c r="TQA895" s="926"/>
      <c r="TQB895" s="926"/>
      <c r="TQC895" s="926"/>
      <c r="TQD895" s="926"/>
      <c r="TQE895" s="926"/>
      <c r="TQF895" s="926"/>
      <c r="TQG895" s="926"/>
      <c r="TQH895" s="926"/>
      <c r="TQI895" s="926"/>
      <c r="TQJ895" s="926"/>
      <c r="TQK895" s="926"/>
      <c r="TQL895" s="926"/>
      <c r="TQM895" s="926"/>
      <c r="TQN895" s="926"/>
      <c r="TQO895" s="926"/>
      <c r="TQP895" s="926"/>
      <c r="TQQ895" s="926"/>
      <c r="TQR895" s="926"/>
      <c r="TQS895" s="926"/>
      <c r="TQT895" s="926"/>
      <c r="TQU895" s="926"/>
      <c r="TQV895" s="926"/>
      <c r="TQW895" s="926"/>
      <c r="TQX895" s="926"/>
      <c r="TQY895" s="926"/>
      <c r="TQZ895" s="926"/>
      <c r="TRA895" s="926"/>
      <c r="TRB895" s="926"/>
      <c r="TRC895" s="926"/>
      <c r="TRD895" s="926"/>
      <c r="TRE895" s="926"/>
      <c r="TRF895" s="926"/>
      <c r="TRG895" s="926"/>
      <c r="TRH895" s="926"/>
      <c r="TRI895" s="926"/>
      <c r="TRJ895" s="926"/>
      <c r="TRK895" s="926"/>
      <c r="TRL895" s="926"/>
      <c r="TRM895" s="926"/>
      <c r="TRN895" s="926"/>
      <c r="TRO895" s="926"/>
      <c r="TRP895" s="926"/>
      <c r="TRQ895" s="926"/>
      <c r="TRR895" s="926"/>
      <c r="TRS895" s="926"/>
      <c r="TRT895" s="926"/>
      <c r="TRU895" s="926"/>
      <c r="TRV895" s="926"/>
      <c r="TRW895" s="926"/>
      <c r="TRX895" s="926"/>
      <c r="TRY895" s="926"/>
      <c r="TRZ895" s="926"/>
      <c r="TSA895" s="926"/>
      <c r="TSB895" s="926"/>
      <c r="TSC895" s="926"/>
      <c r="TSD895" s="926"/>
      <c r="TSE895" s="926"/>
      <c r="TSF895" s="926"/>
      <c r="TSG895" s="926"/>
      <c r="TSH895" s="926"/>
      <c r="TSI895" s="926"/>
      <c r="TSJ895" s="926"/>
      <c r="TSK895" s="926"/>
      <c r="TSL895" s="926"/>
      <c r="TSM895" s="926"/>
      <c r="TSN895" s="926"/>
      <c r="TSO895" s="926"/>
      <c r="TSP895" s="926"/>
      <c r="TSQ895" s="926"/>
      <c r="TSR895" s="926"/>
      <c r="TSS895" s="926"/>
      <c r="TST895" s="926"/>
      <c r="TSU895" s="926"/>
      <c r="TSV895" s="926"/>
      <c r="TSW895" s="926"/>
      <c r="TSX895" s="926"/>
      <c r="TSY895" s="926"/>
      <c r="TSZ895" s="926"/>
      <c r="TTA895" s="926"/>
      <c r="TTB895" s="926"/>
      <c r="TTC895" s="926"/>
      <c r="TTD895" s="926"/>
      <c r="TTE895" s="926"/>
      <c r="TTF895" s="926"/>
      <c r="TTG895" s="926"/>
      <c r="TTH895" s="926"/>
      <c r="TTI895" s="926"/>
      <c r="TTJ895" s="926"/>
      <c r="TTK895" s="926"/>
      <c r="TTL895" s="926"/>
      <c r="TTM895" s="926"/>
      <c r="TTN895" s="926"/>
      <c r="TTO895" s="926"/>
      <c r="TTP895" s="926"/>
      <c r="TTQ895" s="926"/>
      <c r="TTR895" s="926"/>
      <c r="TTS895" s="926"/>
      <c r="TTT895" s="926"/>
      <c r="TTU895" s="926"/>
      <c r="TTV895" s="926"/>
      <c r="TTW895" s="926"/>
      <c r="TTX895" s="926"/>
      <c r="TTY895" s="926"/>
      <c r="TTZ895" s="926"/>
      <c r="TUA895" s="926"/>
      <c r="TUB895" s="926"/>
      <c r="TUC895" s="926"/>
      <c r="TUD895" s="926"/>
      <c r="TUE895" s="926"/>
      <c r="TUF895" s="926"/>
      <c r="TUG895" s="926"/>
      <c r="TUH895" s="926"/>
      <c r="TUI895" s="926"/>
      <c r="TUJ895" s="926"/>
      <c r="TUK895" s="926"/>
      <c r="TUL895" s="926"/>
      <c r="TUM895" s="926"/>
      <c r="TUN895" s="926"/>
      <c r="TUO895" s="926"/>
      <c r="TUP895" s="926"/>
      <c r="TUQ895" s="926"/>
      <c r="TUR895" s="926"/>
      <c r="TUS895" s="926"/>
      <c r="TUT895" s="926"/>
      <c r="TUU895" s="926"/>
      <c r="TUV895" s="926"/>
      <c r="TUW895" s="926"/>
      <c r="TUX895" s="926"/>
      <c r="TUY895" s="926"/>
      <c r="TUZ895" s="926"/>
      <c r="TVA895" s="926"/>
      <c r="TVB895" s="926"/>
      <c r="TVC895" s="926"/>
      <c r="TVD895" s="926"/>
      <c r="TVE895" s="926"/>
      <c r="TVF895" s="926"/>
      <c r="TVG895" s="926"/>
      <c r="TVH895" s="926"/>
      <c r="TVI895" s="926"/>
      <c r="TVJ895" s="926"/>
      <c r="TVK895" s="926"/>
      <c r="TVL895" s="926"/>
      <c r="TVM895" s="926"/>
      <c r="TVN895" s="926"/>
      <c r="TVO895" s="926"/>
      <c r="TVP895" s="926"/>
      <c r="TVQ895" s="926"/>
      <c r="TVR895" s="926"/>
      <c r="TVS895" s="926"/>
      <c r="TVT895" s="926"/>
      <c r="TVU895" s="926"/>
      <c r="TVV895" s="926"/>
      <c r="TVW895" s="926"/>
      <c r="TVX895" s="926"/>
      <c r="TVY895" s="926"/>
      <c r="TVZ895" s="926"/>
      <c r="TWA895" s="926"/>
      <c r="TWB895" s="926"/>
      <c r="TWC895" s="926"/>
      <c r="TWD895" s="926"/>
      <c r="TWE895" s="926"/>
      <c r="TWF895" s="926"/>
      <c r="TWG895" s="926"/>
      <c r="TWH895" s="926"/>
      <c r="TWI895" s="926"/>
      <c r="TWJ895" s="926"/>
      <c r="TWK895" s="926"/>
      <c r="TWL895" s="926"/>
      <c r="TWM895" s="926"/>
      <c r="TWN895" s="926"/>
      <c r="TWO895" s="926"/>
      <c r="TWP895" s="926"/>
      <c r="TWQ895" s="926"/>
      <c r="TWR895" s="926"/>
      <c r="TWS895" s="926"/>
      <c r="TWT895" s="926"/>
      <c r="TWU895" s="926"/>
      <c r="TWV895" s="926"/>
      <c r="TWW895" s="926"/>
      <c r="TWX895" s="926"/>
      <c r="TWY895" s="926"/>
      <c r="TWZ895" s="926"/>
      <c r="TXA895" s="926"/>
      <c r="TXB895" s="926"/>
      <c r="TXC895" s="926"/>
      <c r="TXD895" s="926"/>
      <c r="TXE895" s="926"/>
      <c r="TXF895" s="926"/>
      <c r="TXG895" s="926"/>
      <c r="TXH895" s="926"/>
      <c r="TXI895" s="926"/>
      <c r="TXJ895" s="926"/>
      <c r="TXK895" s="926"/>
      <c r="TXL895" s="926"/>
      <c r="TXM895" s="926"/>
      <c r="TXN895" s="926"/>
      <c r="TXO895" s="926"/>
      <c r="TXP895" s="926"/>
      <c r="TXQ895" s="926"/>
      <c r="TXR895" s="926"/>
      <c r="TXS895" s="926"/>
      <c r="TXT895" s="926"/>
      <c r="TXU895" s="926"/>
      <c r="TXV895" s="926"/>
      <c r="TXW895" s="926"/>
      <c r="TXX895" s="926"/>
      <c r="TXY895" s="926"/>
      <c r="TXZ895" s="926"/>
      <c r="TYA895" s="926"/>
      <c r="TYB895" s="926"/>
      <c r="TYC895" s="926"/>
      <c r="TYD895" s="926"/>
      <c r="TYE895" s="926"/>
      <c r="TYF895" s="926"/>
      <c r="TYG895" s="926"/>
      <c r="TYH895" s="926"/>
      <c r="TYI895" s="926"/>
      <c r="TYJ895" s="926"/>
      <c r="TYK895" s="926"/>
      <c r="TYL895" s="926"/>
      <c r="TYM895" s="926"/>
      <c r="TYN895" s="926"/>
      <c r="TYO895" s="926"/>
      <c r="TYP895" s="926"/>
      <c r="TYQ895" s="926"/>
      <c r="TYR895" s="926"/>
      <c r="TYS895" s="926"/>
      <c r="TYT895" s="926"/>
      <c r="TYU895" s="926"/>
      <c r="TYV895" s="926"/>
      <c r="TYW895" s="926"/>
      <c r="TYX895" s="926"/>
      <c r="TYY895" s="926"/>
      <c r="TYZ895" s="926"/>
      <c r="TZA895" s="926"/>
      <c r="TZB895" s="926"/>
      <c r="TZC895" s="926"/>
      <c r="TZD895" s="926"/>
      <c r="TZE895" s="926"/>
      <c r="TZF895" s="926"/>
      <c r="TZG895" s="926"/>
      <c r="TZH895" s="926"/>
      <c r="TZI895" s="926"/>
      <c r="TZJ895" s="926"/>
      <c r="TZK895" s="926"/>
      <c r="TZL895" s="926"/>
      <c r="TZM895" s="926"/>
      <c r="TZN895" s="926"/>
      <c r="TZO895" s="926"/>
      <c r="TZP895" s="926"/>
      <c r="TZQ895" s="926"/>
      <c r="TZR895" s="926"/>
      <c r="TZS895" s="926"/>
      <c r="TZT895" s="926"/>
      <c r="TZU895" s="926"/>
      <c r="TZV895" s="926"/>
      <c r="TZW895" s="926"/>
      <c r="TZX895" s="926"/>
      <c r="TZY895" s="926"/>
      <c r="TZZ895" s="926"/>
      <c r="UAA895" s="926"/>
      <c r="UAB895" s="926"/>
      <c r="UAC895" s="926"/>
      <c r="UAD895" s="926"/>
      <c r="UAE895" s="926"/>
      <c r="UAF895" s="926"/>
      <c r="UAG895" s="926"/>
      <c r="UAH895" s="926"/>
      <c r="UAI895" s="926"/>
      <c r="UAJ895" s="926"/>
      <c r="UAK895" s="926"/>
      <c r="UAL895" s="926"/>
      <c r="UAM895" s="926"/>
      <c r="UAN895" s="926"/>
      <c r="UAO895" s="926"/>
      <c r="UAP895" s="926"/>
      <c r="UAQ895" s="926"/>
      <c r="UAR895" s="926"/>
      <c r="UAS895" s="926"/>
      <c r="UAT895" s="926"/>
      <c r="UAU895" s="926"/>
      <c r="UAV895" s="926"/>
      <c r="UAW895" s="926"/>
      <c r="UAX895" s="926"/>
      <c r="UAY895" s="926"/>
      <c r="UAZ895" s="926"/>
      <c r="UBA895" s="926"/>
      <c r="UBB895" s="926"/>
      <c r="UBC895" s="926"/>
      <c r="UBD895" s="926"/>
      <c r="UBE895" s="926"/>
      <c r="UBF895" s="926"/>
      <c r="UBG895" s="926"/>
      <c r="UBH895" s="926"/>
      <c r="UBI895" s="926"/>
      <c r="UBJ895" s="926"/>
      <c r="UBK895" s="926"/>
      <c r="UBL895" s="926"/>
      <c r="UBM895" s="926"/>
      <c r="UBN895" s="926"/>
      <c r="UBO895" s="926"/>
      <c r="UBP895" s="926"/>
      <c r="UBQ895" s="926"/>
      <c r="UBR895" s="926"/>
      <c r="UBS895" s="926"/>
      <c r="UBT895" s="926"/>
      <c r="UBU895" s="926"/>
      <c r="UBV895" s="926"/>
      <c r="UBW895" s="926"/>
      <c r="UBX895" s="926"/>
      <c r="UBY895" s="926"/>
      <c r="UBZ895" s="926"/>
      <c r="UCA895" s="926"/>
      <c r="UCB895" s="926"/>
      <c r="UCC895" s="926"/>
      <c r="UCD895" s="926"/>
      <c r="UCE895" s="926"/>
      <c r="UCF895" s="926"/>
      <c r="UCG895" s="926"/>
      <c r="UCH895" s="926"/>
      <c r="UCI895" s="926"/>
      <c r="UCJ895" s="926"/>
      <c r="UCK895" s="926"/>
      <c r="UCL895" s="926"/>
      <c r="UCM895" s="926"/>
      <c r="UCN895" s="926"/>
      <c r="UCO895" s="926"/>
      <c r="UCP895" s="926"/>
      <c r="UCQ895" s="926"/>
      <c r="UCR895" s="926"/>
      <c r="UCS895" s="926"/>
      <c r="UCT895" s="926"/>
      <c r="UCU895" s="926"/>
      <c r="UCV895" s="926"/>
      <c r="UCW895" s="926"/>
      <c r="UCX895" s="926"/>
      <c r="UCY895" s="926"/>
      <c r="UCZ895" s="926"/>
      <c r="UDA895" s="926"/>
      <c r="UDB895" s="926"/>
      <c r="UDC895" s="926"/>
      <c r="UDD895" s="926"/>
      <c r="UDE895" s="926"/>
      <c r="UDF895" s="926"/>
      <c r="UDG895" s="926"/>
      <c r="UDH895" s="926"/>
      <c r="UDI895" s="926"/>
      <c r="UDJ895" s="926"/>
      <c r="UDK895" s="926"/>
      <c r="UDL895" s="926"/>
      <c r="UDM895" s="926"/>
      <c r="UDN895" s="926"/>
      <c r="UDO895" s="926"/>
      <c r="UDP895" s="926"/>
      <c r="UDQ895" s="926"/>
      <c r="UDR895" s="926"/>
      <c r="UDS895" s="926"/>
      <c r="UDT895" s="926"/>
      <c r="UDU895" s="926"/>
      <c r="UDV895" s="926"/>
      <c r="UDW895" s="926"/>
      <c r="UDX895" s="926"/>
      <c r="UDY895" s="926"/>
      <c r="UDZ895" s="926"/>
      <c r="UEA895" s="926"/>
      <c r="UEB895" s="926"/>
      <c r="UEC895" s="926"/>
      <c r="UED895" s="926"/>
      <c r="UEE895" s="926"/>
      <c r="UEF895" s="926"/>
      <c r="UEG895" s="926"/>
      <c r="UEH895" s="926"/>
      <c r="UEI895" s="926"/>
      <c r="UEJ895" s="926"/>
      <c r="UEK895" s="926"/>
      <c r="UEL895" s="926"/>
      <c r="UEM895" s="926"/>
      <c r="UEN895" s="926"/>
      <c r="UEO895" s="926"/>
      <c r="UEP895" s="926"/>
      <c r="UEQ895" s="926"/>
      <c r="UER895" s="926"/>
      <c r="UES895" s="926"/>
      <c r="UET895" s="926"/>
      <c r="UEU895" s="926"/>
      <c r="UEV895" s="926"/>
      <c r="UEW895" s="926"/>
      <c r="UEX895" s="926"/>
      <c r="UEY895" s="926"/>
      <c r="UEZ895" s="926"/>
      <c r="UFA895" s="926"/>
      <c r="UFB895" s="926"/>
      <c r="UFC895" s="926"/>
      <c r="UFD895" s="926"/>
      <c r="UFE895" s="926"/>
      <c r="UFF895" s="926"/>
      <c r="UFG895" s="926"/>
      <c r="UFH895" s="926"/>
      <c r="UFI895" s="926"/>
      <c r="UFJ895" s="926"/>
      <c r="UFK895" s="926"/>
      <c r="UFL895" s="926"/>
      <c r="UFM895" s="926"/>
      <c r="UFN895" s="926"/>
      <c r="UFO895" s="926"/>
      <c r="UFP895" s="926"/>
      <c r="UFQ895" s="926"/>
      <c r="UFR895" s="926"/>
      <c r="UFS895" s="926"/>
      <c r="UFT895" s="926"/>
      <c r="UFU895" s="926"/>
      <c r="UFV895" s="926"/>
      <c r="UFW895" s="926"/>
      <c r="UFX895" s="926"/>
      <c r="UFY895" s="926"/>
      <c r="UFZ895" s="926"/>
      <c r="UGA895" s="926"/>
      <c r="UGB895" s="926"/>
      <c r="UGC895" s="926"/>
      <c r="UGD895" s="926"/>
      <c r="UGE895" s="926"/>
      <c r="UGF895" s="926"/>
      <c r="UGG895" s="926"/>
      <c r="UGH895" s="926"/>
      <c r="UGI895" s="926"/>
      <c r="UGJ895" s="926"/>
      <c r="UGK895" s="926"/>
      <c r="UGL895" s="926"/>
      <c r="UGM895" s="926"/>
      <c r="UGN895" s="926"/>
      <c r="UGO895" s="926"/>
      <c r="UGP895" s="926"/>
      <c r="UGQ895" s="926"/>
      <c r="UGR895" s="926"/>
      <c r="UGS895" s="926"/>
      <c r="UGT895" s="926"/>
      <c r="UGU895" s="926"/>
      <c r="UGV895" s="926"/>
      <c r="UGW895" s="926"/>
      <c r="UGX895" s="926"/>
      <c r="UGY895" s="926"/>
      <c r="UGZ895" s="926"/>
      <c r="UHA895" s="926"/>
      <c r="UHB895" s="926"/>
      <c r="UHC895" s="926"/>
      <c r="UHD895" s="926"/>
      <c r="UHE895" s="926"/>
      <c r="UHF895" s="926"/>
      <c r="UHG895" s="926"/>
      <c r="UHH895" s="926"/>
      <c r="UHI895" s="926"/>
      <c r="UHJ895" s="926"/>
      <c r="UHK895" s="926"/>
      <c r="UHL895" s="926"/>
      <c r="UHM895" s="926"/>
      <c r="UHN895" s="926"/>
      <c r="UHO895" s="926"/>
      <c r="UHP895" s="926"/>
      <c r="UHQ895" s="926"/>
      <c r="UHR895" s="926"/>
      <c r="UHS895" s="926"/>
      <c r="UHT895" s="926"/>
      <c r="UHU895" s="926"/>
      <c r="UHV895" s="926"/>
      <c r="UHW895" s="926"/>
      <c r="UHX895" s="926"/>
      <c r="UHY895" s="926"/>
      <c r="UHZ895" s="926"/>
      <c r="UIA895" s="926"/>
      <c r="UIB895" s="926"/>
      <c r="UIC895" s="926"/>
      <c r="UID895" s="926"/>
      <c r="UIE895" s="926"/>
      <c r="UIF895" s="926"/>
      <c r="UIG895" s="926"/>
      <c r="UIH895" s="926"/>
      <c r="UII895" s="926"/>
      <c r="UIJ895" s="926"/>
      <c r="UIK895" s="926"/>
      <c r="UIL895" s="926"/>
      <c r="UIM895" s="926"/>
      <c r="UIN895" s="926"/>
      <c r="UIO895" s="926"/>
      <c r="UIP895" s="926"/>
      <c r="UIQ895" s="926"/>
      <c r="UIR895" s="926"/>
      <c r="UIS895" s="926"/>
      <c r="UIT895" s="926"/>
      <c r="UIU895" s="926"/>
      <c r="UIV895" s="926"/>
      <c r="UIW895" s="926"/>
      <c r="UIX895" s="926"/>
      <c r="UIY895" s="926"/>
      <c r="UIZ895" s="926"/>
      <c r="UJA895" s="926"/>
      <c r="UJB895" s="926"/>
      <c r="UJC895" s="926"/>
      <c r="UJD895" s="926"/>
      <c r="UJE895" s="926"/>
      <c r="UJF895" s="926"/>
      <c r="UJG895" s="926"/>
      <c r="UJH895" s="926"/>
      <c r="UJI895" s="926"/>
      <c r="UJJ895" s="926"/>
      <c r="UJK895" s="926"/>
      <c r="UJL895" s="926"/>
      <c r="UJM895" s="926"/>
      <c r="UJN895" s="926"/>
      <c r="UJO895" s="926"/>
      <c r="UJP895" s="926"/>
      <c r="UJQ895" s="926"/>
      <c r="UJR895" s="926"/>
      <c r="UJS895" s="926"/>
      <c r="UJT895" s="926"/>
      <c r="UJU895" s="926"/>
      <c r="UJV895" s="926"/>
      <c r="UJW895" s="926"/>
      <c r="UJX895" s="926"/>
      <c r="UJY895" s="926"/>
      <c r="UJZ895" s="926"/>
      <c r="UKA895" s="926"/>
      <c r="UKB895" s="926"/>
      <c r="UKC895" s="926"/>
      <c r="UKD895" s="926"/>
      <c r="UKE895" s="926"/>
      <c r="UKF895" s="926"/>
      <c r="UKG895" s="926"/>
      <c r="UKH895" s="926"/>
      <c r="UKI895" s="926"/>
      <c r="UKJ895" s="926"/>
      <c r="UKK895" s="926"/>
      <c r="UKL895" s="926"/>
      <c r="UKM895" s="926"/>
      <c r="UKN895" s="926"/>
      <c r="UKO895" s="926"/>
      <c r="UKP895" s="926"/>
      <c r="UKQ895" s="926"/>
      <c r="UKR895" s="926"/>
      <c r="UKS895" s="926"/>
      <c r="UKT895" s="926"/>
      <c r="UKU895" s="926"/>
      <c r="UKV895" s="926"/>
      <c r="UKW895" s="926"/>
      <c r="UKX895" s="926"/>
      <c r="UKY895" s="926"/>
      <c r="UKZ895" s="926"/>
      <c r="ULA895" s="926"/>
      <c r="ULB895" s="926"/>
      <c r="ULC895" s="926"/>
      <c r="ULD895" s="926"/>
      <c r="ULE895" s="926"/>
      <c r="ULF895" s="926"/>
      <c r="ULG895" s="926"/>
      <c r="ULH895" s="926"/>
      <c r="ULI895" s="926"/>
      <c r="ULJ895" s="926"/>
      <c r="ULK895" s="926"/>
      <c r="ULL895" s="926"/>
      <c r="ULM895" s="926"/>
      <c r="ULN895" s="926"/>
      <c r="ULO895" s="926"/>
      <c r="ULP895" s="926"/>
      <c r="ULQ895" s="926"/>
      <c r="ULR895" s="926"/>
      <c r="ULS895" s="926"/>
      <c r="ULT895" s="926"/>
      <c r="ULU895" s="926"/>
      <c r="ULV895" s="926"/>
      <c r="ULW895" s="926"/>
      <c r="ULX895" s="926"/>
      <c r="ULY895" s="926"/>
      <c r="ULZ895" s="926"/>
      <c r="UMA895" s="926"/>
      <c r="UMB895" s="926"/>
      <c r="UMC895" s="926"/>
      <c r="UMD895" s="926"/>
      <c r="UME895" s="926"/>
      <c r="UMF895" s="926"/>
      <c r="UMG895" s="926"/>
      <c r="UMH895" s="926"/>
      <c r="UMI895" s="926"/>
      <c r="UMJ895" s="926"/>
      <c r="UMK895" s="926"/>
      <c r="UML895" s="926"/>
      <c r="UMM895" s="926"/>
      <c r="UMN895" s="926"/>
      <c r="UMO895" s="926"/>
      <c r="UMP895" s="926"/>
      <c r="UMQ895" s="926"/>
      <c r="UMR895" s="926"/>
      <c r="UMS895" s="926"/>
      <c r="UMT895" s="926"/>
      <c r="UMU895" s="926"/>
      <c r="UMV895" s="926"/>
      <c r="UMW895" s="926"/>
      <c r="UMX895" s="926"/>
      <c r="UMY895" s="926"/>
      <c r="UMZ895" s="926"/>
      <c r="UNA895" s="926"/>
      <c r="UNB895" s="926"/>
      <c r="UNC895" s="926"/>
      <c r="UND895" s="926"/>
      <c r="UNE895" s="926"/>
      <c r="UNF895" s="926"/>
      <c r="UNG895" s="926"/>
      <c r="UNH895" s="926"/>
      <c r="UNI895" s="926"/>
      <c r="UNJ895" s="926"/>
      <c r="UNK895" s="926"/>
      <c r="UNL895" s="926"/>
      <c r="UNM895" s="926"/>
      <c r="UNN895" s="926"/>
      <c r="UNO895" s="926"/>
      <c r="UNP895" s="926"/>
      <c r="UNQ895" s="926"/>
      <c r="UNR895" s="926"/>
      <c r="UNS895" s="926"/>
      <c r="UNT895" s="926"/>
      <c r="UNU895" s="926"/>
      <c r="UNV895" s="926"/>
      <c r="UNW895" s="926"/>
      <c r="UNX895" s="926"/>
      <c r="UNY895" s="926"/>
      <c r="UNZ895" s="926"/>
      <c r="UOA895" s="926"/>
      <c r="UOB895" s="926"/>
      <c r="UOC895" s="926"/>
      <c r="UOD895" s="926"/>
      <c r="UOE895" s="926"/>
      <c r="UOF895" s="926"/>
      <c r="UOG895" s="926"/>
      <c r="UOH895" s="926"/>
      <c r="UOI895" s="926"/>
      <c r="UOJ895" s="926"/>
      <c r="UOK895" s="926"/>
      <c r="UOL895" s="926"/>
      <c r="UOM895" s="926"/>
      <c r="UON895" s="926"/>
      <c r="UOO895" s="926"/>
      <c r="UOP895" s="926"/>
      <c r="UOQ895" s="926"/>
      <c r="UOR895" s="926"/>
      <c r="UOS895" s="926"/>
      <c r="UOT895" s="926"/>
      <c r="UOU895" s="926"/>
      <c r="UOV895" s="926"/>
      <c r="UOW895" s="926"/>
      <c r="UOX895" s="926"/>
      <c r="UOY895" s="926"/>
      <c r="UOZ895" s="926"/>
      <c r="UPA895" s="926"/>
      <c r="UPB895" s="926"/>
      <c r="UPC895" s="926"/>
      <c r="UPD895" s="926"/>
      <c r="UPE895" s="926"/>
      <c r="UPF895" s="926"/>
      <c r="UPG895" s="926"/>
      <c r="UPH895" s="926"/>
      <c r="UPI895" s="926"/>
      <c r="UPJ895" s="926"/>
      <c r="UPK895" s="926"/>
      <c r="UPL895" s="926"/>
      <c r="UPM895" s="926"/>
      <c r="UPN895" s="926"/>
      <c r="UPO895" s="926"/>
      <c r="UPP895" s="926"/>
      <c r="UPQ895" s="926"/>
      <c r="UPR895" s="926"/>
      <c r="UPS895" s="926"/>
      <c r="UPT895" s="926"/>
      <c r="UPU895" s="926"/>
      <c r="UPV895" s="926"/>
      <c r="UPW895" s="926"/>
      <c r="UPX895" s="926"/>
      <c r="UPY895" s="926"/>
      <c r="UPZ895" s="926"/>
      <c r="UQA895" s="926"/>
      <c r="UQB895" s="926"/>
      <c r="UQC895" s="926"/>
      <c r="UQD895" s="926"/>
      <c r="UQE895" s="926"/>
      <c r="UQF895" s="926"/>
      <c r="UQG895" s="926"/>
      <c r="UQH895" s="926"/>
      <c r="UQI895" s="926"/>
      <c r="UQJ895" s="926"/>
      <c r="UQK895" s="926"/>
      <c r="UQL895" s="926"/>
      <c r="UQM895" s="926"/>
      <c r="UQN895" s="926"/>
      <c r="UQO895" s="926"/>
      <c r="UQP895" s="926"/>
      <c r="UQQ895" s="926"/>
      <c r="UQR895" s="926"/>
      <c r="UQS895" s="926"/>
      <c r="UQT895" s="926"/>
      <c r="UQU895" s="926"/>
      <c r="UQV895" s="926"/>
      <c r="UQW895" s="926"/>
      <c r="UQX895" s="926"/>
      <c r="UQY895" s="926"/>
      <c r="UQZ895" s="926"/>
      <c r="URA895" s="926"/>
      <c r="URB895" s="926"/>
      <c r="URC895" s="926"/>
      <c r="URD895" s="926"/>
      <c r="URE895" s="926"/>
      <c r="URF895" s="926"/>
      <c r="URG895" s="926"/>
      <c r="URH895" s="926"/>
      <c r="URI895" s="926"/>
      <c r="URJ895" s="926"/>
      <c r="URK895" s="926"/>
      <c r="URL895" s="926"/>
      <c r="URM895" s="926"/>
      <c r="URN895" s="926"/>
      <c r="URO895" s="926"/>
      <c r="URP895" s="926"/>
      <c r="URQ895" s="926"/>
      <c r="URR895" s="926"/>
      <c r="URS895" s="926"/>
      <c r="URT895" s="926"/>
      <c r="URU895" s="926"/>
      <c r="URV895" s="926"/>
      <c r="URW895" s="926"/>
      <c r="URX895" s="926"/>
      <c r="URY895" s="926"/>
      <c r="URZ895" s="926"/>
      <c r="USA895" s="926"/>
      <c r="USB895" s="926"/>
      <c r="USC895" s="926"/>
      <c r="USD895" s="926"/>
      <c r="USE895" s="926"/>
      <c r="USF895" s="926"/>
      <c r="USG895" s="926"/>
      <c r="USH895" s="926"/>
      <c r="USI895" s="926"/>
      <c r="USJ895" s="926"/>
      <c r="USK895" s="926"/>
      <c r="USL895" s="926"/>
      <c r="USM895" s="926"/>
      <c r="USN895" s="926"/>
      <c r="USO895" s="926"/>
      <c r="USP895" s="926"/>
      <c r="USQ895" s="926"/>
      <c r="USR895" s="926"/>
      <c r="USS895" s="926"/>
      <c r="UST895" s="926"/>
      <c r="USU895" s="926"/>
      <c r="USV895" s="926"/>
      <c r="USW895" s="926"/>
      <c r="USX895" s="926"/>
      <c r="USY895" s="926"/>
      <c r="USZ895" s="926"/>
      <c r="UTA895" s="926"/>
      <c r="UTB895" s="926"/>
      <c r="UTC895" s="926"/>
      <c r="UTD895" s="926"/>
      <c r="UTE895" s="926"/>
      <c r="UTF895" s="926"/>
      <c r="UTG895" s="926"/>
      <c r="UTH895" s="926"/>
      <c r="UTI895" s="926"/>
      <c r="UTJ895" s="926"/>
      <c r="UTK895" s="926"/>
      <c r="UTL895" s="926"/>
      <c r="UTM895" s="926"/>
      <c r="UTN895" s="926"/>
      <c r="UTO895" s="926"/>
      <c r="UTP895" s="926"/>
      <c r="UTQ895" s="926"/>
      <c r="UTR895" s="926"/>
      <c r="UTS895" s="926"/>
      <c r="UTT895" s="926"/>
      <c r="UTU895" s="926"/>
      <c r="UTV895" s="926"/>
      <c r="UTW895" s="926"/>
      <c r="UTX895" s="926"/>
      <c r="UTY895" s="926"/>
      <c r="UTZ895" s="926"/>
      <c r="UUA895" s="926"/>
      <c r="UUB895" s="926"/>
      <c r="UUC895" s="926"/>
      <c r="UUD895" s="926"/>
      <c r="UUE895" s="926"/>
      <c r="UUF895" s="926"/>
      <c r="UUG895" s="926"/>
      <c r="UUH895" s="926"/>
      <c r="UUI895" s="926"/>
      <c r="UUJ895" s="926"/>
      <c r="UUK895" s="926"/>
      <c r="UUL895" s="926"/>
      <c r="UUM895" s="926"/>
      <c r="UUN895" s="926"/>
      <c r="UUO895" s="926"/>
      <c r="UUP895" s="926"/>
      <c r="UUQ895" s="926"/>
      <c r="UUR895" s="926"/>
      <c r="UUS895" s="926"/>
      <c r="UUT895" s="926"/>
      <c r="UUU895" s="926"/>
      <c r="UUV895" s="926"/>
      <c r="UUW895" s="926"/>
      <c r="UUX895" s="926"/>
      <c r="UUY895" s="926"/>
      <c r="UUZ895" s="926"/>
      <c r="UVA895" s="926"/>
      <c r="UVB895" s="926"/>
      <c r="UVC895" s="926"/>
      <c r="UVD895" s="926"/>
      <c r="UVE895" s="926"/>
      <c r="UVF895" s="926"/>
      <c r="UVG895" s="926"/>
      <c r="UVH895" s="926"/>
      <c r="UVI895" s="926"/>
      <c r="UVJ895" s="926"/>
      <c r="UVK895" s="926"/>
      <c r="UVL895" s="926"/>
      <c r="UVM895" s="926"/>
      <c r="UVN895" s="926"/>
      <c r="UVO895" s="926"/>
      <c r="UVP895" s="926"/>
      <c r="UVQ895" s="926"/>
      <c r="UVR895" s="926"/>
      <c r="UVS895" s="926"/>
      <c r="UVT895" s="926"/>
      <c r="UVU895" s="926"/>
      <c r="UVV895" s="926"/>
      <c r="UVW895" s="926"/>
      <c r="UVX895" s="926"/>
      <c r="UVY895" s="926"/>
      <c r="UVZ895" s="926"/>
      <c r="UWA895" s="926"/>
      <c r="UWB895" s="926"/>
      <c r="UWC895" s="926"/>
      <c r="UWD895" s="926"/>
      <c r="UWE895" s="926"/>
      <c r="UWF895" s="926"/>
      <c r="UWG895" s="926"/>
      <c r="UWH895" s="926"/>
      <c r="UWI895" s="926"/>
      <c r="UWJ895" s="926"/>
      <c r="UWK895" s="926"/>
      <c r="UWL895" s="926"/>
      <c r="UWM895" s="926"/>
      <c r="UWN895" s="926"/>
      <c r="UWO895" s="926"/>
      <c r="UWP895" s="926"/>
      <c r="UWQ895" s="926"/>
      <c r="UWR895" s="926"/>
      <c r="UWS895" s="926"/>
      <c r="UWT895" s="926"/>
      <c r="UWU895" s="926"/>
      <c r="UWV895" s="926"/>
      <c r="UWW895" s="926"/>
      <c r="UWX895" s="926"/>
      <c r="UWY895" s="926"/>
      <c r="UWZ895" s="926"/>
      <c r="UXA895" s="926"/>
      <c r="UXB895" s="926"/>
      <c r="UXC895" s="926"/>
      <c r="UXD895" s="926"/>
      <c r="UXE895" s="926"/>
      <c r="UXF895" s="926"/>
      <c r="UXG895" s="926"/>
      <c r="UXH895" s="926"/>
      <c r="UXI895" s="926"/>
      <c r="UXJ895" s="926"/>
      <c r="UXK895" s="926"/>
      <c r="UXL895" s="926"/>
      <c r="UXM895" s="926"/>
      <c r="UXN895" s="926"/>
      <c r="UXO895" s="926"/>
      <c r="UXP895" s="926"/>
      <c r="UXQ895" s="926"/>
      <c r="UXR895" s="926"/>
      <c r="UXS895" s="926"/>
      <c r="UXT895" s="926"/>
      <c r="UXU895" s="926"/>
      <c r="UXV895" s="926"/>
      <c r="UXW895" s="926"/>
      <c r="UXX895" s="926"/>
      <c r="UXY895" s="926"/>
      <c r="UXZ895" s="926"/>
      <c r="UYA895" s="926"/>
      <c r="UYB895" s="926"/>
      <c r="UYC895" s="926"/>
      <c r="UYD895" s="926"/>
      <c r="UYE895" s="926"/>
      <c r="UYF895" s="926"/>
      <c r="UYG895" s="926"/>
      <c r="UYH895" s="926"/>
      <c r="UYI895" s="926"/>
      <c r="UYJ895" s="926"/>
      <c r="UYK895" s="926"/>
      <c r="UYL895" s="926"/>
      <c r="UYM895" s="926"/>
      <c r="UYN895" s="926"/>
      <c r="UYO895" s="926"/>
      <c r="UYP895" s="926"/>
      <c r="UYQ895" s="926"/>
      <c r="UYR895" s="926"/>
      <c r="UYS895" s="926"/>
      <c r="UYT895" s="926"/>
      <c r="UYU895" s="926"/>
      <c r="UYV895" s="926"/>
      <c r="UYW895" s="926"/>
      <c r="UYX895" s="926"/>
      <c r="UYY895" s="926"/>
      <c r="UYZ895" s="926"/>
      <c r="UZA895" s="926"/>
      <c r="UZB895" s="926"/>
      <c r="UZC895" s="926"/>
      <c r="UZD895" s="926"/>
      <c r="UZE895" s="926"/>
      <c r="UZF895" s="926"/>
      <c r="UZG895" s="926"/>
      <c r="UZH895" s="926"/>
      <c r="UZI895" s="926"/>
      <c r="UZJ895" s="926"/>
      <c r="UZK895" s="926"/>
      <c r="UZL895" s="926"/>
      <c r="UZM895" s="926"/>
      <c r="UZN895" s="926"/>
      <c r="UZO895" s="926"/>
      <c r="UZP895" s="926"/>
      <c r="UZQ895" s="926"/>
      <c r="UZR895" s="926"/>
      <c r="UZS895" s="926"/>
      <c r="UZT895" s="926"/>
      <c r="UZU895" s="926"/>
      <c r="UZV895" s="926"/>
      <c r="UZW895" s="926"/>
      <c r="UZX895" s="926"/>
      <c r="UZY895" s="926"/>
      <c r="UZZ895" s="926"/>
      <c r="VAA895" s="926"/>
      <c r="VAB895" s="926"/>
      <c r="VAC895" s="926"/>
      <c r="VAD895" s="926"/>
      <c r="VAE895" s="926"/>
      <c r="VAF895" s="926"/>
      <c r="VAG895" s="926"/>
      <c r="VAH895" s="926"/>
      <c r="VAI895" s="926"/>
      <c r="VAJ895" s="926"/>
      <c r="VAK895" s="926"/>
      <c r="VAL895" s="926"/>
      <c r="VAM895" s="926"/>
      <c r="VAN895" s="926"/>
      <c r="VAO895" s="926"/>
      <c r="VAP895" s="926"/>
      <c r="VAQ895" s="926"/>
      <c r="VAR895" s="926"/>
      <c r="VAS895" s="926"/>
      <c r="VAT895" s="926"/>
      <c r="VAU895" s="926"/>
      <c r="VAV895" s="926"/>
      <c r="VAW895" s="926"/>
      <c r="VAX895" s="926"/>
      <c r="VAY895" s="926"/>
      <c r="VAZ895" s="926"/>
      <c r="VBA895" s="926"/>
      <c r="VBB895" s="926"/>
      <c r="VBC895" s="926"/>
      <c r="VBD895" s="926"/>
      <c r="VBE895" s="926"/>
      <c r="VBF895" s="926"/>
      <c r="VBG895" s="926"/>
      <c r="VBH895" s="926"/>
      <c r="VBI895" s="926"/>
      <c r="VBJ895" s="926"/>
      <c r="VBK895" s="926"/>
      <c r="VBL895" s="926"/>
      <c r="VBM895" s="926"/>
      <c r="VBN895" s="926"/>
      <c r="VBO895" s="926"/>
      <c r="VBP895" s="926"/>
      <c r="VBQ895" s="926"/>
      <c r="VBR895" s="926"/>
      <c r="VBS895" s="926"/>
      <c r="VBT895" s="926"/>
      <c r="VBU895" s="926"/>
      <c r="VBV895" s="926"/>
      <c r="VBW895" s="926"/>
      <c r="VBX895" s="926"/>
      <c r="VBY895" s="926"/>
      <c r="VBZ895" s="926"/>
      <c r="VCA895" s="926"/>
      <c r="VCB895" s="926"/>
      <c r="VCC895" s="926"/>
      <c r="VCD895" s="926"/>
      <c r="VCE895" s="926"/>
      <c r="VCF895" s="926"/>
      <c r="VCG895" s="926"/>
      <c r="VCH895" s="926"/>
      <c r="VCI895" s="926"/>
      <c r="VCJ895" s="926"/>
      <c r="VCK895" s="926"/>
      <c r="VCL895" s="926"/>
      <c r="VCM895" s="926"/>
      <c r="VCN895" s="926"/>
      <c r="VCO895" s="926"/>
      <c r="VCP895" s="926"/>
      <c r="VCQ895" s="926"/>
      <c r="VCR895" s="926"/>
      <c r="VCS895" s="926"/>
      <c r="VCT895" s="926"/>
      <c r="VCU895" s="926"/>
      <c r="VCV895" s="926"/>
      <c r="VCW895" s="926"/>
      <c r="VCX895" s="926"/>
      <c r="VCY895" s="926"/>
      <c r="VCZ895" s="926"/>
      <c r="VDA895" s="926"/>
      <c r="VDB895" s="926"/>
      <c r="VDC895" s="926"/>
      <c r="VDD895" s="926"/>
      <c r="VDE895" s="926"/>
      <c r="VDF895" s="926"/>
      <c r="VDG895" s="926"/>
      <c r="VDH895" s="926"/>
      <c r="VDI895" s="926"/>
      <c r="VDJ895" s="926"/>
      <c r="VDK895" s="926"/>
      <c r="VDL895" s="926"/>
      <c r="VDM895" s="926"/>
      <c r="VDN895" s="926"/>
      <c r="VDO895" s="926"/>
      <c r="VDP895" s="926"/>
      <c r="VDQ895" s="926"/>
      <c r="VDR895" s="926"/>
      <c r="VDS895" s="926"/>
      <c r="VDT895" s="926"/>
      <c r="VDU895" s="926"/>
      <c r="VDV895" s="926"/>
      <c r="VDW895" s="926"/>
      <c r="VDX895" s="926"/>
      <c r="VDY895" s="926"/>
      <c r="VDZ895" s="926"/>
      <c r="VEA895" s="926"/>
      <c r="VEB895" s="926"/>
      <c r="VEC895" s="926"/>
      <c r="VED895" s="926"/>
      <c r="VEE895" s="926"/>
      <c r="VEF895" s="926"/>
      <c r="VEG895" s="926"/>
      <c r="VEH895" s="926"/>
      <c r="VEI895" s="926"/>
      <c r="VEJ895" s="926"/>
      <c r="VEK895" s="926"/>
      <c r="VEL895" s="926"/>
      <c r="VEM895" s="926"/>
      <c r="VEN895" s="926"/>
      <c r="VEO895" s="926"/>
      <c r="VEP895" s="926"/>
      <c r="VEQ895" s="926"/>
      <c r="VER895" s="926"/>
      <c r="VES895" s="926"/>
      <c r="VET895" s="926"/>
      <c r="VEU895" s="926"/>
      <c r="VEV895" s="926"/>
      <c r="VEW895" s="926"/>
      <c r="VEX895" s="926"/>
      <c r="VEY895" s="926"/>
      <c r="VEZ895" s="926"/>
      <c r="VFA895" s="926"/>
      <c r="VFB895" s="926"/>
      <c r="VFC895" s="926"/>
      <c r="VFD895" s="926"/>
      <c r="VFE895" s="926"/>
      <c r="VFF895" s="926"/>
      <c r="VFG895" s="926"/>
      <c r="VFH895" s="926"/>
      <c r="VFI895" s="926"/>
      <c r="VFJ895" s="926"/>
      <c r="VFK895" s="926"/>
      <c r="VFL895" s="926"/>
      <c r="VFM895" s="926"/>
      <c r="VFN895" s="926"/>
      <c r="VFO895" s="926"/>
      <c r="VFP895" s="926"/>
      <c r="VFQ895" s="926"/>
      <c r="VFR895" s="926"/>
      <c r="VFS895" s="926"/>
      <c r="VFT895" s="926"/>
      <c r="VFU895" s="926"/>
      <c r="VFV895" s="926"/>
      <c r="VFW895" s="926"/>
      <c r="VFX895" s="926"/>
      <c r="VFY895" s="926"/>
      <c r="VFZ895" s="926"/>
      <c r="VGA895" s="926"/>
      <c r="VGB895" s="926"/>
      <c r="VGC895" s="926"/>
      <c r="VGD895" s="926"/>
      <c r="VGE895" s="926"/>
      <c r="VGF895" s="926"/>
      <c r="VGG895" s="926"/>
      <c r="VGH895" s="926"/>
      <c r="VGI895" s="926"/>
      <c r="VGJ895" s="926"/>
      <c r="VGK895" s="926"/>
      <c r="VGL895" s="926"/>
      <c r="VGM895" s="926"/>
      <c r="VGN895" s="926"/>
      <c r="VGO895" s="926"/>
      <c r="VGP895" s="926"/>
      <c r="VGQ895" s="926"/>
      <c r="VGR895" s="926"/>
      <c r="VGS895" s="926"/>
      <c r="VGT895" s="926"/>
      <c r="VGU895" s="926"/>
      <c r="VGV895" s="926"/>
      <c r="VGW895" s="926"/>
      <c r="VGX895" s="926"/>
      <c r="VGY895" s="926"/>
      <c r="VGZ895" s="926"/>
      <c r="VHA895" s="926"/>
      <c r="VHB895" s="926"/>
      <c r="VHC895" s="926"/>
      <c r="VHD895" s="926"/>
      <c r="VHE895" s="926"/>
      <c r="VHF895" s="926"/>
      <c r="VHG895" s="926"/>
      <c r="VHH895" s="926"/>
      <c r="VHI895" s="926"/>
      <c r="VHJ895" s="926"/>
      <c r="VHK895" s="926"/>
      <c r="VHL895" s="926"/>
      <c r="VHM895" s="926"/>
      <c r="VHN895" s="926"/>
      <c r="VHO895" s="926"/>
      <c r="VHP895" s="926"/>
      <c r="VHQ895" s="926"/>
      <c r="VHR895" s="926"/>
      <c r="VHS895" s="926"/>
      <c r="VHT895" s="926"/>
      <c r="VHU895" s="926"/>
      <c r="VHV895" s="926"/>
      <c r="VHW895" s="926"/>
      <c r="VHX895" s="926"/>
      <c r="VHY895" s="926"/>
      <c r="VHZ895" s="926"/>
      <c r="VIA895" s="926"/>
      <c r="VIB895" s="926"/>
      <c r="VIC895" s="926"/>
      <c r="VID895" s="926"/>
      <c r="VIE895" s="926"/>
      <c r="VIF895" s="926"/>
      <c r="VIG895" s="926"/>
      <c r="VIH895" s="926"/>
      <c r="VII895" s="926"/>
      <c r="VIJ895" s="926"/>
      <c r="VIK895" s="926"/>
      <c r="VIL895" s="926"/>
      <c r="VIM895" s="926"/>
      <c r="VIN895" s="926"/>
      <c r="VIO895" s="926"/>
      <c r="VIP895" s="926"/>
      <c r="VIQ895" s="926"/>
      <c r="VIR895" s="926"/>
      <c r="VIS895" s="926"/>
      <c r="VIT895" s="926"/>
      <c r="VIU895" s="926"/>
      <c r="VIV895" s="926"/>
      <c r="VIW895" s="926"/>
      <c r="VIX895" s="926"/>
      <c r="VIY895" s="926"/>
      <c r="VIZ895" s="926"/>
      <c r="VJA895" s="926"/>
      <c r="VJB895" s="926"/>
      <c r="VJC895" s="926"/>
      <c r="VJD895" s="926"/>
      <c r="VJE895" s="926"/>
      <c r="VJF895" s="926"/>
      <c r="VJG895" s="926"/>
      <c r="VJH895" s="926"/>
      <c r="VJI895" s="926"/>
      <c r="VJJ895" s="926"/>
      <c r="VJK895" s="926"/>
      <c r="VJL895" s="926"/>
      <c r="VJM895" s="926"/>
      <c r="VJN895" s="926"/>
      <c r="VJO895" s="926"/>
      <c r="VJP895" s="926"/>
      <c r="VJQ895" s="926"/>
      <c r="VJR895" s="926"/>
      <c r="VJS895" s="926"/>
      <c r="VJT895" s="926"/>
      <c r="VJU895" s="926"/>
      <c r="VJV895" s="926"/>
      <c r="VJW895" s="926"/>
      <c r="VJX895" s="926"/>
      <c r="VJY895" s="926"/>
      <c r="VJZ895" s="926"/>
      <c r="VKA895" s="926"/>
      <c r="VKB895" s="926"/>
      <c r="VKC895" s="926"/>
      <c r="VKD895" s="926"/>
      <c r="VKE895" s="926"/>
      <c r="VKF895" s="926"/>
      <c r="VKG895" s="926"/>
      <c r="VKH895" s="926"/>
      <c r="VKI895" s="926"/>
      <c r="VKJ895" s="926"/>
      <c r="VKK895" s="926"/>
      <c r="VKL895" s="926"/>
      <c r="VKM895" s="926"/>
      <c r="VKN895" s="926"/>
      <c r="VKO895" s="926"/>
      <c r="VKP895" s="926"/>
      <c r="VKQ895" s="926"/>
      <c r="VKR895" s="926"/>
      <c r="VKS895" s="926"/>
      <c r="VKT895" s="926"/>
      <c r="VKU895" s="926"/>
      <c r="VKV895" s="926"/>
      <c r="VKW895" s="926"/>
      <c r="VKX895" s="926"/>
      <c r="VKY895" s="926"/>
      <c r="VKZ895" s="926"/>
      <c r="VLA895" s="926"/>
      <c r="VLB895" s="926"/>
      <c r="VLC895" s="926"/>
      <c r="VLD895" s="926"/>
      <c r="VLE895" s="926"/>
      <c r="VLF895" s="926"/>
      <c r="VLG895" s="926"/>
      <c r="VLH895" s="926"/>
      <c r="VLI895" s="926"/>
      <c r="VLJ895" s="926"/>
      <c r="VLK895" s="926"/>
      <c r="VLL895" s="926"/>
      <c r="VLM895" s="926"/>
      <c r="VLN895" s="926"/>
      <c r="VLO895" s="926"/>
      <c r="VLP895" s="926"/>
      <c r="VLQ895" s="926"/>
      <c r="VLR895" s="926"/>
      <c r="VLS895" s="926"/>
      <c r="VLT895" s="926"/>
      <c r="VLU895" s="926"/>
      <c r="VLV895" s="926"/>
      <c r="VLW895" s="926"/>
      <c r="VLX895" s="926"/>
      <c r="VLY895" s="926"/>
      <c r="VLZ895" s="926"/>
      <c r="VMA895" s="926"/>
      <c r="VMB895" s="926"/>
      <c r="VMC895" s="926"/>
      <c r="VMD895" s="926"/>
      <c r="VME895" s="926"/>
      <c r="VMF895" s="926"/>
      <c r="VMG895" s="926"/>
      <c r="VMH895" s="926"/>
      <c r="VMI895" s="926"/>
      <c r="VMJ895" s="926"/>
      <c r="VMK895" s="926"/>
      <c r="VML895" s="926"/>
      <c r="VMM895" s="926"/>
      <c r="VMN895" s="926"/>
      <c r="VMO895" s="926"/>
      <c r="VMP895" s="926"/>
      <c r="VMQ895" s="926"/>
      <c r="VMR895" s="926"/>
      <c r="VMS895" s="926"/>
      <c r="VMT895" s="926"/>
      <c r="VMU895" s="926"/>
      <c r="VMV895" s="926"/>
      <c r="VMW895" s="926"/>
      <c r="VMX895" s="926"/>
      <c r="VMY895" s="926"/>
      <c r="VMZ895" s="926"/>
      <c r="VNA895" s="926"/>
      <c r="VNB895" s="926"/>
      <c r="VNC895" s="926"/>
      <c r="VND895" s="926"/>
      <c r="VNE895" s="926"/>
      <c r="VNF895" s="926"/>
      <c r="VNG895" s="926"/>
      <c r="VNH895" s="926"/>
      <c r="VNI895" s="926"/>
      <c r="VNJ895" s="926"/>
      <c r="VNK895" s="926"/>
      <c r="VNL895" s="926"/>
      <c r="VNM895" s="926"/>
      <c r="VNN895" s="926"/>
      <c r="VNO895" s="926"/>
      <c r="VNP895" s="926"/>
      <c r="VNQ895" s="926"/>
      <c r="VNR895" s="926"/>
      <c r="VNS895" s="926"/>
      <c r="VNT895" s="926"/>
      <c r="VNU895" s="926"/>
      <c r="VNV895" s="926"/>
      <c r="VNW895" s="926"/>
      <c r="VNX895" s="926"/>
      <c r="VNY895" s="926"/>
      <c r="VNZ895" s="926"/>
      <c r="VOA895" s="926"/>
      <c r="VOB895" s="926"/>
      <c r="VOC895" s="926"/>
      <c r="VOD895" s="926"/>
      <c r="VOE895" s="926"/>
      <c r="VOF895" s="926"/>
      <c r="VOG895" s="926"/>
      <c r="VOH895" s="926"/>
      <c r="VOI895" s="926"/>
      <c r="VOJ895" s="926"/>
      <c r="VOK895" s="926"/>
      <c r="VOL895" s="926"/>
      <c r="VOM895" s="926"/>
      <c r="VON895" s="926"/>
      <c r="VOO895" s="926"/>
      <c r="VOP895" s="926"/>
      <c r="VOQ895" s="926"/>
      <c r="VOR895" s="926"/>
      <c r="VOS895" s="926"/>
      <c r="VOT895" s="926"/>
      <c r="VOU895" s="926"/>
      <c r="VOV895" s="926"/>
      <c r="VOW895" s="926"/>
      <c r="VOX895" s="926"/>
      <c r="VOY895" s="926"/>
      <c r="VOZ895" s="926"/>
      <c r="VPA895" s="926"/>
      <c r="VPB895" s="926"/>
      <c r="VPC895" s="926"/>
      <c r="VPD895" s="926"/>
      <c r="VPE895" s="926"/>
      <c r="VPF895" s="926"/>
      <c r="VPG895" s="926"/>
      <c r="VPH895" s="926"/>
      <c r="VPI895" s="926"/>
      <c r="VPJ895" s="926"/>
      <c r="VPK895" s="926"/>
      <c r="VPL895" s="926"/>
      <c r="VPM895" s="926"/>
      <c r="VPN895" s="926"/>
      <c r="VPO895" s="926"/>
      <c r="VPP895" s="926"/>
      <c r="VPQ895" s="926"/>
      <c r="VPR895" s="926"/>
      <c r="VPS895" s="926"/>
      <c r="VPT895" s="926"/>
      <c r="VPU895" s="926"/>
      <c r="VPV895" s="926"/>
      <c r="VPW895" s="926"/>
      <c r="VPX895" s="926"/>
      <c r="VPY895" s="926"/>
      <c r="VPZ895" s="926"/>
      <c r="VQA895" s="926"/>
      <c r="VQB895" s="926"/>
      <c r="VQC895" s="926"/>
      <c r="VQD895" s="926"/>
      <c r="VQE895" s="926"/>
      <c r="VQF895" s="926"/>
      <c r="VQG895" s="926"/>
      <c r="VQH895" s="926"/>
      <c r="VQI895" s="926"/>
      <c r="VQJ895" s="926"/>
      <c r="VQK895" s="926"/>
      <c r="VQL895" s="926"/>
      <c r="VQM895" s="926"/>
      <c r="VQN895" s="926"/>
      <c r="VQO895" s="926"/>
      <c r="VQP895" s="926"/>
      <c r="VQQ895" s="926"/>
      <c r="VQR895" s="926"/>
      <c r="VQS895" s="926"/>
      <c r="VQT895" s="926"/>
      <c r="VQU895" s="926"/>
      <c r="VQV895" s="926"/>
      <c r="VQW895" s="926"/>
      <c r="VQX895" s="926"/>
      <c r="VQY895" s="926"/>
      <c r="VQZ895" s="926"/>
      <c r="VRA895" s="926"/>
      <c r="VRB895" s="926"/>
      <c r="VRC895" s="926"/>
      <c r="VRD895" s="926"/>
      <c r="VRE895" s="926"/>
      <c r="VRF895" s="926"/>
      <c r="VRG895" s="926"/>
      <c r="VRH895" s="926"/>
      <c r="VRI895" s="926"/>
      <c r="VRJ895" s="926"/>
      <c r="VRK895" s="926"/>
      <c r="VRL895" s="926"/>
      <c r="VRM895" s="926"/>
      <c r="VRN895" s="926"/>
      <c r="VRO895" s="926"/>
      <c r="VRP895" s="926"/>
      <c r="VRQ895" s="926"/>
      <c r="VRR895" s="926"/>
      <c r="VRS895" s="926"/>
      <c r="VRT895" s="926"/>
      <c r="VRU895" s="926"/>
      <c r="VRV895" s="926"/>
      <c r="VRW895" s="926"/>
      <c r="VRX895" s="926"/>
      <c r="VRY895" s="926"/>
      <c r="VRZ895" s="926"/>
      <c r="VSA895" s="926"/>
      <c r="VSB895" s="926"/>
      <c r="VSC895" s="926"/>
      <c r="VSD895" s="926"/>
      <c r="VSE895" s="926"/>
      <c r="VSF895" s="926"/>
      <c r="VSG895" s="926"/>
      <c r="VSH895" s="926"/>
      <c r="VSI895" s="926"/>
      <c r="VSJ895" s="926"/>
      <c r="VSK895" s="926"/>
      <c r="VSL895" s="926"/>
      <c r="VSM895" s="926"/>
      <c r="VSN895" s="926"/>
      <c r="VSO895" s="926"/>
      <c r="VSP895" s="926"/>
      <c r="VSQ895" s="926"/>
      <c r="VSR895" s="926"/>
      <c r="VSS895" s="926"/>
      <c r="VST895" s="926"/>
      <c r="VSU895" s="926"/>
      <c r="VSV895" s="926"/>
      <c r="VSW895" s="926"/>
      <c r="VSX895" s="926"/>
      <c r="VSY895" s="926"/>
      <c r="VSZ895" s="926"/>
      <c r="VTA895" s="926"/>
      <c r="VTB895" s="926"/>
      <c r="VTC895" s="926"/>
      <c r="VTD895" s="926"/>
      <c r="VTE895" s="926"/>
      <c r="VTF895" s="926"/>
      <c r="VTG895" s="926"/>
      <c r="VTH895" s="926"/>
      <c r="VTI895" s="926"/>
      <c r="VTJ895" s="926"/>
      <c r="VTK895" s="926"/>
      <c r="VTL895" s="926"/>
      <c r="VTM895" s="926"/>
      <c r="VTN895" s="926"/>
      <c r="VTO895" s="926"/>
      <c r="VTP895" s="926"/>
      <c r="VTQ895" s="926"/>
      <c r="VTR895" s="926"/>
      <c r="VTS895" s="926"/>
      <c r="VTT895" s="926"/>
      <c r="VTU895" s="926"/>
      <c r="VTV895" s="926"/>
      <c r="VTW895" s="926"/>
      <c r="VTX895" s="926"/>
      <c r="VTY895" s="926"/>
      <c r="VTZ895" s="926"/>
      <c r="VUA895" s="926"/>
      <c r="VUB895" s="926"/>
      <c r="VUC895" s="926"/>
      <c r="VUD895" s="926"/>
      <c r="VUE895" s="926"/>
      <c r="VUF895" s="926"/>
      <c r="VUG895" s="926"/>
      <c r="VUH895" s="926"/>
      <c r="VUI895" s="926"/>
      <c r="VUJ895" s="926"/>
      <c r="VUK895" s="926"/>
      <c r="VUL895" s="926"/>
      <c r="VUM895" s="926"/>
      <c r="VUN895" s="926"/>
      <c r="VUO895" s="926"/>
      <c r="VUP895" s="926"/>
      <c r="VUQ895" s="926"/>
      <c r="VUR895" s="926"/>
      <c r="VUS895" s="926"/>
      <c r="VUT895" s="926"/>
      <c r="VUU895" s="926"/>
      <c r="VUV895" s="926"/>
      <c r="VUW895" s="926"/>
      <c r="VUX895" s="926"/>
      <c r="VUY895" s="926"/>
      <c r="VUZ895" s="926"/>
      <c r="VVA895" s="926"/>
      <c r="VVB895" s="926"/>
      <c r="VVC895" s="926"/>
      <c r="VVD895" s="926"/>
      <c r="VVE895" s="926"/>
      <c r="VVF895" s="926"/>
      <c r="VVG895" s="926"/>
      <c r="VVH895" s="926"/>
      <c r="VVI895" s="926"/>
      <c r="VVJ895" s="926"/>
      <c r="VVK895" s="926"/>
      <c r="VVL895" s="926"/>
      <c r="VVM895" s="926"/>
      <c r="VVN895" s="926"/>
      <c r="VVO895" s="926"/>
      <c r="VVP895" s="926"/>
      <c r="VVQ895" s="926"/>
      <c r="VVR895" s="926"/>
      <c r="VVS895" s="926"/>
      <c r="VVT895" s="926"/>
      <c r="VVU895" s="926"/>
      <c r="VVV895" s="926"/>
      <c r="VVW895" s="926"/>
      <c r="VVX895" s="926"/>
      <c r="VVY895" s="926"/>
      <c r="VVZ895" s="926"/>
      <c r="VWA895" s="926"/>
      <c r="VWB895" s="926"/>
      <c r="VWC895" s="926"/>
      <c r="VWD895" s="926"/>
      <c r="VWE895" s="926"/>
      <c r="VWF895" s="926"/>
      <c r="VWG895" s="926"/>
      <c r="VWH895" s="926"/>
      <c r="VWI895" s="926"/>
      <c r="VWJ895" s="926"/>
      <c r="VWK895" s="926"/>
      <c r="VWL895" s="926"/>
      <c r="VWM895" s="926"/>
      <c r="VWN895" s="926"/>
      <c r="VWO895" s="926"/>
      <c r="VWP895" s="926"/>
      <c r="VWQ895" s="926"/>
      <c r="VWR895" s="926"/>
      <c r="VWS895" s="926"/>
      <c r="VWT895" s="926"/>
      <c r="VWU895" s="926"/>
      <c r="VWV895" s="926"/>
      <c r="VWW895" s="926"/>
      <c r="VWX895" s="926"/>
      <c r="VWY895" s="926"/>
      <c r="VWZ895" s="926"/>
      <c r="VXA895" s="926"/>
      <c r="VXB895" s="926"/>
      <c r="VXC895" s="926"/>
      <c r="VXD895" s="926"/>
      <c r="VXE895" s="926"/>
      <c r="VXF895" s="926"/>
      <c r="VXG895" s="926"/>
      <c r="VXH895" s="926"/>
      <c r="VXI895" s="926"/>
      <c r="VXJ895" s="926"/>
      <c r="VXK895" s="926"/>
      <c r="VXL895" s="926"/>
      <c r="VXM895" s="926"/>
      <c r="VXN895" s="926"/>
      <c r="VXO895" s="926"/>
      <c r="VXP895" s="926"/>
      <c r="VXQ895" s="926"/>
      <c r="VXR895" s="926"/>
      <c r="VXS895" s="926"/>
      <c r="VXT895" s="926"/>
      <c r="VXU895" s="926"/>
      <c r="VXV895" s="926"/>
      <c r="VXW895" s="926"/>
      <c r="VXX895" s="926"/>
      <c r="VXY895" s="926"/>
      <c r="VXZ895" s="926"/>
      <c r="VYA895" s="926"/>
      <c r="VYB895" s="926"/>
      <c r="VYC895" s="926"/>
      <c r="VYD895" s="926"/>
      <c r="VYE895" s="926"/>
      <c r="VYF895" s="926"/>
      <c r="VYG895" s="926"/>
      <c r="VYH895" s="926"/>
      <c r="VYI895" s="926"/>
      <c r="VYJ895" s="926"/>
      <c r="VYK895" s="926"/>
      <c r="VYL895" s="926"/>
      <c r="VYM895" s="926"/>
      <c r="VYN895" s="926"/>
      <c r="VYO895" s="926"/>
      <c r="VYP895" s="926"/>
      <c r="VYQ895" s="926"/>
      <c r="VYR895" s="926"/>
      <c r="VYS895" s="926"/>
      <c r="VYT895" s="926"/>
      <c r="VYU895" s="926"/>
      <c r="VYV895" s="926"/>
      <c r="VYW895" s="926"/>
      <c r="VYX895" s="926"/>
      <c r="VYY895" s="926"/>
      <c r="VYZ895" s="926"/>
      <c r="VZA895" s="926"/>
      <c r="VZB895" s="926"/>
      <c r="VZC895" s="926"/>
      <c r="VZD895" s="926"/>
      <c r="VZE895" s="926"/>
      <c r="VZF895" s="926"/>
      <c r="VZG895" s="926"/>
      <c r="VZH895" s="926"/>
      <c r="VZI895" s="926"/>
      <c r="VZJ895" s="926"/>
      <c r="VZK895" s="926"/>
      <c r="VZL895" s="926"/>
      <c r="VZM895" s="926"/>
      <c r="VZN895" s="926"/>
      <c r="VZO895" s="926"/>
      <c r="VZP895" s="926"/>
      <c r="VZQ895" s="926"/>
      <c r="VZR895" s="926"/>
      <c r="VZS895" s="926"/>
      <c r="VZT895" s="926"/>
      <c r="VZU895" s="926"/>
      <c r="VZV895" s="926"/>
      <c r="VZW895" s="926"/>
      <c r="VZX895" s="926"/>
      <c r="VZY895" s="926"/>
      <c r="VZZ895" s="926"/>
      <c r="WAA895" s="926"/>
      <c r="WAB895" s="926"/>
      <c r="WAC895" s="926"/>
      <c r="WAD895" s="926"/>
      <c r="WAE895" s="926"/>
      <c r="WAF895" s="926"/>
      <c r="WAG895" s="926"/>
      <c r="WAH895" s="926"/>
      <c r="WAI895" s="926"/>
      <c r="WAJ895" s="926"/>
      <c r="WAK895" s="926"/>
      <c r="WAL895" s="926"/>
      <c r="WAM895" s="926"/>
      <c r="WAN895" s="926"/>
      <c r="WAO895" s="926"/>
      <c r="WAP895" s="926"/>
      <c r="WAQ895" s="926"/>
      <c r="WAR895" s="926"/>
      <c r="WAS895" s="926"/>
      <c r="WAT895" s="926"/>
      <c r="WAU895" s="926"/>
      <c r="WAV895" s="926"/>
      <c r="WAW895" s="926"/>
      <c r="WAX895" s="926"/>
      <c r="WAY895" s="926"/>
      <c r="WAZ895" s="926"/>
      <c r="WBA895" s="926"/>
      <c r="WBB895" s="926"/>
      <c r="WBC895" s="926"/>
      <c r="WBD895" s="926"/>
      <c r="WBE895" s="926"/>
      <c r="WBF895" s="926"/>
      <c r="WBG895" s="926"/>
      <c r="WBH895" s="926"/>
      <c r="WBI895" s="926"/>
      <c r="WBJ895" s="926"/>
      <c r="WBK895" s="926"/>
      <c r="WBL895" s="926"/>
      <c r="WBM895" s="926"/>
      <c r="WBN895" s="926"/>
      <c r="WBO895" s="926"/>
      <c r="WBP895" s="926"/>
      <c r="WBQ895" s="926"/>
      <c r="WBR895" s="926"/>
      <c r="WBS895" s="926"/>
      <c r="WBT895" s="926"/>
      <c r="WBU895" s="926"/>
      <c r="WBV895" s="926"/>
      <c r="WBW895" s="926"/>
      <c r="WBX895" s="926"/>
      <c r="WBY895" s="926"/>
      <c r="WBZ895" s="926"/>
      <c r="WCA895" s="926"/>
      <c r="WCB895" s="926"/>
      <c r="WCC895" s="926"/>
      <c r="WCD895" s="926"/>
      <c r="WCE895" s="926"/>
      <c r="WCF895" s="926"/>
      <c r="WCG895" s="926"/>
      <c r="WCH895" s="926"/>
      <c r="WCI895" s="926"/>
      <c r="WCJ895" s="926"/>
      <c r="WCK895" s="926"/>
      <c r="WCL895" s="926"/>
      <c r="WCM895" s="926"/>
      <c r="WCN895" s="926"/>
      <c r="WCO895" s="926"/>
      <c r="WCP895" s="926"/>
      <c r="WCQ895" s="926"/>
      <c r="WCR895" s="926"/>
      <c r="WCS895" s="926"/>
      <c r="WCT895" s="926"/>
      <c r="WCU895" s="926"/>
      <c r="WCV895" s="926"/>
      <c r="WCW895" s="926"/>
      <c r="WCX895" s="926"/>
      <c r="WCY895" s="926"/>
      <c r="WCZ895" s="926"/>
      <c r="WDA895" s="926"/>
      <c r="WDB895" s="926"/>
      <c r="WDC895" s="926"/>
      <c r="WDD895" s="926"/>
      <c r="WDE895" s="926"/>
      <c r="WDF895" s="926"/>
      <c r="WDG895" s="926"/>
      <c r="WDH895" s="926"/>
      <c r="WDI895" s="926"/>
      <c r="WDJ895" s="926"/>
      <c r="WDK895" s="926"/>
      <c r="WDL895" s="926"/>
      <c r="WDM895" s="926"/>
      <c r="WDN895" s="926"/>
      <c r="WDO895" s="926"/>
      <c r="WDP895" s="926"/>
      <c r="WDQ895" s="926"/>
      <c r="WDR895" s="926"/>
      <c r="WDS895" s="926"/>
      <c r="WDT895" s="926"/>
      <c r="WDU895" s="926"/>
      <c r="WDV895" s="926"/>
      <c r="WDW895" s="926"/>
      <c r="WDX895" s="926"/>
      <c r="WDY895" s="926"/>
      <c r="WDZ895" s="926"/>
      <c r="WEA895" s="926"/>
      <c r="WEB895" s="926"/>
      <c r="WEC895" s="926"/>
      <c r="WED895" s="926"/>
      <c r="WEE895" s="926"/>
      <c r="WEF895" s="926"/>
      <c r="WEG895" s="926"/>
      <c r="WEH895" s="926"/>
      <c r="WEI895" s="926"/>
      <c r="WEJ895" s="926"/>
      <c r="WEK895" s="926"/>
      <c r="WEL895" s="926"/>
      <c r="WEM895" s="926"/>
      <c r="WEN895" s="926"/>
      <c r="WEO895" s="926"/>
      <c r="WEP895" s="926"/>
      <c r="WEQ895" s="926"/>
      <c r="WER895" s="926"/>
      <c r="WES895" s="926"/>
      <c r="WET895" s="926"/>
      <c r="WEU895" s="926"/>
      <c r="WEV895" s="926"/>
      <c r="WEW895" s="926"/>
      <c r="WEX895" s="926"/>
      <c r="WEY895" s="926"/>
      <c r="WEZ895" s="926"/>
      <c r="WFA895" s="926"/>
      <c r="WFB895" s="926"/>
      <c r="WFC895" s="926"/>
      <c r="WFD895" s="926"/>
      <c r="WFE895" s="926"/>
      <c r="WFF895" s="926"/>
      <c r="WFG895" s="926"/>
      <c r="WFH895" s="926"/>
      <c r="WFI895" s="926"/>
      <c r="WFJ895" s="926"/>
      <c r="WFK895" s="926"/>
      <c r="WFL895" s="926"/>
      <c r="WFM895" s="926"/>
      <c r="WFN895" s="926"/>
      <c r="WFO895" s="926"/>
      <c r="WFP895" s="926"/>
      <c r="WFQ895" s="926"/>
      <c r="WFR895" s="926"/>
      <c r="WFS895" s="926"/>
      <c r="WFT895" s="926"/>
      <c r="WFU895" s="926"/>
      <c r="WFV895" s="926"/>
      <c r="WFW895" s="926"/>
      <c r="WFX895" s="926"/>
      <c r="WFY895" s="926"/>
      <c r="WFZ895" s="926"/>
      <c r="WGA895" s="926"/>
      <c r="WGB895" s="926"/>
      <c r="WGC895" s="926"/>
      <c r="WGD895" s="926"/>
      <c r="WGE895" s="926"/>
      <c r="WGF895" s="926"/>
      <c r="WGG895" s="926"/>
      <c r="WGH895" s="926"/>
      <c r="WGI895" s="926"/>
      <c r="WGJ895" s="926"/>
      <c r="WGK895" s="926"/>
      <c r="WGL895" s="926"/>
      <c r="WGM895" s="926"/>
      <c r="WGN895" s="926"/>
      <c r="WGO895" s="926"/>
      <c r="WGP895" s="926"/>
      <c r="WGQ895" s="926"/>
      <c r="WGR895" s="926"/>
      <c r="WGS895" s="926"/>
      <c r="WGT895" s="926"/>
      <c r="WGU895" s="926"/>
      <c r="WGV895" s="926"/>
      <c r="WGW895" s="926"/>
      <c r="WGX895" s="926"/>
      <c r="WGY895" s="926"/>
      <c r="WGZ895" s="926"/>
      <c r="WHA895" s="926"/>
      <c r="WHB895" s="926"/>
      <c r="WHC895" s="926"/>
      <c r="WHD895" s="926"/>
      <c r="WHE895" s="926"/>
      <c r="WHF895" s="926"/>
      <c r="WHG895" s="926"/>
      <c r="WHH895" s="926"/>
      <c r="WHI895" s="926"/>
      <c r="WHJ895" s="926"/>
      <c r="WHK895" s="926"/>
      <c r="WHL895" s="926"/>
      <c r="WHM895" s="926"/>
      <c r="WHN895" s="926"/>
      <c r="WHO895" s="926"/>
      <c r="WHP895" s="926"/>
      <c r="WHQ895" s="926"/>
      <c r="WHR895" s="926"/>
      <c r="WHS895" s="926"/>
      <c r="WHT895" s="926"/>
      <c r="WHU895" s="926"/>
      <c r="WHV895" s="926"/>
      <c r="WHW895" s="926"/>
      <c r="WHX895" s="926"/>
      <c r="WHY895" s="926"/>
      <c r="WHZ895" s="926"/>
      <c r="WIA895" s="926"/>
      <c r="WIB895" s="926"/>
      <c r="WIC895" s="926"/>
      <c r="WID895" s="926"/>
      <c r="WIE895" s="926"/>
      <c r="WIF895" s="926"/>
      <c r="WIG895" s="926"/>
      <c r="WIH895" s="926"/>
      <c r="WII895" s="926"/>
      <c r="WIJ895" s="926"/>
      <c r="WIK895" s="926"/>
      <c r="WIL895" s="926"/>
      <c r="WIM895" s="926"/>
      <c r="WIN895" s="926"/>
      <c r="WIO895" s="926"/>
      <c r="WIP895" s="926"/>
      <c r="WIQ895" s="926"/>
      <c r="WIR895" s="926"/>
      <c r="WIS895" s="926"/>
      <c r="WIT895" s="926"/>
      <c r="WIU895" s="926"/>
      <c r="WIV895" s="926"/>
      <c r="WIW895" s="926"/>
      <c r="WIX895" s="926"/>
      <c r="WIY895" s="926"/>
      <c r="WIZ895" s="926"/>
      <c r="WJA895" s="926"/>
      <c r="WJB895" s="926"/>
      <c r="WJC895" s="926"/>
      <c r="WJD895" s="926"/>
      <c r="WJE895" s="926"/>
      <c r="WJF895" s="926"/>
      <c r="WJG895" s="926"/>
      <c r="WJH895" s="926"/>
      <c r="WJI895" s="926"/>
      <c r="WJJ895" s="926"/>
      <c r="WJK895" s="926"/>
      <c r="WJL895" s="926"/>
      <c r="WJM895" s="926"/>
      <c r="WJN895" s="926"/>
      <c r="WJO895" s="926"/>
      <c r="WJP895" s="926"/>
      <c r="WJQ895" s="926"/>
      <c r="WJR895" s="926"/>
      <c r="WJS895" s="926"/>
      <c r="WJT895" s="926"/>
      <c r="WJU895" s="926"/>
      <c r="WJV895" s="926"/>
      <c r="WJW895" s="926"/>
      <c r="WJX895" s="926"/>
      <c r="WJY895" s="926"/>
      <c r="WJZ895" s="926"/>
      <c r="WKA895" s="926"/>
      <c r="WKB895" s="926"/>
      <c r="WKC895" s="926"/>
      <c r="WKD895" s="926"/>
      <c r="WKE895" s="926"/>
      <c r="WKF895" s="926"/>
      <c r="WKG895" s="926"/>
      <c r="WKH895" s="926"/>
      <c r="WKI895" s="926"/>
      <c r="WKJ895" s="926"/>
      <c r="WKK895" s="926"/>
      <c r="WKL895" s="926"/>
      <c r="WKM895" s="926"/>
      <c r="WKN895" s="926"/>
      <c r="WKO895" s="926"/>
      <c r="WKP895" s="926"/>
      <c r="WKQ895" s="926"/>
      <c r="WKR895" s="926"/>
      <c r="WKS895" s="926"/>
      <c r="WKT895" s="926"/>
      <c r="WKU895" s="926"/>
      <c r="WKV895" s="926"/>
      <c r="WKW895" s="926"/>
      <c r="WKX895" s="926"/>
      <c r="WKY895" s="926"/>
      <c r="WKZ895" s="926"/>
      <c r="WLA895" s="926"/>
      <c r="WLB895" s="926"/>
      <c r="WLC895" s="926"/>
      <c r="WLD895" s="926"/>
      <c r="WLE895" s="926"/>
      <c r="WLF895" s="926"/>
      <c r="WLG895" s="926"/>
      <c r="WLH895" s="926"/>
      <c r="WLI895" s="926"/>
      <c r="WLJ895" s="926"/>
      <c r="WLK895" s="926"/>
      <c r="WLL895" s="926"/>
      <c r="WLM895" s="926"/>
      <c r="WLN895" s="926"/>
      <c r="WLO895" s="926"/>
      <c r="WLP895" s="926"/>
      <c r="WLQ895" s="926"/>
      <c r="WLR895" s="926"/>
      <c r="WLS895" s="926"/>
      <c r="WLT895" s="926"/>
      <c r="WLU895" s="926"/>
      <c r="WLV895" s="926"/>
      <c r="WLW895" s="926"/>
      <c r="WLX895" s="926"/>
      <c r="WLY895" s="926"/>
      <c r="WLZ895" s="926"/>
      <c r="WMA895" s="926"/>
      <c r="WMB895" s="926"/>
      <c r="WMC895" s="926"/>
      <c r="WMD895" s="926"/>
      <c r="WME895" s="926"/>
      <c r="WMF895" s="926"/>
      <c r="WMG895" s="926"/>
      <c r="WMH895" s="926"/>
      <c r="WMI895" s="926"/>
      <c r="WMJ895" s="926"/>
      <c r="WMK895" s="926"/>
      <c r="WML895" s="926"/>
      <c r="WMM895" s="926"/>
      <c r="WMN895" s="926"/>
      <c r="WMO895" s="926"/>
      <c r="WMP895" s="926"/>
      <c r="WMQ895" s="926"/>
      <c r="WMR895" s="926"/>
      <c r="WMS895" s="926"/>
      <c r="WMT895" s="926"/>
      <c r="WMU895" s="926"/>
      <c r="WMV895" s="926"/>
      <c r="WMW895" s="926"/>
      <c r="WMX895" s="926"/>
      <c r="WMY895" s="926"/>
      <c r="WMZ895" s="926"/>
      <c r="WNA895" s="926"/>
      <c r="WNB895" s="926"/>
      <c r="WNC895" s="926"/>
      <c r="WND895" s="926"/>
      <c r="WNE895" s="926"/>
      <c r="WNF895" s="926"/>
      <c r="WNG895" s="926"/>
      <c r="WNH895" s="926"/>
      <c r="WNI895" s="926"/>
      <c r="WNJ895" s="926"/>
      <c r="WNK895" s="926"/>
      <c r="WNL895" s="926"/>
      <c r="WNM895" s="926"/>
      <c r="WNN895" s="926"/>
      <c r="WNO895" s="926"/>
      <c r="WNP895" s="926"/>
      <c r="WNQ895" s="926"/>
      <c r="WNR895" s="926"/>
      <c r="WNS895" s="926"/>
      <c r="WNT895" s="926"/>
      <c r="WNU895" s="926"/>
      <c r="WNV895" s="926"/>
      <c r="WNW895" s="926"/>
      <c r="WNX895" s="926"/>
      <c r="WNY895" s="926"/>
      <c r="WNZ895" s="926"/>
      <c r="WOA895" s="926"/>
      <c r="WOB895" s="926"/>
      <c r="WOC895" s="926"/>
      <c r="WOD895" s="926"/>
      <c r="WOE895" s="926"/>
      <c r="WOF895" s="926"/>
      <c r="WOG895" s="926"/>
      <c r="WOH895" s="926"/>
      <c r="WOI895" s="926"/>
      <c r="WOJ895" s="926"/>
      <c r="WOK895" s="926"/>
      <c r="WOL895" s="926"/>
      <c r="WOM895" s="926"/>
      <c r="WON895" s="926"/>
      <c r="WOO895" s="926"/>
      <c r="WOP895" s="926"/>
      <c r="WOQ895" s="926"/>
      <c r="WOR895" s="926"/>
      <c r="WOS895" s="926"/>
      <c r="WOT895" s="926"/>
      <c r="WOU895" s="926"/>
      <c r="WOV895" s="926"/>
      <c r="WOW895" s="926"/>
      <c r="WOX895" s="926"/>
      <c r="WOY895" s="926"/>
      <c r="WOZ895" s="926"/>
      <c r="WPA895" s="926"/>
      <c r="WPB895" s="926"/>
      <c r="WPC895" s="926"/>
      <c r="WPD895" s="926"/>
      <c r="WPE895" s="926"/>
      <c r="WPF895" s="926"/>
      <c r="WPG895" s="926"/>
      <c r="WPH895" s="926"/>
      <c r="WPI895" s="926"/>
      <c r="WPJ895" s="926"/>
      <c r="WPK895" s="926"/>
      <c r="WPL895" s="926"/>
      <c r="WPM895" s="926"/>
      <c r="WPN895" s="926"/>
      <c r="WPO895" s="926"/>
      <c r="WPP895" s="926"/>
      <c r="WPQ895" s="926"/>
      <c r="WPR895" s="926"/>
      <c r="WPS895" s="926"/>
      <c r="WPT895" s="926"/>
      <c r="WPU895" s="926"/>
      <c r="WPV895" s="926"/>
      <c r="WPW895" s="926"/>
      <c r="WPX895" s="926"/>
      <c r="WPY895" s="926"/>
      <c r="WPZ895" s="926"/>
      <c r="WQA895" s="926"/>
      <c r="WQB895" s="926"/>
      <c r="WQC895" s="926"/>
      <c r="WQD895" s="926"/>
      <c r="WQE895" s="926"/>
      <c r="WQF895" s="926"/>
      <c r="WQG895" s="926"/>
      <c r="WQH895" s="926"/>
      <c r="WQI895" s="926"/>
      <c r="WQJ895" s="926"/>
      <c r="WQK895" s="926"/>
      <c r="WQL895" s="926"/>
      <c r="WQM895" s="926"/>
      <c r="WQN895" s="926"/>
      <c r="WQO895" s="926"/>
      <c r="WQP895" s="926"/>
      <c r="WQQ895" s="926"/>
      <c r="WQR895" s="926"/>
      <c r="WQS895" s="926"/>
      <c r="WQT895" s="926"/>
      <c r="WQU895" s="926"/>
      <c r="WQV895" s="926"/>
      <c r="WQW895" s="926"/>
      <c r="WQX895" s="926"/>
      <c r="WQY895" s="926"/>
      <c r="WQZ895" s="926"/>
      <c r="WRA895" s="926"/>
      <c r="WRB895" s="926"/>
      <c r="WRC895" s="926"/>
      <c r="WRD895" s="926"/>
      <c r="WRE895" s="926"/>
      <c r="WRF895" s="926"/>
      <c r="WRG895" s="926"/>
      <c r="WRH895" s="926"/>
      <c r="WRI895" s="926"/>
      <c r="WRJ895" s="926"/>
      <c r="WRK895" s="926"/>
      <c r="WRL895" s="926"/>
      <c r="WRM895" s="926"/>
      <c r="WRN895" s="926"/>
      <c r="WRO895" s="926"/>
      <c r="WRP895" s="926"/>
      <c r="WRQ895" s="926"/>
      <c r="WRR895" s="926"/>
      <c r="WRS895" s="926"/>
      <c r="WRT895" s="926"/>
      <c r="WRU895" s="926"/>
      <c r="WRV895" s="926"/>
      <c r="WRW895" s="926"/>
      <c r="WRX895" s="926"/>
      <c r="WRY895" s="926"/>
      <c r="WRZ895" s="926"/>
      <c r="WSA895" s="926"/>
      <c r="WSB895" s="926"/>
      <c r="WSC895" s="926"/>
      <c r="WSD895" s="926"/>
      <c r="WSE895" s="926"/>
      <c r="WSF895" s="926"/>
      <c r="WSG895" s="926"/>
      <c r="WSH895" s="926"/>
      <c r="WSI895" s="926"/>
      <c r="WSJ895" s="926"/>
      <c r="WSK895" s="926"/>
      <c r="WSL895" s="926"/>
      <c r="WSM895" s="926"/>
      <c r="WSN895" s="926"/>
      <c r="WSO895" s="926"/>
      <c r="WSP895" s="926"/>
      <c r="WSQ895" s="926"/>
      <c r="WSR895" s="926"/>
      <c r="WSS895" s="926"/>
      <c r="WST895" s="926"/>
      <c r="WSU895" s="926"/>
      <c r="WSV895" s="926"/>
      <c r="WSW895" s="926"/>
      <c r="WSX895" s="926"/>
      <c r="WSY895" s="926"/>
      <c r="WSZ895" s="926"/>
      <c r="WTA895" s="926"/>
      <c r="WTB895" s="926"/>
      <c r="WTC895" s="926"/>
      <c r="WTD895" s="926"/>
      <c r="WTE895" s="926"/>
      <c r="WTF895" s="926"/>
      <c r="WTG895" s="926"/>
      <c r="WTH895" s="926"/>
      <c r="WTI895" s="926"/>
      <c r="WTJ895" s="926"/>
      <c r="WTK895" s="926"/>
      <c r="WTL895" s="926"/>
      <c r="WTM895" s="926"/>
      <c r="WTN895" s="926"/>
      <c r="WTO895" s="926"/>
      <c r="WTP895" s="926"/>
      <c r="WTQ895" s="926"/>
      <c r="WTR895" s="926"/>
      <c r="WTS895" s="926"/>
      <c r="WTT895" s="926"/>
      <c r="WTU895" s="926"/>
      <c r="WTV895" s="926"/>
      <c r="WTW895" s="926"/>
      <c r="WTX895" s="926"/>
      <c r="WTY895" s="926"/>
      <c r="WTZ895" s="926"/>
      <c r="WUA895" s="926"/>
      <c r="WUB895" s="926"/>
      <c r="WUC895" s="926"/>
      <c r="WUD895" s="926"/>
      <c r="WUE895" s="926"/>
      <c r="WUF895" s="926"/>
      <c r="WUG895" s="926"/>
      <c r="WUH895" s="926"/>
      <c r="WUI895" s="926"/>
      <c r="WUJ895" s="926"/>
      <c r="WUK895" s="926"/>
      <c r="WUL895" s="926"/>
      <c r="WUM895" s="926"/>
      <c r="WUN895" s="926"/>
      <c r="WUO895" s="926"/>
      <c r="WUP895" s="926"/>
      <c r="WUQ895" s="926"/>
      <c r="WUR895" s="926"/>
      <c r="WUS895" s="926"/>
      <c r="WUT895" s="926"/>
      <c r="WUU895" s="926"/>
      <c r="WUV895" s="926"/>
      <c r="WUW895" s="926"/>
      <c r="WUX895" s="926"/>
      <c r="WUY895" s="926"/>
      <c r="WUZ895" s="926"/>
      <c r="WVA895" s="926"/>
      <c r="WVB895" s="926"/>
      <c r="WVC895" s="926"/>
      <c r="WVD895" s="926"/>
      <c r="WVE895" s="926"/>
      <c r="WVF895" s="926"/>
      <c r="WVG895" s="926"/>
      <c r="WVH895" s="926"/>
      <c r="WVI895" s="926"/>
      <c r="WVJ895" s="926"/>
      <c r="WVK895" s="926"/>
      <c r="WVL895" s="926"/>
      <c r="WVM895" s="926"/>
      <c r="WVN895" s="926"/>
      <c r="WVO895" s="926"/>
      <c r="WVP895" s="926"/>
      <c r="WVQ895" s="926"/>
      <c r="WVR895" s="926"/>
      <c r="WVS895" s="926"/>
      <c r="WVT895" s="926"/>
      <c r="WVU895" s="926"/>
      <c r="WVV895" s="926"/>
      <c r="WVW895" s="926"/>
      <c r="WVX895" s="926"/>
      <c r="WVY895" s="926"/>
      <c r="WVZ895" s="926"/>
      <c r="WWA895" s="926"/>
      <c r="WWB895" s="926"/>
      <c r="WWC895" s="926"/>
      <c r="WWD895" s="926"/>
      <c r="WWE895" s="926"/>
      <c r="WWF895" s="926"/>
      <c r="WWG895" s="926"/>
      <c r="WWH895" s="926"/>
      <c r="WWI895" s="926"/>
      <c r="WWJ895" s="926"/>
      <c r="WWK895" s="926"/>
      <c r="WWL895" s="926"/>
      <c r="WWM895" s="926"/>
      <c r="WWN895" s="926"/>
      <c r="WWO895" s="926"/>
      <c r="WWP895" s="926"/>
      <c r="WWQ895" s="926"/>
      <c r="WWR895" s="926"/>
      <c r="WWS895" s="926"/>
      <c r="WWT895" s="926"/>
      <c r="WWU895" s="926"/>
      <c r="WWV895" s="926"/>
      <c r="WWW895" s="926"/>
      <c r="WWX895" s="926"/>
      <c r="WWY895" s="926"/>
      <c r="WWZ895" s="926"/>
      <c r="WXA895" s="926"/>
      <c r="WXB895" s="926"/>
      <c r="WXC895" s="926"/>
      <c r="WXD895" s="926"/>
      <c r="WXE895" s="926"/>
      <c r="WXF895" s="926"/>
      <c r="WXG895" s="926"/>
      <c r="WXH895" s="926"/>
      <c r="WXI895" s="926"/>
      <c r="WXJ895" s="926"/>
      <c r="WXK895" s="926"/>
      <c r="WXL895" s="926"/>
      <c r="WXM895" s="926"/>
      <c r="WXN895" s="926"/>
      <c r="WXO895" s="926"/>
      <c r="WXP895" s="926"/>
      <c r="WXQ895" s="926"/>
      <c r="WXR895" s="926"/>
      <c r="WXS895" s="926"/>
      <c r="WXT895" s="926"/>
      <c r="WXU895" s="926"/>
      <c r="WXV895" s="926"/>
      <c r="WXW895" s="926"/>
      <c r="WXX895" s="926"/>
      <c r="WXY895" s="926"/>
      <c r="WXZ895" s="926"/>
      <c r="WYA895" s="926"/>
      <c r="WYB895" s="926"/>
      <c r="WYC895" s="926"/>
      <c r="WYD895" s="926"/>
      <c r="WYE895" s="926"/>
      <c r="WYF895" s="926"/>
      <c r="WYG895" s="926"/>
      <c r="WYH895" s="926"/>
      <c r="WYI895" s="926"/>
      <c r="WYJ895" s="926"/>
      <c r="WYK895" s="926"/>
      <c r="WYL895" s="926"/>
      <c r="WYM895" s="926"/>
      <c r="WYN895" s="926"/>
      <c r="WYO895" s="926"/>
      <c r="WYP895" s="926"/>
      <c r="WYQ895" s="926"/>
      <c r="WYR895" s="926"/>
      <c r="WYS895" s="926"/>
      <c r="WYT895" s="926"/>
      <c r="WYU895" s="926"/>
      <c r="WYV895" s="926"/>
      <c r="WYW895" s="926"/>
      <c r="WYX895" s="926"/>
      <c r="WYY895" s="926"/>
      <c r="WYZ895" s="926"/>
      <c r="WZA895" s="926"/>
      <c r="WZB895" s="926"/>
      <c r="WZC895" s="926"/>
      <c r="WZD895" s="926"/>
      <c r="WZE895" s="926"/>
      <c r="WZF895" s="926"/>
      <c r="WZG895" s="926"/>
      <c r="WZH895" s="926"/>
      <c r="WZI895" s="926"/>
      <c r="WZJ895" s="926"/>
      <c r="WZK895" s="926"/>
      <c r="WZL895" s="926"/>
      <c r="WZM895" s="926"/>
      <c r="WZN895" s="926"/>
      <c r="WZO895" s="926"/>
      <c r="WZP895" s="926"/>
      <c r="WZQ895" s="926"/>
      <c r="WZR895" s="926"/>
      <c r="WZS895" s="926"/>
      <c r="WZT895" s="926"/>
      <c r="WZU895" s="926"/>
      <c r="WZV895" s="926"/>
      <c r="WZW895" s="926"/>
      <c r="WZX895" s="926"/>
      <c r="WZY895" s="926"/>
      <c r="WZZ895" s="926"/>
      <c r="XAA895" s="926"/>
      <c r="XAB895" s="926"/>
      <c r="XAC895" s="926"/>
      <c r="XAD895" s="926"/>
      <c r="XAE895" s="926"/>
      <c r="XAF895" s="926"/>
      <c r="XAG895" s="926"/>
      <c r="XAH895" s="926"/>
      <c r="XAI895" s="926"/>
      <c r="XAJ895" s="926"/>
      <c r="XAK895" s="926"/>
      <c r="XAL895" s="926"/>
      <c r="XAM895" s="926"/>
      <c r="XAN895" s="926"/>
      <c r="XAO895" s="926"/>
      <c r="XAP895" s="926"/>
      <c r="XAQ895" s="926"/>
      <c r="XAR895" s="926"/>
      <c r="XAS895" s="926"/>
      <c r="XAT895" s="926"/>
      <c r="XAU895" s="926"/>
      <c r="XAV895" s="926"/>
      <c r="XAW895" s="926"/>
      <c r="XAX895" s="926"/>
      <c r="XAY895" s="926"/>
      <c r="XAZ895" s="926"/>
      <c r="XBA895" s="926"/>
      <c r="XBB895" s="926"/>
      <c r="XBC895" s="926"/>
      <c r="XBD895" s="926"/>
      <c r="XBE895" s="926"/>
      <c r="XBF895" s="926"/>
      <c r="XBG895" s="926"/>
      <c r="XBH895" s="926"/>
      <c r="XBI895" s="926"/>
      <c r="XBJ895" s="926"/>
      <c r="XBK895" s="926"/>
      <c r="XBL895" s="926"/>
      <c r="XBM895" s="926"/>
      <c r="XBN895" s="926"/>
      <c r="XBO895" s="926"/>
      <c r="XBP895" s="926"/>
      <c r="XBQ895" s="926"/>
      <c r="XBR895" s="926"/>
      <c r="XBS895" s="926"/>
      <c r="XBT895" s="926"/>
      <c r="XBU895" s="926"/>
      <c r="XBV895" s="926"/>
      <c r="XBW895" s="926"/>
      <c r="XBX895" s="926"/>
      <c r="XBY895" s="926"/>
      <c r="XBZ895" s="926"/>
      <c r="XCA895" s="926"/>
      <c r="XCB895" s="926"/>
      <c r="XCC895" s="926"/>
      <c r="XCD895" s="926"/>
      <c r="XCE895" s="926"/>
      <c r="XCF895" s="926"/>
      <c r="XCG895" s="926"/>
      <c r="XCH895" s="926"/>
      <c r="XCI895" s="926"/>
      <c r="XCJ895" s="926"/>
      <c r="XCK895" s="926"/>
      <c r="XCL895" s="926"/>
      <c r="XCM895" s="926"/>
      <c r="XCN895" s="926"/>
      <c r="XCO895" s="926"/>
      <c r="XCP895" s="926"/>
      <c r="XCQ895" s="926"/>
      <c r="XCR895" s="926"/>
      <c r="XCS895" s="926"/>
      <c r="XCT895" s="926"/>
      <c r="XCU895" s="926"/>
      <c r="XCV895" s="926"/>
      <c r="XCW895" s="926"/>
      <c r="XCX895" s="926"/>
      <c r="XCY895" s="926"/>
      <c r="XCZ895" s="926"/>
      <c r="XDA895" s="926"/>
      <c r="XDB895" s="926"/>
      <c r="XDC895" s="926"/>
      <c r="XDD895" s="926"/>
      <c r="XDE895" s="926"/>
      <c r="XDF895" s="926"/>
      <c r="XDG895" s="926"/>
      <c r="XDH895" s="926"/>
      <c r="XDI895" s="926"/>
      <c r="XDJ895" s="926"/>
      <c r="XDK895" s="926"/>
      <c r="XDL895" s="926"/>
      <c r="XDM895" s="926"/>
      <c r="XDN895" s="926"/>
      <c r="XDO895" s="926"/>
      <c r="XDP895" s="926"/>
      <c r="XDQ895" s="926"/>
      <c r="XDR895" s="926"/>
      <c r="XDS895" s="926"/>
      <c r="XDT895" s="926"/>
      <c r="XDU895" s="926"/>
      <c r="XDV895" s="926"/>
      <c r="XDW895" s="926"/>
      <c r="XDX895" s="926"/>
      <c r="XDY895" s="926"/>
      <c r="XDZ895" s="926"/>
      <c r="XEA895" s="926"/>
      <c r="XEB895" s="926"/>
      <c r="XEC895" s="926"/>
      <c r="XED895" s="926"/>
      <c r="XEE895" s="926"/>
      <c r="XEF895" s="926"/>
      <c r="XEG895" s="926"/>
      <c r="XEH895" s="926"/>
      <c r="XEI895" s="926"/>
      <c r="XEJ895" s="926"/>
      <c r="XEK895" s="926"/>
      <c r="XEL895" s="926"/>
      <c r="XEM895" s="926"/>
      <c r="XEN895" s="926"/>
      <c r="XEO895" s="926"/>
      <c r="XEP895" s="926"/>
      <c r="XEQ895" s="926"/>
      <c r="XER895" s="926"/>
      <c r="XES895" s="926"/>
      <c r="XET895" s="926"/>
      <c r="XEU895" s="926"/>
      <c r="XEV895" s="926"/>
      <c r="XEW895" s="926"/>
      <c r="XEX895" s="926"/>
      <c r="XEY895" s="926"/>
      <c r="XEZ895" s="926"/>
      <c r="XFA895" s="926"/>
      <c r="XFB895" s="926"/>
    </row>
    <row r="896" spans="1:16382" s="926" customFormat="1" x14ac:dyDescent="0.25">
      <c r="A896" s="925">
        <v>17112025</v>
      </c>
      <c r="B896" s="926" t="s">
        <v>7263</v>
      </c>
      <c r="C896" s="928" t="s">
        <v>3932</v>
      </c>
      <c r="D896" s="927">
        <v>45978</v>
      </c>
      <c r="E896" s="928"/>
      <c r="F896" s="928" t="s">
        <v>545</v>
      </c>
      <c r="H896" s="1075" t="s">
        <v>279</v>
      </c>
      <c r="I896" s="1142"/>
      <c r="J896" s="930"/>
      <c r="K896" s="932">
        <v>31100</v>
      </c>
      <c r="L896" s="930"/>
      <c r="M896" s="930"/>
      <c r="N896" s="5"/>
      <c r="O896" s="5"/>
      <c r="T896" s="926" t="s">
        <v>7264</v>
      </c>
      <c r="U896" s="931">
        <v>0.34375</v>
      </c>
      <c r="V896" s="931">
        <v>0.3972222222222222</v>
      </c>
    </row>
    <row r="897" spans="1:22" s="926" customFormat="1" x14ac:dyDescent="0.25">
      <c r="A897" s="925">
        <v>17112025</v>
      </c>
      <c r="B897" s="926" t="s">
        <v>610</v>
      </c>
      <c r="C897" s="928" t="s">
        <v>3932</v>
      </c>
      <c r="D897" s="927">
        <v>45978</v>
      </c>
      <c r="E897" s="928"/>
      <c r="F897" s="928" t="s">
        <v>106</v>
      </c>
      <c r="H897" s="1075" t="s">
        <v>279</v>
      </c>
      <c r="I897" s="1142"/>
      <c r="J897" s="930"/>
      <c r="K897" s="932">
        <v>29770</v>
      </c>
      <c r="L897" s="930"/>
      <c r="M897" s="930"/>
      <c r="T897" s="926" t="s">
        <v>7264</v>
      </c>
      <c r="U897" s="931">
        <v>0.44930555555555557</v>
      </c>
      <c r="V897" s="931">
        <v>0.61736111111111114</v>
      </c>
    </row>
    <row r="898" spans="1:22" s="33" customFormat="1" x14ac:dyDescent="0.25">
      <c r="A898" s="547">
        <v>17112025</v>
      </c>
      <c r="B898" s="33" t="s">
        <v>612</v>
      </c>
      <c r="C898" s="306" t="s">
        <v>4218</v>
      </c>
      <c r="D898" s="548">
        <v>45978</v>
      </c>
      <c r="E898" s="306"/>
      <c r="F898" s="306" t="s">
        <v>113</v>
      </c>
      <c r="H898" s="1109" t="s">
        <v>279</v>
      </c>
      <c r="I898" s="1146"/>
      <c r="J898" s="279"/>
      <c r="K898" s="933">
        <v>35671</v>
      </c>
      <c r="L898" s="279"/>
      <c r="M898" s="279"/>
      <c r="N898" s="5"/>
      <c r="O898" s="5"/>
      <c r="T898" s="33" t="s">
        <v>4297</v>
      </c>
      <c r="U898" s="550">
        <v>0.35138888888888892</v>
      </c>
      <c r="V898" s="550">
        <v>0.5395833333333333</v>
      </c>
    </row>
    <row r="899" spans="1:22" s="33" customFormat="1" x14ac:dyDescent="0.25">
      <c r="A899" s="547">
        <v>18112025</v>
      </c>
      <c r="B899" s="33" t="s">
        <v>7247</v>
      </c>
      <c r="C899" s="306" t="s">
        <v>4218</v>
      </c>
      <c r="D899" s="548">
        <v>45979</v>
      </c>
      <c r="E899" s="306"/>
      <c r="F899" s="306" t="s">
        <v>563</v>
      </c>
      <c r="H899" s="1109" t="s">
        <v>279</v>
      </c>
      <c r="I899" s="1146"/>
      <c r="J899" s="279"/>
      <c r="K899" s="933">
        <v>27700</v>
      </c>
      <c r="L899" s="279"/>
      <c r="M899" s="279"/>
      <c r="N899" s="5"/>
      <c r="O899" s="5"/>
      <c r="T899" s="33" t="s">
        <v>7274</v>
      </c>
      <c r="U899" s="550">
        <v>0.59305555555555556</v>
      </c>
      <c r="V899" s="550">
        <v>0.77222222222222225</v>
      </c>
    </row>
    <row r="900" spans="1:22" s="926" customFormat="1" hidden="1" x14ac:dyDescent="0.25">
      <c r="A900" s="925">
        <v>18112025</v>
      </c>
      <c r="B900" s="926" t="s">
        <v>1720</v>
      </c>
      <c r="C900" s="928" t="s">
        <v>4218</v>
      </c>
      <c r="D900" s="927">
        <v>45979</v>
      </c>
      <c r="E900" s="928"/>
      <c r="F900" s="928" t="s">
        <v>545</v>
      </c>
      <c r="H900" s="1075" t="s">
        <v>277</v>
      </c>
      <c r="I900" s="1142"/>
      <c r="J900" s="930"/>
      <c r="K900" s="932">
        <v>24320</v>
      </c>
      <c r="L900" s="930"/>
      <c r="M900" s="930"/>
      <c r="N900" s="5"/>
      <c r="O900" s="5"/>
      <c r="T900" s="926" t="s">
        <v>7274</v>
      </c>
      <c r="U900" s="931">
        <v>0.80208333333333337</v>
      </c>
      <c r="V900" s="931">
        <v>0.95277777777777783</v>
      </c>
    </row>
    <row r="901" spans="1:22" s="926" customFormat="1" x14ac:dyDescent="0.25">
      <c r="A901" s="925">
        <v>19112025</v>
      </c>
      <c r="B901" s="926" t="s">
        <v>608</v>
      </c>
      <c r="C901" s="928" t="s">
        <v>4218</v>
      </c>
      <c r="D901" s="927">
        <v>45980</v>
      </c>
      <c r="E901" s="928"/>
      <c r="F901" s="928" t="s">
        <v>236</v>
      </c>
      <c r="H901" s="1075" t="s">
        <v>279</v>
      </c>
      <c r="I901" s="1142"/>
      <c r="J901" s="930"/>
      <c r="K901" s="932">
        <v>58231</v>
      </c>
      <c r="L901" s="930"/>
      <c r="M901" s="930"/>
      <c r="N901" s="5"/>
      <c r="O901" s="5"/>
      <c r="T901" s="926" t="s">
        <v>5131</v>
      </c>
      <c r="U901" s="931">
        <v>0.27986111111111112</v>
      </c>
      <c r="V901" s="931">
        <v>0.56111111111111112</v>
      </c>
    </row>
    <row r="902" spans="1:22" s="926" customFormat="1" ht="15" customHeight="1" x14ac:dyDescent="0.25">
      <c r="A902" s="925">
        <v>19112025</v>
      </c>
      <c r="B902" s="926" t="s">
        <v>3880</v>
      </c>
      <c r="C902" s="928" t="s">
        <v>4218</v>
      </c>
      <c r="D902" s="927">
        <v>45980</v>
      </c>
      <c r="E902" s="928"/>
      <c r="F902" s="928" t="s">
        <v>545</v>
      </c>
      <c r="H902" s="1075" t="s">
        <v>279</v>
      </c>
      <c r="I902" s="1142"/>
      <c r="J902" s="930"/>
      <c r="K902" s="932">
        <v>32284.400000000001</v>
      </c>
      <c r="L902" s="930"/>
      <c r="M902" s="930"/>
      <c r="N902" s="5"/>
      <c r="O902" s="5"/>
      <c r="T902" s="998" t="s">
        <v>5131</v>
      </c>
      <c r="U902" s="931">
        <v>0.67291666666666661</v>
      </c>
      <c r="V902" s="931">
        <v>0.8520833333333333</v>
      </c>
    </row>
    <row r="903" spans="1:22" s="926" customFormat="1" x14ac:dyDescent="0.25">
      <c r="A903" s="925">
        <v>20112025</v>
      </c>
      <c r="B903" s="926" t="s">
        <v>4249</v>
      </c>
      <c r="C903" s="928" t="s">
        <v>4218</v>
      </c>
      <c r="D903" s="927">
        <v>45981</v>
      </c>
      <c r="E903" s="928"/>
      <c r="F903" s="928" t="s">
        <v>207</v>
      </c>
      <c r="H903" s="1075" t="s">
        <v>279</v>
      </c>
      <c r="I903" s="1142"/>
      <c r="J903" s="930"/>
      <c r="K903" s="932"/>
      <c r="L903" s="930">
        <v>9440</v>
      </c>
      <c r="M903" s="930"/>
      <c r="N903"/>
      <c r="O903"/>
      <c r="T903" s="926" t="s">
        <v>5989</v>
      </c>
      <c r="U903" s="931">
        <v>0.25555555555555559</v>
      </c>
      <c r="V903" s="931">
        <v>0.47500000000000003</v>
      </c>
    </row>
    <row r="904" spans="1:22" s="33" customFormat="1" x14ac:dyDescent="0.25">
      <c r="A904" s="547">
        <v>21112025</v>
      </c>
      <c r="B904" s="33" t="s">
        <v>612</v>
      </c>
      <c r="C904" s="306" t="s">
        <v>4218</v>
      </c>
      <c r="D904" s="548">
        <v>45982</v>
      </c>
      <c r="E904" s="306"/>
      <c r="F904" s="306" t="s">
        <v>5782</v>
      </c>
      <c r="H904" s="1109" t="s">
        <v>279</v>
      </c>
      <c r="I904" s="1146"/>
      <c r="J904" s="279"/>
      <c r="K904" s="933">
        <v>39818</v>
      </c>
      <c r="L904" s="279"/>
      <c r="M904" s="279"/>
      <c r="N904"/>
      <c r="O904"/>
      <c r="T904" s="33" t="s">
        <v>6349</v>
      </c>
      <c r="U904" s="550">
        <v>0.35555555555555557</v>
      </c>
      <c r="V904" s="550">
        <v>0.72499999999999998</v>
      </c>
    </row>
    <row r="905" spans="1:22" s="1193" customFormat="1" x14ac:dyDescent="0.25">
      <c r="A905" s="1194">
        <v>22112025</v>
      </c>
      <c r="B905" s="1193" t="s">
        <v>930</v>
      </c>
      <c r="C905" s="1195" t="s">
        <v>4218</v>
      </c>
      <c r="D905" s="1196">
        <v>45983</v>
      </c>
      <c r="E905" s="1195"/>
      <c r="F905" s="1195" t="s">
        <v>295</v>
      </c>
      <c r="H905" s="1197" t="s">
        <v>279</v>
      </c>
      <c r="I905" s="1198"/>
      <c r="J905" s="1199"/>
      <c r="K905" s="1200">
        <v>43450</v>
      </c>
      <c r="L905" s="1199"/>
      <c r="M905" s="1199"/>
      <c r="N905"/>
      <c r="O905"/>
      <c r="T905" s="1193" t="s">
        <v>5131</v>
      </c>
      <c r="U905" s="1201">
        <v>0.29097222222222224</v>
      </c>
      <c r="V905" s="1201">
        <v>0.57777777777777783</v>
      </c>
    </row>
    <row r="906" spans="1:22" s="33" customFormat="1" x14ac:dyDescent="0.25">
      <c r="A906" s="547">
        <v>22112025</v>
      </c>
      <c r="B906" s="33" t="s">
        <v>614</v>
      </c>
      <c r="C906" s="306" t="s">
        <v>410</v>
      </c>
      <c r="D906" s="548">
        <v>45983</v>
      </c>
      <c r="E906" s="306"/>
      <c r="F906" s="306" t="s">
        <v>294</v>
      </c>
      <c r="H906" s="1109" t="s">
        <v>279</v>
      </c>
      <c r="I906" s="1146"/>
      <c r="J906" s="279"/>
      <c r="K906" s="933">
        <v>37984.199999999997</v>
      </c>
      <c r="L906" s="279"/>
      <c r="M906" s="279"/>
      <c r="N906"/>
      <c r="O906"/>
      <c r="T906" s="33" t="s">
        <v>7078</v>
      </c>
      <c r="U906" s="550">
        <v>0.52500000000000002</v>
      </c>
      <c r="V906" s="550">
        <v>0.75069444444444444</v>
      </c>
    </row>
    <row r="907" spans="1:22" s="1003" customFormat="1" hidden="1" x14ac:dyDescent="0.25">
      <c r="A907" s="1002">
        <v>22112025</v>
      </c>
      <c r="B907" s="1003" t="s">
        <v>1720</v>
      </c>
      <c r="C907" s="1004" t="s">
        <v>809</v>
      </c>
      <c r="D907" s="1005">
        <v>45983</v>
      </c>
      <c r="E907" s="1004"/>
      <c r="F907" s="1004" t="s">
        <v>545</v>
      </c>
      <c r="H907" s="1138" t="s">
        <v>277</v>
      </c>
      <c r="I907" s="1188"/>
      <c r="J907" s="1189"/>
      <c r="K907" s="1103">
        <v>24320</v>
      </c>
      <c r="L907" s="1189"/>
      <c r="M907" s="1189"/>
      <c r="N907"/>
      <c r="O907"/>
      <c r="T907" s="1003" t="s">
        <v>7320</v>
      </c>
      <c r="U907" s="1009">
        <v>0.51111111111111118</v>
      </c>
      <c r="V907" s="1009">
        <v>0.57500000000000007</v>
      </c>
    </row>
    <row r="908" spans="1:22" s="1203" customFormat="1" x14ac:dyDescent="0.25">
      <c r="A908" s="1202">
        <v>22112025</v>
      </c>
      <c r="B908" s="1203" t="s">
        <v>930</v>
      </c>
      <c r="C908" s="1204" t="s">
        <v>4218</v>
      </c>
      <c r="D908" s="1205">
        <v>45983</v>
      </c>
      <c r="E908" s="1204"/>
      <c r="F908" s="1204" t="s">
        <v>294</v>
      </c>
      <c r="H908" s="1206" t="s">
        <v>279</v>
      </c>
      <c r="I908" s="1207"/>
      <c r="J908" s="1208"/>
      <c r="K908" s="1209">
        <v>33182</v>
      </c>
      <c r="L908" s="1208"/>
      <c r="M908" s="1208"/>
      <c r="N908"/>
      <c r="O908"/>
      <c r="T908" s="1203" t="s">
        <v>6067</v>
      </c>
      <c r="U908" s="1210">
        <v>0.67291666666666661</v>
      </c>
      <c r="V908" s="1210">
        <v>0.89236111111111116</v>
      </c>
    </row>
    <row r="909" spans="1:22" s="926" customFormat="1" x14ac:dyDescent="0.25">
      <c r="A909" s="925">
        <v>23112025</v>
      </c>
      <c r="B909" s="926" t="s">
        <v>572</v>
      </c>
      <c r="C909" s="928" t="s">
        <v>4218</v>
      </c>
      <c r="D909" s="927">
        <v>45984</v>
      </c>
      <c r="E909" s="928"/>
      <c r="F909" s="928" t="s">
        <v>207</v>
      </c>
      <c r="H909" s="1075" t="s">
        <v>279</v>
      </c>
      <c r="I909" s="1142"/>
      <c r="J909" s="930"/>
      <c r="L909" s="930">
        <v>9440</v>
      </c>
      <c r="M909" s="930"/>
      <c r="N909"/>
      <c r="O909"/>
      <c r="T909" s="926" t="s">
        <v>4140</v>
      </c>
      <c r="U909" s="931">
        <v>0.41597222222222219</v>
      </c>
      <c r="V909" s="931">
        <v>0.62708333333333333</v>
      </c>
    </row>
    <row r="910" spans="1:22" s="926" customFormat="1" x14ac:dyDescent="0.25">
      <c r="A910" s="925">
        <v>24112025</v>
      </c>
      <c r="B910" s="926" t="s">
        <v>608</v>
      </c>
      <c r="C910" s="928" t="s">
        <v>4218</v>
      </c>
      <c r="D910" s="927">
        <v>45985</v>
      </c>
      <c r="E910" s="928"/>
      <c r="F910" s="928" t="s">
        <v>236</v>
      </c>
      <c r="H910" s="1075" t="s">
        <v>279</v>
      </c>
      <c r="I910" s="1142"/>
      <c r="J910" s="930"/>
      <c r="K910" s="932">
        <v>58231</v>
      </c>
      <c r="L910" s="930"/>
      <c r="M910" s="930"/>
      <c r="N910"/>
      <c r="O910"/>
      <c r="T910" s="926" t="s">
        <v>7141</v>
      </c>
      <c r="U910" s="931">
        <v>0.39930555555555558</v>
      </c>
      <c r="V910" s="931">
        <v>0.82430555555555562</v>
      </c>
    </row>
    <row r="911" spans="1:22" s="926" customFormat="1" x14ac:dyDescent="0.25">
      <c r="A911" s="925">
        <v>24112025</v>
      </c>
      <c r="B911" s="926" t="s">
        <v>610</v>
      </c>
      <c r="C911" s="928" t="s">
        <v>410</v>
      </c>
      <c r="D911" s="927">
        <v>45985</v>
      </c>
      <c r="E911" s="928"/>
      <c r="F911" s="928" t="s">
        <v>106</v>
      </c>
      <c r="H911" s="1075" t="s">
        <v>279</v>
      </c>
      <c r="I911" s="1142"/>
      <c r="J911" s="930"/>
      <c r="K911" s="932">
        <v>29770</v>
      </c>
      <c r="L911" s="930"/>
      <c r="M911" s="930"/>
      <c r="N911"/>
      <c r="O911"/>
      <c r="T911" s="926" t="s">
        <v>7078</v>
      </c>
      <c r="U911" s="931">
        <v>0.46458333333333335</v>
      </c>
      <c r="V911" s="931">
        <v>0.62569444444444444</v>
      </c>
    </row>
    <row r="912" spans="1:22" s="1193" customFormat="1" x14ac:dyDescent="0.25">
      <c r="A912" s="1194">
        <v>25112025</v>
      </c>
      <c r="B912" s="1193" t="s">
        <v>930</v>
      </c>
      <c r="C912" s="1195" t="s">
        <v>4218</v>
      </c>
      <c r="D912" s="1196">
        <v>45986</v>
      </c>
      <c r="E912" s="1195"/>
      <c r="F912" s="1195" t="s">
        <v>295</v>
      </c>
      <c r="H912" s="1197" t="s">
        <v>279</v>
      </c>
      <c r="I912" s="1198"/>
      <c r="J912" s="1199"/>
      <c r="K912" s="1200">
        <f>34011+9439</f>
        <v>43450</v>
      </c>
      <c r="L912" s="1199"/>
      <c r="M912" s="1199"/>
      <c r="N912"/>
      <c r="O912"/>
      <c r="T912" s="1193" t="s">
        <v>5021</v>
      </c>
      <c r="U912" s="1201">
        <v>0.30486111111111108</v>
      </c>
      <c r="V912" s="1201">
        <v>0.60902777777777783</v>
      </c>
    </row>
    <row r="913" spans="1:22" s="926" customFormat="1" x14ac:dyDescent="0.25">
      <c r="A913" s="925">
        <v>26112025</v>
      </c>
      <c r="B913" s="926" t="s">
        <v>1720</v>
      </c>
      <c r="C913" s="928" t="s">
        <v>4218</v>
      </c>
      <c r="D913" s="927">
        <v>45987</v>
      </c>
      <c r="E913" s="928"/>
      <c r="F913" s="928" t="s">
        <v>545</v>
      </c>
      <c r="H913" s="1075" t="s">
        <v>279</v>
      </c>
      <c r="I913" s="1142"/>
      <c r="J913" s="930"/>
      <c r="K913" s="932">
        <v>31500</v>
      </c>
      <c r="L913" s="930"/>
      <c r="M913" s="930"/>
      <c r="N913"/>
      <c r="O913"/>
      <c r="T913" s="926" t="s">
        <v>4297</v>
      </c>
      <c r="U913" s="931">
        <v>0.66666666666666663</v>
      </c>
      <c r="V913" s="931">
        <v>0.84097222222222223</v>
      </c>
    </row>
    <row r="914" spans="1:22" s="33" customFormat="1" x14ac:dyDescent="0.25">
      <c r="A914" s="547">
        <v>27112025</v>
      </c>
      <c r="B914" s="33" t="s">
        <v>614</v>
      </c>
      <c r="C914" s="306" t="s">
        <v>4218</v>
      </c>
      <c r="D914" s="548">
        <v>45988</v>
      </c>
      <c r="E914" s="306"/>
      <c r="F914" s="306" t="s">
        <v>2437</v>
      </c>
      <c r="H914" s="1109" t="s">
        <v>279</v>
      </c>
      <c r="I914" s="1146"/>
      <c r="J914" s="279"/>
      <c r="K914" s="933">
        <v>24886.2</v>
      </c>
      <c r="L914" s="279"/>
      <c r="M914" s="279"/>
      <c r="N914"/>
      <c r="O914"/>
      <c r="T914" s="33" t="s">
        <v>4297</v>
      </c>
      <c r="U914" s="550">
        <v>0.37083333333333335</v>
      </c>
      <c r="V914" s="550">
        <v>0.5625</v>
      </c>
    </row>
    <row r="915" spans="1:22" s="33" customFormat="1" x14ac:dyDescent="0.25">
      <c r="A915" s="547">
        <v>27112025</v>
      </c>
      <c r="B915" s="33" t="s">
        <v>930</v>
      </c>
      <c r="C915" s="306" t="s">
        <v>4218</v>
      </c>
      <c r="D915" s="548">
        <v>45988</v>
      </c>
      <c r="E915" s="306"/>
      <c r="F915" s="306" t="s">
        <v>295</v>
      </c>
      <c r="H915" s="1109" t="s">
        <v>279</v>
      </c>
      <c r="I915" s="1146"/>
      <c r="J915" s="279"/>
      <c r="K915" s="933">
        <v>34011</v>
      </c>
      <c r="L915" s="279"/>
      <c r="M915" s="279"/>
      <c r="N915"/>
      <c r="O915"/>
      <c r="T915" s="33" t="s">
        <v>7078</v>
      </c>
      <c r="U915" s="550">
        <v>0.8125</v>
      </c>
      <c r="V915" s="550">
        <v>4.027777777777778E-2</v>
      </c>
    </row>
    <row r="916" spans="1:22" s="926" customFormat="1" hidden="1" x14ac:dyDescent="0.25">
      <c r="A916" s="925">
        <v>28112025</v>
      </c>
      <c r="B916" s="926" t="s">
        <v>1720</v>
      </c>
      <c r="C916" s="928" t="s">
        <v>4218</v>
      </c>
      <c r="D916" s="927">
        <v>45989</v>
      </c>
      <c r="E916" s="928"/>
      <c r="F916" s="928" t="s">
        <v>545</v>
      </c>
      <c r="H916" s="1075" t="s">
        <v>277</v>
      </c>
      <c r="I916" s="1142"/>
      <c r="J916" s="930"/>
      <c r="K916" s="932">
        <v>24320</v>
      </c>
      <c r="L916" s="930"/>
      <c r="M916" s="930"/>
      <c r="N916"/>
      <c r="O916"/>
      <c r="T916" s="926" t="s">
        <v>6067</v>
      </c>
      <c r="U916" s="931">
        <v>0.3215277777777778</v>
      </c>
      <c r="V916" s="931">
        <v>0.66388888888888886</v>
      </c>
    </row>
    <row r="917" spans="1:22" s="33" customFormat="1" x14ac:dyDescent="0.25">
      <c r="A917" s="547">
        <v>28112025</v>
      </c>
      <c r="B917" s="33" t="s">
        <v>614</v>
      </c>
      <c r="C917" s="306" t="s">
        <v>410</v>
      </c>
      <c r="D917" s="548">
        <v>45989</v>
      </c>
      <c r="E917" s="306"/>
      <c r="F917" s="306" t="s">
        <v>6982</v>
      </c>
      <c r="H917" s="1109" t="s">
        <v>279</v>
      </c>
      <c r="I917" s="1146"/>
      <c r="J917" s="279"/>
      <c r="K917" s="933">
        <v>52828.6</v>
      </c>
      <c r="L917" s="279"/>
      <c r="M917" s="279"/>
      <c r="N917"/>
      <c r="O917"/>
      <c r="T917" s="33" t="s">
        <v>4138</v>
      </c>
      <c r="U917" s="550">
        <v>0.47083333333333338</v>
      </c>
      <c r="V917" s="550">
        <v>0.76527777777777783</v>
      </c>
    </row>
    <row r="918" spans="1:22" s="33" customFormat="1" hidden="1" x14ac:dyDescent="0.25">
      <c r="A918" s="547">
        <v>28112025</v>
      </c>
      <c r="B918" s="33" t="s">
        <v>930</v>
      </c>
      <c r="C918" s="306" t="s">
        <v>4218</v>
      </c>
      <c r="D918" s="548">
        <v>45989</v>
      </c>
      <c r="E918" s="306"/>
      <c r="F918" s="306" t="s">
        <v>295</v>
      </c>
      <c r="H918" s="1109" t="s">
        <v>277</v>
      </c>
      <c r="I918" s="1146"/>
      <c r="J918" s="279"/>
      <c r="K918" s="933">
        <v>34011</v>
      </c>
      <c r="L918" s="279"/>
      <c r="M918" s="279"/>
      <c r="N918"/>
      <c r="O918"/>
      <c r="T918" s="33" t="s">
        <v>5119</v>
      </c>
      <c r="U918" s="550">
        <v>0.73541666666666661</v>
      </c>
      <c r="V918" s="550">
        <v>1.5277777777777777E-2</v>
      </c>
    </row>
    <row r="919" spans="1:22" s="33" customFormat="1" x14ac:dyDescent="0.25">
      <c r="A919" s="547">
        <v>29112025</v>
      </c>
      <c r="B919" s="33" t="s">
        <v>5093</v>
      </c>
      <c r="C919" s="306" t="s">
        <v>4218</v>
      </c>
      <c r="D919" s="548">
        <v>45990</v>
      </c>
      <c r="E919" s="306"/>
      <c r="F919" s="306" t="s">
        <v>5326</v>
      </c>
      <c r="H919" s="1109" t="s">
        <v>279</v>
      </c>
      <c r="I919" s="1146"/>
      <c r="J919" s="279"/>
      <c r="K919" s="933">
        <v>34500</v>
      </c>
      <c r="L919" s="279"/>
      <c r="M919" s="279"/>
      <c r="T919" s="33" t="s">
        <v>5021</v>
      </c>
      <c r="U919" s="550">
        <v>0.3215277777777778</v>
      </c>
      <c r="V919" s="550">
        <v>0.54236111111111118</v>
      </c>
    </row>
    <row r="920" spans="1:22" s="33" customFormat="1" x14ac:dyDescent="0.25">
      <c r="A920" s="547">
        <v>29112025</v>
      </c>
      <c r="B920" s="33" t="s">
        <v>610</v>
      </c>
      <c r="C920" s="306" t="s">
        <v>410</v>
      </c>
      <c r="D920" s="548">
        <v>45990</v>
      </c>
      <c r="E920" s="306"/>
      <c r="F920" s="306" t="s">
        <v>106</v>
      </c>
      <c r="H920" s="1109" t="s">
        <v>279</v>
      </c>
      <c r="I920" s="1146"/>
      <c r="J920" s="279"/>
      <c r="K920" s="933">
        <v>29770</v>
      </c>
      <c r="L920" s="279"/>
      <c r="M920" s="279"/>
      <c r="N920"/>
      <c r="O920"/>
      <c r="T920" s="33" t="s">
        <v>7092</v>
      </c>
      <c r="U920" s="550">
        <v>0.46180555555555558</v>
      </c>
      <c r="V920" s="550">
        <v>0.61249999999999993</v>
      </c>
    </row>
    <row r="921" spans="1:22" s="33" customFormat="1" x14ac:dyDescent="0.25">
      <c r="A921" s="547">
        <v>30112025</v>
      </c>
      <c r="B921" s="33" t="s">
        <v>608</v>
      </c>
      <c r="C921" s="306" t="s">
        <v>4218</v>
      </c>
      <c r="D921" s="548">
        <v>45991</v>
      </c>
      <c r="E921" s="306"/>
      <c r="F921" s="306" t="s">
        <v>236</v>
      </c>
      <c r="H921" s="1109" t="s">
        <v>279</v>
      </c>
      <c r="I921" s="1146"/>
      <c r="J921" s="279"/>
      <c r="K921" s="933">
        <v>58231</v>
      </c>
      <c r="L921" s="279"/>
      <c r="M921" s="279"/>
      <c r="N921"/>
      <c r="O921"/>
      <c r="T921" s="33" t="s">
        <v>7335</v>
      </c>
      <c r="U921" s="550">
        <v>0.27777777777777779</v>
      </c>
      <c r="V921" s="550">
        <v>0.55347222222222225</v>
      </c>
    </row>
    <row r="922" spans="1:22" s="33" customFormat="1" ht="14.1" hidden="1" customHeight="1" x14ac:dyDescent="0.25">
      <c r="A922" s="547">
        <v>30112025</v>
      </c>
      <c r="B922" s="33" t="s">
        <v>1720</v>
      </c>
      <c r="C922" s="306" t="s">
        <v>4218</v>
      </c>
      <c r="D922" s="548">
        <v>45991</v>
      </c>
      <c r="E922" s="306"/>
      <c r="F922" s="306" t="s">
        <v>545</v>
      </c>
      <c r="H922" s="1109" t="s">
        <v>277</v>
      </c>
      <c r="J922" s="279"/>
      <c r="K922" s="933">
        <v>24320</v>
      </c>
      <c r="L922" s="279"/>
      <c r="M922" s="279"/>
      <c r="N922"/>
      <c r="O922"/>
      <c r="T922" s="33" t="s">
        <v>4867</v>
      </c>
      <c r="U922" s="550">
        <v>0.6479166666666667</v>
      </c>
      <c r="V922" s="550">
        <v>0.7715277777777777</v>
      </c>
    </row>
    <row r="923" spans="1:22" ht="14.1" hidden="1" customHeight="1" x14ac:dyDescent="0.25">
      <c r="A923" s="483"/>
      <c r="D923" s="233"/>
      <c r="H923" s="1067"/>
      <c r="J923" s="88"/>
      <c r="K923" s="798"/>
      <c r="L923" s="88"/>
      <c r="M923" s="88"/>
      <c r="U923" s="360"/>
      <c r="V923" s="360"/>
    </row>
    <row r="924" spans="1:22" hidden="1" x14ac:dyDescent="0.25">
      <c r="A924" s="483"/>
      <c r="D924" s="233"/>
      <c r="H924" s="1067"/>
      <c r="I924" s="1131"/>
      <c r="J924" s="88"/>
      <c r="K924" s="798"/>
      <c r="L924" s="88"/>
      <c r="M924" s="88"/>
      <c r="U924" s="360"/>
      <c r="V924" s="360"/>
    </row>
    <row r="925" spans="1:22" ht="15.75" hidden="1" thickBot="1" x14ac:dyDescent="0.3">
      <c r="A925" s="483"/>
      <c r="D925" s="233"/>
      <c r="H925" s="1067"/>
      <c r="I925" s="1131"/>
      <c r="J925" s="88"/>
      <c r="K925" s="1144">
        <f>SUM(K856:K924)</f>
        <v>2380886.1199999996</v>
      </c>
      <c r="L925" s="1144">
        <f>SUM(L856:L924)</f>
        <v>44132.000000000029</v>
      </c>
      <c r="M925" s="88"/>
      <c r="U925" s="360"/>
      <c r="V925" s="360"/>
    </row>
    <row r="926" spans="1:22" hidden="1" x14ac:dyDescent="0.25">
      <c r="A926" s="483"/>
      <c r="D926" s="233"/>
      <c r="H926" s="1067"/>
      <c r="I926" s="1131"/>
      <c r="J926" s="88"/>
      <c r="K926" s="447"/>
      <c r="L926" s="447"/>
      <c r="M926" s="88"/>
      <c r="U926" s="360"/>
      <c r="V926" s="360"/>
    </row>
    <row r="927" spans="1:22" hidden="1" x14ac:dyDescent="0.25">
      <c r="A927" s="483"/>
      <c r="D927" s="233"/>
      <c r="H927" s="1067"/>
      <c r="I927" s="88"/>
      <c r="J927" s="88"/>
      <c r="K927" s="447"/>
      <c r="L927" s="447"/>
      <c r="M927" s="88"/>
      <c r="U927" s="360"/>
      <c r="V927" s="360"/>
    </row>
    <row r="928" spans="1:22" hidden="1" x14ac:dyDescent="0.25">
      <c r="A928" s="483"/>
      <c r="D928" s="233"/>
      <c r="H928" s="1067"/>
      <c r="I928" s="1131"/>
      <c r="J928" s="88"/>
      <c r="K928" s="447"/>
      <c r="L928" s="447"/>
      <c r="M928" s="88"/>
      <c r="U928" s="360"/>
      <c r="V928" s="360"/>
    </row>
    <row r="929" spans="1:22" hidden="1" x14ac:dyDescent="0.25">
      <c r="A929" s="483"/>
      <c r="D929" s="233"/>
      <c r="H929" s="1067"/>
      <c r="I929" s="1131"/>
      <c r="J929" s="88"/>
      <c r="K929" s="447"/>
      <c r="L929" s="447"/>
      <c r="M929" s="88"/>
      <c r="U929" s="360"/>
      <c r="V929" s="360"/>
    </row>
    <row r="930" spans="1:22" s="33" customFormat="1" x14ac:dyDescent="0.25">
      <c r="A930" s="547" t="s">
        <v>7336</v>
      </c>
      <c r="B930" s="33" t="s">
        <v>614</v>
      </c>
      <c r="C930" s="306" t="s">
        <v>4218</v>
      </c>
      <c r="D930" s="548">
        <v>45992</v>
      </c>
      <c r="E930" s="306"/>
      <c r="F930" s="548" t="s">
        <v>143</v>
      </c>
      <c r="H930" s="1109" t="s">
        <v>279</v>
      </c>
      <c r="I930" s="1146"/>
      <c r="J930" s="279"/>
      <c r="K930" s="1230">
        <v>37111</v>
      </c>
      <c r="L930" s="1231"/>
      <c r="M930" s="279"/>
      <c r="T930" s="33" t="s">
        <v>7092</v>
      </c>
      <c r="U930" s="550">
        <v>0.84444444444444444</v>
      </c>
      <c r="V930" s="550">
        <v>6.5972222222222224E-2</v>
      </c>
    </row>
    <row r="931" spans="1:22" s="926" customFormat="1" x14ac:dyDescent="0.25">
      <c r="A931" s="925" t="s">
        <v>7337</v>
      </c>
      <c r="B931" s="926" t="s">
        <v>5239</v>
      </c>
      <c r="C931" s="928" t="s">
        <v>410</v>
      </c>
      <c r="D931" s="927">
        <v>45993</v>
      </c>
      <c r="E931" s="928"/>
      <c r="F931" s="927" t="s">
        <v>207</v>
      </c>
      <c r="H931" s="1075" t="s">
        <v>279</v>
      </c>
      <c r="I931" s="1142"/>
      <c r="J931" s="930"/>
      <c r="K931" s="1213">
        <v>35872</v>
      </c>
      <c r="L931" s="1214"/>
      <c r="M931" s="930"/>
      <c r="T931" s="926" t="s">
        <v>4297</v>
      </c>
      <c r="U931" s="931">
        <v>0.3979166666666667</v>
      </c>
      <c r="V931" s="931">
        <v>0.60555555555555551</v>
      </c>
    </row>
    <row r="932" spans="1:22" s="33" customFormat="1" x14ac:dyDescent="0.25">
      <c r="A932" s="547" t="s">
        <v>7337</v>
      </c>
      <c r="B932" s="33" t="s">
        <v>614</v>
      </c>
      <c r="C932" s="306" t="s">
        <v>4218</v>
      </c>
      <c r="D932" s="548">
        <v>45993</v>
      </c>
      <c r="E932" s="306"/>
      <c r="F932" s="306" t="s">
        <v>113</v>
      </c>
      <c r="H932" s="1109" t="s">
        <v>279</v>
      </c>
      <c r="I932" s="1229"/>
      <c r="J932" s="285"/>
      <c r="K932" s="1230">
        <v>37984.199999999997</v>
      </c>
      <c r="L932" s="1231"/>
      <c r="M932" s="279"/>
      <c r="T932" s="33" t="s">
        <v>6503</v>
      </c>
      <c r="U932" s="550">
        <v>0.35138888888888892</v>
      </c>
      <c r="V932" s="550">
        <v>0.56319444444444444</v>
      </c>
    </row>
    <row r="933" spans="1:22" s="926" customFormat="1" x14ac:dyDescent="0.25">
      <c r="A933" s="925" t="s">
        <v>7360</v>
      </c>
      <c r="B933" s="926" t="s">
        <v>4249</v>
      </c>
      <c r="C933" s="928" t="s">
        <v>4218</v>
      </c>
      <c r="D933" s="927">
        <v>45995</v>
      </c>
      <c r="E933" s="928"/>
      <c r="F933" s="928" t="s">
        <v>207</v>
      </c>
      <c r="H933" s="1075" t="s">
        <v>279</v>
      </c>
      <c r="I933" s="1140"/>
      <c r="J933" s="1111"/>
      <c r="K933" s="1213"/>
      <c r="L933" s="1213">
        <v>9440</v>
      </c>
      <c r="M933" s="930"/>
      <c r="T933" s="926" t="s">
        <v>5989</v>
      </c>
      <c r="U933" s="931">
        <v>0.25138888888888888</v>
      </c>
      <c r="V933" s="931">
        <v>0.46736111111111112</v>
      </c>
    </row>
    <row r="934" spans="1:22" s="926" customFormat="1" x14ac:dyDescent="0.25">
      <c r="A934" s="925" t="s">
        <v>7360</v>
      </c>
      <c r="B934" s="926" t="s">
        <v>608</v>
      </c>
      <c r="C934" s="928" t="s">
        <v>410</v>
      </c>
      <c r="D934" s="927">
        <v>45995</v>
      </c>
      <c r="E934" s="928"/>
      <c r="F934" s="928" t="s">
        <v>236</v>
      </c>
      <c r="H934" s="1075" t="s">
        <v>279</v>
      </c>
      <c r="I934" s="1140"/>
      <c r="J934" s="1111"/>
      <c r="K934" s="1213">
        <v>58231</v>
      </c>
      <c r="L934" s="1214"/>
      <c r="M934" s="930"/>
      <c r="T934" s="926" t="s">
        <v>6349</v>
      </c>
      <c r="U934" s="931">
        <v>0.2986111111111111</v>
      </c>
      <c r="V934" s="931">
        <v>0.58611111111111114</v>
      </c>
    </row>
    <row r="935" spans="1:22" s="926" customFormat="1" x14ac:dyDescent="0.25">
      <c r="A935" s="925" t="s">
        <v>7360</v>
      </c>
      <c r="B935" s="926" t="s">
        <v>614</v>
      </c>
      <c r="C935" s="928" t="s">
        <v>4218</v>
      </c>
      <c r="D935" s="927">
        <v>45995</v>
      </c>
      <c r="E935" s="928"/>
      <c r="F935" s="928" t="s">
        <v>1917</v>
      </c>
      <c r="H935" s="1075" t="s">
        <v>279</v>
      </c>
      <c r="I935" s="1140"/>
      <c r="J935" s="1111"/>
      <c r="K935" s="1213">
        <v>33618.199999999997</v>
      </c>
      <c r="L935" s="1214"/>
      <c r="M935" s="930"/>
      <c r="T935" s="926" t="s">
        <v>5989</v>
      </c>
      <c r="U935" s="931">
        <v>0.51736111111111105</v>
      </c>
      <c r="V935" s="931">
        <v>0.75486111111111109</v>
      </c>
    </row>
    <row r="936" spans="1:22" s="33" customFormat="1" x14ac:dyDescent="0.25">
      <c r="A936" s="547" t="s">
        <v>7361</v>
      </c>
      <c r="B936" s="33" t="s">
        <v>614</v>
      </c>
      <c r="C936" s="306" t="s">
        <v>4218</v>
      </c>
      <c r="D936" s="548">
        <v>45996</v>
      </c>
      <c r="E936" s="306"/>
      <c r="F936" s="306" t="s">
        <v>113</v>
      </c>
      <c r="H936" s="1109" t="s">
        <v>279</v>
      </c>
      <c r="I936" s="1229"/>
      <c r="J936" s="285"/>
      <c r="K936" s="1230">
        <v>37984.199999999997</v>
      </c>
      <c r="L936" s="1231"/>
      <c r="M936" s="279"/>
      <c r="T936" s="33" t="s">
        <v>7362</v>
      </c>
      <c r="U936" s="550">
        <v>0.32361111111111113</v>
      </c>
      <c r="V936" s="550">
        <v>13.12</v>
      </c>
    </row>
    <row r="937" spans="1:22" s="33" customFormat="1" x14ac:dyDescent="0.25">
      <c r="A937" s="547" t="s">
        <v>7361</v>
      </c>
      <c r="B937" s="33" t="s">
        <v>614</v>
      </c>
      <c r="C937" s="306" t="s">
        <v>410</v>
      </c>
      <c r="D937" s="548">
        <v>45996</v>
      </c>
      <c r="E937" s="306"/>
      <c r="F937" s="306" t="s">
        <v>1931</v>
      </c>
      <c r="H937" s="1109" t="s">
        <v>279</v>
      </c>
      <c r="I937" s="1229"/>
      <c r="J937" s="285"/>
      <c r="K937" s="1230">
        <v>52828.6</v>
      </c>
      <c r="L937" s="1231"/>
      <c r="M937" s="279"/>
      <c r="T937" s="33" t="s">
        <v>5131</v>
      </c>
      <c r="U937" s="550">
        <v>0.34097222222222223</v>
      </c>
      <c r="V937" s="550">
        <v>0.63888888888888895</v>
      </c>
    </row>
    <row r="938" spans="1:22" s="33" customFormat="1" x14ac:dyDescent="0.25">
      <c r="A938" s="547" t="s">
        <v>7361</v>
      </c>
      <c r="B938" s="33" t="s">
        <v>2303</v>
      </c>
      <c r="C938" s="306" t="s">
        <v>4218</v>
      </c>
      <c r="D938" s="548">
        <v>45996</v>
      </c>
      <c r="E938" s="306"/>
      <c r="F938" s="306" t="s">
        <v>68</v>
      </c>
      <c r="H938" s="1109" t="s">
        <v>279</v>
      </c>
      <c r="I938" s="1229"/>
      <c r="J938" s="285"/>
      <c r="K938" s="1230">
        <v>44840</v>
      </c>
      <c r="L938" s="1231"/>
      <c r="M938" s="279"/>
      <c r="T938" s="33" t="s">
        <v>6503</v>
      </c>
      <c r="U938" s="550">
        <v>0.70208333333333339</v>
      </c>
      <c r="V938" s="550">
        <v>0.87083333333333324</v>
      </c>
    </row>
    <row r="939" spans="1:22" s="926" customFormat="1" x14ac:dyDescent="0.25">
      <c r="A939" s="925" t="s">
        <v>7365</v>
      </c>
      <c r="B939" s="926" t="s">
        <v>608</v>
      </c>
      <c r="C939" s="928" t="s">
        <v>4218</v>
      </c>
      <c r="D939" s="927">
        <v>45997</v>
      </c>
      <c r="E939" s="928"/>
      <c r="F939" s="928" t="s">
        <v>236</v>
      </c>
      <c r="H939" s="1075" t="s">
        <v>279</v>
      </c>
      <c r="I939" s="1140"/>
      <c r="J939" s="1111"/>
      <c r="K939" s="1213">
        <v>58231</v>
      </c>
      <c r="L939" s="1214"/>
      <c r="M939" s="930"/>
      <c r="T939" s="926" t="s">
        <v>4140</v>
      </c>
      <c r="U939" s="931">
        <v>0.29652777777777778</v>
      </c>
      <c r="V939" s="931">
        <v>0.61041666666666672</v>
      </c>
    </row>
    <row r="940" spans="1:22" s="33" customFormat="1" x14ac:dyDescent="0.25">
      <c r="A940" s="547" t="s">
        <v>7365</v>
      </c>
      <c r="B940" s="33" t="s">
        <v>614</v>
      </c>
      <c r="C940" s="306" t="s">
        <v>410</v>
      </c>
      <c r="D940" s="548">
        <v>45997</v>
      </c>
      <c r="E940" s="306"/>
      <c r="F940" s="306" t="s">
        <v>872</v>
      </c>
      <c r="H940" s="1109" t="s">
        <v>279</v>
      </c>
      <c r="I940" s="1229"/>
      <c r="J940" s="285"/>
      <c r="K940" s="1230">
        <v>37984.199999999997</v>
      </c>
      <c r="L940" s="1231"/>
      <c r="M940" s="279"/>
      <c r="T940" s="33" t="s">
        <v>4867</v>
      </c>
      <c r="U940" s="550">
        <v>0.43472222222222223</v>
      </c>
      <c r="V940" s="550">
        <v>0.6694444444444444</v>
      </c>
    </row>
    <row r="941" spans="1:22" s="926" customFormat="1" x14ac:dyDescent="0.25">
      <c r="A941" s="925" t="s">
        <v>7366</v>
      </c>
      <c r="B941" s="926" t="s">
        <v>610</v>
      </c>
      <c r="C941" s="928" t="s">
        <v>410</v>
      </c>
      <c r="D941" s="927">
        <v>45998</v>
      </c>
      <c r="E941" s="928"/>
      <c r="F941" s="928" t="s">
        <v>106</v>
      </c>
      <c r="H941" s="1075" t="s">
        <v>279</v>
      </c>
      <c r="I941" s="1140"/>
      <c r="J941" s="1111"/>
      <c r="K941" s="1213">
        <v>29770</v>
      </c>
      <c r="L941" s="1214"/>
      <c r="M941" s="930"/>
      <c r="T941" s="926" t="s">
        <v>6503</v>
      </c>
      <c r="U941" s="931">
        <v>0.26527777777777778</v>
      </c>
      <c r="V941" s="931">
        <v>0.43541666666666662</v>
      </c>
    </row>
    <row r="942" spans="1:22" s="926" customFormat="1" x14ac:dyDescent="0.25">
      <c r="A942" s="925" t="s">
        <v>7366</v>
      </c>
      <c r="B942" s="926" t="s">
        <v>608</v>
      </c>
      <c r="C942" s="928" t="s">
        <v>410</v>
      </c>
      <c r="D942" s="927">
        <v>45998</v>
      </c>
      <c r="E942" s="928"/>
      <c r="F942" s="928" t="s">
        <v>236</v>
      </c>
      <c r="H942" s="1075" t="s">
        <v>279</v>
      </c>
      <c r="I942" s="1140"/>
      <c r="J942" s="1111"/>
      <c r="K942" s="1213">
        <v>58231</v>
      </c>
      <c r="L942" s="1214"/>
      <c r="M942" s="930"/>
      <c r="T942" s="926" t="s">
        <v>7092</v>
      </c>
      <c r="U942" s="931">
        <v>0.48819444444444443</v>
      </c>
      <c r="V942" s="931">
        <v>0.77222222222222225</v>
      </c>
    </row>
    <row r="943" spans="1:22" s="926" customFormat="1" hidden="1" x14ac:dyDescent="0.25">
      <c r="A943" s="925" t="s">
        <v>7366</v>
      </c>
      <c r="B943" s="926" t="s">
        <v>608</v>
      </c>
      <c r="C943" s="928" t="s">
        <v>4218</v>
      </c>
      <c r="D943" s="927">
        <v>45998</v>
      </c>
      <c r="E943" s="928"/>
      <c r="F943" s="928" t="s">
        <v>236</v>
      </c>
      <c r="H943" s="1075" t="s">
        <v>5224</v>
      </c>
      <c r="I943" s="1140"/>
      <c r="J943" s="1111"/>
      <c r="K943" s="1213">
        <v>49173</v>
      </c>
      <c r="L943" s="1214"/>
      <c r="M943" s="930"/>
      <c r="T943" s="926" t="s">
        <v>7141</v>
      </c>
      <c r="U943" s="931">
        <v>0.33749999999999997</v>
      </c>
      <c r="V943" s="931">
        <v>0.59513888888888888</v>
      </c>
    </row>
    <row r="944" spans="1:22" s="33" customFormat="1" x14ac:dyDescent="0.25">
      <c r="A944" s="547" t="s">
        <v>7367</v>
      </c>
      <c r="B944" s="33" t="s">
        <v>614</v>
      </c>
      <c r="C944" s="306" t="s">
        <v>4218</v>
      </c>
      <c r="D944" s="548">
        <v>46000</v>
      </c>
      <c r="E944" s="306"/>
      <c r="F944" s="306" t="s">
        <v>113</v>
      </c>
      <c r="H944" s="1109" t="s">
        <v>279</v>
      </c>
      <c r="I944" s="1229"/>
      <c r="J944" s="285"/>
      <c r="K944" s="1230">
        <v>37984.199999999997</v>
      </c>
      <c r="L944" s="1231"/>
      <c r="M944" s="279"/>
      <c r="T944" s="33" t="s">
        <v>6150</v>
      </c>
      <c r="U944" s="550">
        <v>0.34166666666666662</v>
      </c>
      <c r="V944" s="550">
        <v>0.52847222222222223</v>
      </c>
    </row>
    <row r="945" spans="1:22" s="33" customFormat="1" x14ac:dyDescent="0.25">
      <c r="A945" s="547" t="s">
        <v>7367</v>
      </c>
      <c r="B945" s="33" t="s">
        <v>614</v>
      </c>
      <c r="C945" s="306" t="s">
        <v>4218</v>
      </c>
      <c r="D945" s="548">
        <v>46000</v>
      </c>
      <c r="E945" s="306"/>
      <c r="F945" s="306" t="s">
        <v>236</v>
      </c>
      <c r="H945" s="1109" t="s">
        <v>279</v>
      </c>
      <c r="I945" s="1229"/>
      <c r="J945" s="285"/>
      <c r="K945" s="1230">
        <v>52828.6</v>
      </c>
      <c r="L945" s="1231"/>
      <c r="M945" s="279"/>
      <c r="T945" s="33" t="s">
        <v>4983</v>
      </c>
      <c r="U945" s="550">
        <v>0.63611111111111118</v>
      </c>
      <c r="V945" s="550">
        <v>0.91111111111111109</v>
      </c>
    </row>
    <row r="946" spans="1:22" s="926" customFormat="1" x14ac:dyDescent="0.25">
      <c r="A946" s="925" t="s">
        <v>7377</v>
      </c>
      <c r="B946" s="926" t="s">
        <v>2407</v>
      </c>
      <c r="C946" s="928" t="s">
        <v>4218</v>
      </c>
      <c r="D946" s="927">
        <v>46002</v>
      </c>
      <c r="E946" s="928"/>
      <c r="F946" s="928" t="s">
        <v>207</v>
      </c>
      <c r="H946" s="1075" t="s">
        <v>279</v>
      </c>
      <c r="I946" s="1140"/>
      <c r="J946" s="1111"/>
      <c r="K946" s="1213"/>
      <c r="L946" s="1213">
        <v>9440</v>
      </c>
      <c r="M946" s="930"/>
      <c r="T946" s="926" t="s">
        <v>7141</v>
      </c>
      <c r="U946" s="931">
        <v>0.26319444444444445</v>
      </c>
      <c r="V946" s="931">
        <v>0.4826388888888889</v>
      </c>
    </row>
    <row r="947" spans="1:22" s="926" customFormat="1" ht="14.1" customHeight="1" x14ac:dyDescent="0.25">
      <c r="A947" s="925" t="s">
        <v>7377</v>
      </c>
      <c r="B947" s="926" t="s">
        <v>614</v>
      </c>
      <c r="C947" s="928" t="s">
        <v>4218</v>
      </c>
      <c r="D947" s="927">
        <v>46002</v>
      </c>
      <c r="E947" s="928"/>
      <c r="F947" s="928" t="s">
        <v>6546</v>
      </c>
      <c r="H947" s="1075" t="s">
        <v>279</v>
      </c>
      <c r="I947" s="1140"/>
      <c r="J947" s="1111"/>
      <c r="K947" s="1213">
        <v>35364.6</v>
      </c>
      <c r="L947" s="1214"/>
      <c r="M947" s="930"/>
      <c r="T947" s="926" t="s">
        <v>7141</v>
      </c>
      <c r="U947" s="931">
        <v>0.51736111111111105</v>
      </c>
      <c r="V947" s="931">
        <v>0.69791666666666663</v>
      </c>
    </row>
    <row r="948" spans="1:22" s="926" customFormat="1" x14ac:dyDescent="0.25">
      <c r="A948" s="925" t="s">
        <v>7377</v>
      </c>
      <c r="B948" s="926" t="s">
        <v>930</v>
      </c>
      <c r="C948" s="928" t="s">
        <v>410</v>
      </c>
      <c r="D948" s="927">
        <v>46002</v>
      </c>
      <c r="E948" s="928"/>
      <c r="F948" s="928" t="s">
        <v>294</v>
      </c>
      <c r="H948" s="1075" t="s">
        <v>279</v>
      </c>
      <c r="I948" s="1140"/>
      <c r="J948" s="1111"/>
      <c r="K948" s="1213">
        <v>33182</v>
      </c>
      <c r="L948" s="1214"/>
      <c r="M948" s="930"/>
      <c r="T948" s="926" t="s">
        <v>6349</v>
      </c>
      <c r="U948" s="931">
        <v>0.4993055555555555</v>
      </c>
      <c r="V948" s="931">
        <v>0.73819444444444438</v>
      </c>
    </row>
    <row r="949" spans="1:22" s="926" customFormat="1" x14ac:dyDescent="0.25">
      <c r="A949" s="925" t="s">
        <v>7378</v>
      </c>
      <c r="B949" s="926" t="s">
        <v>614</v>
      </c>
      <c r="C949" s="928" t="s">
        <v>410</v>
      </c>
      <c r="D949" s="927">
        <v>46003</v>
      </c>
      <c r="E949" s="928"/>
      <c r="F949" s="928" t="s">
        <v>7379</v>
      </c>
      <c r="H949" s="1075" t="s">
        <v>279</v>
      </c>
      <c r="I949" s="1140"/>
      <c r="J949" s="1111"/>
      <c r="K949" s="1213">
        <v>46716.2</v>
      </c>
      <c r="L949" s="1214"/>
      <c r="M949" s="930"/>
      <c r="T949" s="926" t="s">
        <v>6349</v>
      </c>
      <c r="U949" s="931">
        <v>0.4826388888888889</v>
      </c>
      <c r="V949" s="931">
        <v>0.57152777777777775</v>
      </c>
    </row>
    <row r="950" spans="1:22" s="33" customFormat="1" x14ac:dyDescent="0.25">
      <c r="A950" s="547" t="s">
        <v>7378</v>
      </c>
      <c r="B950" s="33" t="s">
        <v>614</v>
      </c>
      <c r="C950" s="306" t="s">
        <v>410</v>
      </c>
      <c r="D950" s="548">
        <v>46003</v>
      </c>
      <c r="E950" s="306"/>
      <c r="F950" s="306" t="s">
        <v>106</v>
      </c>
      <c r="H950" s="1109" t="s">
        <v>279</v>
      </c>
      <c r="I950" s="1229"/>
      <c r="J950" s="285"/>
      <c r="K950" s="1230">
        <v>26632.6</v>
      </c>
      <c r="L950" s="1231"/>
      <c r="M950" s="279"/>
      <c r="T950" s="33" t="s">
        <v>6349</v>
      </c>
      <c r="U950" s="550">
        <v>0.62083333333333335</v>
      </c>
      <c r="V950" s="550">
        <v>0.77500000000000002</v>
      </c>
    </row>
    <row r="951" spans="1:22" s="926" customFormat="1" x14ac:dyDescent="0.25">
      <c r="A951" s="925" t="s">
        <v>7378</v>
      </c>
      <c r="B951" s="926" t="s">
        <v>3298</v>
      </c>
      <c r="C951" s="928" t="s">
        <v>3932</v>
      </c>
      <c r="D951" s="927">
        <v>46003</v>
      </c>
      <c r="E951" s="928"/>
      <c r="F951" s="928" t="s">
        <v>68</v>
      </c>
      <c r="H951" s="1075" t="s">
        <v>279</v>
      </c>
      <c r="I951" s="1140"/>
      <c r="J951" s="1111"/>
      <c r="K951" s="1213">
        <v>44000</v>
      </c>
      <c r="L951" s="1214"/>
      <c r="M951" s="930"/>
      <c r="T951" s="926" t="s">
        <v>7383</v>
      </c>
      <c r="U951" s="931">
        <v>0.62013888888888891</v>
      </c>
      <c r="V951" s="931">
        <v>0.90763888888888899</v>
      </c>
    </row>
    <row r="952" spans="1:22" s="926" customFormat="1" x14ac:dyDescent="0.25">
      <c r="A952" s="925" t="s">
        <v>7393</v>
      </c>
      <c r="B952" s="926" t="s">
        <v>610</v>
      </c>
      <c r="C952" s="928" t="s">
        <v>3932</v>
      </c>
      <c r="D952" s="927">
        <v>46004</v>
      </c>
      <c r="E952" s="928"/>
      <c r="F952" s="928" t="s">
        <v>106</v>
      </c>
      <c r="H952" s="1075" t="s">
        <v>279</v>
      </c>
      <c r="I952" s="1140"/>
      <c r="J952" s="1111"/>
      <c r="K952" s="1213">
        <v>29770</v>
      </c>
      <c r="L952" s="1214"/>
      <c r="M952" s="930"/>
      <c r="T952" s="926" t="s">
        <v>7383</v>
      </c>
      <c r="U952" s="931">
        <v>0.35486111111111113</v>
      </c>
      <c r="V952" s="931">
        <v>0.49305555555555558</v>
      </c>
    </row>
    <row r="953" spans="1:22" s="926" customFormat="1" x14ac:dyDescent="0.25">
      <c r="A953" s="925">
        <v>14122025</v>
      </c>
      <c r="B953" s="926" t="s">
        <v>930</v>
      </c>
      <c r="C953" s="928" t="s">
        <v>4218</v>
      </c>
      <c r="D953" s="927">
        <v>46005</v>
      </c>
      <c r="E953" s="928"/>
      <c r="F953" s="928" t="s">
        <v>294</v>
      </c>
      <c r="H953" s="1075" t="s">
        <v>279</v>
      </c>
      <c r="I953" s="1140"/>
      <c r="J953" s="1111"/>
      <c r="K953" s="1213">
        <v>33182</v>
      </c>
      <c r="L953" s="1214"/>
      <c r="M953" s="930"/>
      <c r="T953" s="926" t="s">
        <v>5989</v>
      </c>
      <c r="U953" s="931">
        <v>0.69097222222222221</v>
      </c>
      <c r="V953" s="931">
        <v>0.87638888888888899</v>
      </c>
    </row>
    <row r="954" spans="1:22" s="33" customFormat="1" x14ac:dyDescent="0.25">
      <c r="A954" s="547">
        <v>16122025</v>
      </c>
      <c r="B954" s="33" t="s">
        <v>614</v>
      </c>
      <c r="C954" s="306" t="s">
        <v>410</v>
      </c>
      <c r="D954" s="548">
        <v>46007</v>
      </c>
      <c r="E954" s="306"/>
      <c r="F954" s="306" t="s">
        <v>2107</v>
      </c>
      <c r="H954" s="1109" t="s">
        <v>279</v>
      </c>
      <c r="I954" s="1229"/>
      <c r="J954" s="285"/>
      <c r="K954" s="1230">
        <v>37984.199999999997</v>
      </c>
      <c r="L954" s="1231"/>
      <c r="M954" s="279"/>
      <c r="T954" s="33" t="s">
        <v>7140</v>
      </c>
      <c r="U954" s="550">
        <v>0.57361111111111118</v>
      </c>
      <c r="V954" s="550">
        <v>0.70763888888888893</v>
      </c>
    </row>
    <row r="955" spans="1:22" s="926" customFormat="1" x14ac:dyDescent="0.25">
      <c r="A955" s="925">
        <v>18122025</v>
      </c>
      <c r="B955" s="926" t="s">
        <v>7409</v>
      </c>
      <c r="C955" s="928" t="s">
        <v>4218</v>
      </c>
      <c r="D955" s="927">
        <v>46009</v>
      </c>
      <c r="E955" s="928"/>
      <c r="F955" s="928" t="s">
        <v>106</v>
      </c>
      <c r="H955" s="1075" t="s">
        <v>279</v>
      </c>
      <c r="I955" s="1140"/>
      <c r="J955" s="1111"/>
      <c r="K955" s="1213">
        <v>25842</v>
      </c>
      <c r="L955" s="1214"/>
      <c r="M955" s="930"/>
      <c r="T955" s="926" t="s">
        <v>7060</v>
      </c>
      <c r="U955" s="931">
        <v>0.26041666666666669</v>
      </c>
      <c r="V955" s="931">
        <v>0.4604166666666667</v>
      </c>
    </row>
    <row r="956" spans="1:22" s="33" customFormat="1" x14ac:dyDescent="0.25">
      <c r="A956" s="547">
        <v>18122025</v>
      </c>
      <c r="B956" s="33" t="s">
        <v>7409</v>
      </c>
      <c r="C956" s="306" t="s">
        <v>4218</v>
      </c>
      <c r="D956" s="548">
        <v>46009</v>
      </c>
      <c r="E956" s="306"/>
      <c r="F956" s="306" t="s">
        <v>1931</v>
      </c>
      <c r="H956" s="1109" t="s">
        <v>279</v>
      </c>
      <c r="I956" s="1229"/>
      <c r="J956" s="285"/>
      <c r="K956" s="1230"/>
      <c r="L956" s="1230">
        <v>14868</v>
      </c>
      <c r="M956" s="279"/>
      <c r="T956" s="33" t="s">
        <v>7417</v>
      </c>
      <c r="U956" s="550">
        <v>0.51250000000000007</v>
      </c>
      <c r="V956" s="550">
        <v>0.81736111111111109</v>
      </c>
    </row>
    <row r="957" spans="1:22" s="33" customFormat="1" x14ac:dyDescent="0.25">
      <c r="A957" s="547">
        <v>19122025</v>
      </c>
      <c r="B957" s="33" t="s">
        <v>7420</v>
      </c>
      <c r="C957" s="306" t="s">
        <v>4218</v>
      </c>
      <c r="D957" s="548">
        <v>46010</v>
      </c>
      <c r="E957" s="306"/>
      <c r="F957" s="306" t="s">
        <v>68</v>
      </c>
      <c r="H957" s="1109" t="s">
        <v>279</v>
      </c>
      <c r="I957" s="1229"/>
      <c r="J957" s="285"/>
      <c r="K957" s="1230">
        <v>44000</v>
      </c>
      <c r="L957" s="1230"/>
      <c r="M957" s="279"/>
      <c r="T957" s="33" t="s">
        <v>4140</v>
      </c>
      <c r="U957" s="550">
        <v>0.28402777777777777</v>
      </c>
      <c r="V957" s="550">
        <v>0.54097222222222219</v>
      </c>
    </row>
    <row r="958" spans="1:22" s="926" customFormat="1" x14ac:dyDescent="0.25">
      <c r="A958" s="925">
        <v>19122025</v>
      </c>
      <c r="B958" s="926" t="s">
        <v>608</v>
      </c>
      <c r="C958" s="928" t="s">
        <v>4218</v>
      </c>
      <c r="D958" s="927">
        <v>46010</v>
      </c>
      <c r="E958" s="928"/>
      <c r="F958" s="928" t="s">
        <v>236</v>
      </c>
      <c r="H958" s="1075" t="s">
        <v>279</v>
      </c>
      <c r="I958" s="1140"/>
      <c r="J958" s="1111"/>
      <c r="K958" s="1213">
        <v>58231</v>
      </c>
      <c r="L958" s="1213"/>
      <c r="M958" s="930"/>
      <c r="T958" s="926" t="s">
        <v>4140</v>
      </c>
      <c r="U958" s="931">
        <v>0.62708333333333333</v>
      </c>
      <c r="V958" s="931">
        <v>0.91041666666666676</v>
      </c>
    </row>
    <row r="959" spans="1:22" s="33" customFormat="1" x14ac:dyDescent="0.25">
      <c r="A959" s="547">
        <v>20122025</v>
      </c>
      <c r="B959" s="33" t="s">
        <v>614</v>
      </c>
      <c r="C959" s="306" t="s">
        <v>4218</v>
      </c>
      <c r="D959" s="548">
        <v>46011</v>
      </c>
      <c r="E959" s="306"/>
      <c r="F959" s="306" t="s">
        <v>106</v>
      </c>
      <c r="H959" s="1109" t="s">
        <v>279</v>
      </c>
      <c r="I959" s="1229"/>
      <c r="J959" s="285"/>
      <c r="K959" s="1230">
        <v>26632.6</v>
      </c>
      <c r="L959" s="1230"/>
      <c r="M959" s="279"/>
      <c r="T959" s="33" t="s">
        <v>4867</v>
      </c>
      <c r="U959" s="550">
        <v>0.27708333333333335</v>
      </c>
      <c r="V959" s="550">
        <v>0.44166666666666665</v>
      </c>
    </row>
    <row r="960" spans="1:22" s="926" customFormat="1" hidden="1" x14ac:dyDescent="0.25">
      <c r="A960" s="925">
        <v>20122025</v>
      </c>
      <c r="B960" s="926" t="s">
        <v>565</v>
      </c>
      <c r="C960" s="928" t="s">
        <v>4218</v>
      </c>
      <c r="D960" s="927">
        <v>46011</v>
      </c>
      <c r="E960" s="928"/>
      <c r="F960" s="928" t="s">
        <v>545</v>
      </c>
      <c r="H960" s="1075" t="s">
        <v>277</v>
      </c>
      <c r="I960" s="1140"/>
      <c r="J960" s="1111"/>
      <c r="K960" s="1213">
        <v>23650</v>
      </c>
      <c r="L960" s="1213"/>
      <c r="M960" s="930"/>
      <c r="T960" s="926" t="s">
        <v>4867</v>
      </c>
      <c r="U960" s="931">
        <v>0.48194444444444445</v>
      </c>
      <c r="V960" s="931">
        <v>0.60902777777777783</v>
      </c>
    </row>
    <row r="961" spans="1:22" s="33" customFormat="1" x14ac:dyDescent="0.25">
      <c r="A961" s="547">
        <v>21122025</v>
      </c>
      <c r="B961" s="33" t="s">
        <v>614</v>
      </c>
      <c r="C961" s="306" t="s">
        <v>4218</v>
      </c>
      <c r="D961" s="548">
        <v>46012</v>
      </c>
      <c r="E961" s="306"/>
      <c r="F961" s="306" t="s">
        <v>113</v>
      </c>
      <c r="H961" s="1109" t="s">
        <v>279</v>
      </c>
      <c r="I961" s="1229"/>
      <c r="J961" s="285"/>
      <c r="K961" s="1230">
        <v>37984.199999999997</v>
      </c>
      <c r="L961" s="1231"/>
      <c r="M961" s="279"/>
      <c r="T961" s="33" t="s">
        <v>5393</v>
      </c>
      <c r="U961" s="550">
        <v>0.33333333333333331</v>
      </c>
      <c r="V961" s="550">
        <v>0.53333333333333333</v>
      </c>
    </row>
    <row r="962" spans="1:22" s="926" customFormat="1" x14ac:dyDescent="0.25">
      <c r="A962" s="925">
        <v>21122025</v>
      </c>
      <c r="B962" s="926" t="s">
        <v>5708</v>
      </c>
      <c r="C962" s="928" t="s">
        <v>410</v>
      </c>
      <c r="D962" s="927">
        <v>46012</v>
      </c>
      <c r="E962" s="928"/>
      <c r="F962" s="928" t="s">
        <v>2036</v>
      </c>
      <c r="H962" s="1075" t="s">
        <v>279</v>
      </c>
      <c r="I962" s="1140"/>
      <c r="J962" s="1111"/>
      <c r="K962" s="1213">
        <v>26950</v>
      </c>
      <c r="L962" s="1214"/>
      <c r="M962" s="930"/>
      <c r="T962" s="926" t="s">
        <v>7078</v>
      </c>
      <c r="U962" s="931">
        <v>0.46388888888888885</v>
      </c>
      <c r="V962" s="931">
        <v>0.62569444444444444</v>
      </c>
    </row>
    <row r="963" spans="1:22" s="926" customFormat="1" x14ac:dyDescent="0.25">
      <c r="A963" s="925">
        <v>21122025</v>
      </c>
      <c r="B963" s="926" t="s">
        <v>565</v>
      </c>
      <c r="C963" s="928" t="s">
        <v>4218</v>
      </c>
      <c r="D963" s="927">
        <v>46012</v>
      </c>
      <c r="E963" s="928"/>
      <c r="F963" s="928" t="s">
        <v>545</v>
      </c>
      <c r="H963" s="1075" t="s">
        <v>279</v>
      </c>
      <c r="I963" s="1140"/>
      <c r="J963" s="1111"/>
      <c r="K963" s="1213">
        <v>31500</v>
      </c>
      <c r="L963" s="1214"/>
      <c r="M963" s="930"/>
      <c r="T963" s="926" t="s">
        <v>5393</v>
      </c>
      <c r="U963" s="931">
        <v>0.56388888888888888</v>
      </c>
      <c r="V963" s="931">
        <v>0.72152777777777777</v>
      </c>
    </row>
    <row r="964" spans="1:22" s="926" customFormat="1" x14ac:dyDescent="0.25">
      <c r="A964" s="925">
        <v>22122025</v>
      </c>
      <c r="B964" s="926" t="s">
        <v>2739</v>
      </c>
      <c r="C964" s="928" t="s">
        <v>4218</v>
      </c>
      <c r="D964" s="927">
        <v>46013</v>
      </c>
      <c r="E964" s="928"/>
      <c r="F964" s="928" t="s">
        <v>2107</v>
      </c>
      <c r="H964" s="1075" t="s">
        <v>279</v>
      </c>
      <c r="I964" s="1140"/>
      <c r="J964" s="1111"/>
      <c r="K964" s="1213">
        <v>33305</v>
      </c>
      <c r="L964" s="1214"/>
      <c r="M964" s="930"/>
      <c r="T964" s="926" t="s">
        <v>4140</v>
      </c>
      <c r="U964" s="931">
        <v>0.45347222222222222</v>
      </c>
      <c r="V964" s="931">
        <v>0.62569444444444444</v>
      </c>
    </row>
    <row r="965" spans="1:22" s="33" customFormat="1" x14ac:dyDescent="0.25">
      <c r="A965" s="547">
        <v>22122025</v>
      </c>
      <c r="B965" s="33" t="s">
        <v>614</v>
      </c>
      <c r="C965" s="306" t="s">
        <v>4218</v>
      </c>
      <c r="D965" s="548">
        <v>46013</v>
      </c>
      <c r="E965" s="306"/>
      <c r="F965" s="306" t="s">
        <v>143</v>
      </c>
      <c r="H965" s="1109" t="s">
        <v>279</v>
      </c>
      <c r="I965" s="1229"/>
      <c r="J965" s="285"/>
      <c r="K965" s="1230">
        <v>37111</v>
      </c>
      <c r="L965" s="1231"/>
      <c r="M965" s="279"/>
      <c r="T965" s="33" t="s">
        <v>6067</v>
      </c>
      <c r="U965" s="550">
        <v>0.85416666666666663</v>
      </c>
      <c r="V965" s="550">
        <v>7.2916666666666671E-2</v>
      </c>
    </row>
    <row r="966" spans="1:22" s="926" customFormat="1" x14ac:dyDescent="0.25">
      <c r="A966" s="925">
        <v>23122025</v>
      </c>
      <c r="B966" s="926" t="s">
        <v>7247</v>
      </c>
      <c r="C966" s="928" t="s">
        <v>4218</v>
      </c>
      <c r="D966" s="927">
        <v>46014</v>
      </c>
      <c r="E966" s="928"/>
      <c r="F966" s="928" t="s">
        <v>563</v>
      </c>
      <c r="H966" s="1075" t="s">
        <v>279</v>
      </c>
      <c r="I966" s="1140"/>
      <c r="J966" s="1111"/>
      <c r="K966" s="1213">
        <v>27700</v>
      </c>
      <c r="L966" s="1214"/>
      <c r="M966" s="930"/>
      <c r="T966" s="926" t="s">
        <v>7078</v>
      </c>
      <c r="U966" s="931">
        <v>0.40763888888888888</v>
      </c>
      <c r="V966" s="931">
        <v>0.6118055555555556</v>
      </c>
    </row>
    <row r="967" spans="1:22" s="33" customFormat="1" x14ac:dyDescent="0.25">
      <c r="A967" s="547">
        <v>23122025</v>
      </c>
      <c r="B967" s="33" t="s">
        <v>614</v>
      </c>
      <c r="C967" s="306" t="s">
        <v>4218</v>
      </c>
      <c r="D967" s="548">
        <v>46014</v>
      </c>
      <c r="E967" s="306"/>
      <c r="F967" s="306" t="s">
        <v>285</v>
      </c>
      <c r="H967" s="1109" t="s">
        <v>279</v>
      </c>
      <c r="I967" s="1229"/>
      <c r="J967" s="285"/>
      <c r="K967" s="1230">
        <v>44096.6</v>
      </c>
      <c r="L967" s="1231"/>
      <c r="M967" s="279"/>
      <c r="T967" s="33" t="s">
        <v>6067</v>
      </c>
      <c r="U967" s="550">
        <v>0.7416666666666667</v>
      </c>
      <c r="V967" s="550">
        <v>0.97222222222222221</v>
      </c>
    </row>
    <row r="968" spans="1:22" s="926" customFormat="1" x14ac:dyDescent="0.25">
      <c r="A968" s="925">
        <v>24122025</v>
      </c>
      <c r="B968" s="926" t="s">
        <v>3880</v>
      </c>
      <c r="C968" s="928" t="s">
        <v>4218</v>
      </c>
      <c r="D968" s="927">
        <v>46015</v>
      </c>
      <c r="E968" s="928"/>
      <c r="F968" s="928" t="s">
        <v>545</v>
      </c>
      <c r="H968" s="1075" t="s">
        <v>279</v>
      </c>
      <c r="I968" s="1140"/>
      <c r="J968" s="1111"/>
      <c r="K968" s="1213">
        <v>32284.400000000001</v>
      </c>
      <c r="L968" s="1214"/>
      <c r="M968" s="930"/>
      <c r="T968" s="926" t="s">
        <v>894</v>
      </c>
      <c r="U968" s="931">
        <v>0.5083333333333333</v>
      </c>
      <c r="V968" s="931">
        <v>0.67083333333333339</v>
      </c>
    </row>
    <row r="969" spans="1:22" s="926" customFormat="1" x14ac:dyDescent="0.25">
      <c r="A969" s="925">
        <v>25122025</v>
      </c>
      <c r="B969" s="926" t="s">
        <v>3880</v>
      </c>
      <c r="C969" s="928" t="s">
        <v>4218</v>
      </c>
      <c r="D969" s="927">
        <v>46016</v>
      </c>
      <c r="E969" s="928"/>
      <c r="F969" s="928" t="s">
        <v>545</v>
      </c>
      <c r="H969" s="1075" t="s">
        <v>279</v>
      </c>
      <c r="I969" s="1140"/>
      <c r="J969" s="1111"/>
      <c r="K969" s="1213">
        <v>32284.400000000001</v>
      </c>
      <c r="L969" s="1214"/>
      <c r="M969" s="930"/>
      <c r="T969" s="926" t="s">
        <v>7060</v>
      </c>
      <c r="U969" s="931">
        <v>0.50972222222222219</v>
      </c>
      <c r="V969" s="931">
        <v>0.67708333333333337</v>
      </c>
    </row>
    <row r="970" spans="1:22" s="926" customFormat="1" x14ac:dyDescent="0.25">
      <c r="A970" s="925">
        <v>26122025</v>
      </c>
      <c r="B970" s="926" t="s">
        <v>6517</v>
      </c>
      <c r="C970" s="928" t="s">
        <v>4218</v>
      </c>
      <c r="D970" s="927">
        <v>46017</v>
      </c>
      <c r="E970" s="928"/>
      <c r="F970" s="928" t="s">
        <v>143</v>
      </c>
      <c r="H970" s="1075" t="s">
        <v>279</v>
      </c>
      <c r="I970" s="1140"/>
      <c r="J970" s="1111"/>
      <c r="K970" s="1213">
        <v>35685</v>
      </c>
      <c r="L970" s="1214"/>
      <c r="M970" s="930"/>
      <c r="T970" s="926" t="s">
        <v>4983</v>
      </c>
      <c r="U970" s="931">
        <v>0.27986111111111112</v>
      </c>
      <c r="V970" s="931">
        <v>0.50694444444444442</v>
      </c>
    </row>
    <row r="971" spans="1:22" s="926" customFormat="1" x14ac:dyDescent="0.25">
      <c r="A971" s="925">
        <v>26122025</v>
      </c>
      <c r="B971" s="926" t="s">
        <v>875</v>
      </c>
      <c r="C971" s="928" t="s">
        <v>4218</v>
      </c>
      <c r="D971" s="927">
        <v>46017</v>
      </c>
      <c r="E971" s="928"/>
      <c r="F971" s="928" t="s">
        <v>2036</v>
      </c>
      <c r="H971" s="1075" t="s">
        <v>279</v>
      </c>
      <c r="I971" s="1140"/>
      <c r="J971" s="1111"/>
      <c r="K971" s="1213">
        <v>26904</v>
      </c>
      <c r="L971" s="1214"/>
      <c r="M971" s="930"/>
      <c r="T971" s="926" t="s">
        <v>4983</v>
      </c>
      <c r="U971" s="931">
        <v>0.53611111111111109</v>
      </c>
      <c r="V971" s="931">
        <v>0.68958333333333333</v>
      </c>
    </row>
    <row r="972" spans="1:22" s="393" customFormat="1" x14ac:dyDescent="0.25">
      <c r="A972" s="581">
        <v>26122025</v>
      </c>
      <c r="B972" s="393" t="s">
        <v>611</v>
      </c>
      <c r="C972" s="174" t="s">
        <v>4218</v>
      </c>
      <c r="D972" s="582">
        <v>46017</v>
      </c>
      <c r="E972" s="174" t="s">
        <v>7667</v>
      </c>
      <c r="F972" s="174" t="s">
        <v>143</v>
      </c>
      <c r="H972" s="1136" t="s">
        <v>279</v>
      </c>
      <c r="I972" s="1264"/>
      <c r="J972" s="1265"/>
      <c r="K972" s="1266">
        <v>37665</v>
      </c>
      <c r="L972" s="1267"/>
      <c r="M972" s="396"/>
      <c r="T972" s="393" t="s">
        <v>5393</v>
      </c>
      <c r="U972" s="584">
        <v>0.7993055555555556</v>
      </c>
      <c r="V972" s="584">
        <v>0.98263888888888884</v>
      </c>
    </row>
    <row r="973" spans="1:22" s="926" customFormat="1" x14ac:dyDescent="0.25">
      <c r="A973" s="925">
        <v>27122025</v>
      </c>
      <c r="B973" s="926" t="s">
        <v>572</v>
      </c>
      <c r="C973" s="928" t="s">
        <v>4218</v>
      </c>
      <c r="D973" s="927">
        <v>46018</v>
      </c>
      <c r="E973" s="928"/>
      <c r="F973" s="928" t="s">
        <v>2008</v>
      </c>
      <c r="H973" s="1075" t="s">
        <v>279</v>
      </c>
      <c r="I973" s="1140"/>
      <c r="J973" s="1111"/>
      <c r="K973" s="1213"/>
      <c r="L973" s="1213">
        <v>12272</v>
      </c>
      <c r="M973" s="930"/>
      <c r="T973" s="926" t="s">
        <v>4140</v>
      </c>
      <c r="U973" s="931">
        <v>0.38819444444444445</v>
      </c>
      <c r="V973" s="931">
        <v>0.63888888888888895</v>
      </c>
    </row>
    <row r="974" spans="1:22" s="926" customFormat="1" x14ac:dyDescent="0.25">
      <c r="A974" s="925">
        <v>27122025</v>
      </c>
      <c r="B974" s="926" t="s">
        <v>608</v>
      </c>
      <c r="C974" s="928" t="s">
        <v>4218</v>
      </c>
      <c r="D974" s="927">
        <v>46018</v>
      </c>
      <c r="E974" s="928"/>
      <c r="F974" s="928" t="s">
        <v>236</v>
      </c>
      <c r="H974" s="1075" t="s">
        <v>279</v>
      </c>
      <c r="I974" s="1140"/>
      <c r="J974" s="1111"/>
      <c r="K974" s="1213">
        <v>58231</v>
      </c>
      <c r="L974" s="1214"/>
      <c r="M974" s="930"/>
      <c r="T974" s="926" t="s">
        <v>7060</v>
      </c>
      <c r="U974" s="931">
        <v>0.6875</v>
      </c>
      <c r="V974" s="931">
        <v>0.98125000000000007</v>
      </c>
    </row>
    <row r="975" spans="1:22" s="33" customFormat="1" x14ac:dyDescent="0.25">
      <c r="A975" s="547">
        <v>28122025</v>
      </c>
      <c r="B975" s="33" t="s">
        <v>614</v>
      </c>
      <c r="C975" s="306" t="s">
        <v>4218</v>
      </c>
      <c r="D975" s="548">
        <v>46019</v>
      </c>
      <c r="E975" s="306"/>
      <c r="F975" s="306" t="s">
        <v>68</v>
      </c>
      <c r="H975" s="1109" t="s">
        <v>279</v>
      </c>
      <c r="I975" s="1229"/>
      <c r="J975" s="285"/>
      <c r="K975" s="1230">
        <v>44096.6</v>
      </c>
      <c r="L975" s="1231"/>
      <c r="M975" s="279"/>
      <c r="T975" s="33" t="s">
        <v>5393</v>
      </c>
      <c r="U975" s="550">
        <v>0.29236111111111113</v>
      </c>
      <c r="V975" s="550">
        <v>0.54513888888888895</v>
      </c>
    </row>
    <row r="976" spans="1:22" s="926" customFormat="1" x14ac:dyDescent="0.25">
      <c r="A976" s="925">
        <v>29122025</v>
      </c>
      <c r="B976" s="926" t="s">
        <v>1164</v>
      </c>
      <c r="C976" s="928" t="s">
        <v>4218</v>
      </c>
      <c r="D976" s="927">
        <v>46020</v>
      </c>
      <c r="E976" s="928"/>
      <c r="F976" s="928" t="s">
        <v>106</v>
      </c>
      <c r="H976" s="1075" t="s">
        <v>279</v>
      </c>
      <c r="I976" s="1140"/>
      <c r="J976" s="1111"/>
      <c r="K976" s="1213">
        <v>26500</v>
      </c>
      <c r="L976" s="1214"/>
      <c r="M976" s="930"/>
      <c r="T976" s="926" t="s">
        <v>6150</v>
      </c>
      <c r="U976" s="931">
        <v>0.2722222222222222</v>
      </c>
      <c r="V976" s="931">
        <v>0.43472222222222223</v>
      </c>
    </row>
    <row r="977" spans="1:22" s="926" customFormat="1" x14ac:dyDescent="0.25">
      <c r="A977" s="925">
        <v>30122025</v>
      </c>
      <c r="B977" s="926" t="s">
        <v>610</v>
      </c>
      <c r="C977" s="928" t="s">
        <v>410</v>
      </c>
      <c r="D977" s="927">
        <v>46021</v>
      </c>
      <c r="E977" s="928"/>
      <c r="F977" s="928" t="s">
        <v>106</v>
      </c>
      <c r="H977" s="1075" t="s">
        <v>279</v>
      </c>
      <c r="I977" s="1140"/>
      <c r="J977" s="1111"/>
      <c r="K977" s="1213">
        <v>29770</v>
      </c>
      <c r="L977" s="1214"/>
      <c r="M977" s="930"/>
      <c r="T977" s="926" t="s">
        <v>5989</v>
      </c>
      <c r="U977" s="931">
        <v>0.28263888888888888</v>
      </c>
      <c r="V977" s="931">
        <v>0.43194444444444446</v>
      </c>
    </row>
    <row r="978" spans="1:22" s="393" customFormat="1" x14ac:dyDescent="0.25">
      <c r="A978" s="581">
        <v>30122025</v>
      </c>
      <c r="B978" s="393" t="s">
        <v>875</v>
      </c>
      <c r="C978" s="174" t="s">
        <v>4218</v>
      </c>
      <c r="D978" s="582">
        <v>46021</v>
      </c>
      <c r="E978" s="393" t="s">
        <v>7666</v>
      </c>
      <c r="F978" s="174" t="s">
        <v>2036</v>
      </c>
      <c r="H978" s="1136" t="s">
        <v>279</v>
      </c>
      <c r="I978" s="1264"/>
      <c r="J978" s="1265"/>
      <c r="K978" s="1266">
        <v>26904</v>
      </c>
      <c r="L978" s="1267"/>
      <c r="M978" s="396"/>
      <c r="T978" s="393" t="s">
        <v>4867</v>
      </c>
      <c r="U978" s="584">
        <v>0.36388888888888887</v>
      </c>
      <c r="V978" s="584">
        <v>0.53611111111111109</v>
      </c>
    </row>
    <row r="979" spans="1:22" s="926" customFormat="1" x14ac:dyDescent="0.25">
      <c r="A979" s="925">
        <v>30122025</v>
      </c>
      <c r="B979" s="926" t="s">
        <v>3880</v>
      </c>
      <c r="C979" s="928" t="s">
        <v>4218</v>
      </c>
      <c r="D979" s="927">
        <v>46021</v>
      </c>
      <c r="E979" s="928"/>
      <c r="F979" s="928" t="s">
        <v>545</v>
      </c>
      <c r="H979" s="1075" t="s">
        <v>279</v>
      </c>
      <c r="I979" s="1140"/>
      <c r="J979" s="1111"/>
      <c r="K979" s="1213">
        <v>32284.400000000001</v>
      </c>
      <c r="L979" s="1214"/>
      <c r="M979" s="930"/>
      <c r="T979" s="926" t="s">
        <v>4867</v>
      </c>
      <c r="U979" s="931">
        <v>0.57638888888888895</v>
      </c>
      <c r="V979" s="931">
        <v>0.76250000000000007</v>
      </c>
    </row>
    <row r="980" spans="1:22" s="393" customFormat="1" x14ac:dyDescent="0.25">
      <c r="A980" s="581">
        <v>31122025</v>
      </c>
      <c r="B980" s="393" t="s">
        <v>611</v>
      </c>
      <c r="C980" s="174" t="s">
        <v>4218</v>
      </c>
      <c r="D980" s="582">
        <v>46022</v>
      </c>
      <c r="E980" s="174" t="s">
        <v>7668</v>
      </c>
      <c r="F980" s="174" t="s">
        <v>143</v>
      </c>
      <c r="H980" s="1136" t="s">
        <v>279</v>
      </c>
      <c r="I980" s="1264"/>
      <c r="J980" s="1265"/>
      <c r="K980" s="1266">
        <v>37665</v>
      </c>
      <c r="L980" s="1267"/>
      <c r="M980" s="396"/>
      <c r="T980" s="393" t="s">
        <v>7092</v>
      </c>
      <c r="U980" s="584">
        <v>0.29583333333333334</v>
      </c>
      <c r="V980" s="584">
        <v>0.4993055555555555</v>
      </c>
    </row>
    <row r="981" spans="1:22" hidden="1" x14ac:dyDescent="0.25">
      <c r="A981" s="483"/>
      <c r="D981" s="233"/>
      <c r="H981" s="1067"/>
      <c r="I981" s="1145"/>
      <c r="J981" s="180"/>
      <c r="K981" s="240"/>
      <c r="L981" s="447"/>
      <c r="M981" s="88"/>
      <c r="T981" s="5"/>
      <c r="U981" s="360"/>
      <c r="V981" s="360"/>
    </row>
    <row r="982" spans="1:22" hidden="1" x14ac:dyDescent="0.25">
      <c r="A982" s="483"/>
      <c r="D982" s="233"/>
      <c r="H982" s="1067"/>
      <c r="I982" s="1145"/>
      <c r="J982" s="180"/>
      <c r="K982" s="240"/>
      <c r="L982" s="447"/>
      <c r="M982" s="88"/>
      <c r="T982" s="5"/>
      <c r="U982" s="360"/>
      <c r="V982" s="360"/>
    </row>
    <row r="983" spans="1:22" hidden="1" x14ac:dyDescent="0.25">
      <c r="A983" s="483"/>
      <c r="D983" s="233"/>
      <c r="H983" s="1067"/>
      <c r="I983" s="1145"/>
      <c r="J983" s="180"/>
      <c r="K983" s="240"/>
      <c r="L983" s="447"/>
      <c r="M983" s="88"/>
      <c r="T983" s="5"/>
      <c r="U983" s="360"/>
      <c r="V983" s="360"/>
    </row>
    <row r="984" spans="1:22" hidden="1" x14ac:dyDescent="0.25">
      <c r="A984" s="483"/>
      <c r="D984" s="233"/>
      <c r="L984" s="447"/>
      <c r="M984" s="88"/>
      <c r="V984" s="360"/>
    </row>
    <row r="985" spans="1:22" hidden="1" x14ac:dyDescent="0.25">
      <c r="A985" s="483"/>
      <c r="D985" s="233"/>
      <c r="H985" s="1145"/>
      <c r="I985" s="13"/>
      <c r="J985" s="1145"/>
      <c r="K985" s="798"/>
      <c r="L985" s="88"/>
      <c r="M985" s="88"/>
      <c r="U985" s="360"/>
      <c r="V985" s="360"/>
    </row>
    <row r="986" spans="1:22" ht="15.75" hidden="1" thickBot="1" x14ac:dyDescent="0.3">
      <c r="A986" s="483"/>
      <c r="D986" s="233"/>
      <c r="H986" s="1145"/>
      <c r="I986" s="96"/>
      <c r="J986" s="1145"/>
      <c r="K986" s="960">
        <f>SUBTOTAL(9,K930:K985)</f>
        <v>1713955.9999999998</v>
      </c>
      <c r="L986" s="960">
        <f>SUBTOTAL(9,L930:L985)</f>
        <v>46020</v>
      </c>
      <c r="M986" s="88"/>
      <c r="U986" s="360"/>
      <c r="V986" s="360"/>
    </row>
    <row r="987" spans="1:22" hidden="1" x14ac:dyDescent="0.25">
      <c r="A987" s="483"/>
      <c r="D987" s="233"/>
      <c r="J987" s="1131"/>
      <c r="K987" s="798"/>
      <c r="L987" s="798"/>
    </row>
    <row r="988" spans="1:22" hidden="1" x14ac:dyDescent="0.25">
      <c r="D988" s="233"/>
      <c r="I988" s="32"/>
    </row>
    <row r="989" spans="1:22" hidden="1" x14ac:dyDescent="0.25">
      <c r="H989" s="72"/>
      <c r="J989" s="32"/>
      <c r="L989" s="96"/>
    </row>
    <row r="990" spans="1:22" hidden="1" x14ac:dyDescent="0.25">
      <c r="H990" s="32"/>
      <c r="L990" s="96"/>
    </row>
    <row r="991" spans="1:22" hidden="1" x14ac:dyDescent="0.25">
      <c r="L991" s="61"/>
    </row>
    <row r="992" spans="1:22" hidden="1" x14ac:dyDescent="0.25">
      <c r="B992" s="1615" t="s">
        <v>2740</v>
      </c>
      <c r="C992" s="498"/>
      <c r="D992" s="247" t="s">
        <v>2746</v>
      </c>
      <c r="H992" s="32"/>
    </row>
    <row r="993" spans="2:12" hidden="1" x14ac:dyDescent="0.25">
      <c r="B993" s="1615"/>
      <c r="C993" s="127"/>
      <c r="D993" s="247" t="s">
        <v>2741</v>
      </c>
      <c r="H993" s="149"/>
    </row>
    <row r="994" spans="2:12" hidden="1" x14ac:dyDescent="0.25">
      <c r="B994" s="1615"/>
      <c r="C994" s="306"/>
      <c r="D994" s="247" t="s">
        <v>2742</v>
      </c>
    </row>
    <row r="995" spans="2:12" hidden="1" x14ac:dyDescent="0.25">
      <c r="B995" s="1615"/>
      <c r="C995" s="174"/>
      <c r="D995" s="247" t="s">
        <v>2743</v>
      </c>
      <c r="L995" s="61"/>
    </row>
    <row r="996" spans="2:12" hidden="1" x14ac:dyDescent="0.25">
      <c r="B996" s="1615"/>
      <c r="C996" s="388"/>
      <c r="D996" s="247" t="s">
        <v>2809</v>
      </c>
    </row>
    <row r="997" spans="2:12" hidden="1" x14ac:dyDescent="0.25">
      <c r="B997" s="1615"/>
      <c r="C997" s="552"/>
      <c r="D997" s="247" t="s">
        <v>2747</v>
      </c>
    </row>
    <row r="998" spans="2:12" hidden="1" x14ac:dyDescent="0.25">
      <c r="B998" s="1615"/>
      <c r="C998" s="410"/>
      <c r="D998" s="247" t="s">
        <v>2748</v>
      </c>
    </row>
    <row r="999" spans="2:12" hidden="1" x14ac:dyDescent="0.25">
      <c r="B999" s="1615"/>
      <c r="C999" s="309"/>
      <c r="D999" s="247" t="s">
        <v>2749</v>
      </c>
    </row>
    <row r="1000" spans="2:12" hidden="1" x14ac:dyDescent="0.25">
      <c r="B1000" s="1615"/>
      <c r="C1000" s="241" t="s">
        <v>2744</v>
      </c>
      <c r="D1000" s="684" t="s">
        <v>2745</v>
      </c>
    </row>
  </sheetData>
  <autoFilter ref="A1:AT1000" xr:uid="{00000000-0009-0000-0000-000058000000}">
    <filterColumn colId="7">
      <filters>
        <filter val="MEDEVAC"/>
      </filters>
    </filterColumn>
    <filterColumn colId="22" showButton="0"/>
    <filterColumn colId="23" showButton="0"/>
    <filterColumn colId="24" showButton="0"/>
  </autoFilter>
  <mergeCells count="2">
    <mergeCell ref="W1:Z1"/>
    <mergeCell ref="B992:B100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3409" r:id="rId4" name="Button 1">
              <controlPr defaultSize="0" print="0" autoFill="0" autoPict="0" macro="[0]!RETORNAR">
                <anchor moveWithCells="1" sizeWithCells="1">
                  <from>
                    <xdr:col>0</xdr:col>
                    <xdr:colOff>476250</xdr:colOff>
                    <xdr:row>986</xdr:row>
                    <xdr:rowOff>28575</xdr:rowOff>
                  </from>
                  <to>
                    <xdr:col>1</xdr:col>
                    <xdr:colOff>1257300</xdr:colOff>
                    <xdr:row>991</xdr:row>
                    <xdr:rowOff>19050</xdr:rowOff>
                  </to>
                </anchor>
              </controlPr>
            </control>
          </mc:Choice>
        </mc:AlternateContent>
      </controls>
    </mc:Choice>
  </mc:AlternateConten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Hoja73"/>
  <dimension ref="A1:XFD967"/>
  <sheetViews>
    <sheetView topLeftCell="A946" zoomScale="68" zoomScaleNormal="68" workbookViewId="0">
      <selection activeCell="K948" sqref="K948"/>
    </sheetView>
  </sheetViews>
  <sheetFormatPr baseColWidth="10" defaultColWidth="10.85546875" defaultRowHeight="15" x14ac:dyDescent="0.25"/>
  <cols>
    <col min="1" max="1" width="14.7109375" customWidth="1"/>
    <col min="2" max="2" width="33.5703125" customWidth="1"/>
    <col min="3" max="3" width="13.42578125" style="28" customWidth="1"/>
    <col min="4" max="4" width="14.5703125" style="247" customWidth="1"/>
    <col min="5" max="5" width="11.42578125" customWidth="1"/>
    <col min="6" max="6" width="11.140625" style="28" customWidth="1"/>
    <col min="7" max="7" width="10.5703125" customWidth="1"/>
    <col min="8" max="8" width="12.5703125" style="28" customWidth="1"/>
    <col min="9" max="9" width="12.7109375" customWidth="1"/>
    <col min="10" max="10" width="6.5703125" bestFit="1" customWidth="1"/>
    <col min="11" max="11" width="17.28515625" style="61" bestFit="1" customWidth="1"/>
    <col min="12" max="12" width="18" style="32" customWidth="1"/>
    <col min="13" max="13" width="13.42578125" hidden="1" customWidth="1"/>
    <col min="14" max="14" width="14.5703125" hidden="1" customWidth="1"/>
    <col min="15" max="15" width="10.5703125" hidden="1" customWidth="1"/>
    <col min="16" max="16" width="2" customWidth="1"/>
    <col min="17" max="17" width="1.28515625" customWidth="1"/>
    <col min="18" max="18" width="2" customWidth="1"/>
    <col min="19" max="19" width="1.7109375" customWidth="1"/>
    <col min="20" max="20" width="21.85546875" customWidth="1"/>
    <col min="21" max="21" width="11.42578125" style="30" customWidth="1"/>
    <col min="22" max="22" width="15.42578125" style="30" bestFit="1" customWidth="1"/>
  </cols>
  <sheetData>
    <row r="1" spans="1:26" s="484" customFormat="1" ht="15.75" x14ac:dyDescent="0.25">
      <c r="A1" s="484" t="s">
        <v>706</v>
      </c>
      <c r="B1" s="564" t="s">
        <v>0</v>
      </c>
      <c r="C1" s="484" t="s">
        <v>1</v>
      </c>
      <c r="D1" s="485" t="s">
        <v>2</v>
      </c>
      <c r="E1" s="486"/>
      <c r="F1" s="484" t="s">
        <v>3</v>
      </c>
      <c r="H1" s="28" t="s">
        <v>3516</v>
      </c>
      <c r="J1" s="484" t="s">
        <v>5</v>
      </c>
      <c r="K1" s="486" t="s">
        <v>6</v>
      </c>
      <c r="L1" s="486" t="s">
        <v>7</v>
      </c>
      <c r="M1" s="484" t="s">
        <v>8</v>
      </c>
      <c r="N1" s="484" t="s">
        <v>9</v>
      </c>
      <c r="O1" s="484" t="s">
        <v>10</v>
      </c>
      <c r="T1" s="484" t="s">
        <v>649</v>
      </c>
      <c r="U1" s="487" t="s">
        <v>1728</v>
      </c>
      <c r="V1" s="487" t="s">
        <v>650</v>
      </c>
      <c r="W1" s="1613" t="s">
        <v>11</v>
      </c>
      <c r="X1" s="1614"/>
      <c r="Y1" s="1614"/>
      <c r="Z1" s="1614"/>
    </row>
    <row r="2" spans="1:26" s="498" customFormat="1" x14ac:dyDescent="0.25">
      <c r="A2" s="497" t="s">
        <v>3410</v>
      </c>
      <c r="B2" s="504" t="s">
        <v>596</v>
      </c>
      <c r="C2" s="498" t="s">
        <v>410</v>
      </c>
      <c r="D2" s="499">
        <v>45292</v>
      </c>
      <c r="E2" s="500"/>
      <c r="F2" s="498" t="s">
        <v>236</v>
      </c>
      <c r="H2" s="498" t="s">
        <v>279</v>
      </c>
      <c r="K2" s="500">
        <v>59472</v>
      </c>
      <c r="L2" s="500"/>
      <c r="T2" s="498" t="s">
        <v>1029</v>
      </c>
      <c r="U2" s="503">
        <v>0.30972222222222223</v>
      </c>
      <c r="V2" s="503">
        <v>0.58611111111111114</v>
      </c>
    </row>
    <row r="3" spans="1:26" s="498" customFormat="1" x14ac:dyDescent="0.25">
      <c r="A3" s="497" t="s">
        <v>3410</v>
      </c>
      <c r="B3" s="504" t="s">
        <v>614</v>
      </c>
      <c r="C3" s="498" t="s">
        <v>13</v>
      </c>
      <c r="D3" s="499">
        <v>45292</v>
      </c>
      <c r="E3" s="500"/>
      <c r="F3" s="498" t="s">
        <v>113</v>
      </c>
      <c r="H3" s="498" t="s">
        <v>279</v>
      </c>
      <c r="K3" s="500">
        <v>44651.199999999997</v>
      </c>
      <c r="L3" s="500"/>
      <c r="T3" s="501" t="s">
        <v>3408</v>
      </c>
      <c r="U3" s="502">
        <v>0.3125</v>
      </c>
      <c r="V3" s="503">
        <v>0.5493055555555556</v>
      </c>
    </row>
    <row r="4" spans="1:26" s="498" customFormat="1" x14ac:dyDescent="0.25">
      <c r="A4" s="497" t="s">
        <v>3410</v>
      </c>
      <c r="B4" s="504" t="s">
        <v>3409</v>
      </c>
      <c r="C4" s="499" t="s">
        <v>13</v>
      </c>
      <c r="D4" s="499">
        <v>45292</v>
      </c>
      <c r="E4" s="500"/>
      <c r="F4" s="498" t="s">
        <v>285</v>
      </c>
      <c r="H4" s="498" t="s">
        <v>279</v>
      </c>
      <c r="K4" s="500">
        <v>45430</v>
      </c>
      <c r="L4" s="500"/>
      <c r="T4" s="498" t="s">
        <v>2050</v>
      </c>
      <c r="U4" s="503">
        <v>0.64444444444444449</v>
      </c>
      <c r="V4" s="503">
        <v>0.91388888888888886</v>
      </c>
    </row>
    <row r="5" spans="1:26" s="536" customFormat="1" x14ac:dyDescent="0.25">
      <c r="A5" s="556" t="s">
        <v>3410</v>
      </c>
      <c r="B5" s="538" t="s">
        <v>1907</v>
      </c>
      <c r="C5" s="534" t="s">
        <v>3411</v>
      </c>
      <c r="D5" s="537">
        <v>45292</v>
      </c>
      <c r="E5" s="557"/>
      <c r="F5" s="534" t="s">
        <v>207</v>
      </c>
      <c r="H5" s="534" t="s">
        <v>1141</v>
      </c>
      <c r="K5" s="557"/>
      <c r="L5" s="557" t="s">
        <v>3450</v>
      </c>
    </row>
    <row r="6" spans="1:26" s="498" customFormat="1" x14ac:dyDescent="0.25">
      <c r="A6" s="497" t="s">
        <v>3412</v>
      </c>
      <c r="B6" s="504" t="s">
        <v>607</v>
      </c>
      <c r="C6" s="498" t="s">
        <v>410</v>
      </c>
      <c r="D6" s="499">
        <v>45293</v>
      </c>
      <c r="E6" s="500"/>
      <c r="F6" s="498" t="s">
        <v>207</v>
      </c>
      <c r="H6" s="498" t="s">
        <v>279</v>
      </c>
      <c r="K6" s="500">
        <v>36253.14</v>
      </c>
      <c r="L6" s="500"/>
      <c r="T6" s="501" t="s">
        <v>3408</v>
      </c>
      <c r="U6" s="502">
        <v>0.27083333333333331</v>
      </c>
      <c r="V6" s="503">
        <v>0.48541666666666666</v>
      </c>
    </row>
    <row r="7" spans="1:26" s="504" customFormat="1" x14ac:dyDescent="0.25">
      <c r="A7" s="497" t="s">
        <v>3412</v>
      </c>
      <c r="B7" s="504" t="s">
        <v>614</v>
      </c>
      <c r="C7" s="498" t="s">
        <v>3414</v>
      </c>
      <c r="D7" s="499">
        <v>45293</v>
      </c>
      <c r="F7" s="498" t="s">
        <v>3413</v>
      </c>
      <c r="H7" s="498" t="s">
        <v>279</v>
      </c>
      <c r="K7" s="505">
        <v>31152</v>
      </c>
      <c r="L7" s="506"/>
      <c r="T7" s="498" t="s">
        <v>1029</v>
      </c>
      <c r="U7" s="502">
        <v>0.34652777777777777</v>
      </c>
      <c r="V7" s="502">
        <v>0.52222222222222225</v>
      </c>
    </row>
    <row r="8" spans="1:26" s="504" customFormat="1" x14ac:dyDescent="0.25">
      <c r="A8" s="497" t="s">
        <v>3412</v>
      </c>
      <c r="B8" s="504" t="s">
        <v>586</v>
      </c>
      <c r="C8" s="498" t="s">
        <v>3414</v>
      </c>
      <c r="D8" s="499">
        <v>45293</v>
      </c>
      <c r="F8" s="498" t="s">
        <v>545</v>
      </c>
      <c r="H8" s="498" t="s">
        <v>279</v>
      </c>
      <c r="K8" s="505">
        <v>33560</v>
      </c>
      <c r="L8" s="506"/>
      <c r="T8" s="507" t="s">
        <v>1029</v>
      </c>
      <c r="U8" s="502">
        <v>0.61319444444444449</v>
      </c>
      <c r="V8" s="502">
        <v>0.77361111111111114</v>
      </c>
    </row>
    <row r="9" spans="1:26" s="504" customFormat="1" x14ac:dyDescent="0.25">
      <c r="A9" s="497" t="s">
        <v>3415</v>
      </c>
      <c r="B9" s="504" t="s">
        <v>596</v>
      </c>
      <c r="C9" s="498" t="s">
        <v>410</v>
      </c>
      <c r="D9" s="499">
        <v>45294</v>
      </c>
      <c r="F9" s="498" t="s">
        <v>236</v>
      </c>
      <c r="H9" s="498" t="s">
        <v>279</v>
      </c>
      <c r="K9" s="500">
        <v>59472</v>
      </c>
      <c r="L9" s="506"/>
      <c r="T9" s="501" t="s">
        <v>3408</v>
      </c>
      <c r="U9" s="502">
        <v>0.2590277777777778</v>
      </c>
      <c r="V9" s="502">
        <v>0.53819444444444442</v>
      </c>
    </row>
    <row r="10" spans="1:26" s="504" customFormat="1" x14ac:dyDescent="0.25">
      <c r="A10" s="497" t="s">
        <v>3415</v>
      </c>
      <c r="B10" s="504" t="s">
        <v>596</v>
      </c>
      <c r="C10" s="498" t="s">
        <v>3414</v>
      </c>
      <c r="D10" s="499">
        <v>45294</v>
      </c>
      <c r="F10" s="498" t="s">
        <v>236</v>
      </c>
      <c r="H10" s="498" t="s">
        <v>279</v>
      </c>
      <c r="K10" s="500">
        <v>59472</v>
      </c>
      <c r="L10" s="506"/>
      <c r="T10" s="507" t="s">
        <v>3416</v>
      </c>
      <c r="U10" s="502">
        <v>0.67708333333333337</v>
      </c>
      <c r="V10" s="502" t="s">
        <v>3453</v>
      </c>
    </row>
    <row r="11" spans="1:26" s="504" customFormat="1" x14ac:dyDescent="0.25">
      <c r="A11" s="497" t="s">
        <v>3454</v>
      </c>
      <c r="B11" s="504" t="s">
        <v>1720</v>
      </c>
      <c r="C11" s="498" t="s">
        <v>3414</v>
      </c>
      <c r="D11" s="499">
        <v>45295</v>
      </c>
      <c r="F11" s="498" t="s">
        <v>545</v>
      </c>
      <c r="H11" s="498" t="s">
        <v>279</v>
      </c>
      <c r="K11" s="505">
        <v>34456</v>
      </c>
      <c r="L11" s="506"/>
      <c r="T11" s="507" t="s">
        <v>1029</v>
      </c>
      <c r="U11" s="502">
        <v>0.44513888888888892</v>
      </c>
      <c r="V11" s="502">
        <v>0.62430555555555556</v>
      </c>
    </row>
    <row r="12" spans="1:26" s="33" customFormat="1" x14ac:dyDescent="0.25">
      <c r="A12" s="547" t="s">
        <v>3454</v>
      </c>
      <c r="B12" s="33" t="s">
        <v>2129</v>
      </c>
      <c r="C12" s="306" t="s">
        <v>410</v>
      </c>
      <c r="D12" s="548">
        <v>45295</v>
      </c>
      <c r="F12" s="306" t="s">
        <v>236</v>
      </c>
      <c r="H12" s="306" t="s">
        <v>279</v>
      </c>
      <c r="K12" s="312">
        <v>62540</v>
      </c>
      <c r="L12" s="279"/>
      <c r="T12" s="280" t="s">
        <v>2050</v>
      </c>
      <c r="U12" s="550">
        <v>0.72291666666666676</v>
      </c>
      <c r="V12" s="550">
        <v>3.4722222222222224E-2</v>
      </c>
    </row>
    <row r="13" spans="1:26" s="618" customFormat="1" x14ac:dyDescent="0.25">
      <c r="A13" s="617" t="s">
        <v>3456</v>
      </c>
      <c r="B13" s="618" t="s">
        <v>3457</v>
      </c>
      <c r="C13" s="612" t="s">
        <v>410</v>
      </c>
      <c r="D13" s="619">
        <v>45296</v>
      </c>
      <c r="F13" s="612" t="s">
        <v>317</v>
      </c>
      <c r="H13" s="612" t="s">
        <v>279</v>
      </c>
      <c r="K13" s="620">
        <v>47860.800000000003</v>
      </c>
      <c r="L13" s="621"/>
      <c r="T13" s="627" t="s">
        <v>3408</v>
      </c>
      <c r="U13" s="623">
        <v>0.30624999999999997</v>
      </c>
      <c r="V13" s="623">
        <v>0.64166666666666672</v>
      </c>
    </row>
    <row r="14" spans="1:26" s="399" customFormat="1" x14ac:dyDescent="0.25">
      <c r="A14" s="626" t="s">
        <v>3456</v>
      </c>
      <c r="B14" s="399" t="s">
        <v>3455</v>
      </c>
      <c r="C14" s="552" t="s">
        <v>1604</v>
      </c>
      <c r="D14" s="606">
        <v>45296</v>
      </c>
      <c r="E14" s="264">
        <v>7110</v>
      </c>
      <c r="F14" s="552" t="s">
        <v>285</v>
      </c>
      <c r="H14" s="552" t="s">
        <v>279</v>
      </c>
      <c r="K14" s="607">
        <f>39500+7110</f>
        <v>46610</v>
      </c>
      <c r="L14" s="608"/>
      <c r="T14" s="554" t="s">
        <v>3458</v>
      </c>
      <c r="U14" s="609">
        <v>0.40416666666666662</v>
      </c>
      <c r="V14" s="609">
        <v>0.7416666666666667</v>
      </c>
    </row>
    <row r="15" spans="1:26" s="504" customFormat="1" x14ac:dyDescent="0.25">
      <c r="A15" s="497" t="s">
        <v>3456</v>
      </c>
      <c r="B15" s="504" t="s">
        <v>614</v>
      </c>
      <c r="C15" s="498" t="s">
        <v>3414</v>
      </c>
      <c r="D15" s="499">
        <v>45296</v>
      </c>
      <c r="F15" s="498" t="s">
        <v>1931</v>
      </c>
      <c r="H15" s="498" t="s">
        <v>279</v>
      </c>
      <c r="K15" s="500">
        <v>62304</v>
      </c>
      <c r="L15" s="506"/>
      <c r="T15" s="507" t="s">
        <v>1029</v>
      </c>
      <c r="U15" s="502">
        <v>0.3125</v>
      </c>
      <c r="V15" s="502">
        <v>0.68472222222222223</v>
      </c>
    </row>
    <row r="16" spans="1:26" s="504" customFormat="1" x14ac:dyDescent="0.25">
      <c r="A16" s="497" t="s">
        <v>3456</v>
      </c>
      <c r="B16" s="504" t="s">
        <v>296</v>
      </c>
      <c r="C16" s="498" t="s">
        <v>3367</v>
      </c>
      <c r="D16" s="602">
        <v>45296</v>
      </c>
      <c r="F16" s="498" t="s">
        <v>294</v>
      </c>
      <c r="H16" s="498" t="s">
        <v>277</v>
      </c>
      <c r="K16" s="505">
        <v>24886</v>
      </c>
      <c r="L16" s="506"/>
      <c r="T16" s="507" t="s">
        <v>3459</v>
      </c>
      <c r="U16" s="502">
        <v>0.55902777777777779</v>
      </c>
      <c r="V16" s="502">
        <v>0.7270833333333333</v>
      </c>
    </row>
    <row r="17" spans="1:22" s="504" customFormat="1" x14ac:dyDescent="0.25">
      <c r="A17" s="497" t="s">
        <v>3460</v>
      </c>
      <c r="B17" s="504" t="s">
        <v>614</v>
      </c>
      <c r="C17" s="498" t="s">
        <v>410</v>
      </c>
      <c r="D17" s="499">
        <v>45297</v>
      </c>
      <c r="F17" s="498" t="s">
        <v>317</v>
      </c>
      <c r="H17" s="498" t="s">
        <v>279</v>
      </c>
      <c r="K17" s="500">
        <v>53996.800000000003</v>
      </c>
      <c r="L17" s="506"/>
      <c r="T17" s="507" t="s">
        <v>2037</v>
      </c>
      <c r="U17" s="502">
        <v>0.29236111111111113</v>
      </c>
      <c r="V17" s="502">
        <v>0.61527777777777781</v>
      </c>
    </row>
    <row r="18" spans="1:22" s="418" customFormat="1" x14ac:dyDescent="0.25">
      <c r="A18" s="624" t="s">
        <v>3460</v>
      </c>
      <c r="B18" s="418" t="s">
        <v>3276</v>
      </c>
      <c r="C18" s="420" t="s">
        <v>1604</v>
      </c>
      <c r="D18" s="602">
        <v>45297</v>
      </c>
      <c r="F18" s="420" t="s">
        <v>872</v>
      </c>
      <c r="H18" s="420" t="s">
        <v>279</v>
      </c>
      <c r="K18" s="603">
        <v>39600</v>
      </c>
      <c r="L18" s="422"/>
      <c r="T18" s="423" t="s">
        <v>3458</v>
      </c>
      <c r="U18" s="604">
        <v>0.39027777777777778</v>
      </c>
      <c r="V18" s="604">
        <v>0.61805555555555558</v>
      </c>
    </row>
    <row r="19" spans="1:22" s="504" customFormat="1" x14ac:dyDescent="0.25">
      <c r="A19" s="497" t="s">
        <v>3461</v>
      </c>
      <c r="B19" s="504" t="s">
        <v>614</v>
      </c>
      <c r="C19" s="498" t="s">
        <v>410</v>
      </c>
      <c r="D19" s="499">
        <v>45298</v>
      </c>
      <c r="F19" s="498" t="s">
        <v>207</v>
      </c>
      <c r="H19" s="498" t="s">
        <v>279</v>
      </c>
      <c r="K19" s="500">
        <v>41536</v>
      </c>
      <c r="L19" s="506"/>
      <c r="T19" s="507" t="s">
        <v>989</v>
      </c>
      <c r="U19" s="502">
        <v>0.52083333333333337</v>
      </c>
      <c r="V19" s="502">
        <v>0.7319444444444444</v>
      </c>
    </row>
    <row r="20" spans="1:22" s="504" customFormat="1" x14ac:dyDescent="0.25">
      <c r="A20" s="497" t="s">
        <v>3461</v>
      </c>
      <c r="B20" s="504" t="s">
        <v>296</v>
      </c>
      <c r="C20" s="498" t="s">
        <v>410</v>
      </c>
      <c r="D20" s="499">
        <v>45298</v>
      </c>
      <c r="F20" s="498" t="s">
        <v>294</v>
      </c>
      <c r="H20" s="498" t="s">
        <v>277</v>
      </c>
      <c r="K20" s="500">
        <v>24886</v>
      </c>
      <c r="L20" s="506"/>
      <c r="T20" s="507" t="s">
        <v>989</v>
      </c>
      <c r="U20" s="502">
        <v>0.28194444444444444</v>
      </c>
      <c r="V20" s="502">
        <v>0.47222222222222227</v>
      </c>
    </row>
    <row r="21" spans="1:22" s="504" customFormat="1" x14ac:dyDescent="0.25">
      <c r="A21" s="497" t="s">
        <v>3462</v>
      </c>
      <c r="B21" s="504" t="s">
        <v>1720</v>
      </c>
      <c r="C21" s="498" t="s">
        <v>1604</v>
      </c>
      <c r="D21" s="499">
        <v>45299</v>
      </c>
      <c r="F21" s="498" t="s">
        <v>545</v>
      </c>
      <c r="H21" s="498" t="s">
        <v>277</v>
      </c>
      <c r="K21" s="500">
        <v>25016</v>
      </c>
      <c r="L21" s="506"/>
      <c r="T21" s="507" t="s">
        <v>3458</v>
      </c>
      <c r="U21" s="502">
        <v>0.50277777777777777</v>
      </c>
      <c r="V21" s="502">
        <v>0.67152777777777783</v>
      </c>
    </row>
    <row r="22" spans="1:22" s="504" customFormat="1" x14ac:dyDescent="0.25">
      <c r="A22" s="497" t="s">
        <v>3462</v>
      </c>
      <c r="B22" s="504" t="s">
        <v>1720</v>
      </c>
      <c r="C22" s="498" t="s">
        <v>3414</v>
      </c>
      <c r="D22" s="499">
        <v>45299</v>
      </c>
      <c r="F22" s="498" t="s">
        <v>545</v>
      </c>
      <c r="H22" s="498" t="s">
        <v>277</v>
      </c>
      <c r="K22" s="500">
        <v>25016</v>
      </c>
      <c r="L22" s="506"/>
      <c r="T22" s="507" t="s">
        <v>3463</v>
      </c>
      <c r="U22" s="502">
        <v>0.7944444444444444</v>
      </c>
      <c r="V22" s="502">
        <v>0.92222222222222217</v>
      </c>
    </row>
    <row r="23" spans="1:22" s="504" customFormat="1" x14ac:dyDescent="0.25">
      <c r="A23" s="497" t="s">
        <v>3462</v>
      </c>
      <c r="B23" s="504" t="s">
        <v>3388</v>
      </c>
      <c r="C23" s="498" t="s">
        <v>410</v>
      </c>
      <c r="D23" s="499">
        <v>45299</v>
      </c>
      <c r="F23" s="498" t="s">
        <v>1931</v>
      </c>
      <c r="H23" s="498" t="s">
        <v>279</v>
      </c>
      <c r="K23" s="500">
        <v>59450</v>
      </c>
      <c r="L23" s="506"/>
      <c r="T23" s="507" t="s">
        <v>2037</v>
      </c>
      <c r="U23" s="502">
        <v>0.73611111111111116</v>
      </c>
      <c r="V23" s="502">
        <v>6.7361111111111108E-2</v>
      </c>
    </row>
    <row r="24" spans="1:22" s="504" customFormat="1" x14ac:dyDescent="0.25">
      <c r="A24" s="497" t="s">
        <v>3462</v>
      </c>
      <c r="B24" s="504" t="s">
        <v>930</v>
      </c>
      <c r="C24" s="498" t="s">
        <v>3514</v>
      </c>
      <c r="D24" s="499">
        <v>45299</v>
      </c>
      <c r="F24" s="498" t="s">
        <v>295</v>
      </c>
      <c r="H24" s="498" t="s">
        <v>277</v>
      </c>
      <c r="K24" s="500">
        <v>29000</v>
      </c>
      <c r="L24" s="506"/>
      <c r="T24" s="507"/>
      <c r="U24" s="502"/>
      <c r="V24" s="502"/>
    </row>
    <row r="25" spans="1:22" s="504" customFormat="1" x14ac:dyDescent="0.25">
      <c r="A25" s="497" t="s">
        <v>3464</v>
      </c>
      <c r="B25" s="504" t="s">
        <v>614</v>
      </c>
      <c r="C25" s="498" t="s">
        <v>410</v>
      </c>
      <c r="D25" s="499">
        <v>45300</v>
      </c>
      <c r="F25" s="498" t="s">
        <v>317</v>
      </c>
      <c r="H25" s="498" t="s">
        <v>279</v>
      </c>
      <c r="K25" s="500">
        <v>53996.800000000003</v>
      </c>
      <c r="L25" s="506"/>
      <c r="T25" s="507" t="s">
        <v>922</v>
      </c>
      <c r="U25" s="502">
        <v>0.30624999999999997</v>
      </c>
      <c r="V25" s="502">
        <v>0.57847222222222217</v>
      </c>
    </row>
    <row r="26" spans="1:22" s="418" customFormat="1" x14ac:dyDescent="0.25">
      <c r="A26" s="624" t="s">
        <v>3464</v>
      </c>
      <c r="B26" s="418" t="s">
        <v>3276</v>
      </c>
      <c r="C26" s="420" t="s">
        <v>1604</v>
      </c>
      <c r="D26" s="602">
        <v>45300</v>
      </c>
      <c r="F26" s="420" t="s">
        <v>872</v>
      </c>
      <c r="H26" s="420" t="s">
        <v>279</v>
      </c>
      <c r="K26" s="603">
        <v>39600</v>
      </c>
      <c r="L26" s="422"/>
      <c r="T26" s="423" t="s">
        <v>3458</v>
      </c>
      <c r="U26" s="604">
        <v>0.46249999999999997</v>
      </c>
      <c r="V26" s="604">
        <v>0.72361111111111109</v>
      </c>
    </row>
    <row r="27" spans="1:22" s="504" customFormat="1" x14ac:dyDescent="0.25">
      <c r="A27" s="497">
        <v>10012023</v>
      </c>
      <c r="B27" s="504" t="s">
        <v>614</v>
      </c>
      <c r="C27" s="498" t="s">
        <v>1604</v>
      </c>
      <c r="D27" s="499">
        <v>45301</v>
      </c>
      <c r="F27" s="498" t="s">
        <v>2107</v>
      </c>
      <c r="H27" s="498" t="s">
        <v>279</v>
      </c>
      <c r="K27" s="500">
        <v>44651.199999999997</v>
      </c>
      <c r="L27" s="506"/>
      <c r="T27" s="507" t="s">
        <v>3458</v>
      </c>
      <c r="U27" s="502">
        <v>0.52638888888888891</v>
      </c>
      <c r="V27" s="502">
        <v>0.65555555555555556</v>
      </c>
    </row>
    <row r="28" spans="1:22" s="504" customFormat="1" x14ac:dyDescent="0.25">
      <c r="A28" s="497">
        <v>11012024</v>
      </c>
      <c r="B28" s="504" t="s">
        <v>614</v>
      </c>
      <c r="C28" s="498" t="s">
        <v>3414</v>
      </c>
      <c r="D28" s="499">
        <v>45302</v>
      </c>
      <c r="F28" s="498" t="s">
        <v>207</v>
      </c>
      <c r="H28" s="498" t="s">
        <v>279</v>
      </c>
      <c r="K28" s="500">
        <v>41536</v>
      </c>
      <c r="L28" s="506"/>
      <c r="T28" s="507" t="s">
        <v>916</v>
      </c>
      <c r="U28" s="502">
        <v>0.26250000000000001</v>
      </c>
      <c r="V28" s="502">
        <v>0.48749999999999999</v>
      </c>
    </row>
    <row r="29" spans="1:22" s="418" customFormat="1" x14ac:dyDescent="0.25">
      <c r="A29" s="624">
        <v>11012024</v>
      </c>
      <c r="B29" s="418" t="s">
        <v>3276</v>
      </c>
      <c r="C29" s="420" t="s">
        <v>1604</v>
      </c>
      <c r="D29" s="602">
        <v>45302</v>
      </c>
      <c r="F29" s="420" t="s">
        <v>872</v>
      </c>
      <c r="H29" s="420" t="s">
        <v>279</v>
      </c>
      <c r="K29" s="603">
        <v>39600</v>
      </c>
      <c r="L29" s="422"/>
      <c r="T29" s="423" t="s">
        <v>3458</v>
      </c>
      <c r="U29" s="604">
        <v>0.35069444444444442</v>
      </c>
      <c r="V29" s="604">
        <v>0.67291666666666661</v>
      </c>
    </row>
    <row r="30" spans="1:22" s="504" customFormat="1" x14ac:dyDescent="0.25">
      <c r="A30" s="497">
        <v>11012024</v>
      </c>
      <c r="B30" s="504" t="s">
        <v>3509</v>
      </c>
      <c r="C30" s="498" t="s">
        <v>3367</v>
      </c>
      <c r="D30" s="602">
        <v>45302</v>
      </c>
      <c r="F30" s="498" t="s">
        <v>317</v>
      </c>
      <c r="H30" s="498" t="s">
        <v>279</v>
      </c>
      <c r="K30" s="500">
        <v>47247.199999999997</v>
      </c>
      <c r="L30" s="506"/>
      <c r="T30" s="507" t="s">
        <v>3369</v>
      </c>
      <c r="U30" s="502">
        <v>0.55347222222222225</v>
      </c>
      <c r="V30" s="502">
        <v>0.82291666666666663</v>
      </c>
    </row>
    <row r="31" spans="1:22" s="504" customFormat="1" x14ac:dyDescent="0.25">
      <c r="A31" s="497">
        <v>11012024</v>
      </c>
      <c r="B31" s="504" t="s">
        <v>3388</v>
      </c>
      <c r="C31" s="498" t="s">
        <v>3414</v>
      </c>
      <c r="D31" s="499">
        <v>45302</v>
      </c>
      <c r="F31" s="498" t="s">
        <v>1931</v>
      </c>
      <c r="H31" s="498" t="s">
        <v>279</v>
      </c>
      <c r="K31" s="500">
        <v>58466</v>
      </c>
      <c r="L31" s="506"/>
      <c r="T31" s="507" t="s">
        <v>2380</v>
      </c>
      <c r="U31" s="502">
        <v>0.77222222222222225</v>
      </c>
      <c r="V31" s="502">
        <v>7.7777777777777779E-2</v>
      </c>
    </row>
    <row r="32" spans="1:22" s="504" customFormat="1" x14ac:dyDescent="0.25">
      <c r="A32" s="497">
        <v>12012024</v>
      </c>
      <c r="B32" s="504" t="s">
        <v>930</v>
      </c>
      <c r="C32" s="498" t="s">
        <v>1604</v>
      </c>
      <c r="D32" s="499">
        <v>45303</v>
      </c>
      <c r="F32" s="498" t="s">
        <v>294</v>
      </c>
      <c r="H32" s="498" t="s">
        <v>277</v>
      </c>
      <c r="K32" s="500">
        <v>24886</v>
      </c>
      <c r="L32" s="506"/>
      <c r="T32" s="507" t="s">
        <v>3458</v>
      </c>
      <c r="U32" s="502">
        <v>0.45208333333333334</v>
      </c>
      <c r="V32" s="502">
        <v>0.65069444444444446</v>
      </c>
    </row>
    <row r="33" spans="1:23" s="504" customFormat="1" x14ac:dyDescent="0.25">
      <c r="A33" s="497">
        <v>12012024</v>
      </c>
      <c r="B33" s="504" t="s">
        <v>1720</v>
      </c>
      <c r="C33" s="498" t="s">
        <v>3414</v>
      </c>
      <c r="D33" s="499">
        <v>45303</v>
      </c>
      <c r="F33" s="498" t="s">
        <v>545</v>
      </c>
      <c r="H33" s="498" t="s">
        <v>277</v>
      </c>
      <c r="K33" s="500">
        <v>25016</v>
      </c>
      <c r="L33" s="506"/>
      <c r="T33" s="507" t="s">
        <v>3517</v>
      </c>
      <c r="U33" s="502">
        <v>0.95347222222222217</v>
      </c>
      <c r="V33" s="502">
        <v>0.57500000000000007</v>
      </c>
    </row>
    <row r="34" spans="1:23" s="504" customFormat="1" x14ac:dyDescent="0.25">
      <c r="A34" s="497">
        <v>13012024</v>
      </c>
      <c r="B34" s="504" t="s">
        <v>607</v>
      </c>
      <c r="C34" s="498" t="s">
        <v>3414</v>
      </c>
      <c r="D34" s="499">
        <v>45304</v>
      </c>
      <c r="F34" s="498" t="s">
        <v>207</v>
      </c>
      <c r="H34" s="498" t="s">
        <v>279</v>
      </c>
      <c r="K34" s="500">
        <v>36253.14</v>
      </c>
      <c r="L34" s="506"/>
      <c r="T34" s="507" t="s">
        <v>1506</v>
      </c>
      <c r="U34" s="502">
        <v>0.40138888888888885</v>
      </c>
      <c r="V34" s="502">
        <v>0.62083333333333335</v>
      </c>
    </row>
    <row r="35" spans="1:23" s="504" customFormat="1" x14ac:dyDescent="0.25">
      <c r="A35" s="497">
        <v>14012024</v>
      </c>
      <c r="B35" s="504" t="s">
        <v>3388</v>
      </c>
      <c r="C35" s="498" t="s">
        <v>3414</v>
      </c>
      <c r="D35" s="499">
        <v>45305</v>
      </c>
      <c r="F35" s="498" t="s">
        <v>1931</v>
      </c>
      <c r="H35" s="498" t="s">
        <v>279</v>
      </c>
      <c r="K35" s="500">
        <v>59450</v>
      </c>
      <c r="L35" s="506"/>
      <c r="T35" s="507" t="s">
        <v>1042</v>
      </c>
      <c r="U35" s="502">
        <v>0.29583333333333334</v>
      </c>
      <c r="V35" s="502">
        <v>0.6020833333333333</v>
      </c>
    </row>
    <row r="36" spans="1:23" s="504" customFormat="1" x14ac:dyDescent="0.25">
      <c r="A36" s="497">
        <v>15012024</v>
      </c>
      <c r="B36" s="504" t="s">
        <v>596</v>
      </c>
      <c r="C36" s="498" t="s">
        <v>3546</v>
      </c>
      <c r="D36" s="499">
        <v>45306</v>
      </c>
      <c r="F36" s="498" t="s">
        <v>236</v>
      </c>
      <c r="H36" s="498" t="s">
        <v>279</v>
      </c>
      <c r="K36" s="500">
        <v>59472</v>
      </c>
      <c r="L36" s="506"/>
      <c r="T36" s="507" t="s">
        <v>3151</v>
      </c>
      <c r="U36" s="502">
        <v>0.29444444444444445</v>
      </c>
      <c r="V36" s="502">
        <v>0.56458333333333333</v>
      </c>
    </row>
    <row r="37" spans="1:23" s="504" customFormat="1" x14ac:dyDescent="0.25">
      <c r="A37" s="497">
        <v>15012024</v>
      </c>
      <c r="B37" s="504" t="s">
        <v>930</v>
      </c>
      <c r="C37" s="498" t="s">
        <v>3414</v>
      </c>
      <c r="D37" s="499">
        <v>45306</v>
      </c>
      <c r="F37" s="498" t="s">
        <v>294</v>
      </c>
      <c r="H37" s="498" t="s">
        <v>279</v>
      </c>
      <c r="K37" s="500">
        <v>33182</v>
      </c>
      <c r="L37" s="506"/>
      <c r="T37" s="507" t="s">
        <v>2050</v>
      </c>
      <c r="U37" s="502">
        <v>0.6791666666666667</v>
      </c>
      <c r="V37" s="502">
        <v>0.93611111111111101</v>
      </c>
      <c r="W37" s="573" t="s">
        <v>3614</v>
      </c>
    </row>
    <row r="38" spans="1:23" s="504" customFormat="1" x14ac:dyDescent="0.25">
      <c r="A38" s="497">
        <v>15012024</v>
      </c>
      <c r="B38" s="504" t="s">
        <v>1720</v>
      </c>
      <c r="C38" s="498" t="s">
        <v>3367</v>
      </c>
      <c r="D38" s="602">
        <v>1476</v>
      </c>
      <c r="F38" s="498" t="s">
        <v>545</v>
      </c>
      <c r="H38" s="498" t="s">
        <v>277</v>
      </c>
      <c r="K38" s="500">
        <v>25016</v>
      </c>
      <c r="L38" s="506"/>
      <c r="T38" s="507" t="s">
        <v>3369</v>
      </c>
      <c r="U38" s="502">
        <v>0.6791666666666667</v>
      </c>
      <c r="V38" s="502">
        <v>0.90069444444444446</v>
      </c>
    </row>
    <row r="39" spans="1:23" s="33" customFormat="1" x14ac:dyDescent="0.25">
      <c r="A39" s="547">
        <v>16012024</v>
      </c>
      <c r="B39" s="33" t="s">
        <v>2422</v>
      </c>
      <c r="C39" s="306" t="s">
        <v>3414</v>
      </c>
      <c r="D39" s="548">
        <v>45307</v>
      </c>
      <c r="F39" s="306" t="s">
        <v>68</v>
      </c>
      <c r="H39" s="306" t="s">
        <v>279</v>
      </c>
      <c r="K39" s="549">
        <v>42399</v>
      </c>
      <c r="L39" s="279"/>
      <c r="T39" s="280" t="s">
        <v>989</v>
      </c>
      <c r="U39" s="550">
        <v>0.67847222222222225</v>
      </c>
      <c r="V39" s="550">
        <v>0.94930555555555562</v>
      </c>
    </row>
    <row r="40" spans="1:23" s="504" customFormat="1" x14ac:dyDescent="0.25">
      <c r="A40" s="497">
        <v>17012024</v>
      </c>
      <c r="B40" s="504" t="s">
        <v>607</v>
      </c>
      <c r="C40" s="498" t="s">
        <v>3414</v>
      </c>
      <c r="D40" s="499">
        <v>45308</v>
      </c>
      <c r="F40" s="498" t="s">
        <v>207</v>
      </c>
      <c r="H40" s="498" t="s">
        <v>279</v>
      </c>
      <c r="K40" s="500">
        <v>36253.14</v>
      </c>
      <c r="L40" s="506"/>
      <c r="T40" s="507" t="s">
        <v>922</v>
      </c>
      <c r="U40" s="502">
        <v>0.27013888888888887</v>
      </c>
      <c r="V40" s="502">
        <v>0.49652777777777773</v>
      </c>
    </row>
    <row r="41" spans="1:23" s="393" customFormat="1" x14ac:dyDescent="0.25">
      <c r="A41" s="581">
        <v>17012024</v>
      </c>
      <c r="B41" s="393" t="s">
        <v>611</v>
      </c>
      <c r="C41" s="174" t="s">
        <v>3546</v>
      </c>
      <c r="D41" s="582">
        <v>45308</v>
      </c>
      <c r="F41" s="174" t="s">
        <v>143</v>
      </c>
      <c r="H41" s="174" t="s">
        <v>279</v>
      </c>
      <c r="K41" s="583">
        <v>36000</v>
      </c>
      <c r="L41" s="396"/>
      <c r="T41" s="397" t="s">
        <v>3151</v>
      </c>
      <c r="U41" s="584">
        <v>0.27152777777777776</v>
      </c>
      <c r="V41" s="584">
        <v>0.46458333333333335</v>
      </c>
    </row>
    <row r="42" spans="1:23" s="504" customFormat="1" x14ac:dyDescent="0.25">
      <c r="A42" s="497">
        <v>17012024</v>
      </c>
      <c r="B42" s="504" t="s">
        <v>1720</v>
      </c>
      <c r="C42" s="498" t="s">
        <v>3367</v>
      </c>
      <c r="D42" s="499">
        <v>45308</v>
      </c>
      <c r="F42" s="498" t="s">
        <v>545</v>
      </c>
      <c r="H42" s="498" t="s">
        <v>277</v>
      </c>
      <c r="K42" s="500">
        <v>25016</v>
      </c>
      <c r="L42" s="506"/>
      <c r="T42" s="507" t="s">
        <v>3369</v>
      </c>
      <c r="U42" s="502">
        <v>0.66180555555555554</v>
      </c>
      <c r="V42" s="502">
        <v>0.78819444444444453</v>
      </c>
    </row>
    <row r="43" spans="1:23" s="504" customFormat="1" x14ac:dyDescent="0.25">
      <c r="A43" s="497">
        <v>17012024</v>
      </c>
      <c r="B43" s="504" t="s">
        <v>1800</v>
      </c>
      <c r="C43" s="498" t="s">
        <v>3414</v>
      </c>
      <c r="D43" s="499">
        <v>45308</v>
      </c>
      <c r="F43" s="498" t="s">
        <v>285</v>
      </c>
      <c r="H43" s="498" t="s">
        <v>279</v>
      </c>
      <c r="K43" s="500"/>
      <c r="L43" s="506">
        <v>11800</v>
      </c>
      <c r="T43" s="507" t="s">
        <v>989</v>
      </c>
      <c r="U43" s="502">
        <v>0.54861111111111105</v>
      </c>
      <c r="V43" s="502">
        <v>0.86458333333333337</v>
      </c>
    </row>
    <row r="44" spans="1:23" s="504" customFormat="1" x14ac:dyDescent="0.25">
      <c r="A44" s="497">
        <v>17012024</v>
      </c>
      <c r="B44" s="504" t="s">
        <v>3388</v>
      </c>
      <c r="C44" s="498" t="s">
        <v>3546</v>
      </c>
      <c r="D44" s="499">
        <v>45308</v>
      </c>
      <c r="F44" s="498" t="s">
        <v>1931</v>
      </c>
      <c r="H44" s="498" t="s">
        <v>279</v>
      </c>
      <c r="K44" s="500">
        <v>59450</v>
      </c>
      <c r="L44" s="506"/>
      <c r="T44" s="507" t="s">
        <v>2050</v>
      </c>
      <c r="U44" s="502">
        <v>0.67083333333333339</v>
      </c>
      <c r="V44" s="502">
        <v>0.98541666666666661</v>
      </c>
    </row>
    <row r="45" spans="1:23" s="33" customFormat="1" x14ac:dyDescent="0.25">
      <c r="A45" s="547">
        <v>18012024</v>
      </c>
      <c r="B45" s="33" t="s">
        <v>614</v>
      </c>
      <c r="C45" s="306" t="s">
        <v>3414</v>
      </c>
      <c r="D45" s="548">
        <v>45309</v>
      </c>
      <c r="F45" s="306" t="s">
        <v>317</v>
      </c>
      <c r="H45" s="306" t="s">
        <v>279</v>
      </c>
      <c r="K45" s="549">
        <v>53996.800000000003</v>
      </c>
      <c r="L45" s="279"/>
      <c r="T45" s="280" t="s">
        <v>922</v>
      </c>
      <c r="U45" s="550">
        <v>0.30069444444444443</v>
      </c>
      <c r="V45" s="550">
        <v>0.63611111111111118</v>
      </c>
    </row>
    <row r="46" spans="1:23" s="33" customFormat="1" x14ac:dyDescent="0.25">
      <c r="A46" s="547">
        <v>19012024</v>
      </c>
      <c r="B46" s="33" t="s">
        <v>614</v>
      </c>
      <c r="C46" s="306" t="s">
        <v>3414</v>
      </c>
      <c r="D46" s="548">
        <v>45310</v>
      </c>
      <c r="F46" s="306" t="s">
        <v>317</v>
      </c>
      <c r="H46" s="306" t="s">
        <v>279</v>
      </c>
      <c r="K46" s="549">
        <v>53996.800000000003</v>
      </c>
      <c r="L46" s="279"/>
      <c r="T46" s="280" t="s">
        <v>1506</v>
      </c>
      <c r="U46" s="550">
        <v>0.34236111111111112</v>
      </c>
      <c r="V46" s="550">
        <v>0.71666666666666667</v>
      </c>
    </row>
    <row r="47" spans="1:23" s="504" customFormat="1" x14ac:dyDescent="0.25">
      <c r="A47" s="497">
        <v>19012024</v>
      </c>
      <c r="B47" s="504" t="s">
        <v>607</v>
      </c>
      <c r="C47" s="498" t="s">
        <v>3546</v>
      </c>
      <c r="D47" s="499">
        <v>45310</v>
      </c>
      <c r="F47" s="498" t="s">
        <v>207</v>
      </c>
      <c r="H47" s="498" t="s">
        <v>279</v>
      </c>
      <c r="K47" s="500">
        <v>36253.14</v>
      </c>
      <c r="L47" s="506"/>
      <c r="T47" s="507" t="s">
        <v>3572</v>
      </c>
      <c r="U47" s="502">
        <v>0.54861111111111105</v>
      </c>
      <c r="V47" s="502">
        <v>0.78263888888888899</v>
      </c>
    </row>
    <row r="48" spans="1:23" s="504" customFormat="1" x14ac:dyDescent="0.25">
      <c r="A48" s="497">
        <v>19012024</v>
      </c>
      <c r="B48" s="504" t="s">
        <v>3573</v>
      </c>
      <c r="C48" s="498" t="s">
        <v>3414</v>
      </c>
      <c r="D48" s="499">
        <v>45310</v>
      </c>
      <c r="F48" s="498" t="s">
        <v>143</v>
      </c>
      <c r="H48" s="498" t="s">
        <v>279</v>
      </c>
      <c r="K48" s="500">
        <v>37170</v>
      </c>
      <c r="L48" s="506"/>
      <c r="T48" s="507" t="s">
        <v>922</v>
      </c>
      <c r="U48" s="502">
        <v>0.77916666666666667</v>
      </c>
      <c r="V48" s="502">
        <v>0.49791666666666662</v>
      </c>
    </row>
    <row r="49" spans="1:23" s="504" customFormat="1" x14ac:dyDescent="0.25">
      <c r="A49" s="497">
        <v>20012024</v>
      </c>
      <c r="B49" s="504" t="s">
        <v>3613</v>
      </c>
      <c r="C49" s="498" t="s">
        <v>3546</v>
      </c>
      <c r="D49" s="499">
        <v>45311</v>
      </c>
      <c r="F49" s="498" t="s">
        <v>207</v>
      </c>
      <c r="H49" s="498" t="s">
        <v>279</v>
      </c>
      <c r="I49" s="504" t="s">
        <v>3799</v>
      </c>
      <c r="K49" s="500">
        <v>35880</v>
      </c>
      <c r="L49" s="506"/>
      <c r="T49" s="507" t="s">
        <v>3575</v>
      </c>
      <c r="U49" s="502">
        <v>0.56805555555555554</v>
      </c>
      <c r="V49" s="502">
        <v>0.77777777777777779</v>
      </c>
    </row>
    <row r="50" spans="1:23" s="504" customFormat="1" x14ac:dyDescent="0.25">
      <c r="A50" s="497">
        <v>20012024</v>
      </c>
      <c r="B50" s="504" t="s">
        <v>930</v>
      </c>
      <c r="C50" s="498" t="s">
        <v>3414</v>
      </c>
      <c r="D50" s="499">
        <v>45311</v>
      </c>
      <c r="F50" s="498" t="s">
        <v>294</v>
      </c>
      <c r="H50" s="498" t="s">
        <v>279</v>
      </c>
      <c r="K50" s="500">
        <v>33182</v>
      </c>
      <c r="L50" s="506"/>
      <c r="T50" s="507" t="s">
        <v>989</v>
      </c>
      <c r="U50" s="502">
        <v>0.68472222222222223</v>
      </c>
      <c r="V50" s="502">
        <v>0.87430555555555556</v>
      </c>
      <c r="W50" s="573" t="s">
        <v>3614</v>
      </c>
    </row>
    <row r="51" spans="1:23" s="504" customFormat="1" x14ac:dyDescent="0.25">
      <c r="A51" s="497">
        <v>21012024</v>
      </c>
      <c r="B51" s="504" t="s">
        <v>607</v>
      </c>
      <c r="C51" s="498" t="s">
        <v>3414</v>
      </c>
      <c r="D51" s="499">
        <v>45312</v>
      </c>
      <c r="F51" s="498" t="s">
        <v>3576</v>
      </c>
      <c r="H51" s="498" t="s">
        <v>279</v>
      </c>
      <c r="K51" s="500">
        <v>36253.14</v>
      </c>
      <c r="L51" s="506"/>
      <c r="T51" s="507" t="s">
        <v>2050</v>
      </c>
      <c r="U51" s="502">
        <v>0.25972222222222224</v>
      </c>
      <c r="V51" s="502">
        <v>0.4694444444444445</v>
      </c>
    </row>
    <row r="52" spans="1:23" s="33" customFormat="1" x14ac:dyDescent="0.25">
      <c r="A52" s="547">
        <v>21012024</v>
      </c>
      <c r="B52" s="33" t="s">
        <v>1424</v>
      </c>
      <c r="C52" s="306" t="s">
        <v>3546</v>
      </c>
      <c r="D52" s="548">
        <v>45312</v>
      </c>
      <c r="F52" s="306" t="s">
        <v>563</v>
      </c>
      <c r="H52" s="306" t="s">
        <v>279</v>
      </c>
      <c r="K52" s="549">
        <v>29075</v>
      </c>
      <c r="L52" s="279"/>
      <c r="T52" s="280" t="s">
        <v>1042</v>
      </c>
      <c r="U52" s="550">
        <v>0.44513888888888892</v>
      </c>
      <c r="V52" s="550">
        <v>0.55694444444444446</v>
      </c>
    </row>
    <row r="53" spans="1:23" s="504" customFormat="1" x14ac:dyDescent="0.25">
      <c r="A53" s="497">
        <v>22012024</v>
      </c>
      <c r="B53" s="504" t="s">
        <v>608</v>
      </c>
      <c r="C53" s="498" t="s">
        <v>3414</v>
      </c>
      <c r="D53" s="499">
        <v>45313</v>
      </c>
      <c r="F53" s="498" t="s">
        <v>236</v>
      </c>
      <c r="H53" s="498" t="s">
        <v>279</v>
      </c>
      <c r="K53" s="500">
        <v>59472</v>
      </c>
      <c r="L53" s="506"/>
      <c r="T53" s="507" t="s">
        <v>3463</v>
      </c>
      <c r="U53" s="502">
        <v>0.67291666666666661</v>
      </c>
      <c r="V53" s="502">
        <v>0.99305555555555547</v>
      </c>
    </row>
    <row r="54" spans="1:23" s="504" customFormat="1" x14ac:dyDescent="0.25">
      <c r="A54" s="497">
        <v>23012024</v>
      </c>
      <c r="B54" s="504" t="s">
        <v>930</v>
      </c>
      <c r="C54" s="498" t="s">
        <v>3414</v>
      </c>
      <c r="D54" s="499">
        <v>45314</v>
      </c>
      <c r="F54" s="498" t="s">
        <v>294</v>
      </c>
      <c r="H54" s="498" t="s">
        <v>279</v>
      </c>
      <c r="K54" s="500">
        <v>33182</v>
      </c>
      <c r="L54" s="506"/>
      <c r="T54" s="507" t="s">
        <v>2050</v>
      </c>
      <c r="U54" s="502">
        <v>0.7284722222222223</v>
      </c>
      <c r="V54" s="502">
        <v>0.92499999999999993</v>
      </c>
    </row>
    <row r="55" spans="1:23" s="504" customFormat="1" x14ac:dyDescent="0.25">
      <c r="A55" s="497">
        <v>24012024</v>
      </c>
      <c r="B55" s="504" t="s">
        <v>3573</v>
      </c>
      <c r="C55" s="498" t="s">
        <v>3414</v>
      </c>
      <c r="D55" s="499">
        <v>45315</v>
      </c>
      <c r="F55" s="498" t="s">
        <v>143</v>
      </c>
      <c r="H55" s="498" t="s">
        <v>279</v>
      </c>
      <c r="K55" s="500">
        <v>37170</v>
      </c>
      <c r="L55" s="506"/>
      <c r="T55" s="507" t="s">
        <v>922</v>
      </c>
      <c r="U55" s="502">
        <v>0.73125000000000007</v>
      </c>
      <c r="V55" s="502">
        <v>0.92847222222222225</v>
      </c>
    </row>
    <row r="56" spans="1:23" s="504" customFormat="1" x14ac:dyDescent="0.25">
      <c r="A56" s="497">
        <v>25012024</v>
      </c>
      <c r="B56" s="504" t="s">
        <v>1720</v>
      </c>
      <c r="C56" s="498" t="s">
        <v>3414</v>
      </c>
      <c r="D56" s="499">
        <v>45316</v>
      </c>
      <c r="F56" s="498" t="s">
        <v>545</v>
      </c>
      <c r="H56" s="498" t="s">
        <v>279</v>
      </c>
      <c r="K56" s="500">
        <v>34456</v>
      </c>
      <c r="L56" s="506"/>
      <c r="T56" s="507" t="s">
        <v>2037</v>
      </c>
      <c r="U56" s="502">
        <v>0.62152777777777779</v>
      </c>
      <c r="V56" s="502">
        <v>0.78194444444444444</v>
      </c>
    </row>
    <row r="57" spans="1:23" s="504" customFormat="1" x14ac:dyDescent="0.25">
      <c r="A57" s="497">
        <v>26012024</v>
      </c>
      <c r="B57" s="504" t="s">
        <v>3573</v>
      </c>
      <c r="C57" s="498" t="s">
        <v>3414</v>
      </c>
      <c r="D57" s="499">
        <v>45317</v>
      </c>
      <c r="F57" s="498" t="s">
        <v>143</v>
      </c>
      <c r="H57" s="498" t="s">
        <v>279</v>
      </c>
      <c r="K57" s="500">
        <v>37170</v>
      </c>
      <c r="L57" s="506"/>
      <c r="T57" s="507" t="s">
        <v>3463</v>
      </c>
      <c r="U57" s="502">
        <v>0.42430555555555555</v>
      </c>
      <c r="V57" s="502">
        <v>0.65208333333333335</v>
      </c>
    </row>
    <row r="58" spans="1:23" s="33" customFormat="1" x14ac:dyDescent="0.25">
      <c r="A58" s="547">
        <v>26012024</v>
      </c>
      <c r="B58" s="33" t="s">
        <v>614</v>
      </c>
      <c r="C58" s="306" t="s">
        <v>3546</v>
      </c>
      <c r="D58" s="548">
        <v>45317</v>
      </c>
      <c r="F58" s="306" t="s">
        <v>106</v>
      </c>
      <c r="H58" s="306" t="s">
        <v>279</v>
      </c>
      <c r="K58" s="549">
        <v>31152</v>
      </c>
      <c r="L58" s="279"/>
      <c r="T58" s="280" t="s">
        <v>922</v>
      </c>
      <c r="U58" s="550">
        <v>0.6020833333333333</v>
      </c>
      <c r="V58" s="550">
        <v>0.65208333333333335</v>
      </c>
    </row>
    <row r="59" spans="1:23" s="504" customFormat="1" x14ac:dyDescent="0.25">
      <c r="A59" s="497">
        <v>27012024</v>
      </c>
      <c r="B59" s="504" t="s">
        <v>607</v>
      </c>
      <c r="C59" s="498" t="s">
        <v>3546</v>
      </c>
      <c r="D59" s="499">
        <v>45318</v>
      </c>
      <c r="F59" s="498" t="s">
        <v>207</v>
      </c>
      <c r="H59" s="498" t="s">
        <v>279</v>
      </c>
      <c r="K59" s="500">
        <v>36253.14</v>
      </c>
      <c r="L59" s="506"/>
      <c r="T59" s="507" t="s">
        <v>916</v>
      </c>
      <c r="U59" s="502">
        <v>0.41736111111111113</v>
      </c>
      <c r="V59" s="502">
        <v>0.61736111111111114</v>
      </c>
    </row>
    <row r="60" spans="1:23" s="618" customFormat="1" x14ac:dyDescent="0.25">
      <c r="A60" s="617">
        <v>27012024</v>
      </c>
      <c r="B60" s="618" t="s">
        <v>930</v>
      </c>
      <c r="C60" s="612" t="s">
        <v>3414</v>
      </c>
      <c r="D60" s="619">
        <v>45318</v>
      </c>
      <c r="F60" s="612" t="s">
        <v>294</v>
      </c>
      <c r="H60" s="612" t="s">
        <v>277</v>
      </c>
      <c r="K60" s="620">
        <v>24886</v>
      </c>
      <c r="L60" s="621"/>
      <c r="T60" s="622" t="s">
        <v>2050</v>
      </c>
      <c r="U60" s="623">
        <v>0.44513888888888892</v>
      </c>
      <c r="V60" s="623">
        <v>0.61458333333333337</v>
      </c>
    </row>
    <row r="61" spans="1:23" s="33" customFormat="1" x14ac:dyDescent="0.25">
      <c r="A61" s="547">
        <v>28012024</v>
      </c>
      <c r="B61" s="33" t="s">
        <v>1424</v>
      </c>
      <c r="C61" s="306" t="s">
        <v>3414</v>
      </c>
      <c r="D61" s="548">
        <v>45319</v>
      </c>
      <c r="F61" s="306" t="s">
        <v>563</v>
      </c>
      <c r="H61" s="306" t="s">
        <v>279</v>
      </c>
      <c r="K61" s="549">
        <v>29075</v>
      </c>
      <c r="L61" s="279"/>
      <c r="T61" s="280" t="s">
        <v>1506</v>
      </c>
      <c r="U61" s="550">
        <v>0.28541666666666665</v>
      </c>
      <c r="V61" s="550">
        <v>0.47430555555555554</v>
      </c>
    </row>
    <row r="62" spans="1:23" s="33" customFormat="1" x14ac:dyDescent="0.25">
      <c r="A62" s="547">
        <v>29012024</v>
      </c>
      <c r="B62" s="33" t="s">
        <v>3388</v>
      </c>
      <c r="C62" s="306" t="s">
        <v>3414</v>
      </c>
      <c r="D62" s="548">
        <v>45320</v>
      </c>
      <c r="F62" s="306" t="s">
        <v>1985</v>
      </c>
      <c r="H62" s="306" t="s">
        <v>279</v>
      </c>
      <c r="K62" s="549">
        <v>58466</v>
      </c>
      <c r="L62" s="279"/>
      <c r="T62" s="280" t="s">
        <v>922</v>
      </c>
      <c r="U62" s="550">
        <v>0.27638888888888885</v>
      </c>
      <c r="V62" s="550">
        <v>0.63888888888888895</v>
      </c>
    </row>
    <row r="63" spans="1:23" s="504" customFormat="1" x14ac:dyDescent="0.25">
      <c r="A63" s="497">
        <v>29012024</v>
      </c>
      <c r="B63" s="504" t="s">
        <v>1720</v>
      </c>
      <c r="C63" s="498" t="s">
        <v>410</v>
      </c>
      <c r="D63" s="499">
        <v>45320</v>
      </c>
      <c r="F63" s="498" t="s">
        <v>545</v>
      </c>
      <c r="H63" s="534" t="s">
        <v>277</v>
      </c>
      <c r="K63" s="500">
        <v>25016</v>
      </c>
      <c r="L63" s="506"/>
      <c r="T63" s="507" t="s">
        <v>3572</v>
      </c>
      <c r="U63" s="502">
        <v>0.62777777777777777</v>
      </c>
      <c r="V63" s="502">
        <v>0.75069444444444444</v>
      </c>
    </row>
    <row r="64" spans="1:23" s="291" customFormat="1" x14ac:dyDescent="0.25">
      <c r="A64" s="544">
        <v>30012024</v>
      </c>
      <c r="B64" s="291" t="s">
        <v>614</v>
      </c>
      <c r="C64" s="306" t="s">
        <v>3414</v>
      </c>
      <c r="D64" s="545">
        <v>45321</v>
      </c>
      <c r="F64" s="310" t="s">
        <v>317</v>
      </c>
      <c r="H64" s="306" t="s">
        <v>279</v>
      </c>
      <c r="K64" s="319">
        <v>53996.800000000003</v>
      </c>
      <c r="L64" s="293"/>
      <c r="T64" s="294" t="s">
        <v>989</v>
      </c>
      <c r="U64" s="546">
        <v>0.3756944444444445</v>
      </c>
      <c r="V64" s="546">
        <v>0.66597222222222219</v>
      </c>
    </row>
    <row r="65" spans="1:22" s="291" customFormat="1" ht="14.1" customHeight="1" x14ac:dyDescent="0.25">
      <c r="A65" s="544">
        <v>30012024</v>
      </c>
      <c r="B65" s="291" t="s">
        <v>1720</v>
      </c>
      <c r="C65" s="306" t="s">
        <v>3414</v>
      </c>
      <c r="D65" s="545">
        <v>45321</v>
      </c>
      <c r="F65" s="306" t="s">
        <v>545</v>
      </c>
      <c r="H65" s="306" t="s">
        <v>279</v>
      </c>
      <c r="K65" s="319">
        <v>34456</v>
      </c>
      <c r="L65" s="293"/>
      <c r="T65" s="294" t="s">
        <v>2050</v>
      </c>
      <c r="U65" s="546">
        <v>0.81597222222222221</v>
      </c>
      <c r="V65" s="546">
        <v>1.0416666666666666E-2</v>
      </c>
    </row>
    <row r="66" spans="1:22" s="575" customFormat="1" x14ac:dyDescent="0.25">
      <c r="A66" s="571">
        <v>31012024</v>
      </c>
      <c r="B66" s="575" t="s">
        <v>1038</v>
      </c>
      <c r="C66" s="334" t="s">
        <v>3414</v>
      </c>
      <c r="D66" s="574">
        <v>45322</v>
      </c>
      <c r="F66" s="334" t="s">
        <v>294</v>
      </c>
      <c r="H66" s="334" t="s">
        <v>279</v>
      </c>
      <c r="K66" s="576">
        <v>36000</v>
      </c>
      <c r="L66" s="577"/>
      <c r="T66" s="578" t="s">
        <v>3463</v>
      </c>
      <c r="U66" s="579">
        <v>0.29791666666666666</v>
      </c>
      <c r="V66" s="579">
        <v>0.48958333333333331</v>
      </c>
    </row>
    <row r="67" spans="1:22" s="611" customFormat="1" x14ac:dyDescent="0.25">
      <c r="A67" s="610">
        <v>31012024</v>
      </c>
      <c r="B67" s="611" t="s">
        <v>930</v>
      </c>
      <c r="C67" s="612" t="s">
        <v>410</v>
      </c>
      <c r="D67" s="613">
        <v>45322</v>
      </c>
      <c r="F67" s="612" t="s">
        <v>294</v>
      </c>
      <c r="H67" s="612" t="s">
        <v>277</v>
      </c>
      <c r="K67" s="614">
        <v>24886</v>
      </c>
      <c r="L67" s="621"/>
      <c r="T67" s="615" t="s">
        <v>922</v>
      </c>
      <c r="U67" s="616">
        <v>0.25138888888888888</v>
      </c>
      <c r="V67" s="616">
        <v>0.40347222222222223</v>
      </c>
    </row>
    <row r="68" spans="1:22" s="291" customFormat="1" x14ac:dyDescent="0.25">
      <c r="A68" s="544">
        <v>31012024</v>
      </c>
      <c r="B68" s="291" t="s">
        <v>1720</v>
      </c>
      <c r="C68" s="306" t="s">
        <v>410</v>
      </c>
      <c r="D68" s="545">
        <v>45322</v>
      </c>
      <c r="F68" s="306" t="s">
        <v>545</v>
      </c>
      <c r="H68" s="306" t="s">
        <v>277</v>
      </c>
      <c r="K68" s="549">
        <v>25016</v>
      </c>
      <c r="L68" s="293"/>
      <c r="T68" s="294" t="s">
        <v>922</v>
      </c>
      <c r="U68" s="546">
        <v>0.75277777777777777</v>
      </c>
      <c r="V68" s="546">
        <v>0.87916666666666676</v>
      </c>
    </row>
    <row r="69" spans="1:22" s="291" customFormat="1" x14ac:dyDescent="0.25">
      <c r="A69" s="544">
        <v>31012024</v>
      </c>
      <c r="B69" s="291" t="s">
        <v>614</v>
      </c>
      <c r="C69" s="306" t="s">
        <v>3414</v>
      </c>
      <c r="D69" s="545">
        <v>45322</v>
      </c>
      <c r="F69" s="306" t="s">
        <v>545</v>
      </c>
      <c r="H69" s="306" t="s">
        <v>279</v>
      </c>
      <c r="K69" s="319">
        <v>37382.400000000001</v>
      </c>
      <c r="L69" s="293"/>
      <c r="T69" s="294" t="s">
        <v>2037</v>
      </c>
      <c r="U69" s="546">
        <v>0.74722222222222223</v>
      </c>
      <c r="V69" s="546">
        <v>0.91736111111111107</v>
      </c>
    </row>
    <row r="70" spans="1:22" s="21" customFormat="1" x14ac:dyDescent="0.25">
      <c r="A70" s="509"/>
      <c r="C70" s="177"/>
      <c r="D70" s="510"/>
      <c r="F70" s="177"/>
      <c r="H70" s="177"/>
      <c r="K70" s="314"/>
      <c r="L70" s="181"/>
      <c r="T70" s="157"/>
      <c r="U70" s="488"/>
      <c r="V70" s="488"/>
    </row>
    <row r="71" spans="1:22" x14ac:dyDescent="0.25">
      <c r="A71" s="483"/>
      <c r="D71" s="233"/>
      <c r="K71" s="251"/>
      <c r="L71" s="88"/>
      <c r="T71" s="14"/>
      <c r="U71" s="360"/>
      <c r="V71" s="360"/>
    </row>
    <row r="72" spans="1:22" x14ac:dyDescent="0.25">
      <c r="A72" s="483"/>
      <c r="D72" s="233"/>
      <c r="K72" s="251"/>
      <c r="L72" s="88"/>
      <c r="T72" s="14"/>
      <c r="U72" s="360"/>
      <c r="V72" s="360"/>
    </row>
    <row r="73" spans="1:22" x14ac:dyDescent="0.25">
      <c r="A73" s="483"/>
      <c r="D73" s="233"/>
      <c r="K73" s="251"/>
      <c r="L73" s="88">
        <f>+K70</f>
        <v>0</v>
      </c>
      <c r="T73" s="14"/>
      <c r="U73" s="360"/>
      <c r="V73" s="360"/>
    </row>
    <row r="74" spans="1:22" x14ac:dyDescent="0.25">
      <c r="A74" s="483"/>
      <c r="D74" s="233"/>
      <c r="K74" s="251">
        <f>SUM(K2:K73)</f>
        <v>2667952.6399999997</v>
      </c>
      <c r="L74" s="88"/>
      <c r="T74" s="14"/>
      <c r="U74" s="360"/>
      <c r="V74" s="360"/>
    </row>
    <row r="75" spans="1:22" x14ac:dyDescent="0.25">
      <c r="A75" s="483"/>
      <c r="D75" s="233"/>
      <c r="E75" s="5" t="s">
        <v>3589</v>
      </c>
      <c r="F75" s="127"/>
      <c r="G75" s="5"/>
      <c r="H75" s="127"/>
      <c r="K75" s="313"/>
      <c r="L75" s="88"/>
      <c r="T75" s="14"/>
      <c r="U75" s="360"/>
      <c r="V75" s="360"/>
    </row>
    <row r="76" spans="1:22" x14ac:dyDescent="0.25">
      <c r="A76" s="483"/>
      <c r="D76" s="233"/>
      <c r="K76" s="251"/>
      <c r="L76" s="88"/>
      <c r="T76" s="14"/>
      <c r="U76" s="360"/>
      <c r="V76" s="360"/>
    </row>
    <row r="77" spans="1:22" s="538" customFormat="1" x14ac:dyDescent="0.25">
      <c r="A77" s="535" t="s">
        <v>3660</v>
      </c>
      <c r="B77" s="538" t="s">
        <v>614</v>
      </c>
      <c r="C77" s="498" t="s">
        <v>3546</v>
      </c>
      <c r="D77" s="537">
        <v>45292</v>
      </c>
      <c r="F77" s="498" t="s">
        <v>143</v>
      </c>
      <c r="H77" s="498" t="s">
        <v>279</v>
      </c>
      <c r="K77" s="539">
        <v>43612.800000000003</v>
      </c>
      <c r="L77" s="540"/>
      <c r="T77" s="541" t="s">
        <v>3408</v>
      </c>
      <c r="U77" s="503">
        <v>0.86805555555555547</v>
      </c>
      <c r="V77" s="503">
        <v>5.0694444444444452E-2</v>
      </c>
    </row>
    <row r="78" spans="1:22" s="538" customFormat="1" x14ac:dyDescent="0.25">
      <c r="A78" s="535" t="s">
        <v>3660</v>
      </c>
      <c r="B78" s="538" t="s">
        <v>614</v>
      </c>
      <c r="C78" s="498" t="s">
        <v>3414</v>
      </c>
      <c r="D78" s="537">
        <v>45292</v>
      </c>
      <c r="F78" s="498" t="s">
        <v>143</v>
      </c>
      <c r="H78" s="498" t="s">
        <v>279</v>
      </c>
      <c r="K78" s="539">
        <v>43612.800000000003</v>
      </c>
      <c r="L78" s="540"/>
      <c r="T78" s="541" t="s">
        <v>2050</v>
      </c>
      <c r="U78" s="503">
        <v>0.81041666666666667</v>
      </c>
      <c r="V78" s="503">
        <v>6.1111111111111116E-2</v>
      </c>
    </row>
    <row r="79" spans="1:22" s="504" customFormat="1" x14ac:dyDescent="0.25">
      <c r="A79" s="535" t="s">
        <v>3661</v>
      </c>
      <c r="B79" s="504" t="s">
        <v>1093</v>
      </c>
      <c r="C79" s="498" t="s">
        <v>3414</v>
      </c>
      <c r="D79" s="499">
        <v>45324</v>
      </c>
      <c r="F79" s="498" t="s">
        <v>236</v>
      </c>
      <c r="H79" s="498" t="s">
        <v>279</v>
      </c>
      <c r="K79" s="500">
        <v>62540</v>
      </c>
      <c r="L79" s="506"/>
      <c r="T79" s="507" t="s">
        <v>916</v>
      </c>
      <c r="U79" s="502">
        <v>0.26041666666666669</v>
      </c>
      <c r="V79" s="502">
        <v>0.55972222222222223</v>
      </c>
    </row>
    <row r="80" spans="1:22" s="504" customFormat="1" x14ac:dyDescent="0.25">
      <c r="A80" s="535" t="s">
        <v>3661</v>
      </c>
      <c r="B80" s="504" t="s">
        <v>614</v>
      </c>
      <c r="C80" s="498" t="s">
        <v>3546</v>
      </c>
      <c r="D80" s="499">
        <v>45324</v>
      </c>
      <c r="F80" s="498" t="s">
        <v>285</v>
      </c>
      <c r="H80" s="498" t="s">
        <v>279</v>
      </c>
      <c r="K80" s="500">
        <v>51920</v>
      </c>
      <c r="L80" s="506"/>
      <c r="T80" s="507" t="s">
        <v>922</v>
      </c>
      <c r="U80" s="502">
        <v>0.46458333333333335</v>
      </c>
      <c r="V80" s="502">
        <v>0.70208333333333339</v>
      </c>
    </row>
    <row r="81" spans="1:22" s="504" customFormat="1" x14ac:dyDescent="0.25">
      <c r="A81" s="535" t="s">
        <v>3661</v>
      </c>
      <c r="B81" s="504" t="s">
        <v>614</v>
      </c>
      <c r="C81" s="498" t="s">
        <v>3414</v>
      </c>
      <c r="D81" s="499">
        <v>45324</v>
      </c>
      <c r="F81" s="498" t="s">
        <v>1985</v>
      </c>
      <c r="H81" s="498" t="s">
        <v>279</v>
      </c>
      <c r="K81" s="500">
        <v>62304</v>
      </c>
      <c r="L81" s="506"/>
      <c r="T81" s="507" t="s">
        <v>2050</v>
      </c>
      <c r="U81" s="502">
        <v>0.63124999999999998</v>
      </c>
      <c r="V81" s="502">
        <v>0.9375</v>
      </c>
    </row>
    <row r="82" spans="1:22" s="504" customFormat="1" x14ac:dyDescent="0.25">
      <c r="A82" s="535" t="s">
        <v>3661</v>
      </c>
      <c r="B82" s="504" t="s">
        <v>1720</v>
      </c>
      <c r="C82" s="498" t="s">
        <v>3546</v>
      </c>
      <c r="D82" s="499">
        <v>45324</v>
      </c>
      <c r="F82" s="498" t="s">
        <v>545</v>
      </c>
      <c r="H82" s="498" t="s">
        <v>277</v>
      </c>
      <c r="K82" s="500">
        <v>34456</v>
      </c>
      <c r="L82" s="506"/>
      <c r="T82" s="507" t="s">
        <v>922</v>
      </c>
      <c r="U82" s="502">
        <v>0.74652777777777779</v>
      </c>
      <c r="V82" s="502">
        <v>0.88611111111111107</v>
      </c>
    </row>
    <row r="83" spans="1:22" s="504" customFormat="1" x14ac:dyDescent="0.25">
      <c r="A83" s="535" t="s">
        <v>3661</v>
      </c>
      <c r="B83" s="504" t="s">
        <v>1720</v>
      </c>
      <c r="C83" s="498" t="s">
        <v>1604</v>
      </c>
      <c r="D83" s="499">
        <v>45324</v>
      </c>
      <c r="F83" s="498" t="s">
        <v>545</v>
      </c>
      <c r="H83" s="498" t="s">
        <v>277</v>
      </c>
      <c r="K83" s="500">
        <v>25016</v>
      </c>
      <c r="L83" s="506"/>
      <c r="T83" s="507" t="s">
        <v>3668</v>
      </c>
      <c r="U83" s="502">
        <v>0.71805555555555556</v>
      </c>
      <c r="V83" s="502">
        <v>0.78055555555555556</v>
      </c>
    </row>
    <row r="84" spans="1:22" s="504" customFormat="1" x14ac:dyDescent="0.25">
      <c r="A84" s="535" t="s">
        <v>3669</v>
      </c>
      <c r="B84" s="504" t="s">
        <v>596</v>
      </c>
      <c r="C84" s="498" t="s">
        <v>3414</v>
      </c>
      <c r="D84" s="499">
        <v>45325</v>
      </c>
      <c r="F84" s="498" t="s">
        <v>236</v>
      </c>
      <c r="H84" s="498" t="s">
        <v>279</v>
      </c>
      <c r="K84" s="500">
        <v>59472</v>
      </c>
      <c r="L84" s="506"/>
      <c r="T84" s="507" t="s">
        <v>3408</v>
      </c>
      <c r="U84" s="502">
        <v>0.25972222222222224</v>
      </c>
      <c r="V84" s="502">
        <v>0.54583333333333328</v>
      </c>
    </row>
    <row r="85" spans="1:22" s="504" customFormat="1" x14ac:dyDescent="0.25">
      <c r="A85" s="535" t="s">
        <v>3669</v>
      </c>
      <c r="B85" s="504" t="s">
        <v>1720</v>
      </c>
      <c r="C85" s="498" t="s">
        <v>3546</v>
      </c>
      <c r="D85" s="499">
        <v>45325</v>
      </c>
      <c r="F85" s="498" t="s">
        <v>545</v>
      </c>
      <c r="H85" s="498" t="s">
        <v>279</v>
      </c>
      <c r="K85" s="500">
        <v>34456</v>
      </c>
      <c r="L85" s="506"/>
      <c r="T85" s="507" t="s">
        <v>916</v>
      </c>
      <c r="U85" s="502">
        <v>0.26597222222222222</v>
      </c>
      <c r="V85" s="502">
        <v>0.43541666666666662</v>
      </c>
    </row>
    <row r="86" spans="1:22" s="504" customFormat="1" x14ac:dyDescent="0.25">
      <c r="A86" s="535" t="s">
        <v>3669</v>
      </c>
      <c r="B86" s="504" t="s">
        <v>1720</v>
      </c>
      <c r="C86" s="498" t="s">
        <v>809</v>
      </c>
      <c r="D86" s="499">
        <v>45325</v>
      </c>
      <c r="F86" s="498" t="s">
        <v>545</v>
      </c>
      <c r="H86" s="498" t="s">
        <v>277</v>
      </c>
      <c r="K86" s="500">
        <v>25016</v>
      </c>
      <c r="L86" s="506"/>
      <c r="T86" s="507" t="s">
        <v>3668</v>
      </c>
      <c r="U86" s="502">
        <v>0.72152777777777777</v>
      </c>
      <c r="V86" s="502">
        <v>0.77986111111111101</v>
      </c>
    </row>
    <row r="87" spans="1:22" s="120" customFormat="1" x14ac:dyDescent="0.25">
      <c r="A87" s="571" t="s">
        <v>3667</v>
      </c>
      <c r="B87" s="120" t="s">
        <v>3276</v>
      </c>
      <c r="C87" s="334" t="s">
        <v>809</v>
      </c>
      <c r="D87" s="427">
        <v>45326</v>
      </c>
      <c r="F87" s="334" t="s">
        <v>872</v>
      </c>
      <c r="H87" s="334" t="s">
        <v>279</v>
      </c>
      <c r="K87" s="596">
        <v>39600</v>
      </c>
      <c r="L87" s="150"/>
      <c r="T87" s="336" t="s">
        <v>3668</v>
      </c>
      <c r="U87" s="597">
        <v>0.3888888888888889</v>
      </c>
      <c r="V87" s="597">
        <v>0.62152777777777779</v>
      </c>
    </row>
    <row r="88" spans="1:22" s="120" customFormat="1" x14ac:dyDescent="0.25">
      <c r="A88" s="571" t="s">
        <v>3667</v>
      </c>
      <c r="B88" s="120" t="s">
        <v>3276</v>
      </c>
      <c r="C88" s="334" t="s">
        <v>13</v>
      </c>
      <c r="D88" s="427">
        <v>45326</v>
      </c>
      <c r="F88" s="334" t="s">
        <v>872</v>
      </c>
      <c r="H88" s="334" t="s">
        <v>279</v>
      </c>
      <c r="K88" s="596">
        <v>39600</v>
      </c>
      <c r="L88" s="150"/>
      <c r="T88" s="336" t="s">
        <v>2380</v>
      </c>
      <c r="U88" s="597">
        <v>0.40208333333333335</v>
      </c>
      <c r="V88" s="597">
        <v>0.60069444444444442</v>
      </c>
    </row>
    <row r="89" spans="1:22" s="504" customFormat="1" ht="14.1" customHeight="1" x14ac:dyDescent="0.25">
      <c r="A89" s="535" t="s">
        <v>3724</v>
      </c>
      <c r="B89" s="504" t="s">
        <v>614</v>
      </c>
      <c r="C89" s="498" t="s">
        <v>13</v>
      </c>
      <c r="D89" s="499">
        <v>45328</v>
      </c>
      <c r="F89" s="498" t="s">
        <v>872</v>
      </c>
      <c r="H89" s="498" t="s">
        <v>279</v>
      </c>
      <c r="K89" s="500">
        <v>44651.199999999997</v>
      </c>
      <c r="L89" s="506"/>
      <c r="T89" s="507" t="s">
        <v>3463</v>
      </c>
      <c r="U89" s="502">
        <v>0.35416666666666669</v>
      </c>
      <c r="V89" s="502">
        <v>0.58333333333333337</v>
      </c>
    </row>
    <row r="90" spans="1:22" s="504" customFormat="1" x14ac:dyDescent="0.25">
      <c r="A90" s="535" t="s">
        <v>3724</v>
      </c>
      <c r="B90" s="504" t="s">
        <v>2739</v>
      </c>
      <c r="C90" s="498" t="s">
        <v>3546</v>
      </c>
      <c r="D90" s="499">
        <v>45328</v>
      </c>
      <c r="F90" s="498" t="s">
        <v>2107</v>
      </c>
      <c r="H90" s="498" t="s">
        <v>279</v>
      </c>
      <c r="K90" s="500">
        <v>29880</v>
      </c>
      <c r="L90" s="506"/>
      <c r="T90" s="507" t="s">
        <v>2050</v>
      </c>
      <c r="U90" s="502">
        <v>0.51458333333333328</v>
      </c>
      <c r="V90" s="502">
        <v>0.70277777777777783</v>
      </c>
    </row>
    <row r="91" spans="1:22" s="504" customFormat="1" x14ac:dyDescent="0.25">
      <c r="A91" s="535" t="s">
        <v>3725</v>
      </c>
      <c r="B91" s="504" t="s">
        <v>3673</v>
      </c>
      <c r="C91" s="498" t="s">
        <v>13</v>
      </c>
      <c r="D91" s="499">
        <v>45329</v>
      </c>
      <c r="F91" s="498" t="s">
        <v>796</v>
      </c>
      <c r="H91" s="498" t="s">
        <v>279</v>
      </c>
      <c r="K91" s="500">
        <v>25110</v>
      </c>
      <c r="L91" s="506"/>
      <c r="T91" s="507" t="s">
        <v>922</v>
      </c>
      <c r="U91" s="502">
        <v>0.31597222222222221</v>
      </c>
      <c r="V91" s="502">
        <v>0.5083333333333333</v>
      </c>
    </row>
    <row r="92" spans="1:22" s="504" customFormat="1" x14ac:dyDescent="0.25">
      <c r="A92" s="535" t="s">
        <v>3725</v>
      </c>
      <c r="B92" s="504" t="s">
        <v>1720</v>
      </c>
      <c r="C92" s="498" t="s">
        <v>13</v>
      </c>
      <c r="D92" s="499">
        <v>45329</v>
      </c>
      <c r="F92" s="498" t="s">
        <v>545</v>
      </c>
      <c r="H92" s="498" t="s">
        <v>279</v>
      </c>
      <c r="K92" s="500">
        <v>34456</v>
      </c>
      <c r="L92" s="506"/>
      <c r="T92" s="507" t="s">
        <v>1506</v>
      </c>
      <c r="U92" s="502">
        <v>0.71944444444444444</v>
      </c>
      <c r="V92" s="502">
        <v>0.90486111111111101</v>
      </c>
    </row>
    <row r="93" spans="1:22" s="504" customFormat="1" x14ac:dyDescent="0.25">
      <c r="A93" s="535" t="s">
        <v>3726</v>
      </c>
      <c r="B93" s="504" t="s">
        <v>614</v>
      </c>
      <c r="C93" s="498" t="s">
        <v>13</v>
      </c>
      <c r="D93" s="499">
        <v>45330</v>
      </c>
      <c r="F93" s="498" t="s">
        <v>68</v>
      </c>
      <c r="H93" s="498" t="s">
        <v>279</v>
      </c>
      <c r="K93" s="500">
        <v>49843.199999999997</v>
      </c>
      <c r="L93" s="506"/>
      <c r="T93" s="507" t="s">
        <v>2037</v>
      </c>
      <c r="U93" s="502">
        <v>0.26527777777777778</v>
      </c>
      <c r="V93" s="502">
        <v>0.52152777777777781</v>
      </c>
    </row>
    <row r="94" spans="1:22" s="504" customFormat="1" x14ac:dyDescent="0.25">
      <c r="A94" s="535" t="s">
        <v>3726</v>
      </c>
      <c r="B94" s="504" t="s">
        <v>614</v>
      </c>
      <c r="C94" s="498" t="s">
        <v>410</v>
      </c>
      <c r="D94" s="499">
        <v>45330</v>
      </c>
      <c r="F94" s="498" t="s">
        <v>3676</v>
      </c>
      <c r="H94" s="498" t="s">
        <v>279</v>
      </c>
      <c r="K94" s="505">
        <v>26998.400000000001</v>
      </c>
      <c r="L94" s="506"/>
      <c r="T94" s="507" t="s">
        <v>3151</v>
      </c>
      <c r="U94" s="502">
        <v>0.57013888888888886</v>
      </c>
      <c r="V94" s="502">
        <v>0.66736111111111107</v>
      </c>
    </row>
    <row r="95" spans="1:22" s="504" customFormat="1" x14ac:dyDescent="0.25">
      <c r="A95" s="535" t="s">
        <v>3726</v>
      </c>
      <c r="B95" s="504" t="s">
        <v>1720</v>
      </c>
      <c r="C95" s="498" t="s">
        <v>410</v>
      </c>
      <c r="D95" s="499">
        <v>45330</v>
      </c>
      <c r="F95" s="498" t="s">
        <v>545</v>
      </c>
      <c r="H95" s="498" t="s">
        <v>279</v>
      </c>
      <c r="K95" s="505">
        <v>25016</v>
      </c>
      <c r="L95" s="506"/>
      <c r="T95" s="507" t="s">
        <v>3151</v>
      </c>
      <c r="U95" s="502">
        <v>0.7104166666666667</v>
      </c>
      <c r="V95" s="502">
        <v>0.82777777777777783</v>
      </c>
    </row>
    <row r="96" spans="1:22" s="120" customFormat="1" x14ac:dyDescent="0.25">
      <c r="A96" s="571" t="s">
        <v>3726</v>
      </c>
      <c r="B96" s="120" t="s">
        <v>118</v>
      </c>
      <c r="C96" s="334" t="s">
        <v>13</v>
      </c>
      <c r="D96" s="427">
        <v>45330</v>
      </c>
      <c r="F96" s="334" t="s">
        <v>143</v>
      </c>
      <c r="H96" s="334" t="s">
        <v>279</v>
      </c>
      <c r="K96" s="335">
        <v>36000</v>
      </c>
      <c r="L96" s="150"/>
      <c r="T96" s="336" t="s">
        <v>922</v>
      </c>
      <c r="U96" s="597">
        <v>0.87361111111111101</v>
      </c>
      <c r="V96" s="597">
        <v>7.1527777777777787E-2</v>
      </c>
    </row>
    <row r="97" spans="1:22" s="418" customFormat="1" x14ac:dyDescent="0.25">
      <c r="A97" s="601" t="s">
        <v>3723</v>
      </c>
      <c r="B97" s="418" t="s">
        <v>3276</v>
      </c>
      <c r="C97" s="420" t="s">
        <v>13</v>
      </c>
      <c r="D97" s="602">
        <v>45331</v>
      </c>
      <c r="F97" s="420" t="s">
        <v>872</v>
      </c>
      <c r="H97" s="420" t="s">
        <v>279</v>
      </c>
      <c r="K97" s="603">
        <v>39600</v>
      </c>
      <c r="L97" s="422"/>
      <c r="T97" s="423" t="s">
        <v>989</v>
      </c>
      <c r="U97" s="604">
        <v>0.45</v>
      </c>
      <c r="V97" s="604">
        <v>0.64444444444444449</v>
      </c>
    </row>
    <row r="98" spans="1:22" s="504" customFormat="1" x14ac:dyDescent="0.25">
      <c r="A98" s="535" t="s">
        <v>3723</v>
      </c>
      <c r="B98" s="504" t="s">
        <v>1720</v>
      </c>
      <c r="C98" s="498" t="s">
        <v>809</v>
      </c>
      <c r="D98" s="499">
        <v>45331</v>
      </c>
      <c r="F98" s="498" t="s">
        <v>545</v>
      </c>
      <c r="H98" s="498" t="s">
        <v>277</v>
      </c>
      <c r="K98" s="500">
        <v>25016</v>
      </c>
      <c r="L98" s="506"/>
      <c r="T98" s="507" t="s">
        <v>2148</v>
      </c>
      <c r="U98" s="502">
        <v>0.55902777777777779</v>
      </c>
      <c r="V98" s="502">
        <v>0.61805555555555558</v>
      </c>
    </row>
    <row r="99" spans="1:22" s="33" customFormat="1" x14ac:dyDescent="0.25">
      <c r="A99" s="544">
        <v>10022024</v>
      </c>
      <c r="B99" s="33" t="s">
        <v>3678</v>
      </c>
      <c r="C99" s="306" t="s">
        <v>13</v>
      </c>
      <c r="D99" s="548">
        <v>45332</v>
      </c>
      <c r="F99" s="306" t="s">
        <v>2253</v>
      </c>
      <c r="H99" s="306" t="s">
        <v>279</v>
      </c>
      <c r="K99" s="549">
        <v>55224</v>
      </c>
      <c r="L99" s="279"/>
      <c r="T99" s="280" t="s">
        <v>2050</v>
      </c>
      <c r="U99" s="550">
        <v>0.25277777777777777</v>
      </c>
      <c r="V99" s="550">
        <v>0.53263888888888888</v>
      </c>
    </row>
    <row r="100" spans="1:22" s="33" customFormat="1" x14ac:dyDescent="0.25">
      <c r="A100" s="544">
        <v>10022024</v>
      </c>
      <c r="B100" s="33" t="s">
        <v>2739</v>
      </c>
      <c r="C100" s="306" t="s">
        <v>410</v>
      </c>
      <c r="D100" s="548">
        <v>45332</v>
      </c>
      <c r="F100" s="306" t="s">
        <v>2107</v>
      </c>
      <c r="H100" s="306" t="s">
        <v>279</v>
      </c>
      <c r="K100" s="549">
        <v>29880</v>
      </c>
      <c r="L100" s="279"/>
      <c r="T100" s="280" t="s">
        <v>3408</v>
      </c>
      <c r="U100" s="550">
        <v>0.48680555555555555</v>
      </c>
      <c r="V100" s="550">
        <v>0.67083333333333339</v>
      </c>
    </row>
    <row r="101" spans="1:22" s="504" customFormat="1" x14ac:dyDescent="0.25">
      <c r="A101" s="535">
        <v>10022024</v>
      </c>
      <c r="B101" s="504" t="s">
        <v>614</v>
      </c>
      <c r="C101" s="498" t="s">
        <v>13</v>
      </c>
      <c r="D101" s="499">
        <v>45332</v>
      </c>
      <c r="F101" s="498" t="s">
        <v>143</v>
      </c>
      <c r="H101" s="498" t="s">
        <v>279</v>
      </c>
      <c r="K101" s="500">
        <v>43612.800000000003</v>
      </c>
      <c r="L101" s="506"/>
      <c r="T101" s="507" t="s">
        <v>989</v>
      </c>
      <c r="U101" s="502">
        <v>0.62708333333333333</v>
      </c>
      <c r="V101" s="502">
        <v>0.83263888888888893</v>
      </c>
    </row>
    <row r="102" spans="1:22" s="504" customFormat="1" ht="14.1" customHeight="1" x14ac:dyDescent="0.25">
      <c r="A102" s="535">
        <v>11022024</v>
      </c>
      <c r="B102" s="504" t="s">
        <v>2407</v>
      </c>
      <c r="C102" s="498" t="s">
        <v>410</v>
      </c>
      <c r="D102" s="499">
        <v>45333</v>
      </c>
      <c r="F102" s="498" t="s">
        <v>207</v>
      </c>
      <c r="H102" s="498" t="s">
        <v>279</v>
      </c>
      <c r="K102" s="500"/>
      <c r="L102" s="506">
        <v>9440</v>
      </c>
      <c r="T102" s="507" t="s">
        <v>3151</v>
      </c>
      <c r="U102" s="502">
        <v>0.24722222222222223</v>
      </c>
      <c r="V102" s="502">
        <v>0.53194444444444444</v>
      </c>
    </row>
    <row r="103" spans="1:22" s="504" customFormat="1" x14ac:dyDescent="0.25">
      <c r="A103" s="535">
        <v>11022024</v>
      </c>
      <c r="B103" s="504" t="s">
        <v>607</v>
      </c>
      <c r="C103" s="498" t="s">
        <v>13</v>
      </c>
      <c r="D103" s="499">
        <v>45333</v>
      </c>
      <c r="F103" s="498" t="s">
        <v>207</v>
      </c>
      <c r="H103" s="498" t="s">
        <v>279</v>
      </c>
      <c r="K103" s="500">
        <v>36253.14</v>
      </c>
      <c r="L103" s="506"/>
      <c r="T103" s="507" t="s">
        <v>2380</v>
      </c>
      <c r="U103" s="502">
        <v>0.25833333333333336</v>
      </c>
      <c r="V103" s="502">
        <v>0.47430555555555554</v>
      </c>
    </row>
    <row r="104" spans="1:22" s="504" customFormat="1" x14ac:dyDescent="0.25">
      <c r="A104" s="535">
        <v>12022024</v>
      </c>
      <c r="B104" s="504" t="s">
        <v>586</v>
      </c>
      <c r="C104" s="498" t="s">
        <v>410</v>
      </c>
      <c r="D104" s="499">
        <v>45334</v>
      </c>
      <c r="F104" s="498" t="s">
        <v>545</v>
      </c>
      <c r="H104" s="498" t="s">
        <v>279</v>
      </c>
      <c r="K104" s="500">
        <v>33560</v>
      </c>
      <c r="L104" s="506"/>
      <c r="T104" s="507" t="s">
        <v>3151</v>
      </c>
      <c r="U104" s="502">
        <v>0.33055555555555555</v>
      </c>
      <c r="V104" s="502">
        <v>0.50069444444444444</v>
      </c>
    </row>
    <row r="105" spans="1:22" s="504" customFormat="1" x14ac:dyDescent="0.25">
      <c r="A105" s="535">
        <v>12022024</v>
      </c>
      <c r="B105" s="504" t="s">
        <v>596</v>
      </c>
      <c r="C105" s="498" t="s">
        <v>13</v>
      </c>
      <c r="D105" s="499">
        <v>45334</v>
      </c>
      <c r="F105" s="498" t="s">
        <v>236</v>
      </c>
      <c r="H105" s="498" t="s">
        <v>279</v>
      </c>
      <c r="K105" s="500">
        <v>59472</v>
      </c>
      <c r="L105" s="506"/>
      <c r="T105" s="507" t="s">
        <v>1644</v>
      </c>
      <c r="U105" s="502">
        <v>0.41666666666666669</v>
      </c>
      <c r="V105" s="502">
        <v>0.71180555555555547</v>
      </c>
    </row>
    <row r="106" spans="1:22" s="504" customFormat="1" x14ac:dyDescent="0.25">
      <c r="A106" s="535">
        <v>12022024</v>
      </c>
      <c r="B106" s="504" t="s">
        <v>607</v>
      </c>
      <c r="C106" s="498" t="s">
        <v>410</v>
      </c>
      <c r="D106" s="499">
        <v>45334</v>
      </c>
      <c r="F106" s="498" t="s">
        <v>207</v>
      </c>
      <c r="H106" s="498" t="s">
        <v>279</v>
      </c>
      <c r="K106" s="500">
        <v>36253.14</v>
      </c>
      <c r="L106" s="506"/>
      <c r="T106" s="507" t="s">
        <v>916</v>
      </c>
      <c r="U106" s="502">
        <v>0.54236111111111118</v>
      </c>
      <c r="V106" s="502">
        <v>0.74583333333333324</v>
      </c>
    </row>
    <row r="107" spans="1:22" s="504" customFormat="1" x14ac:dyDescent="0.25">
      <c r="A107" s="535">
        <v>12022024</v>
      </c>
      <c r="B107" s="504" t="s">
        <v>596</v>
      </c>
      <c r="C107" s="498" t="s">
        <v>13</v>
      </c>
      <c r="D107" s="499">
        <v>45334</v>
      </c>
      <c r="F107" s="498" t="s">
        <v>236</v>
      </c>
      <c r="H107" s="498" t="s">
        <v>279</v>
      </c>
      <c r="K107" s="500">
        <v>59472</v>
      </c>
      <c r="L107" s="506"/>
      <c r="T107" s="507" t="s">
        <v>2380</v>
      </c>
      <c r="U107" s="502">
        <v>0.77083333333333337</v>
      </c>
      <c r="V107" s="502">
        <v>5.347222222222222E-2</v>
      </c>
    </row>
    <row r="108" spans="1:22" s="504" customFormat="1" x14ac:dyDescent="0.25">
      <c r="A108" s="535">
        <v>12022024</v>
      </c>
      <c r="B108" s="504" t="s">
        <v>1720</v>
      </c>
      <c r="C108" s="498" t="s">
        <v>809</v>
      </c>
      <c r="D108" s="499">
        <v>45334</v>
      </c>
      <c r="F108" s="498" t="s">
        <v>545</v>
      </c>
      <c r="H108" s="498" t="s">
        <v>277</v>
      </c>
      <c r="K108" s="500">
        <v>25016</v>
      </c>
      <c r="L108" s="506"/>
      <c r="T108" s="507" t="s">
        <v>2148</v>
      </c>
      <c r="U108" s="502">
        <v>0.71875</v>
      </c>
      <c r="V108" s="502">
        <v>0.77777777777777779</v>
      </c>
    </row>
    <row r="109" spans="1:22" s="33" customFormat="1" x14ac:dyDescent="0.25">
      <c r="A109" s="547">
        <v>13022024</v>
      </c>
      <c r="B109" s="33" t="s">
        <v>3720</v>
      </c>
      <c r="C109" s="306" t="s">
        <v>13</v>
      </c>
      <c r="D109" s="548">
        <v>45335</v>
      </c>
      <c r="F109" s="306" t="s">
        <v>294</v>
      </c>
      <c r="H109" s="306" t="s">
        <v>279</v>
      </c>
      <c r="K109" s="312">
        <v>38650</v>
      </c>
      <c r="L109" s="279"/>
      <c r="T109" s="280" t="s">
        <v>3408</v>
      </c>
      <c r="U109" s="550">
        <v>0.56874999999999998</v>
      </c>
      <c r="V109" s="550">
        <v>0.74861111111111101</v>
      </c>
    </row>
    <row r="110" spans="1:22" s="504" customFormat="1" x14ac:dyDescent="0.25">
      <c r="A110" s="535">
        <v>14022024</v>
      </c>
      <c r="B110" s="504" t="s">
        <v>1720</v>
      </c>
      <c r="C110" s="498" t="s">
        <v>410</v>
      </c>
      <c r="D110" s="499">
        <v>45336</v>
      </c>
      <c r="F110" s="498" t="s">
        <v>545</v>
      </c>
      <c r="H110" s="498" t="s">
        <v>277</v>
      </c>
      <c r="K110" s="500">
        <v>25016</v>
      </c>
      <c r="L110" s="506"/>
      <c r="T110" s="507" t="s">
        <v>916</v>
      </c>
      <c r="U110" s="502">
        <v>0.34097222222222223</v>
      </c>
      <c r="V110" s="502">
        <v>0.46111111111111108</v>
      </c>
    </row>
    <row r="111" spans="1:22" s="504" customFormat="1" x14ac:dyDescent="0.25">
      <c r="A111" s="535">
        <v>14022024</v>
      </c>
      <c r="B111" s="504" t="s">
        <v>3748</v>
      </c>
      <c r="C111" s="498" t="s">
        <v>809</v>
      </c>
      <c r="D111" s="499">
        <v>45336</v>
      </c>
      <c r="F111" s="498" t="s">
        <v>2342</v>
      </c>
      <c r="H111" s="498" t="s">
        <v>277</v>
      </c>
      <c r="K111" s="500"/>
      <c r="L111" s="1616">
        <f>5467.4+4749.01</f>
        <v>10216.41</v>
      </c>
      <c r="T111" s="507" t="s">
        <v>2148</v>
      </c>
      <c r="U111" s="502">
        <v>0.5180555555555556</v>
      </c>
      <c r="V111" s="502">
        <v>0.65138888888888891</v>
      </c>
    </row>
    <row r="112" spans="1:22" s="504" customFormat="1" x14ac:dyDescent="0.25">
      <c r="A112" s="535">
        <v>16022024</v>
      </c>
      <c r="B112" s="504" t="s">
        <v>3749</v>
      </c>
      <c r="C112" s="498" t="s">
        <v>809</v>
      </c>
      <c r="D112" s="499">
        <v>45338</v>
      </c>
      <c r="F112" s="498" t="s">
        <v>3727</v>
      </c>
      <c r="H112" s="498" t="s">
        <v>277</v>
      </c>
      <c r="K112" s="500"/>
      <c r="L112" s="1616"/>
      <c r="T112" s="507" t="s">
        <v>2148</v>
      </c>
      <c r="U112" s="502">
        <v>0.3298611111111111</v>
      </c>
      <c r="V112" s="502">
        <v>0.47430555555555554</v>
      </c>
    </row>
    <row r="113" spans="1:22" s="33" customFormat="1" x14ac:dyDescent="0.25">
      <c r="A113" s="544">
        <v>16022024</v>
      </c>
      <c r="B113" s="33" t="s">
        <v>614</v>
      </c>
      <c r="C113" s="306" t="s">
        <v>13</v>
      </c>
      <c r="D113" s="548">
        <v>45338</v>
      </c>
      <c r="F113" s="306" t="s">
        <v>872</v>
      </c>
      <c r="H113" s="306" t="s">
        <v>279</v>
      </c>
      <c r="K113" s="549">
        <v>44651.199999999997</v>
      </c>
      <c r="L113" s="279"/>
      <c r="T113" s="280" t="s">
        <v>1506</v>
      </c>
      <c r="U113" s="550">
        <v>0.35902777777777778</v>
      </c>
      <c r="V113" s="550">
        <v>0.55138888888888882</v>
      </c>
    </row>
    <row r="114" spans="1:22" s="33" customFormat="1" x14ac:dyDescent="0.25">
      <c r="A114" s="544">
        <v>16022024</v>
      </c>
      <c r="B114" s="33" t="s">
        <v>614</v>
      </c>
      <c r="C114" s="306" t="s">
        <v>410</v>
      </c>
      <c r="D114" s="548">
        <v>45338</v>
      </c>
      <c r="F114" s="306" t="s">
        <v>113</v>
      </c>
      <c r="H114" s="306" t="s">
        <v>279</v>
      </c>
      <c r="K114" s="549">
        <v>44651.199999999997</v>
      </c>
      <c r="L114" s="279"/>
      <c r="T114" s="280" t="s">
        <v>3572</v>
      </c>
      <c r="U114" s="550">
        <v>0.40625</v>
      </c>
      <c r="V114" s="550">
        <v>0.60486111111111118</v>
      </c>
    </row>
    <row r="115" spans="1:22" s="33" customFormat="1" x14ac:dyDescent="0.25">
      <c r="A115" s="544">
        <v>16022024</v>
      </c>
      <c r="B115" s="33" t="s">
        <v>3738</v>
      </c>
      <c r="C115" s="306" t="s">
        <v>13</v>
      </c>
      <c r="D115" s="548">
        <v>45338</v>
      </c>
      <c r="F115" s="306" t="s">
        <v>143</v>
      </c>
      <c r="H115" s="306" t="s">
        <v>279</v>
      </c>
      <c r="K115" s="549">
        <v>39152</v>
      </c>
      <c r="L115" s="279"/>
      <c r="T115" s="280" t="s">
        <v>3572</v>
      </c>
      <c r="U115" s="550">
        <v>0.68194444444444446</v>
      </c>
      <c r="V115" s="550">
        <v>0.84861111111111109</v>
      </c>
    </row>
    <row r="116" spans="1:22" s="33" customFormat="1" x14ac:dyDescent="0.25">
      <c r="A116" s="544">
        <v>16022024</v>
      </c>
      <c r="B116" s="33" t="s">
        <v>614</v>
      </c>
      <c r="C116" s="306" t="s">
        <v>410</v>
      </c>
      <c r="D116" s="548">
        <v>45338</v>
      </c>
      <c r="F116" s="306" t="s">
        <v>236</v>
      </c>
      <c r="H116" s="306" t="s">
        <v>279</v>
      </c>
      <c r="K116" s="549">
        <v>62304</v>
      </c>
      <c r="L116" s="279"/>
      <c r="T116" s="280" t="s">
        <v>795</v>
      </c>
      <c r="U116" s="550">
        <v>0.90069444444444446</v>
      </c>
      <c r="V116" s="550">
        <v>0.58333333333333337</v>
      </c>
    </row>
    <row r="117" spans="1:22" s="33" customFormat="1" x14ac:dyDescent="0.25">
      <c r="A117" s="544">
        <v>18022024</v>
      </c>
      <c r="B117" s="33" t="s">
        <v>614</v>
      </c>
      <c r="C117" s="306" t="s">
        <v>13</v>
      </c>
      <c r="D117" s="548">
        <v>45340</v>
      </c>
      <c r="F117" s="306" t="s">
        <v>2008</v>
      </c>
      <c r="H117" s="306" t="s">
        <v>279</v>
      </c>
      <c r="K117" s="549">
        <v>55035.199999999997</v>
      </c>
      <c r="L117" s="279"/>
      <c r="T117" s="280" t="s">
        <v>989</v>
      </c>
      <c r="U117" s="550">
        <v>0.26041666666666669</v>
      </c>
      <c r="V117" s="550">
        <v>0.54236111111111118</v>
      </c>
    </row>
    <row r="118" spans="1:22" s="431" customFormat="1" x14ac:dyDescent="0.25">
      <c r="A118" s="568">
        <v>18022024</v>
      </c>
      <c r="B118" s="431" t="s">
        <v>3741</v>
      </c>
      <c r="C118" s="492" t="s">
        <v>410</v>
      </c>
      <c r="D118" s="569">
        <v>45340</v>
      </c>
      <c r="F118" s="492" t="s">
        <v>143</v>
      </c>
      <c r="H118" s="492" t="s">
        <v>279</v>
      </c>
      <c r="K118" s="572">
        <v>37170</v>
      </c>
      <c r="L118" s="526"/>
      <c r="T118" s="527" t="s">
        <v>2050</v>
      </c>
      <c r="U118" s="570">
        <v>0.41805555555555557</v>
      </c>
      <c r="V118" s="570">
        <v>0.61597222222222225</v>
      </c>
    </row>
    <row r="119" spans="1:22" s="504" customFormat="1" x14ac:dyDescent="0.25">
      <c r="A119" s="535">
        <v>18022024</v>
      </c>
      <c r="B119" s="504" t="s">
        <v>3742</v>
      </c>
      <c r="C119" s="498" t="s">
        <v>13</v>
      </c>
      <c r="D119" s="499">
        <v>45340</v>
      </c>
      <c r="F119" s="498" t="s">
        <v>545</v>
      </c>
      <c r="H119" s="498" t="s">
        <v>279</v>
      </c>
      <c r="K119" s="500">
        <v>32284.799999999999</v>
      </c>
      <c r="L119" s="506"/>
      <c r="T119" s="507" t="s">
        <v>2050</v>
      </c>
      <c r="U119" s="502">
        <v>0.67291666666666661</v>
      </c>
      <c r="V119" s="502">
        <v>0.85972222222222217</v>
      </c>
    </row>
    <row r="120" spans="1:22" s="120" customFormat="1" x14ac:dyDescent="0.25">
      <c r="A120" s="571">
        <v>20022024</v>
      </c>
      <c r="B120" s="120" t="s">
        <v>3678</v>
      </c>
      <c r="C120" s="334" t="s">
        <v>13</v>
      </c>
      <c r="D120" s="427">
        <v>45342</v>
      </c>
      <c r="F120" s="334" t="s">
        <v>2253</v>
      </c>
      <c r="H120" s="334" t="s">
        <v>279</v>
      </c>
      <c r="K120" s="596">
        <v>55224</v>
      </c>
      <c r="L120" s="150"/>
      <c r="T120" s="336" t="s">
        <v>3408</v>
      </c>
      <c r="U120" s="597">
        <v>0.36944444444444446</v>
      </c>
      <c r="V120" s="597">
        <v>0.66805555555555562</v>
      </c>
    </row>
    <row r="121" spans="1:22" s="399" customFormat="1" x14ac:dyDescent="0.25">
      <c r="A121" s="605">
        <v>20022024</v>
      </c>
      <c r="B121" s="399" t="s">
        <v>930</v>
      </c>
      <c r="C121" s="552" t="s">
        <v>410</v>
      </c>
      <c r="D121" s="606">
        <v>45342</v>
      </c>
      <c r="F121" s="552" t="s">
        <v>294</v>
      </c>
      <c r="H121" s="552" t="s">
        <v>279</v>
      </c>
      <c r="K121" s="607">
        <v>33182</v>
      </c>
      <c r="L121" s="608"/>
      <c r="T121" s="554" t="s">
        <v>3756</v>
      </c>
      <c r="U121" s="609">
        <v>0.59166666666666667</v>
      </c>
      <c r="V121" s="609">
        <v>0.78055555555555556</v>
      </c>
    </row>
    <row r="122" spans="1:22" s="33" customFormat="1" x14ac:dyDescent="0.25">
      <c r="A122" s="544">
        <v>21022024</v>
      </c>
      <c r="B122" s="33" t="s">
        <v>614</v>
      </c>
      <c r="C122" s="306" t="s">
        <v>410</v>
      </c>
      <c r="D122" s="548">
        <v>45343</v>
      </c>
      <c r="F122" s="306" t="s">
        <v>113</v>
      </c>
      <c r="H122" s="306" t="s">
        <v>279</v>
      </c>
      <c r="K122" s="549">
        <v>44651.199999999997</v>
      </c>
      <c r="L122" s="279"/>
      <c r="T122" s="280" t="s">
        <v>1644</v>
      </c>
      <c r="U122" s="550">
        <v>0.32222222222222224</v>
      </c>
      <c r="V122" s="550">
        <v>0.5493055555555556</v>
      </c>
    </row>
    <row r="123" spans="1:22" s="504" customFormat="1" x14ac:dyDescent="0.25">
      <c r="A123" s="535">
        <v>21022024</v>
      </c>
      <c r="B123" s="504" t="s">
        <v>576</v>
      </c>
      <c r="C123" s="498" t="s">
        <v>13</v>
      </c>
      <c r="D123" s="499">
        <v>45343</v>
      </c>
      <c r="F123" s="498" t="s">
        <v>285</v>
      </c>
      <c r="H123" s="498" t="s">
        <v>279</v>
      </c>
      <c r="K123" s="500">
        <v>42800</v>
      </c>
      <c r="L123" s="506"/>
      <c r="T123" s="507" t="s">
        <v>916</v>
      </c>
      <c r="U123" s="502">
        <v>0.37916666666666665</v>
      </c>
      <c r="V123" s="502">
        <v>0.65625</v>
      </c>
    </row>
    <row r="124" spans="1:22" s="33" customFormat="1" x14ac:dyDescent="0.25">
      <c r="A124" s="544">
        <v>21022024</v>
      </c>
      <c r="B124" s="33" t="s">
        <v>614</v>
      </c>
      <c r="C124" s="306" t="s">
        <v>410</v>
      </c>
      <c r="D124" s="548">
        <v>45343</v>
      </c>
      <c r="F124" s="306" t="s">
        <v>68</v>
      </c>
      <c r="H124" s="306" t="s">
        <v>279</v>
      </c>
      <c r="K124" s="549">
        <v>49843.199999999997</v>
      </c>
      <c r="L124" s="279"/>
      <c r="T124" s="280" t="s">
        <v>3463</v>
      </c>
      <c r="U124" s="550">
        <v>0.6381944444444444</v>
      </c>
      <c r="V124" s="550">
        <v>0.89374999999999993</v>
      </c>
    </row>
    <row r="125" spans="1:22" s="504" customFormat="1" x14ac:dyDescent="0.25">
      <c r="A125" s="535">
        <v>21022024</v>
      </c>
      <c r="B125" s="504" t="s">
        <v>596</v>
      </c>
      <c r="C125" s="498" t="s">
        <v>13</v>
      </c>
      <c r="D125" s="499">
        <v>45343</v>
      </c>
      <c r="F125" s="498" t="s">
        <v>236</v>
      </c>
      <c r="H125" s="498" t="s">
        <v>279</v>
      </c>
      <c r="K125" s="500">
        <v>59472</v>
      </c>
      <c r="L125" s="506"/>
      <c r="T125" s="507" t="s">
        <v>2380</v>
      </c>
      <c r="U125" s="502">
        <v>0.32916666666666666</v>
      </c>
      <c r="V125" s="502">
        <v>0.61597222222222225</v>
      </c>
    </row>
    <row r="126" spans="1:22" s="418" customFormat="1" x14ac:dyDescent="0.25">
      <c r="A126" s="601">
        <v>22022024</v>
      </c>
      <c r="B126" s="418" t="s">
        <v>3757</v>
      </c>
      <c r="C126" s="420" t="s">
        <v>410</v>
      </c>
      <c r="D126" s="602">
        <v>45344</v>
      </c>
      <c r="E126" s="668">
        <f>+K126-39500</f>
        <v>7110</v>
      </c>
      <c r="F126" s="420" t="s">
        <v>285</v>
      </c>
      <c r="H126" s="420" t="s">
        <v>279</v>
      </c>
      <c r="K126" s="603">
        <v>46610</v>
      </c>
      <c r="L126" s="422"/>
      <c r="T126" s="423" t="s">
        <v>916</v>
      </c>
      <c r="U126" s="604">
        <v>0.30486111111111108</v>
      </c>
      <c r="V126" s="604">
        <v>0.60277777777777775</v>
      </c>
    </row>
    <row r="127" spans="1:22" s="418" customFormat="1" x14ac:dyDescent="0.25">
      <c r="A127" s="601">
        <v>22022024</v>
      </c>
      <c r="B127" s="418" t="s">
        <v>3276</v>
      </c>
      <c r="C127" s="420" t="s">
        <v>13</v>
      </c>
      <c r="D127" s="602">
        <v>45344</v>
      </c>
      <c r="F127" s="420" t="s">
        <v>872</v>
      </c>
      <c r="H127" s="420" t="s">
        <v>279</v>
      </c>
      <c r="K127" s="603">
        <v>39600</v>
      </c>
      <c r="L127" s="422"/>
      <c r="T127" s="423" t="s">
        <v>1644</v>
      </c>
      <c r="U127" s="604">
        <v>0.34791666666666665</v>
      </c>
      <c r="V127" s="604">
        <v>0.58263888888888882</v>
      </c>
    </row>
    <row r="128" spans="1:22" s="504" customFormat="1" x14ac:dyDescent="0.25">
      <c r="A128" s="535">
        <v>22022024</v>
      </c>
      <c r="B128" s="504" t="s">
        <v>596</v>
      </c>
      <c r="C128" s="498" t="s">
        <v>13</v>
      </c>
      <c r="D128" s="499">
        <v>45344</v>
      </c>
      <c r="F128" s="498" t="s">
        <v>236</v>
      </c>
      <c r="H128" s="498" t="s">
        <v>279</v>
      </c>
      <c r="K128" s="500">
        <v>59472</v>
      </c>
      <c r="L128" s="506"/>
      <c r="T128" s="507" t="s">
        <v>3463</v>
      </c>
      <c r="U128" s="502">
        <v>0.67499999999999993</v>
      </c>
      <c r="V128" s="502">
        <v>0.96666666666666667</v>
      </c>
    </row>
    <row r="129" spans="1:22" s="504" customFormat="1" x14ac:dyDescent="0.25">
      <c r="A129" s="535">
        <v>22022024</v>
      </c>
      <c r="B129" s="504" t="s">
        <v>1720</v>
      </c>
      <c r="C129" s="498" t="s">
        <v>809</v>
      </c>
      <c r="D129" s="499">
        <v>45344</v>
      </c>
      <c r="F129" s="498" t="s">
        <v>545</v>
      </c>
      <c r="H129" s="498" t="s">
        <v>277</v>
      </c>
      <c r="K129" s="500">
        <v>25016</v>
      </c>
      <c r="L129" s="506"/>
      <c r="T129" s="507" t="s">
        <v>3765</v>
      </c>
      <c r="U129" s="502">
        <v>0.68680555555555556</v>
      </c>
      <c r="V129" s="502">
        <v>0.8305555555555556</v>
      </c>
    </row>
    <row r="130" spans="1:22" s="418" customFormat="1" x14ac:dyDescent="0.25">
      <c r="A130" s="601">
        <v>22022024</v>
      </c>
      <c r="B130" s="418" t="s">
        <v>3766</v>
      </c>
      <c r="C130" s="420" t="s">
        <v>410</v>
      </c>
      <c r="D130" s="602">
        <v>45344</v>
      </c>
      <c r="F130" s="420" t="s">
        <v>68</v>
      </c>
      <c r="H130" s="420" t="s">
        <v>279</v>
      </c>
      <c r="K130" s="603">
        <v>42399</v>
      </c>
      <c r="L130" s="422"/>
      <c r="T130" s="423" t="s">
        <v>2380</v>
      </c>
      <c r="U130" s="604">
        <v>0.80347222222222225</v>
      </c>
      <c r="V130" s="604">
        <v>8.1944444444444445E-2</v>
      </c>
    </row>
    <row r="131" spans="1:22" s="504" customFormat="1" x14ac:dyDescent="0.25">
      <c r="A131" s="535">
        <v>23022024</v>
      </c>
      <c r="B131" s="504" t="s">
        <v>607</v>
      </c>
      <c r="C131" s="498" t="s">
        <v>410</v>
      </c>
      <c r="D131" s="499">
        <v>45345</v>
      </c>
      <c r="F131" s="498" t="s">
        <v>207</v>
      </c>
      <c r="H131" s="498" t="s">
        <v>279</v>
      </c>
      <c r="K131" s="500">
        <v>36253.14</v>
      </c>
      <c r="L131" s="506"/>
      <c r="T131" s="507" t="s">
        <v>916</v>
      </c>
      <c r="U131" s="502">
        <v>0.29166666666666669</v>
      </c>
      <c r="V131" s="502">
        <v>0.49513888888888885</v>
      </c>
    </row>
    <row r="132" spans="1:22" s="504" customFormat="1" x14ac:dyDescent="0.25">
      <c r="A132" s="535">
        <v>23022024</v>
      </c>
      <c r="B132" s="504" t="s">
        <v>3767</v>
      </c>
      <c r="C132" s="498" t="s">
        <v>13</v>
      </c>
      <c r="D132" s="499">
        <v>45345</v>
      </c>
      <c r="F132" s="498" t="s">
        <v>1985</v>
      </c>
      <c r="H132" s="498" t="s">
        <v>279</v>
      </c>
      <c r="K132" s="500">
        <v>58466</v>
      </c>
      <c r="L132" s="506"/>
      <c r="T132" s="507" t="s">
        <v>1644</v>
      </c>
      <c r="U132" s="502">
        <v>0.31875000000000003</v>
      </c>
      <c r="V132" s="502">
        <v>0.6381944444444444</v>
      </c>
    </row>
    <row r="133" spans="1:22" s="33" customFormat="1" x14ac:dyDescent="0.25">
      <c r="A133" s="544">
        <v>23022024</v>
      </c>
      <c r="B133" s="33" t="s">
        <v>2497</v>
      </c>
      <c r="C133" s="306" t="s">
        <v>410</v>
      </c>
      <c r="D133" s="548">
        <v>45345</v>
      </c>
      <c r="F133" s="306" t="s">
        <v>143</v>
      </c>
      <c r="H133" s="306" t="s">
        <v>279</v>
      </c>
      <c r="K133" s="549">
        <v>37200</v>
      </c>
      <c r="L133" s="279"/>
      <c r="T133" s="280" t="s">
        <v>2380</v>
      </c>
      <c r="U133" s="550">
        <v>0.66597222222222219</v>
      </c>
      <c r="V133" s="550">
        <v>0.87847222222222221</v>
      </c>
    </row>
    <row r="134" spans="1:22" s="418" customFormat="1" x14ac:dyDescent="0.25">
      <c r="A134" s="601">
        <v>23022024</v>
      </c>
      <c r="B134" s="418" t="s">
        <v>3276</v>
      </c>
      <c r="C134" s="420" t="s">
        <v>809</v>
      </c>
      <c r="D134" s="602">
        <v>45345</v>
      </c>
      <c r="F134" s="420" t="s">
        <v>872</v>
      </c>
      <c r="H134" s="420" t="s">
        <v>279</v>
      </c>
      <c r="K134" s="603">
        <v>39600</v>
      </c>
      <c r="L134" s="422"/>
      <c r="T134" s="423" t="s">
        <v>3765</v>
      </c>
      <c r="U134" s="604">
        <v>0.3444444444444445</v>
      </c>
      <c r="V134" s="604">
        <v>0.58333333333333337</v>
      </c>
    </row>
    <row r="135" spans="1:22" s="504" customFormat="1" x14ac:dyDescent="0.25">
      <c r="A135" s="535">
        <v>23022024</v>
      </c>
      <c r="B135" s="504" t="s">
        <v>1720</v>
      </c>
      <c r="C135" s="498" t="s">
        <v>809</v>
      </c>
      <c r="D135" s="499">
        <v>45345</v>
      </c>
      <c r="F135" s="498" t="s">
        <v>545</v>
      </c>
      <c r="H135" s="498" t="s">
        <v>277</v>
      </c>
      <c r="K135" s="500">
        <v>25016</v>
      </c>
      <c r="L135" s="506"/>
      <c r="T135" s="507" t="s">
        <v>3765</v>
      </c>
      <c r="U135" s="502">
        <v>0.63888888888888895</v>
      </c>
      <c r="V135" s="502">
        <v>0.79166666666666663</v>
      </c>
    </row>
    <row r="136" spans="1:22" s="504" customFormat="1" x14ac:dyDescent="0.25">
      <c r="A136" s="535">
        <v>24022024</v>
      </c>
      <c r="B136" s="504" t="s">
        <v>3742</v>
      </c>
      <c r="C136" s="498" t="s">
        <v>809</v>
      </c>
      <c r="D136" s="499">
        <v>45346</v>
      </c>
      <c r="F136" s="498" t="s">
        <v>545</v>
      </c>
      <c r="H136" s="498" t="s">
        <v>279</v>
      </c>
      <c r="K136" s="500">
        <v>32284.799999999999</v>
      </c>
      <c r="L136" s="506"/>
      <c r="T136" s="507" t="s">
        <v>3765</v>
      </c>
      <c r="U136" s="502">
        <v>0.4916666666666667</v>
      </c>
      <c r="V136" s="502">
        <v>0.55208333333333337</v>
      </c>
    </row>
    <row r="137" spans="1:22" s="33" customFormat="1" x14ac:dyDescent="0.25">
      <c r="A137" s="544">
        <v>24022024</v>
      </c>
      <c r="B137" s="33" t="s">
        <v>2739</v>
      </c>
      <c r="C137" s="306" t="s">
        <v>13</v>
      </c>
      <c r="D137" s="548">
        <v>45346</v>
      </c>
      <c r="F137" s="306" t="s">
        <v>2107</v>
      </c>
      <c r="H137" s="306" t="s">
        <v>279</v>
      </c>
      <c r="K137" s="549">
        <v>29880</v>
      </c>
      <c r="L137" s="279"/>
      <c r="T137" s="280" t="s">
        <v>989</v>
      </c>
      <c r="U137" s="550">
        <v>0.4055555555555555</v>
      </c>
      <c r="V137" s="550">
        <v>0.55694444444444446</v>
      </c>
    </row>
    <row r="138" spans="1:22" s="504" customFormat="1" x14ac:dyDescent="0.25">
      <c r="A138" s="535">
        <v>24022024</v>
      </c>
      <c r="B138" s="504" t="s">
        <v>1720</v>
      </c>
      <c r="C138" s="498" t="s">
        <v>410</v>
      </c>
      <c r="D138" s="499">
        <v>45346</v>
      </c>
      <c r="F138" s="498" t="s">
        <v>545</v>
      </c>
      <c r="H138" s="498" t="s">
        <v>277</v>
      </c>
      <c r="K138" s="500">
        <v>25016</v>
      </c>
      <c r="L138" s="506"/>
      <c r="T138" s="507" t="s">
        <v>3151</v>
      </c>
      <c r="U138" s="502">
        <v>0.19027777777777777</v>
      </c>
      <c r="V138" s="502">
        <v>0.8208333333333333</v>
      </c>
    </row>
    <row r="139" spans="1:22" s="504" customFormat="1" x14ac:dyDescent="0.25">
      <c r="A139" s="535">
        <v>24022024</v>
      </c>
      <c r="B139" s="504" t="s">
        <v>596</v>
      </c>
      <c r="C139" s="498" t="s">
        <v>13</v>
      </c>
      <c r="D139" s="499">
        <v>45346</v>
      </c>
      <c r="F139" s="498" t="s">
        <v>236</v>
      </c>
      <c r="H139" s="498" t="s">
        <v>279</v>
      </c>
      <c r="K139" s="500">
        <v>59472</v>
      </c>
      <c r="L139" s="506"/>
      <c r="T139" s="507" t="s">
        <v>1644</v>
      </c>
      <c r="U139" s="502">
        <v>0.38263888888888892</v>
      </c>
      <c r="V139" s="502">
        <v>0.17708333333333334</v>
      </c>
    </row>
    <row r="140" spans="1:22" s="504" customFormat="1" x14ac:dyDescent="0.25">
      <c r="A140" s="535">
        <v>26022024</v>
      </c>
      <c r="B140" s="504" t="s">
        <v>3742</v>
      </c>
      <c r="C140" s="498" t="s">
        <v>13</v>
      </c>
      <c r="D140" s="499">
        <v>45348</v>
      </c>
      <c r="F140" s="498" t="s">
        <v>545</v>
      </c>
      <c r="H140" s="498" t="s">
        <v>279</v>
      </c>
      <c r="K140" s="500">
        <v>32284.799999999999</v>
      </c>
      <c r="L140" s="506"/>
      <c r="T140" s="507" t="s">
        <v>2380</v>
      </c>
      <c r="U140" s="502">
        <v>0.40972222222222227</v>
      </c>
      <c r="V140" s="502">
        <v>0.60069444444444442</v>
      </c>
    </row>
    <row r="141" spans="1:22" s="504" customFormat="1" x14ac:dyDescent="0.25">
      <c r="A141" s="535">
        <v>26022024</v>
      </c>
      <c r="B141" s="504" t="s">
        <v>2129</v>
      </c>
      <c r="C141" s="498" t="s">
        <v>13</v>
      </c>
      <c r="D141" s="499">
        <v>45348</v>
      </c>
      <c r="F141" s="498" t="s">
        <v>236</v>
      </c>
      <c r="H141" s="498" t="s">
        <v>279</v>
      </c>
      <c r="K141" s="500">
        <v>62540</v>
      </c>
      <c r="L141" s="506"/>
      <c r="T141" s="507" t="s">
        <v>989</v>
      </c>
      <c r="U141" s="502">
        <v>0.39305555555555555</v>
      </c>
      <c r="V141" s="502">
        <v>0.18888888888888888</v>
      </c>
    </row>
    <row r="142" spans="1:22" s="418" customFormat="1" x14ac:dyDescent="0.25">
      <c r="A142" s="601">
        <v>28022024</v>
      </c>
      <c r="B142" s="418" t="s">
        <v>3766</v>
      </c>
      <c r="C142" s="420" t="s">
        <v>410</v>
      </c>
      <c r="D142" s="602">
        <v>45350</v>
      </c>
      <c r="F142" s="420" t="s">
        <v>68</v>
      </c>
      <c r="H142" s="420" t="s">
        <v>279</v>
      </c>
      <c r="K142" s="603">
        <v>42399</v>
      </c>
      <c r="L142" s="422"/>
      <c r="T142" s="423" t="s">
        <v>3151</v>
      </c>
      <c r="U142" s="604">
        <v>0.26041666666666669</v>
      </c>
      <c r="V142" s="604">
        <v>0.51180555555555551</v>
      </c>
    </row>
    <row r="143" spans="1:22" s="33" customFormat="1" x14ac:dyDescent="0.25">
      <c r="A143" s="544">
        <v>28022024</v>
      </c>
      <c r="B143" s="33" t="s">
        <v>614</v>
      </c>
      <c r="C143" s="306" t="s">
        <v>809</v>
      </c>
      <c r="D143" s="548">
        <v>45350</v>
      </c>
      <c r="F143" s="306" t="s">
        <v>1985</v>
      </c>
      <c r="H143" s="306" t="s">
        <v>279</v>
      </c>
      <c r="K143" s="549">
        <v>62304</v>
      </c>
      <c r="L143" s="279"/>
      <c r="T143" s="280" t="s">
        <v>3765</v>
      </c>
      <c r="U143" s="550">
        <v>0.29375000000000001</v>
      </c>
      <c r="V143" s="550">
        <v>0.64374999999999993</v>
      </c>
    </row>
    <row r="144" spans="1:22" s="418" customFormat="1" x14ac:dyDescent="0.25">
      <c r="A144" s="601">
        <v>28022024</v>
      </c>
      <c r="B144" s="418" t="s">
        <v>3792</v>
      </c>
      <c r="C144" s="420" t="s">
        <v>410</v>
      </c>
      <c r="D144" s="602">
        <v>45350</v>
      </c>
      <c r="F144" s="420" t="s">
        <v>285</v>
      </c>
      <c r="H144" s="420" t="s">
        <v>279</v>
      </c>
      <c r="K144" s="603">
        <f>36816+9284</f>
        <v>46100</v>
      </c>
      <c r="L144" s="422"/>
      <c r="T144" s="423" t="s">
        <v>1644</v>
      </c>
      <c r="U144" s="604">
        <v>0.69652777777777775</v>
      </c>
      <c r="V144" s="604">
        <v>4.9999999999999996E-2</v>
      </c>
    </row>
    <row r="145" spans="1:22" s="33" customFormat="1" x14ac:dyDescent="0.25">
      <c r="A145" s="544">
        <v>29022024</v>
      </c>
      <c r="B145" s="33" t="s">
        <v>614</v>
      </c>
      <c r="C145" s="306" t="s">
        <v>410</v>
      </c>
      <c r="D145" s="548">
        <v>45351</v>
      </c>
      <c r="F145" s="306" t="s">
        <v>143</v>
      </c>
      <c r="H145" s="306" t="s">
        <v>279</v>
      </c>
      <c r="K145" s="549">
        <v>43612.800000000003</v>
      </c>
      <c r="L145" s="279"/>
      <c r="T145" s="280" t="s">
        <v>2037</v>
      </c>
      <c r="U145" s="550">
        <v>0.66041666666666665</v>
      </c>
      <c r="V145" s="550">
        <v>0.84305555555555556</v>
      </c>
    </row>
    <row r="146" spans="1:22" s="33" customFormat="1" x14ac:dyDescent="0.25">
      <c r="A146" s="544">
        <v>29022024</v>
      </c>
      <c r="B146" s="33" t="s">
        <v>614</v>
      </c>
      <c r="C146" s="306" t="s">
        <v>13</v>
      </c>
      <c r="D146" s="548">
        <v>45351</v>
      </c>
      <c r="F146" s="306" t="s">
        <v>285</v>
      </c>
      <c r="H146" s="306" t="s">
        <v>279</v>
      </c>
      <c r="K146" s="549">
        <v>51920</v>
      </c>
      <c r="L146" s="279"/>
      <c r="T146" s="280" t="s">
        <v>1506</v>
      </c>
      <c r="U146" s="550">
        <v>0.82500000000000007</v>
      </c>
      <c r="V146" s="550">
        <v>6.458333333333334E-2</v>
      </c>
    </row>
    <row r="147" spans="1:22" x14ac:dyDescent="0.25">
      <c r="A147" s="509"/>
      <c r="D147" s="233"/>
      <c r="K147" s="251"/>
      <c r="L147" s="88"/>
      <c r="T147" s="14"/>
      <c r="U147" s="360"/>
      <c r="V147" s="360"/>
    </row>
    <row r="148" spans="1:22" ht="15.75" thickBot="1" x14ac:dyDescent="0.3">
      <c r="A148" s="509"/>
      <c r="D148" s="233"/>
      <c r="K148" s="251"/>
      <c r="L148" s="88"/>
      <c r="N148" s="149"/>
      <c r="T148" s="14"/>
      <c r="U148" s="360"/>
      <c r="V148" s="360"/>
    </row>
    <row r="149" spans="1:22" ht="15.75" thickBot="1" x14ac:dyDescent="0.3">
      <c r="A149" s="509"/>
      <c r="D149" s="233"/>
      <c r="K149" s="533">
        <f>SUM(K77:K148)</f>
        <v>2798451.8199999989</v>
      </c>
      <c r="L149" s="88"/>
      <c r="T149" s="14"/>
      <c r="U149" s="360"/>
      <c r="V149" s="360"/>
    </row>
    <row r="150" spans="1:22" x14ac:dyDescent="0.25">
      <c r="A150" s="509"/>
      <c r="D150" s="233"/>
      <c r="K150" s="558"/>
      <c r="L150" s="88"/>
      <c r="T150" s="14"/>
      <c r="U150" s="360"/>
      <c r="V150" s="360"/>
    </row>
    <row r="151" spans="1:22" x14ac:dyDescent="0.25">
      <c r="A151" s="509"/>
      <c r="D151" s="233"/>
      <c r="K151" s="558"/>
      <c r="L151" s="88"/>
      <c r="T151" s="14"/>
      <c r="U151" s="360"/>
      <c r="V151" s="360"/>
    </row>
    <row r="152" spans="1:22" x14ac:dyDescent="0.25">
      <c r="A152" s="509"/>
      <c r="D152" s="233"/>
      <c r="K152" s="558"/>
      <c r="L152" s="88"/>
      <c r="T152" s="14"/>
      <c r="U152" s="360"/>
      <c r="V152" s="360"/>
    </row>
    <row r="153" spans="1:22" s="504" customFormat="1" x14ac:dyDescent="0.25">
      <c r="A153" s="535" t="s">
        <v>3800</v>
      </c>
      <c r="B153" s="504" t="s">
        <v>1720</v>
      </c>
      <c r="C153" s="498" t="s">
        <v>809</v>
      </c>
      <c r="D153" s="499">
        <v>45352</v>
      </c>
      <c r="F153" s="498" t="s">
        <v>545</v>
      </c>
      <c r="H153" s="498" t="s">
        <v>277</v>
      </c>
      <c r="K153" s="500">
        <v>25016</v>
      </c>
      <c r="L153" s="506"/>
      <c r="T153" s="507" t="s">
        <v>3668</v>
      </c>
      <c r="U153" s="502">
        <v>0.63958333333333328</v>
      </c>
      <c r="V153" s="502">
        <v>0.70138888888888884</v>
      </c>
    </row>
    <row r="154" spans="1:22" s="504" customFormat="1" x14ac:dyDescent="0.25">
      <c r="A154" s="535" t="s">
        <v>3800</v>
      </c>
      <c r="B154" s="504" t="s">
        <v>586</v>
      </c>
      <c r="C154" s="498" t="s">
        <v>13</v>
      </c>
      <c r="D154" s="499">
        <v>45352</v>
      </c>
      <c r="F154" s="498" t="s">
        <v>545</v>
      </c>
      <c r="H154" s="498" t="s">
        <v>279</v>
      </c>
      <c r="K154" s="500">
        <v>32200</v>
      </c>
      <c r="L154" s="506"/>
      <c r="T154" s="507" t="s">
        <v>922</v>
      </c>
      <c r="U154" s="502">
        <v>0.65694444444444444</v>
      </c>
      <c r="V154" s="502">
        <v>0.84097222222222223</v>
      </c>
    </row>
    <row r="155" spans="1:22" s="504" customFormat="1" x14ac:dyDescent="0.25">
      <c r="A155" s="535" t="s">
        <v>3800</v>
      </c>
      <c r="B155" s="504" t="s">
        <v>1720</v>
      </c>
      <c r="C155" s="498" t="s">
        <v>410</v>
      </c>
      <c r="D155" s="499">
        <v>45352</v>
      </c>
      <c r="F155" s="498" t="s">
        <v>545</v>
      </c>
      <c r="H155" s="498" t="s">
        <v>277</v>
      </c>
      <c r="K155" s="500">
        <v>25016</v>
      </c>
      <c r="L155" s="506"/>
      <c r="T155" s="507" t="s">
        <v>3151</v>
      </c>
      <c r="U155" s="502">
        <v>0.67847222222222225</v>
      </c>
      <c r="V155" s="502">
        <v>0.87708333333333333</v>
      </c>
    </row>
    <row r="156" spans="1:22" s="504" customFormat="1" x14ac:dyDescent="0.25">
      <c r="A156" s="535" t="s">
        <v>3804</v>
      </c>
      <c r="B156" s="504" t="s">
        <v>1720</v>
      </c>
      <c r="C156" s="498" t="s">
        <v>410</v>
      </c>
      <c r="D156" s="499">
        <v>45353</v>
      </c>
      <c r="F156" s="498" t="s">
        <v>545</v>
      </c>
      <c r="H156" s="498" t="s">
        <v>277</v>
      </c>
      <c r="K156" s="500">
        <v>25016</v>
      </c>
      <c r="L156" s="506"/>
      <c r="T156" s="507" t="s">
        <v>2380</v>
      </c>
      <c r="U156" s="502">
        <v>0.72152777777777777</v>
      </c>
      <c r="V156" s="502">
        <v>0.88611111111111107</v>
      </c>
    </row>
    <row r="157" spans="1:22" s="504" customFormat="1" x14ac:dyDescent="0.25">
      <c r="A157" s="535" t="s">
        <v>3804</v>
      </c>
      <c r="B157" s="504" t="s">
        <v>596</v>
      </c>
      <c r="C157" s="498" t="s">
        <v>13</v>
      </c>
      <c r="D157" s="499">
        <v>45353</v>
      </c>
      <c r="F157" s="498" t="s">
        <v>236</v>
      </c>
      <c r="H157" s="498" t="s">
        <v>279</v>
      </c>
      <c r="K157" s="500">
        <v>59472</v>
      </c>
      <c r="L157" s="506"/>
      <c r="T157" s="507" t="s">
        <v>1506</v>
      </c>
      <c r="U157" s="502">
        <v>0.93472222222222223</v>
      </c>
      <c r="V157" s="502">
        <v>0.23819444444444446</v>
      </c>
    </row>
    <row r="158" spans="1:22" s="504" customFormat="1" x14ac:dyDescent="0.25">
      <c r="A158" s="535" t="s">
        <v>3802</v>
      </c>
      <c r="B158" s="504" t="s">
        <v>1720</v>
      </c>
      <c r="C158" s="498" t="s">
        <v>809</v>
      </c>
      <c r="D158" s="499">
        <v>45354</v>
      </c>
      <c r="F158" s="498" t="s">
        <v>545</v>
      </c>
      <c r="H158" s="498" t="s">
        <v>277</v>
      </c>
      <c r="K158" s="500">
        <v>25016</v>
      </c>
      <c r="L158" s="506"/>
      <c r="T158" s="507" t="s">
        <v>3803</v>
      </c>
      <c r="U158" s="502">
        <v>0.32361111111111113</v>
      </c>
      <c r="V158" s="502">
        <v>0.38611111111111113</v>
      </c>
    </row>
    <row r="159" spans="1:22" s="504" customFormat="1" x14ac:dyDescent="0.25">
      <c r="A159" s="535" t="s">
        <v>3801</v>
      </c>
      <c r="B159" s="504" t="s">
        <v>1720</v>
      </c>
      <c r="C159" s="498" t="s">
        <v>809</v>
      </c>
      <c r="D159" s="499">
        <v>45355</v>
      </c>
      <c r="F159" s="498" t="s">
        <v>545</v>
      </c>
      <c r="H159" s="498" t="s">
        <v>277</v>
      </c>
      <c r="K159" s="500">
        <v>25016</v>
      </c>
      <c r="L159" s="506"/>
      <c r="T159" s="507" t="s">
        <v>3803</v>
      </c>
      <c r="U159" s="502">
        <v>0.59305555555555556</v>
      </c>
      <c r="V159" s="502">
        <v>0.65208333333333335</v>
      </c>
    </row>
    <row r="160" spans="1:22" s="504" customFormat="1" x14ac:dyDescent="0.25">
      <c r="A160" s="535" t="s">
        <v>3811</v>
      </c>
      <c r="B160" s="504" t="s">
        <v>1720</v>
      </c>
      <c r="C160" s="498" t="s">
        <v>13</v>
      </c>
      <c r="D160" s="499">
        <v>45356</v>
      </c>
      <c r="F160" s="498" t="s">
        <v>545</v>
      </c>
      <c r="H160" s="498" t="s">
        <v>277</v>
      </c>
      <c r="K160" s="500">
        <v>25016</v>
      </c>
      <c r="L160" s="506"/>
      <c r="T160" s="507" t="s">
        <v>2037</v>
      </c>
      <c r="U160" s="502">
        <v>0.62083333333333335</v>
      </c>
      <c r="V160" s="502">
        <v>0.75486111111111109</v>
      </c>
    </row>
    <row r="161" spans="1:22" s="33" customFormat="1" x14ac:dyDescent="0.25">
      <c r="A161" s="544" t="s">
        <v>3811</v>
      </c>
      <c r="B161" s="33" t="s">
        <v>3812</v>
      </c>
      <c r="C161" s="306" t="s">
        <v>13</v>
      </c>
      <c r="D161" s="548">
        <v>45356</v>
      </c>
      <c r="F161" s="306" t="s">
        <v>143</v>
      </c>
      <c r="H161" s="306" t="s">
        <v>279</v>
      </c>
      <c r="K161" s="549">
        <v>37170</v>
      </c>
      <c r="L161" s="279"/>
      <c r="T161" s="280" t="s">
        <v>2037</v>
      </c>
      <c r="U161" s="550">
        <v>0.82430555555555562</v>
      </c>
      <c r="V161" s="550">
        <v>2.9166666666666664E-2</v>
      </c>
    </row>
    <row r="162" spans="1:22" s="504" customFormat="1" x14ac:dyDescent="0.25">
      <c r="A162" s="535" t="s">
        <v>3811</v>
      </c>
      <c r="B162" s="504" t="s">
        <v>596</v>
      </c>
      <c r="C162" s="498" t="s">
        <v>410</v>
      </c>
      <c r="D162" s="499">
        <v>45356</v>
      </c>
      <c r="F162" s="498" t="s">
        <v>236</v>
      </c>
      <c r="H162" s="498" t="s">
        <v>279</v>
      </c>
      <c r="K162" s="500">
        <v>59472</v>
      </c>
      <c r="L162" s="506"/>
      <c r="T162" s="507" t="s">
        <v>1644</v>
      </c>
      <c r="U162" s="502">
        <v>0.75347222222222221</v>
      </c>
      <c r="V162" s="502">
        <v>2.5694444444444447E-2</v>
      </c>
    </row>
    <row r="163" spans="1:22" s="33" customFormat="1" x14ac:dyDescent="0.25">
      <c r="A163" s="544" t="s">
        <v>3813</v>
      </c>
      <c r="B163" s="33" t="s">
        <v>611</v>
      </c>
      <c r="C163" s="306" t="s">
        <v>13</v>
      </c>
      <c r="D163" s="548">
        <v>45358</v>
      </c>
      <c r="F163" s="306" t="s">
        <v>143</v>
      </c>
      <c r="H163" s="306" t="s">
        <v>279</v>
      </c>
      <c r="K163" s="549">
        <v>34500</v>
      </c>
      <c r="L163" s="279"/>
      <c r="T163" s="280" t="s">
        <v>1506</v>
      </c>
      <c r="U163" s="550">
        <v>0.29166666666666669</v>
      </c>
      <c r="V163" s="550">
        <v>0.47847222222222219</v>
      </c>
    </row>
    <row r="164" spans="1:22" s="504" customFormat="1" x14ac:dyDescent="0.25">
      <c r="A164" s="535" t="s">
        <v>3813</v>
      </c>
      <c r="B164" s="504" t="s">
        <v>3742</v>
      </c>
      <c r="C164" s="498" t="s">
        <v>13</v>
      </c>
      <c r="D164" s="499">
        <v>45358</v>
      </c>
      <c r="F164" s="498" t="s">
        <v>545</v>
      </c>
      <c r="H164" s="498" t="s">
        <v>279</v>
      </c>
      <c r="K164" s="500">
        <v>32200</v>
      </c>
      <c r="L164" s="506"/>
      <c r="T164" s="507" t="s">
        <v>922</v>
      </c>
      <c r="U164" s="502">
        <v>0.65625</v>
      </c>
      <c r="V164" s="502">
        <v>0.8222222222222223</v>
      </c>
    </row>
    <row r="165" spans="1:22" s="504" customFormat="1" ht="17.100000000000001" customHeight="1" x14ac:dyDescent="0.25">
      <c r="A165" s="535" t="s">
        <v>3813</v>
      </c>
      <c r="B165" s="504" t="s">
        <v>1720</v>
      </c>
      <c r="C165" s="498" t="s">
        <v>410</v>
      </c>
      <c r="D165" s="499">
        <v>45358</v>
      </c>
      <c r="F165" s="498" t="s">
        <v>545</v>
      </c>
      <c r="H165" s="498" t="s">
        <v>277</v>
      </c>
      <c r="K165" s="500">
        <v>25016</v>
      </c>
      <c r="L165" s="506"/>
      <c r="T165" s="507" t="s">
        <v>3151</v>
      </c>
      <c r="U165" s="502">
        <v>0.76736111111111116</v>
      </c>
      <c r="V165" s="502">
        <v>0.93125000000000002</v>
      </c>
    </row>
    <row r="166" spans="1:22" s="33" customFormat="1" x14ac:dyDescent="0.25">
      <c r="A166" s="544" t="s">
        <v>3813</v>
      </c>
      <c r="B166" s="33" t="s">
        <v>611</v>
      </c>
      <c r="C166" s="306" t="s">
        <v>13</v>
      </c>
      <c r="D166" s="548">
        <v>45358</v>
      </c>
      <c r="F166" s="306" t="s">
        <v>143</v>
      </c>
      <c r="H166" s="306" t="s">
        <v>279</v>
      </c>
      <c r="K166" s="549">
        <v>34500</v>
      </c>
      <c r="L166" s="279"/>
      <c r="T166" s="280" t="s">
        <v>922</v>
      </c>
      <c r="U166" s="550">
        <v>0.9291666666666667</v>
      </c>
      <c r="V166" s="550">
        <v>0.11180555555555556</v>
      </c>
    </row>
    <row r="167" spans="1:22" s="504" customFormat="1" x14ac:dyDescent="0.25">
      <c r="A167" s="535" t="s">
        <v>3832</v>
      </c>
      <c r="B167" s="504" t="s">
        <v>1720</v>
      </c>
      <c r="C167" s="498" t="s">
        <v>410</v>
      </c>
      <c r="D167" s="499">
        <v>45359</v>
      </c>
      <c r="F167" s="498" t="s">
        <v>545</v>
      </c>
      <c r="H167" s="498" t="s">
        <v>277</v>
      </c>
      <c r="K167" s="500">
        <v>25016</v>
      </c>
      <c r="L167" s="506"/>
      <c r="T167" s="507" t="s">
        <v>3151</v>
      </c>
      <c r="U167" s="502">
        <v>0.72013888888888899</v>
      </c>
      <c r="V167" s="502">
        <v>0.85486111111111107</v>
      </c>
    </row>
    <row r="168" spans="1:22" s="504" customFormat="1" x14ac:dyDescent="0.25">
      <c r="A168" s="535" t="s">
        <v>3833</v>
      </c>
      <c r="B168" s="504" t="s">
        <v>1720</v>
      </c>
      <c r="C168" s="498" t="s">
        <v>13</v>
      </c>
      <c r="D168" s="499">
        <v>45360</v>
      </c>
      <c r="F168" s="498" t="s">
        <v>545</v>
      </c>
      <c r="H168" s="498" t="s">
        <v>279</v>
      </c>
      <c r="K168" s="500">
        <v>34456</v>
      </c>
      <c r="L168" s="506"/>
      <c r="T168" s="507" t="s">
        <v>2037</v>
      </c>
      <c r="U168" s="502">
        <v>0.32569444444444445</v>
      </c>
      <c r="V168" s="502">
        <v>0.5</v>
      </c>
    </row>
    <row r="169" spans="1:22" s="120" customFormat="1" x14ac:dyDescent="0.25">
      <c r="A169" s="571" t="s">
        <v>3834</v>
      </c>
      <c r="B169" s="120" t="s">
        <v>3766</v>
      </c>
      <c r="C169" s="334" t="s">
        <v>13</v>
      </c>
      <c r="D169" s="427">
        <v>45361</v>
      </c>
      <c r="F169" s="334" t="s">
        <v>68</v>
      </c>
      <c r="H169" s="334" t="s">
        <v>279</v>
      </c>
      <c r="K169" s="596">
        <v>42399</v>
      </c>
      <c r="L169" s="150"/>
      <c r="T169" s="336" t="s">
        <v>1029</v>
      </c>
      <c r="U169" s="597">
        <v>0.26111111111111113</v>
      </c>
      <c r="V169" s="597">
        <v>0.52361111111111114</v>
      </c>
    </row>
    <row r="170" spans="1:22" s="504" customFormat="1" x14ac:dyDescent="0.25">
      <c r="A170" s="535" t="s">
        <v>3834</v>
      </c>
      <c r="B170" s="504" t="s">
        <v>614</v>
      </c>
      <c r="C170" s="498" t="s">
        <v>410</v>
      </c>
      <c r="D170" s="499">
        <v>45361</v>
      </c>
      <c r="F170" s="498" t="s">
        <v>573</v>
      </c>
      <c r="H170" s="498" t="s">
        <v>279</v>
      </c>
      <c r="K170" s="500">
        <v>62304</v>
      </c>
      <c r="L170" s="506"/>
      <c r="T170" s="507" t="s">
        <v>2037</v>
      </c>
      <c r="U170" s="502">
        <v>0.34236111111111112</v>
      </c>
      <c r="V170" s="502">
        <v>0.53055555555555556</v>
      </c>
    </row>
    <row r="171" spans="1:22" s="504" customFormat="1" x14ac:dyDescent="0.25">
      <c r="A171" s="535" t="s">
        <v>3834</v>
      </c>
      <c r="B171" s="504" t="s">
        <v>2739</v>
      </c>
      <c r="C171" s="498" t="s">
        <v>13</v>
      </c>
      <c r="D171" s="499">
        <v>45361</v>
      </c>
      <c r="F171" s="498" t="s">
        <v>2107</v>
      </c>
      <c r="H171" s="498" t="s">
        <v>279</v>
      </c>
      <c r="K171" s="500">
        <v>29880</v>
      </c>
      <c r="L171" s="506"/>
      <c r="T171" s="507" t="s">
        <v>1029</v>
      </c>
      <c r="U171" s="502">
        <v>0.57222222222222219</v>
      </c>
      <c r="V171" s="502">
        <v>0.74861111111111101</v>
      </c>
    </row>
    <row r="172" spans="1:22" s="33" customFormat="1" x14ac:dyDescent="0.25">
      <c r="A172" s="544" t="s">
        <v>3834</v>
      </c>
      <c r="B172" s="33" t="s">
        <v>3835</v>
      </c>
      <c r="C172" s="306" t="s">
        <v>410</v>
      </c>
      <c r="D172" s="548">
        <v>45361</v>
      </c>
      <c r="F172" s="306" t="s">
        <v>285</v>
      </c>
      <c r="H172" s="306" t="s">
        <v>279</v>
      </c>
      <c r="K172" s="549">
        <v>45430</v>
      </c>
      <c r="L172" s="279"/>
      <c r="T172" s="280" t="s">
        <v>1644</v>
      </c>
      <c r="U172" s="550">
        <v>0.7006944444444444</v>
      </c>
      <c r="V172" s="550">
        <v>1.8055555555555557E-2</v>
      </c>
    </row>
    <row r="173" spans="1:22" s="504" customFormat="1" x14ac:dyDescent="0.25">
      <c r="A173" s="535">
        <v>11032024</v>
      </c>
      <c r="B173" s="504" t="s">
        <v>610</v>
      </c>
      <c r="C173" s="498" t="s">
        <v>13</v>
      </c>
      <c r="D173" s="499">
        <v>45362</v>
      </c>
      <c r="F173" s="498" t="s">
        <v>106</v>
      </c>
      <c r="H173" s="498" t="s">
        <v>279</v>
      </c>
      <c r="K173" s="500">
        <v>29770</v>
      </c>
      <c r="L173" s="506"/>
      <c r="T173" s="507" t="s">
        <v>3151</v>
      </c>
      <c r="U173" s="502">
        <v>6.12</v>
      </c>
      <c r="V173" s="502">
        <v>0.41875000000000001</v>
      </c>
    </row>
    <row r="174" spans="1:22" s="504" customFormat="1" x14ac:dyDescent="0.25">
      <c r="A174" s="535">
        <v>11032024</v>
      </c>
      <c r="B174" s="504" t="s">
        <v>596</v>
      </c>
      <c r="C174" s="498" t="s">
        <v>410</v>
      </c>
      <c r="D174" s="499">
        <v>45362</v>
      </c>
      <c r="F174" s="498" t="s">
        <v>236</v>
      </c>
      <c r="H174" s="498" t="s">
        <v>279</v>
      </c>
      <c r="K174" s="500">
        <v>59472</v>
      </c>
      <c r="L174" s="506"/>
      <c r="T174" s="507" t="s">
        <v>1029</v>
      </c>
      <c r="U174" s="502">
        <v>0.81805555555555554</v>
      </c>
      <c r="V174" s="502">
        <v>4.3750000000000004E-2</v>
      </c>
    </row>
    <row r="175" spans="1:22" s="504" customFormat="1" x14ac:dyDescent="0.25">
      <c r="A175" s="535">
        <v>11032024</v>
      </c>
      <c r="B175" s="504" t="s">
        <v>596</v>
      </c>
      <c r="C175" s="498" t="s">
        <v>13</v>
      </c>
      <c r="D175" s="499">
        <v>45362</v>
      </c>
      <c r="F175" s="498" t="s">
        <v>236</v>
      </c>
      <c r="H175" s="498" t="s">
        <v>279</v>
      </c>
      <c r="K175" s="500">
        <v>59472</v>
      </c>
      <c r="L175" s="506"/>
      <c r="T175" s="507" t="s">
        <v>2037</v>
      </c>
      <c r="U175" s="502">
        <v>0.80763888888888891</v>
      </c>
      <c r="V175" s="502">
        <v>0.10486111111111111</v>
      </c>
    </row>
    <row r="176" spans="1:22" s="504" customFormat="1" x14ac:dyDescent="0.25">
      <c r="A176" s="535">
        <v>12032024</v>
      </c>
      <c r="B176" s="504" t="s">
        <v>1720</v>
      </c>
      <c r="C176" s="498" t="s">
        <v>13</v>
      </c>
      <c r="D176" s="499">
        <v>45363</v>
      </c>
      <c r="F176" s="498" t="s">
        <v>545</v>
      </c>
      <c r="H176" s="498" t="s">
        <v>279</v>
      </c>
      <c r="K176" s="500">
        <v>34456</v>
      </c>
      <c r="L176" s="506"/>
      <c r="T176" s="507" t="s">
        <v>3844</v>
      </c>
      <c r="U176" s="502">
        <v>0.2638888888888889</v>
      </c>
      <c r="V176" s="502">
        <v>0.4513888888888889</v>
      </c>
    </row>
    <row r="177" spans="1:22" s="504" customFormat="1" x14ac:dyDescent="0.25">
      <c r="A177" s="535">
        <v>12032024</v>
      </c>
      <c r="B177" s="504" t="s">
        <v>607</v>
      </c>
      <c r="C177" s="498" t="s">
        <v>410</v>
      </c>
      <c r="D177" s="499">
        <v>45363</v>
      </c>
      <c r="F177" s="498" t="s">
        <v>207</v>
      </c>
      <c r="H177" s="498" t="s">
        <v>279</v>
      </c>
      <c r="K177" s="500">
        <v>36253.14</v>
      </c>
      <c r="L177" s="506"/>
      <c r="T177" s="507" t="s">
        <v>3151</v>
      </c>
      <c r="U177" s="502">
        <v>0.26874999999999999</v>
      </c>
      <c r="V177" s="502">
        <v>0.47847222222222219</v>
      </c>
    </row>
    <row r="178" spans="1:22" s="504" customFormat="1" x14ac:dyDescent="0.25">
      <c r="A178" s="535">
        <v>12032024</v>
      </c>
      <c r="B178" s="504" t="s">
        <v>3845</v>
      </c>
      <c r="C178" s="498" t="s">
        <v>13</v>
      </c>
      <c r="D178" s="499">
        <v>45363</v>
      </c>
      <c r="F178" s="498" t="s">
        <v>425</v>
      </c>
      <c r="H178" s="498" t="s">
        <v>279</v>
      </c>
      <c r="K178" s="500">
        <v>30895</v>
      </c>
      <c r="L178" s="506"/>
      <c r="T178" s="507" t="s">
        <v>2380</v>
      </c>
      <c r="U178" s="502">
        <v>0.63124999999999998</v>
      </c>
      <c r="V178" s="502">
        <v>0.83958333333333324</v>
      </c>
    </row>
    <row r="179" spans="1:22" s="504" customFormat="1" x14ac:dyDescent="0.25">
      <c r="A179" s="535">
        <v>12032024</v>
      </c>
      <c r="B179" s="504" t="s">
        <v>1720</v>
      </c>
      <c r="C179" s="498" t="s">
        <v>410</v>
      </c>
      <c r="D179" s="499">
        <v>45363</v>
      </c>
      <c r="F179" s="498" t="s">
        <v>545</v>
      </c>
      <c r="H179" s="498" t="s">
        <v>277</v>
      </c>
      <c r="K179" s="500">
        <v>25016</v>
      </c>
      <c r="L179" s="506"/>
      <c r="T179" s="507" t="s">
        <v>989</v>
      </c>
      <c r="U179" s="502">
        <v>0.70347222222222217</v>
      </c>
      <c r="V179" s="502">
        <v>0.82847222222222217</v>
      </c>
    </row>
    <row r="180" spans="1:22" s="504" customFormat="1" x14ac:dyDescent="0.25">
      <c r="A180" s="535">
        <v>12032024</v>
      </c>
      <c r="B180" s="504" t="s">
        <v>1720</v>
      </c>
      <c r="C180" s="498" t="s">
        <v>410</v>
      </c>
      <c r="D180" s="499">
        <v>45363</v>
      </c>
      <c r="F180" s="498" t="s">
        <v>545</v>
      </c>
      <c r="H180" s="498" t="s">
        <v>277</v>
      </c>
      <c r="K180" s="500">
        <v>25016</v>
      </c>
      <c r="L180" s="506"/>
      <c r="T180" s="507" t="s">
        <v>989</v>
      </c>
      <c r="U180" s="502">
        <v>0.86944444444444446</v>
      </c>
      <c r="V180" s="502">
        <v>0.99722222222222223</v>
      </c>
    </row>
    <row r="181" spans="1:22" s="504" customFormat="1" x14ac:dyDescent="0.25">
      <c r="A181" s="535">
        <v>13032024</v>
      </c>
      <c r="B181" s="504" t="s">
        <v>3867</v>
      </c>
      <c r="C181" s="498" t="s">
        <v>13</v>
      </c>
      <c r="D181" s="499">
        <v>45364</v>
      </c>
      <c r="F181" s="498" t="s">
        <v>545</v>
      </c>
      <c r="H181" s="498" t="s">
        <v>279</v>
      </c>
      <c r="K181" s="500">
        <v>34456</v>
      </c>
      <c r="L181" s="506"/>
      <c r="T181" s="507" t="s">
        <v>2037</v>
      </c>
      <c r="U181" s="502">
        <v>0.8847222222222223</v>
      </c>
      <c r="V181" s="502">
        <v>6.5277777777777782E-2</v>
      </c>
    </row>
    <row r="182" spans="1:22" s="504" customFormat="1" x14ac:dyDescent="0.25">
      <c r="A182" s="535">
        <v>13032024</v>
      </c>
      <c r="B182" s="504" t="s">
        <v>1720</v>
      </c>
      <c r="C182" s="498" t="s">
        <v>410</v>
      </c>
      <c r="D182" s="499">
        <v>45364</v>
      </c>
      <c r="F182" s="498" t="s">
        <v>545</v>
      </c>
      <c r="H182" s="498" t="s">
        <v>277</v>
      </c>
      <c r="K182" s="500">
        <v>25016</v>
      </c>
      <c r="L182" s="506"/>
      <c r="T182" s="507" t="s">
        <v>3151</v>
      </c>
      <c r="U182" s="502">
        <v>0.89097222222222217</v>
      </c>
      <c r="V182" s="502">
        <v>4.5833333333333337E-2</v>
      </c>
    </row>
    <row r="183" spans="1:22" s="504" customFormat="1" x14ac:dyDescent="0.25">
      <c r="A183" s="535">
        <v>15032024</v>
      </c>
      <c r="B183" s="504" t="s">
        <v>3388</v>
      </c>
      <c r="C183" s="498" t="s">
        <v>13</v>
      </c>
      <c r="D183" s="499">
        <v>45366</v>
      </c>
      <c r="F183" s="498" t="s">
        <v>1931</v>
      </c>
      <c r="H183" s="498" t="s">
        <v>279</v>
      </c>
      <c r="K183" s="500">
        <v>61450</v>
      </c>
      <c r="L183" s="506"/>
      <c r="T183" s="507" t="s">
        <v>1506</v>
      </c>
      <c r="U183" s="502">
        <v>0.37986111111111115</v>
      </c>
      <c r="V183" s="502">
        <v>0.71527777777777779</v>
      </c>
    </row>
    <row r="184" spans="1:22" s="504" customFormat="1" x14ac:dyDescent="0.25">
      <c r="A184" s="535">
        <v>15032024</v>
      </c>
      <c r="B184" s="504" t="s">
        <v>582</v>
      </c>
      <c r="C184" s="498" t="s">
        <v>410</v>
      </c>
      <c r="D184" s="499">
        <v>45366</v>
      </c>
      <c r="F184" s="498" t="s">
        <v>545</v>
      </c>
      <c r="H184" s="498" t="s">
        <v>279</v>
      </c>
      <c r="K184" s="500">
        <v>32450</v>
      </c>
      <c r="L184" s="506"/>
      <c r="T184" s="507" t="s">
        <v>2380</v>
      </c>
      <c r="U184" s="502">
        <v>0.38750000000000001</v>
      </c>
      <c r="V184" s="502">
        <v>0.57152777777777775</v>
      </c>
    </row>
    <row r="185" spans="1:22" s="504" customFormat="1" x14ac:dyDescent="0.25">
      <c r="A185" s="535">
        <v>16032024</v>
      </c>
      <c r="B185" s="504" t="s">
        <v>1720</v>
      </c>
      <c r="C185" s="498" t="s">
        <v>13</v>
      </c>
      <c r="D185" s="499">
        <v>45367</v>
      </c>
      <c r="F185" s="498" t="s">
        <v>545</v>
      </c>
      <c r="H185" s="498" t="s">
        <v>279</v>
      </c>
      <c r="K185" s="500">
        <v>34456</v>
      </c>
      <c r="L185" s="506"/>
      <c r="T185" s="507" t="s">
        <v>3879</v>
      </c>
      <c r="U185" s="502">
        <v>0.29305555555555557</v>
      </c>
      <c r="V185" s="502">
        <v>0.50694444444444442</v>
      </c>
    </row>
    <row r="186" spans="1:22" s="504" customFormat="1" x14ac:dyDescent="0.25">
      <c r="A186" s="535">
        <v>16032024</v>
      </c>
      <c r="B186" s="504" t="s">
        <v>3881</v>
      </c>
      <c r="C186" s="498" t="s">
        <v>410</v>
      </c>
      <c r="D186" s="499">
        <v>45367</v>
      </c>
      <c r="F186" s="498" t="s">
        <v>861</v>
      </c>
      <c r="H186" s="498" t="s">
        <v>279</v>
      </c>
      <c r="K186" s="500">
        <v>33900</v>
      </c>
      <c r="L186" s="506"/>
      <c r="T186" s="507" t="s">
        <v>3879</v>
      </c>
      <c r="U186" s="502">
        <v>0.54791666666666672</v>
      </c>
      <c r="V186" s="502">
        <v>0.75416666666666676</v>
      </c>
    </row>
    <row r="187" spans="1:22" s="504" customFormat="1" x14ac:dyDescent="0.25">
      <c r="A187" s="535">
        <v>16032024</v>
      </c>
      <c r="B187" s="504" t="s">
        <v>1720</v>
      </c>
      <c r="C187" s="498" t="s">
        <v>13</v>
      </c>
      <c r="D187" s="499">
        <v>45367</v>
      </c>
      <c r="F187" s="498" t="s">
        <v>545</v>
      </c>
      <c r="H187" s="498" t="s">
        <v>279</v>
      </c>
      <c r="K187" s="500">
        <v>34456</v>
      </c>
      <c r="L187" s="506"/>
      <c r="T187" s="507" t="s">
        <v>1042</v>
      </c>
      <c r="U187" s="502">
        <v>0.68888888888888899</v>
      </c>
      <c r="V187" s="502">
        <v>0.85138888888888886</v>
      </c>
    </row>
    <row r="188" spans="1:22" s="418" customFormat="1" x14ac:dyDescent="0.25">
      <c r="A188" s="601">
        <v>17032024</v>
      </c>
      <c r="B188" s="418" t="s">
        <v>930</v>
      </c>
      <c r="C188" s="420" t="s">
        <v>410</v>
      </c>
      <c r="D188" s="602">
        <v>45368</v>
      </c>
      <c r="F188" s="420" t="s">
        <v>294</v>
      </c>
      <c r="H188" s="420" t="s">
        <v>279</v>
      </c>
      <c r="K188" s="603">
        <v>33182</v>
      </c>
      <c r="L188" s="422"/>
      <c r="T188" s="423" t="s">
        <v>922</v>
      </c>
      <c r="U188" s="604">
        <v>0.29444444444444445</v>
      </c>
      <c r="V188" s="604">
        <v>0.46736111111111112</v>
      </c>
    </row>
    <row r="189" spans="1:22" s="33" customFormat="1" x14ac:dyDescent="0.25">
      <c r="A189" s="544">
        <v>17032024</v>
      </c>
      <c r="B189" s="33" t="s">
        <v>614</v>
      </c>
      <c r="C189" s="306" t="s">
        <v>13</v>
      </c>
      <c r="D189" s="548">
        <v>45368</v>
      </c>
      <c r="F189" s="306" t="s">
        <v>1985</v>
      </c>
      <c r="H189" s="306" t="s">
        <v>279</v>
      </c>
      <c r="K189" s="549">
        <v>62304</v>
      </c>
      <c r="L189" s="279"/>
      <c r="T189" s="280" t="s">
        <v>1506</v>
      </c>
      <c r="U189" s="550">
        <v>0.30555555555555552</v>
      </c>
      <c r="V189" s="550">
        <v>0.66041666666666665</v>
      </c>
    </row>
    <row r="190" spans="1:22" s="504" customFormat="1" x14ac:dyDescent="0.25">
      <c r="A190" s="535">
        <v>17032024</v>
      </c>
      <c r="B190" s="504" t="s">
        <v>3890</v>
      </c>
      <c r="C190" s="498" t="s">
        <v>410</v>
      </c>
      <c r="D190" s="499">
        <v>45368</v>
      </c>
      <c r="E190" s="504" t="s">
        <v>3891</v>
      </c>
      <c r="F190" s="498" t="s">
        <v>545</v>
      </c>
      <c r="H190" s="498" t="s">
        <v>279</v>
      </c>
      <c r="K190" s="500">
        <v>33458.199999999997</v>
      </c>
      <c r="L190" s="506"/>
      <c r="T190" s="507" t="s">
        <v>922</v>
      </c>
      <c r="U190" s="502">
        <v>0.51527777777777783</v>
      </c>
      <c r="V190" s="502">
        <v>0.67569444444444438</v>
      </c>
    </row>
    <row r="191" spans="1:22" s="504" customFormat="1" x14ac:dyDescent="0.25">
      <c r="A191" s="535">
        <v>17032024</v>
      </c>
      <c r="B191" s="504" t="s">
        <v>3880</v>
      </c>
      <c r="C191" s="498" t="s">
        <v>13</v>
      </c>
      <c r="D191" s="499">
        <v>45368</v>
      </c>
      <c r="F191" s="498" t="s">
        <v>545</v>
      </c>
      <c r="H191" s="498" t="s">
        <v>279</v>
      </c>
      <c r="K191" s="500">
        <v>32284.799999999999</v>
      </c>
      <c r="L191" s="506"/>
      <c r="T191" s="507" t="s">
        <v>3879</v>
      </c>
      <c r="U191" s="502">
        <v>18.440000000000001</v>
      </c>
      <c r="V191" s="502">
        <v>0.97916666666666663</v>
      </c>
    </row>
    <row r="192" spans="1:22" s="504" customFormat="1" x14ac:dyDescent="0.25">
      <c r="A192" s="535">
        <v>18032024</v>
      </c>
      <c r="B192" s="504" t="s">
        <v>3880</v>
      </c>
      <c r="C192" s="498" t="s">
        <v>13</v>
      </c>
      <c r="D192" s="499">
        <v>45369</v>
      </c>
      <c r="F192" s="498" t="s">
        <v>545</v>
      </c>
      <c r="H192" s="498" t="s">
        <v>279</v>
      </c>
      <c r="K192" s="500">
        <v>32284.799999999999</v>
      </c>
      <c r="L192" s="506"/>
      <c r="T192" s="507" t="s">
        <v>3879</v>
      </c>
      <c r="U192" s="502">
        <v>2.6388888888888889E-2</v>
      </c>
      <c r="V192" s="502">
        <v>0.20347222222222219</v>
      </c>
    </row>
    <row r="193" spans="1:22" s="120" customFormat="1" x14ac:dyDescent="0.25">
      <c r="A193" s="571">
        <v>18032024</v>
      </c>
      <c r="B193" s="120" t="s">
        <v>3276</v>
      </c>
      <c r="C193" s="334" t="s">
        <v>13</v>
      </c>
      <c r="D193" s="427">
        <v>45369</v>
      </c>
      <c r="F193" s="334" t="s">
        <v>872</v>
      </c>
      <c r="H193" s="334" t="s">
        <v>279</v>
      </c>
      <c r="K193" s="596">
        <v>39600</v>
      </c>
      <c r="L193" s="150"/>
      <c r="T193" s="336" t="s">
        <v>2037</v>
      </c>
      <c r="U193" s="597">
        <v>0.37152777777777773</v>
      </c>
      <c r="V193" s="597">
        <v>0.59513888888888888</v>
      </c>
    </row>
    <row r="194" spans="1:22" s="418" customFormat="1" x14ac:dyDescent="0.25">
      <c r="A194" s="601">
        <v>18032024</v>
      </c>
      <c r="B194" s="418" t="s">
        <v>930</v>
      </c>
      <c r="C194" s="420" t="s">
        <v>13</v>
      </c>
      <c r="D194" s="602">
        <v>45369</v>
      </c>
      <c r="F194" s="420" t="s">
        <v>294</v>
      </c>
      <c r="H194" s="420" t="s">
        <v>279</v>
      </c>
      <c r="K194" s="603">
        <v>33182</v>
      </c>
      <c r="L194" s="422"/>
      <c r="T194" s="423" t="s">
        <v>922</v>
      </c>
      <c r="U194" s="604">
        <v>0.67708333333333337</v>
      </c>
      <c r="V194" s="604">
        <v>0.85902777777777783</v>
      </c>
    </row>
    <row r="195" spans="1:22" s="504" customFormat="1" x14ac:dyDescent="0.25">
      <c r="A195" s="535">
        <v>18032024</v>
      </c>
      <c r="B195" s="504" t="s">
        <v>1720</v>
      </c>
      <c r="C195" s="498" t="s">
        <v>410</v>
      </c>
      <c r="D195" s="499">
        <v>45369</v>
      </c>
      <c r="F195" s="498" t="s">
        <v>545</v>
      </c>
      <c r="H195" s="498" t="s">
        <v>279</v>
      </c>
      <c r="K195" s="500">
        <v>34456</v>
      </c>
      <c r="L195" s="506"/>
      <c r="T195" s="507" t="s">
        <v>2037</v>
      </c>
      <c r="U195" s="502">
        <v>0.61875000000000002</v>
      </c>
      <c r="V195" s="502">
        <v>0.86944444444444446</v>
      </c>
    </row>
    <row r="196" spans="1:22" s="504" customFormat="1" x14ac:dyDescent="0.25">
      <c r="A196" s="535">
        <v>19032024</v>
      </c>
      <c r="B196" s="504" t="s">
        <v>1720</v>
      </c>
      <c r="C196" s="498" t="s">
        <v>13</v>
      </c>
      <c r="D196" s="499">
        <v>45370</v>
      </c>
      <c r="F196" s="498" t="s">
        <v>545</v>
      </c>
      <c r="H196" s="498" t="s">
        <v>277</v>
      </c>
      <c r="K196" s="500">
        <v>25016</v>
      </c>
      <c r="L196" s="506"/>
      <c r="T196" s="507" t="s">
        <v>3463</v>
      </c>
      <c r="U196" s="502">
        <v>0.64861111111111114</v>
      </c>
      <c r="V196" s="502">
        <v>0.99236111111111114</v>
      </c>
    </row>
    <row r="197" spans="1:22" s="33" customFormat="1" x14ac:dyDescent="0.25">
      <c r="A197" s="544">
        <v>19032024</v>
      </c>
      <c r="B197" s="33" t="s">
        <v>614</v>
      </c>
      <c r="C197" s="306" t="s">
        <v>410</v>
      </c>
      <c r="D197" s="548">
        <v>45370</v>
      </c>
      <c r="F197" s="306" t="s">
        <v>143</v>
      </c>
      <c r="H197" s="306" t="s">
        <v>279</v>
      </c>
      <c r="K197" s="549">
        <v>43612.800000000003</v>
      </c>
      <c r="L197" s="279"/>
      <c r="T197" s="280" t="s">
        <v>2380</v>
      </c>
      <c r="U197" s="432">
        <v>18.04</v>
      </c>
      <c r="V197" s="550">
        <v>0.99236111111111114</v>
      </c>
    </row>
    <row r="198" spans="1:22" s="33" customFormat="1" x14ac:dyDescent="0.25">
      <c r="A198" s="544">
        <v>19032024</v>
      </c>
      <c r="B198" s="33" t="s">
        <v>614</v>
      </c>
      <c r="C198" s="306" t="s">
        <v>13</v>
      </c>
      <c r="D198" s="548">
        <v>45370</v>
      </c>
      <c r="F198" s="306" t="s">
        <v>285</v>
      </c>
      <c r="H198" s="306" t="s">
        <v>279</v>
      </c>
      <c r="K198" s="549">
        <v>51920</v>
      </c>
      <c r="L198" s="279"/>
      <c r="T198" s="280" t="s">
        <v>3463</v>
      </c>
      <c r="U198" s="550">
        <v>0.87430555555555556</v>
      </c>
      <c r="V198" s="550">
        <v>0.58819444444444446</v>
      </c>
    </row>
    <row r="199" spans="1:22" s="120" customFormat="1" x14ac:dyDescent="0.25">
      <c r="A199" s="571">
        <v>20032024</v>
      </c>
      <c r="B199" s="120" t="s">
        <v>3276</v>
      </c>
      <c r="C199" s="334" t="s">
        <v>13</v>
      </c>
      <c r="D199" s="427">
        <v>45371</v>
      </c>
      <c r="F199" s="334" t="s">
        <v>872</v>
      </c>
      <c r="H199" s="334" t="s">
        <v>279</v>
      </c>
      <c r="K199" s="596">
        <v>39600</v>
      </c>
      <c r="L199" s="150"/>
      <c r="T199" s="336" t="s">
        <v>1042</v>
      </c>
      <c r="U199" s="597">
        <v>0.33194444444444443</v>
      </c>
      <c r="V199" s="597">
        <v>0.55625000000000002</v>
      </c>
    </row>
    <row r="200" spans="1:22" s="504" customFormat="1" x14ac:dyDescent="0.25">
      <c r="A200" s="535">
        <v>20032024</v>
      </c>
      <c r="B200" s="504" t="s">
        <v>572</v>
      </c>
      <c r="C200" s="498" t="s">
        <v>809</v>
      </c>
      <c r="D200" s="499">
        <v>45371</v>
      </c>
      <c r="F200" s="498" t="s">
        <v>425</v>
      </c>
      <c r="H200" s="498" t="s">
        <v>277</v>
      </c>
      <c r="K200" s="500"/>
      <c r="L200" s="506">
        <v>5782</v>
      </c>
      <c r="T200" s="507" t="s">
        <v>3889</v>
      </c>
      <c r="U200" s="502">
        <v>0.47222222222222227</v>
      </c>
      <c r="V200" s="502">
        <v>0.62083333333333335</v>
      </c>
    </row>
    <row r="201" spans="1:22" s="504" customFormat="1" x14ac:dyDescent="0.25">
      <c r="A201" s="535">
        <v>20032024</v>
      </c>
      <c r="B201" s="504" t="s">
        <v>1720</v>
      </c>
      <c r="C201" s="498" t="s">
        <v>13</v>
      </c>
      <c r="D201" s="499">
        <v>45371</v>
      </c>
      <c r="F201" s="498" t="s">
        <v>545</v>
      </c>
      <c r="H201" s="498" t="s">
        <v>277</v>
      </c>
      <c r="K201" s="500">
        <v>25016</v>
      </c>
      <c r="L201" s="506"/>
      <c r="T201" s="507" t="s">
        <v>1042</v>
      </c>
      <c r="U201" s="502">
        <v>0.61597222222222225</v>
      </c>
      <c r="V201" s="502">
        <v>0.73541666666666661</v>
      </c>
    </row>
    <row r="202" spans="1:22" s="418" customFormat="1" x14ac:dyDescent="0.25">
      <c r="A202" s="601">
        <v>21032024</v>
      </c>
      <c r="B202" s="418" t="s">
        <v>930</v>
      </c>
      <c r="C202" s="420" t="s">
        <v>410</v>
      </c>
      <c r="D202" s="602">
        <v>45372</v>
      </c>
      <c r="F202" s="420" t="s">
        <v>294</v>
      </c>
      <c r="H202" s="420" t="s">
        <v>279</v>
      </c>
      <c r="K202" s="603">
        <v>33182</v>
      </c>
      <c r="L202" s="422"/>
      <c r="T202" s="423" t="s">
        <v>1506</v>
      </c>
      <c r="U202" s="604">
        <v>0.29583333333333334</v>
      </c>
      <c r="V202" s="604">
        <v>0.4770833333333333</v>
      </c>
    </row>
    <row r="203" spans="1:22" s="504" customFormat="1" x14ac:dyDescent="0.25">
      <c r="A203" s="535">
        <v>21032024</v>
      </c>
      <c r="B203" s="504" t="s">
        <v>612</v>
      </c>
      <c r="C203" s="498" t="s">
        <v>410</v>
      </c>
      <c r="D203" s="499">
        <v>45372</v>
      </c>
      <c r="F203" s="498" t="s">
        <v>113</v>
      </c>
      <c r="H203" s="498" t="s">
        <v>279</v>
      </c>
      <c r="K203" s="500">
        <v>38500</v>
      </c>
      <c r="L203" s="506"/>
      <c r="T203" s="507" t="s">
        <v>2380</v>
      </c>
      <c r="U203" s="502">
        <v>0.3972222222222222</v>
      </c>
      <c r="V203" s="502">
        <v>0.6020833333333333</v>
      </c>
    </row>
    <row r="204" spans="1:22" s="33" customFormat="1" x14ac:dyDescent="0.25">
      <c r="A204" s="544">
        <v>21032024</v>
      </c>
      <c r="B204" s="33" t="s">
        <v>614</v>
      </c>
      <c r="C204" s="306" t="s">
        <v>13</v>
      </c>
      <c r="D204" s="548">
        <v>45372</v>
      </c>
      <c r="F204" s="306" t="s">
        <v>236</v>
      </c>
      <c r="H204" s="306" t="s">
        <v>279</v>
      </c>
      <c r="K204" s="549">
        <v>62304</v>
      </c>
      <c r="L204" s="279"/>
      <c r="T204" s="280" t="s">
        <v>1042</v>
      </c>
      <c r="U204" s="550">
        <v>0.80555555555555547</v>
      </c>
      <c r="V204" s="550">
        <v>2.013888888888889E-2</v>
      </c>
    </row>
    <row r="205" spans="1:22" s="504" customFormat="1" x14ac:dyDescent="0.25">
      <c r="A205" s="535">
        <v>22032024</v>
      </c>
      <c r="B205" s="504" t="s">
        <v>596</v>
      </c>
      <c r="C205" s="498" t="s">
        <v>13</v>
      </c>
      <c r="D205" s="499">
        <v>45373</v>
      </c>
      <c r="F205" s="498" t="s">
        <v>236</v>
      </c>
      <c r="H205" s="498" t="s">
        <v>279</v>
      </c>
      <c r="K205" s="500">
        <v>59472</v>
      </c>
      <c r="L205" s="506"/>
      <c r="T205" s="507" t="s">
        <v>1506</v>
      </c>
      <c r="U205" s="502">
        <v>0.2673611111111111</v>
      </c>
      <c r="V205" s="502">
        <v>0.5708333333333333</v>
      </c>
    </row>
    <row r="206" spans="1:22" s="33" customFormat="1" x14ac:dyDescent="0.25">
      <c r="A206" s="544">
        <v>23032024</v>
      </c>
      <c r="B206" s="33" t="s">
        <v>614</v>
      </c>
      <c r="C206" s="306" t="s">
        <v>13</v>
      </c>
      <c r="D206" s="548">
        <v>45374</v>
      </c>
      <c r="F206" s="306" t="s">
        <v>113</v>
      </c>
      <c r="H206" s="306" t="s">
        <v>279</v>
      </c>
      <c r="K206" s="549">
        <v>44651.199999999997</v>
      </c>
      <c r="L206" s="279"/>
      <c r="T206" s="280" t="s">
        <v>3879</v>
      </c>
      <c r="U206" s="550">
        <v>0.34166666666666662</v>
      </c>
      <c r="V206" s="550">
        <v>0.5444444444444444</v>
      </c>
    </row>
    <row r="207" spans="1:22" s="33" customFormat="1" x14ac:dyDescent="0.25">
      <c r="A207" s="544">
        <v>23032024</v>
      </c>
      <c r="B207" s="33" t="s">
        <v>3951</v>
      </c>
      <c r="C207" s="306" t="s">
        <v>13</v>
      </c>
      <c r="D207" s="548">
        <v>45374</v>
      </c>
      <c r="F207" s="306" t="s">
        <v>143</v>
      </c>
      <c r="H207" s="306" t="s">
        <v>279</v>
      </c>
      <c r="K207" s="549">
        <v>39200</v>
      </c>
      <c r="L207" s="279"/>
      <c r="T207" s="280" t="s">
        <v>2380</v>
      </c>
      <c r="U207" s="550">
        <v>0.68263888888888891</v>
      </c>
      <c r="V207" s="550">
        <v>0.86041666666666661</v>
      </c>
    </row>
    <row r="208" spans="1:22" s="120" customFormat="1" x14ac:dyDescent="0.25">
      <c r="A208" s="571">
        <v>24032024</v>
      </c>
      <c r="B208" s="120" t="s">
        <v>3918</v>
      </c>
      <c r="C208" s="334" t="s">
        <v>13</v>
      </c>
      <c r="D208" s="427">
        <v>45375</v>
      </c>
      <c r="F208" s="334" t="s">
        <v>106</v>
      </c>
      <c r="H208" s="334" t="s">
        <v>279</v>
      </c>
      <c r="K208" s="596">
        <v>29770</v>
      </c>
      <c r="L208" s="150"/>
      <c r="T208" s="336" t="s">
        <v>1506</v>
      </c>
      <c r="U208" s="597">
        <v>0.56944444444444442</v>
      </c>
      <c r="V208" s="597">
        <v>0.34166666666666662</v>
      </c>
    </row>
    <row r="209" spans="1:22" s="33" customFormat="1" x14ac:dyDescent="0.25">
      <c r="A209" s="544">
        <v>24032024</v>
      </c>
      <c r="B209" s="33" t="s">
        <v>614</v>
      </c>
      <c r="C209" s="306" t="s">
        <v>410</v>
      </c>
      <c r="D209" s="548">
        <v>45375</v>
      </c>
      <c r="F209" s="306" t="s">
        <v>143</v>
      </c>
      <c r="H209" s="306" t="s">
        <v>279</v>
      </c>
      <c r="K209" s="549">
        <v>43612.800000000003</v>
      </c>
      <c r="L209" s="279"/>
      <c r="T209" s="280" t="s">
        <v>1042</v>
      </c>
      <c r="U209" s="550">
        <v>0.62777777777777777</v>
      </c>
      <c r="V209" s="550">
        <v>0.84097222222222223</v>
      </c>
    </row>
    <row r="210" spans="1:22" s="504" customFormat="1" x14ac:dyDescent="0.25">
      <c r="A210" s="535">
        <v>24032024</v>
      </c>
      <c r="B210" s="504" t="s">
        <v>596</v>
      </c>
      <c r="C210" s="498" t="s">
        <v>410</v>
      </c>
      <c r="D210" s="499">
        <v>45375</v>
      </c>
      <c r="F210" s="498" t="s">
        <v>236</v>
      </c>
      <c r="H210" s="498" t="s">
        <v>279</v>
      </c>
      <c r="K210" s="500">
        <v>59472</v>
      </c>
      <c r="L210" s="506"/>
      <c r="T210" s="507" t="s">
        <v>2380</v>
      </c>
      <c r="U210" s="502">
        <v>0.88750000000000007</v>
      </c>
      <c r="V210" s="502">
        <v>0.17430555555555557</v>
      </c>
    </row>
    <row r="211" spans="1:22" s="504" customFormat="1" x14ac:dyDescent="0.25">
      <c r="A211" s="535">
        <v>25032024</v>
      </c>
      <c r="B211" s="504" t="s">
        <v>596</v>
      </c>
      <c r="C211" s="498" t="s">
        <v>410</v>
      </c>
      <c r="D211" s="499">
        <v>45375</v>
      </c>
      <c r="F211" s="498" t="s">
        <v>236</v>
      </c>
      <c r="H211" s="498" t="s">
        <v>279</v>
      </c>
      <c r="K211" s="500">
        <v>59472</v>
      </c>
      <c r="L211" s="506"/>
      <c r="T211" s="507" t="s">
        <v>1042</v>
      </c>
      <c r="U211" s="502">
        <v>0.26527777777777778</v>
      </c>
      <c r="V211" s="502">
        <v>0.54305555555555551</v>
      </c>
    </row>
    <row r="212" spans="1:22" s="33" customFormat="1" x14ac:dyDescent="0.25">
      <c r="A212" s="544">
        <v>25032024</v>
      </c>
      <c r="B212" s="33" t="s">
        <v>614</v>
      </c>
      <c r="C212" s="306" t="s">
        <v>410</v>
      </c>
      <c r="D212" s="548">
        <v>45376</v>
      </c>
      <c r="F212" s="306" t="s">
        <v>3924</v>
      </c>
      <c r="H212" s="306" t="s">
        <v>279</v>
      </c>
      <c r="K212" s="549">
        <v>26998.400000000001</v>
      </c>
      <c r="L212" s="279"/>
      <c r="T212" s="280" t="s">
        <v>1042</v>
      </c>
      <c r="U212" s="550">
        <v>0.60069444444444442</v>
      </c>
      <c r="V212" s="550">
        <v>0.72222222222222221</v>
      </c>
    </row>
    <row r="213" spans="1:22" s="418" customFormat="1" x14ac:dyDescent="0.25">
      <c r="A213" s="601">
        <v>25032024</v>
      </c>
      <c r="B213" s="418" t="s">
        <v>1303</v>
      </c>
      <c r="C213" s="420" t="s">
        <v>13</v>
      </c>
      <c r="D213" s="602">
        <v>45376</v>
      </c>
      <c r="F213" s="420" t="s">
        <v>2253</v>
      </c>
      <c r="H213" s="420" t="s">
        <v>279</v>
      </c>
      <c r="K213" s="603">
        <f>55224+3600</f>
        <v>58824</v>
      </c>
      <c r="L213" s="422"/>
      <c r="T213" s="423" t="s">
        <v>3879</v>
      </c>
      <c r="U213" s="604">
        <v>0.44513888888888892</v>
      </c>
      <c r="V213" s="604">
        <v>0.7715277777777777</v>
      </c>
    </row>
    <row r="214" spans="1:22" s="504" customFormat="1" x14ac:dyDescent="0.25">
      <c r="A214" s="535">
        <v>26032024</v>
      </c>
      <c r="B214" s="504" t="s">
        <v>596</v>
      </c>
      <c r="C214" s="498" t="s">
        <v>13</v>
      </c>
      <c r="D214" s="499">
        <v>45377</v>
      </c>
      <c r="F214" s="498" t="s">
        <v>236</v>
      </c>
      <c r="H214" s="498" t="s">
        <v>279</v>
      </c>
      <c r="K214" s="500">
        <v>59472</v>
      </c>
      <c r="L214" s="506"/>
      <c r="T214" s="507" t="s">
        <v>2037</v>
      </c>
      <c r="U214" s="502">
        <v>0.26111111111111113</v>
      </c>
      <c r="V214" s="502">
        <v>0.56736111111111109</v>
      </c>
    </row>
    <row r="215" spans="1:22" s="120" customFormat="1" x14ac:dyDescent="0.25">
      <c r="A215" s="571">
        <v>26032024</v>
      </c>
      <c r="B215" s="120" t="s">
        <v>3927</v>
      </c>
      <c r="C215" s="334" t="s">
        <v>13</v>
      </c>
      <c r="D215" s="427">
        <v>45377</v>
      </c>
      <c r="F215" s="334" t="s">
        <v>68</v>
      </c>
      <c r="H215" s="334" t="s">
        <v>279</v>
      </c>
      <c r="K215" s="596">
        <v>42399</v>
      </c>
      <c r="L215" s="150"/>
      <c r="T215" s="336" t="s">
        <v>1506</v>
      </c>
      <c r="U215" s="597">
        <v>0.63611111111111118</v>
      </c>
      <c r="V215" s="597">
        <v>0.48194444444444445</v>
      </c>
    </row>
    <row r="216" spans="1:22" s="418" customFormat="1" x14ac:dyDescent="0.25">
      <c r="A216" s="601">
        <v>27032024</v>
      </c>
      <c r="B216" s="418" t="s">
        <v>930</v>
      </c>
      <c r="C216" s="420" t="s">
        <v>3932</v>
      </c>
      <c r="D216" s="602">
        <v>45378</v>
      </c>
      <c r="F216" s="420" t="s">
        <v>294</v>
      </c>
      <c r="H216" s="420" t="s">
        <v>277</v>
      </c>
      <c r="K216" s="603">
        <v>24886</v>
      </c>
      <c r="L216" s="422"/>
      <c r="T216" s="423"/>
      <c r="U216" s="604"/>
      <c r="V216" s="604"/>
    </row>
    <row r="217" spans="1:22" s="33" customFormat="1" x14ac:dyDescent="0.25">
      <c r="A217" s="544">
        <v>28032024</v>
      </c>
      <c r="B217" s="33" t="s">
        <v>610</v>
      </c>
      <c r="C217" s="306" t="s">
        <v>13</v>
      </c>
      <c r="D217" s="548">
        <v>45379</v>
      </c>
      <c r="F217" s="306" t="s">
        <v>106</v>
      </c>
      <c r="H217" s="306" t="s">
        <v>279</v>
      </c>
      <c r="K217" s="549">
        <v>29770</v>
      </c>
      <c r="L217" s="279"/>
      <c r="T217" s="280" t="s">
        <v>922</v>
      </c>
      <c r="U217" s="550">
        <v>0.54097222222222219</v>
      </c>
      <c r="V217" s="550">
        <v>0.70138888888888884</v>
      </c>
    </row>
    <row r="218" spans="1:22" s="33" customFormat="1" x14ac:dyDescent="0.25">
      <c r="A218" s="544">
        <v>29032024</v>
      </c>
      <c r="B218" s="33" t="s">
        <v>614</v>
      </c>
      <c r="C218" s="306" t="s">
        <v>13</v>
      </c>
      <c r="D218" s="548">
        <v>45380</v>
      </c>
      <c r="F218" s="306" t="s">
        <v>68</v>
      </c>
      <c r="H218" s="306" t="s">
        <v>279</v>
      </c>
      <c r="K218" s="549">
        <v>49843.199999999997</v>
      </c>
      <c r="L218" s="279"/>
      <c r="T218" s="280" t="s">
        <v>2050</v>
      </c>
      <c r="U218" s="550">
        <v>0.4597222222222222</v>
      </c>
      <c r="V218" s="550">
        <v>0.72152777777777777</v>
      </c>
    </row>
    <row r="219" spans="1:22" s="418" customFormat="1" x14ac:dyDescent="0.25">
      <c r="A219" s="601">
        <v>29032024</v>
      </c>
      <c r="B219" s="418" t="s">
        <v>3244</v>
      </c>
      <c r="C219" s="420" t="s">
        <v>410</v>
      </c>
      <c r="D219" s="602">
        <v>45380</v>
      </c>
      <c r="F219" s="420" t="s">
        <v>106</v>
      </c>
      <c r="H219" s="420" t="s">
        <v>279</v>
      </c>
      <c r="K219" s="603">
        <v>26567</v>
      </c>
      <c r="L219" s="422"/>
      <c r="T219" s="423" t="s">
        <v>3935</v>
      </c>
      <c r="U219" s="604">
        <v>0.46458333333333335</v>
      </c>
      <c r="V219" s="604">
        <v>0.62777777777777777</v>
      </c>
    </row>
    <row r="220" spans="1:22" s="33" customFormat="1" x14ac:dyDescent="0.25">
      <c r="A220" s="544">
        <v>30032024</v>
      </c>
      <c r="B220" s="33" t="s">
        <v>607</v>
      </c>
      <c r="C220" s="306" t="s">
        <v>410</v>
      </c>
      <c r="D220" s="548">
        <v>45381</v>
      </c>
      <c r="F220" s="306" t="s">
        <v>207</v>
      </c>
      <c r="H220" s="306" t="s">
        <v>279</v>
      </c>
      <c r="K220" s="549">
        <v>36253.1</v>
      </c>
      <c r="L220" s="279"/>
      <c r="T220" s="280" t="s">
        <v>3936</v>
      </c>
      <c r="U220" s="550">
        <v>0.27569444444444446</v>
      </c>
      <c r="V220" s="550">
        <v>0.47291666666666665</v>
      </c>
    </row>
    <row r="221" spans="1:22" s="33" customFormat="1" x14ac:dyDescent="0.25">
      <c r="A221" s="544">
        <v>30032024</v>
      </c>
      <c r="B221" s="33" t="s">
        <v>607</v>
      </c>
      <c r="C221" s="306" t="s">
        <v>13</v>
      </c>
      <c r="D221" s="548">
        <v>45381</v>
      </c>
      <c r="F221" s="306" t="s">
        <v>207</v>
      </c>
      <c r="H221" s="306" t="s">
        <v>279</v>
      </c>
      <c r="K221" s="549">
        <v>36253.1</v>
      </c>
      <c r="L221" s="279"/>
      <c r="T221" s="280" t="s">
        <v>3408</v>
      </c>
      <c r="U221" s="550">
        <v>0.26944444444444443</v>
      </c>
      <c r="V221" s="550">
        <v>0.47847222222222219</v>
      </c>
    </row>
    <row r="222" spans="1:22" s="418" customFormat="1" x14ac:dyDescent="0.25">
      <c r="A222" s="601">
        <v>31032024</v>
      </c>
      <c r="B222" s="418" t="s">
        <v>1303</v>
      </c>
      <c r="C222" s="420" t="s">
        <v>13</v>
      </c>
      <c r="D222" s="602">
        <v>45382</v>
      </c>
      <c r="F222" s="420" t="s">
        <v>2253</v>
      </c>
      <c r="H222" s="420" t="s">
        <v>279</v>
      </c>
      <c r="K222" s="603">
        <f>55224+3600</f>
        <v>58824</v>
      </c>
      <c r="L222" s="422"/>
      <c r="T222" s="423" t="s">
        <v>1506</v>
      </c>
      <c r="U222" s="604">
        <v>0.38194444444444442</v>
      </c>
      <c r="V222" s="604">
        <v>0.82916666666666661</v>
      </c>
    </row>
    <row r="223" spans="1:22" x14ac:dyDescent="0.25">
      <c r="A223" s="509"/>
      <c r="D223" s="233"/>
      <c r="K223" s="251"/>
      <c r="L223" s="88"/>
      <c r="T223" s="14"/>
      <c r="U223" s="360"/>
      <c r="V223" s="360"/>
    </row>
    <row r="224" spans="1:22" x14ac:dyDescent="0.25">
      <c r="A224" s="509"/>
      <c r="D224" s="233"/>
      <c r="K224" s="251"/>
      <c r="L224" s="88"/>
      <c r="M224" s="32">
        <f>678322.6/1.18</f>
        <v>574849.66101694922</v>
      </c>
      <c r="T224" s="14"/>
      <c r="U224" s="360"/>
      <c r="V224" s="360"/>
    </row>
    <row r="225" spans="1:22" x14ac:dyDescent="0.25">
      <c r="A225" s="509"/>
      <c r="D225" s="233"/>
      <c r="K225" s="425">
        <f>SUM(K153:K224)</f>
        <v>2666287.5400000005</v>
      </c>
      <c r="L225" s="425">
        <f>SUM(L153:L224)</f>
        <v>5782</v>
      </c>
      <c r="N225" s="149"/>
      <c r="T225" s="14"/>
      <c r="U225" s="360"/>
      <c r="V225" s="360"/>
    </row>
    <row r="226" spans="1:22" x14ac:dyDescent="0.25">
      <c r="A226" s="509"/>
      <c r="D226" s="233"/>
      <c r="K226" s="251"/>
      <c r="L226" s="251"/>
      <c r="T226" s="14"/>
      <c r="U226" s="360"/>
      <c r="V226" s="360"/>
    </row>
    <row r="227" spans="1:22" x14ac:dyDescent="0.25">
      <c r="A227" s="509"/>
      <c r="D227" s="233"/>
      <c r="K227" s="251"/>
      <c r="L227" s="251"/>
      <c r="T227" s="14"/>
      <c r="U227" s="360"/>
      <c r="V227" s="360"/>
    </row>
    <row r="228" spans="1:22" s="504" customFormat="1" x14ac:dyDescent="0.25">
      <c r="A228" s="535" t="s">
        <v>3957</v>
      </c>
      <c r="B228" s="504" t="s">
        <v>3956</v>
      </c>
      <c r="C228" s="498" t="s">
        <v>13</v>
      </c>
      <c r="D228" s="499">
        <v>45384</v>
      </c>
      <c r="F228" s="498" t="s">
        <v>3924</v>
      </c>
      <c r="H228" s="498" t="s">
        <v>279</v>
      </c>
      <c r="K228" s="500"/>
      <c r="L228" s="500">
        <v>7686</v>
      </c>
      <c r="T228" s="507" t="s">
        <v>3572</v>
      </c>
      <c r="U228" s="502">
        <v>0.49374999999999997</v>
      </c>
      <c r="V228" s="502">
        <v>0.71111111111111114</v>
      </c>
    </row>
    <row r="229" spans="1:22" s="504" customFormat="1" x14ac:dyDescent="0.25">
      <c r="A229" s="535" t="s">
        <v>3957</v>
      </c>
      <c r="B229" s="504" t="s">
        <v>1335</v>
      </c>
      <c r="C229" s="498" t="s">
        <v>410</v>
      </c>
      <c r="D229" s="499">
        <v>45384</v>
      </c>
      <c r="F229" s="498" t="s">
        <v>236</v>
      </c>
      <c r="H229" s="498" t="s">
        <v>279</v>
      </c>
      <c r="K229" s="500">
        <v>62540</v>
      </c>
      <c r="L229" s="500"/>
      <c r="T229" s="507" t="s">
        <v>795</v>
      </c>
      <c r="U229" s="502">
        <v>0.57361111111111118</v>
      </c>
      <c r="V229" s="502">
        <v>0.87361111111111101</v>
      </c>
    </row>
    <row r="230" spans="1:22" s="504" customFormat="1" x14ac:dyDescent="0.25">
      <c r="A230" s="535" t="s">
        <v>3957</v>
      </c>
      <c r="B230" s="504" t="s">
        <v>1720</v>
      </c>
      <c r="C230" s="498" t="s">
        <v>13</v>
      </c>
      <c r="D230" s="499">
        <v>45384</v>
      </c>
      <c r="F230" s="498" t="s">
        <v>545</v>
      </c>
      <c r="H230" s="498" t="s">
        <v>277</v>
      </c>
      <c r="K230" s="500">
        <v>25016</v>
      </c>
      <c r="L230" s="500"/>
      <c r="T230" s="507" t="s">
        <v>3572</v>
      </c>
      <c r="U230" s="502">
        <v>0.76944444444444438</v>
      </c>
      <c r="V230" s="502">
        <v>0.93055555555555547</v>
      </c>
    </row>
    <row r="231" spans="1:22" s="504" customFormat="1" x14ac:dyDescent="0.25">
      <c r="A231" s="535" t="s">
        <v>3972</v>
      </c>
      <c r="B231" s="504" t="s">
        <v>1720</v>
      </c>
      <c r="C231" s="498" t="s">
        <v>13</v>
      </c>
      <c r="D231" s="499">
        <v>45385</v>
      </c>
      <c r="F231" s="498" t="s">
        <v>545</v>
      </c>
      <c r="H231" s="498" t="s">
        <v>279</v>
      </c>
      <c r="K231" s="500">
        <v>34456</v>
      </c>
      <c r="L231" s="500"/>
      <c r="T231" s="507" t="s">
        <v>1644</v>
      </c>
      <c r="U231" s="502">
        <v>0.94791666666666663</v>
      </c>
      <c r="V231" s="502">
        <v>0.12638888888888888</v>
      </c>
    </row>
    <row r="232" spans="1:22" s="504" customFormat="1" x14ac:dyDescent="0.25">
      <c r="A232" s="535" t="s">
        <v>3973</v>
      </c>
      <c r="B232" s="504" t="s">
        <v>614</v>
      </c>
      <c r="C232" s="498" t="s">
        <v>410</v>
      </c>
      <c r="D232" s="499">
        <v>45386</v>
      </c>
      <c r="F232" s="498" t="s">
        <v>207</v>
      </c>
      <c r="H232" s="498" t="s">
        <v>279</v>
      </c>
      <c r="K232" s="500">
        <v>41536</v>
      </c>
      <c r="L232" s="500"/>
      <c r="T232" s="507" t="s">
        <v>3974</v>
      </c>
      <c r="U232" s="502">
        <v>0.27777777777777779</v>
      </c>
      <c r="V232" s="502">
        <v>0.4770833333333333</v>
      </c>
    </row>
    <row r="233" spans="1:22" s="504" customFormat="1" x14ac:dyDescent="0.25">
      <c r="A233" s="535" t="s">
        <v>3973</v>
      </c>
      <c r="B233" s="504" t="s">
        <v>1800</v>
      </c>
      <c r="C233" s="498" t="s">
        <v>13</v>
      </c>
      <c r="D233" s="499">
        <v>45386</v>
      </c>
      <c r="F233" s="498" t="s">
        <v>285</v>
      </c>
      <c r="H233" s="498" t="s">
        <v>279</v>
      </c>
      <c r="K233" s="500"/>
      <c r="L233" s="500">
        <v>11800</v>
      </c>
      <c r="T233" s="507" t="s">
        <v>3463</v>
      </c>
      <c r="U233" s="502">
        <v>0.3125</v>
      </c>
      <c r="V233" s="502">
        <v>0.61944444444444446</v>
      </c>
    </row>
    <row r="234" spans="1:22" s="504" customFormat="1" x14ac:dyDescent="0.25">
      <c r="A234" s="535" t="s">
        <v>3978</v>
      </c>
      <c r="B234" s="504" t="s">
        <v>1720</v>
      </c>
      <c r="C234" s="498" t="s">
        <v>809</v>
      </c>
      <c r="D234" s="499">
        <v>45387</v>
      </c>
      <c r="F234" s="498" t="s">
        <v>545</v>
      </c>
      <c r="H234" s="498" t="s">
        <v>277</v>
      </c>
      <c r="K234" s="500">
        <v>25016</v>
      </c>
      <c r="L234" s="500"/>
      <c r="T234" s="507" t="s">
        <v>1894</v>
      </c>
      <c r="U234" s="502">
        <v>0.64722222222222225</v>
      </c>
      <c r="V234" s="502">
        <v>0.70486111111111116</v>
      </c>
    </row>
    <row r="235" spans="1:22" s="33" customFormat="1" x14ac:dyDescent="0.25">
      <c r="A235" s="544" t="s">
        <v>3978</v>
      </c>
      <c r="B235" s="33" t="s">
        <v>3979</v>
      </c>
      <c r="C235" s="306" t="s">
        <v>13</v>
      </c>
      <c r="D235" s="548">
        <v>45387</v>
      </c>
      <c r="F235" s="306" t="s">
        <v>68</v>
      </c>
      <c r="H235" s="306" t="s">
        <v>279</v>
      </c>
      <c r="K235" s="549">
        <v>42399</v>
      </c>
      <c r="L235" s="549"/>
      <c r="T235" s="280" t="s">
        <v>1644</v>
      </c>
      <c r="U235" s="550">
        <v>0.71180555555555547</v>
      </c>
      <c r="V235" s="550">
        <v>7.7083333333333337E-2</v>
      </c>
    </row>
    <row r="236" spans="1:22" s="504" customFormat="1" x14ac:dyDescent="0.25">
      <c r="A236" s="535" t="s">
        <v>3983</v>
      </c>
      <c r="B236" s="504" t="s">
        <v>607</v>
      </c>
      <c r="C236" s="498" t="s">
        <v>13</v>
      </c>
      <c r="D236" s="499">
        <v>45389</v>
      </c>
      <c r="F236" s="498" t="s">
        <v>207</v>
      </c>
      <c r="H236" s="498" t="s">
        <v>279</v>
      </c>
      <c r="K236" s="500">
        <v>36253.4</v>
      </c>
      <c r="L236" s="500"/>
      <c r="T236" s="507" t="s">
        <v>3572</v>
      </c>
      <c r="U236" s="502">
        <v>0.26527777777777778</v>
      </c>
      <c r="V236" s="502">
        <v>0.45416666666666666</v>
      </c>
    </row>
    <row r="237" spans="1:22" s="504" customFormat="1" x14ac:dyDescent="0.25">
      <c r="A237" s="535" t="s">
        <v>3983</v>
      </c>
      <c r="B237" s="504" t="s">
        <v>614</v>
      </c>
      <c r="C237" s="498" t="s">
        <v>410</v>
      </c>
      <c r="D237" s="499">
        <v>45389</v>
      </c>
      <c r="F237" s="498" t="s">
        <v>317</v>
      </c>
      <c r="H237" s="498" t="s">
        <v>279</v>
      </c>
      <c r="K237" s="500">
        <v>53996.800000000003</v>
      </c>
      <c r="L237" s="500"/>
      <c r="T237" s="507" t="s">
        <v>922</v>
      </c>
      <c r="U237" s="502">
        <v>0.40416666666666662</v>
      </c>
      <c r="V237" s="502">
        <v>0.66041666666666665</v>
      </c>
    </row>
    <row r="238" spans="1:22" s="504" customFormat="1" x14ac:dyDescent="0.25">
      <c r="A238" s="535" t="s">
        <v>3984</v>
      </c>
      <c r="B238" s="504" t="s">
        <v>572</v>
      </c>
      <c r="C238" s="498" t="s">
        <v>13</v>
      </c>
      <c r="D238" s="499">
        <v>45390</v>
      </c>
      <c r="F238" s="498" t="s">
        <v>207</v>
      </c>
      <c r="H238" s="498" t="s">
        <v>277</v>
      </c>
      <c r="K238" s="500"/>
      <c r="L238" s="500">
        <v>6195</v>
      </c>
      <c r="T238" s="507" t="s">
        <v>795</v>
      </c>
      <c r="U238" s="502">
        <v>0.50486111111111109</v>
      </c>
      <c r="V238" s="502">
        <v>0.71736111111111101</v>
      </c>
    </row>
    <row r="239" spans="1:22" s="120" customFormat="1" x14ac:dyDescent="0.25">
      <c r="A239" s="571" t="s">
        <v>3984</v>
      </c>
      <c r="B239" s="120" t="s">
        <v>930</v>
      </c>
      <c r="C239" s="334" t="s">
        <v>410</v>
      </c>
      <c r="D239" s="427">
        <v>45390</v>
      </c>
      <c r="F239" s="334" t="s">
        <v>294</v>
      </c>
      <c r="H239" s="334" t="s">
        <v>277</v>
      </c>
      <c r="K239" s="596">
        <v>24886</v>
      </c>
      <c r="L239" s="596"/>
      <c r="T239" s="336" t="s">
        <v>1506</v>
      </c>
      <c r="U239" s="597">
        <v>0.66736111111111107</v>
      </c>
      <c r="V239" s="597">
        <v>0.82013888888888886</v>
      </c>
    </row>
    <row r="240" spans="1:22" s="504" customFormat="1" x14ac:dyDescent="0.25">
      <c r="A240" s="535" t="s">
        <v>3989</v>
      </c>
      <c r="B240" s="504" t="s">
        <v>607</v>
      </c>
      <c r="C240" s="498" t="s">
        <v>410</v>
      </c>
      <c r="D240" s="499">
        <v>45391</v>
      </c>
      <c r="F240" s="498" t="s">
        <v>207</v>
      </c>
      <c r="H240" s="498" t="s">
        <v>279</v>
      </c>
      <c r="K240" s="500">
        <v>36253.14</v>
      </c>
      <c r="L240" s="500"/>
      <c r="T240" s="507" t="s">
        <v>2380</v>
      </c>
      <c r="U240" s="502">
        <v>0.42777777777777781</v>
      </c>
      <c r="V240" s="502">
        <v>0.61875000000000002</v>
      </c>
    </row>
    <row r="241" spans="1:22" s="120" customFormat="1" x14ac:dyDescent="0.25">
      <c r="A241" s="571" t="s">
        <v>3989</v>
      </c>
      <c r="B241" s="120" t="s">
        <v>3990</v>
      </c>
      <c r="C241" s="334" t="s">
        <v>410</v>
      </c>
      <c r="D241" s="427">
        <v>45391</v>
      </c>
      <c r="F241" s="334" t="s">
        <v>2253</v>
      </c>
      <c r="H241" s="334" t="s">
        <v>279</v>
      </c>
      <c r="K241" s="596">
        <v>58824</v>
      </c>
      <c r="L241" s="596"/>
      <c r="T241" s="336" t="s">
        <v>3991</v>
      </c>
      <c r="U241" s="597">
        <v>0.25972222222222224</v>
      </c>
      <c r="V241" s="597">
        <v>0.60902777777777783</v>
      </c>
    </row>
    <row r="242" spans="1:22" s="504" customFormat="1" x14ac:dyDescent="0.25">
      <c r="A242" s="535">
        <v>11042024</v>
      </c>
      <c r="B242" s="504" t="s">
        <v>4020</v>
      </c>
      <c r="C242" s="498" t="s">
        <v>13</v>
      </c>
      <c r="D242" s="499">
        <v>45393</v>
      </c>
      <c r="F242" s="498" t="s">
        <v>796</v>
      </c>
      <c r="H242" s="498" t="s">
        <v>279</v>
      </c>
      <c r="K242" s="500">
        <v>25110</v>
      </c>
      <c r="L242" s="500"/>
      <c r="T242" s="507" t="s">
        <v>4022</v>
      </c>
      <c r="U242" s="502">
        <v>0.26597222222222222</v>
      </c>
      <c r="V242" s="502">
        <v>0.48333333333333334</v>
      </c>
    </row>
    <row r="243" spans="1:22" s="504" customFormat="1" x14ac:dyDescent="0.25">
      <c r="A243" s="535">
        <v>11042024</v>
      </c>
      <c r="B243" s="504" t="s">
        <v>4021</v>
      </c>
      <c r="C243" s="498" t="s">
        <v>410</v>
      </c>
      <c r="D243" s="499">
        <v>45393</v>
      </c>
      <c r="F243" s="498" t="s">
        <v>425</v>
      </c>
      <c r="H243" s="498" t="s">
        <v>279</v>
      </c>
      <c r="K243" s="500">
        <v>30500</v>
      </c>
      <c r="L243" s="500"/>
      <c r="T243" s="507" t="s">
        <v>1506</v>
      </c>
      <c r="U243" s="502">
        <v>0.39930555555555558</v>
      </c>
      <c r="V243" s="502">
        <v>0.59027777777777779</v>
      </c>
    </row>
    <row r="244" spans="1:22" s="504" customFormat="1" x14ac:dyDescent="0.25">
      <c r="A244" s="535">
        <v>12042024</v>
      </c>
      <c r="B244" s="504" t="s">
        <v>614</v>
      </c>
      <c r="C244" s="498" t="s">
        <v>13</v>
      </c>
      <c r="D244" s="499">
        <v>45394</v>
      </c>
      <c r="F244" s="498" t="s">
        <v>317</v>
      </c>
      <c r="H244" s="498" t="s">
        <v>279</v>
      </c>
      <c r="K244" s="500">
        <v>53996.800000000003</v>
      </c>
      <c r="L244" s="500"/>
      <c r="T244" s="507" t="s">
        <v>2380</v>
      </c>
      <c r="U244" s="502">
        <v>0.25833333333333336</v>
      </c>
      <c r="V244" s="502">
        <v>0.5854166666666667</v>
      </c>
    </row>
    <row r="245" spans="1:22" s="504" customFormat="1" x14ac:dyDescent="0.25">
      <c r="A245" s="535">
        <v>12042024</v>
      </c>
      <c r="B245" s="504" t="s">
        <v>1055</v>
      </c>
      <c r="C245" s="498" t="s">
        <v>410</v>
      </c>
      <c r="D245" s="499">
        <v>45394</v>
      </c>
      <c r="F245" s="498" t="s">
        <v>573</v>
      </c>
      <c r="H245" s="498" t="s">
        <v>279</v>
      </c>
      <c r="K245" s="500">
        <v>56350</v>
      </c>
      <c r="L245" s="500"/>
      <c r="T245" s="507" t="s">
        <v>3991</v>
      </c>
      <c r="U245" s="502">
        <v>0.5180555555555556</v>
      </c>
      <c r="V245" s="502">
        <v>0.93472222222222223</v>
      </c>
    </row>
    <row r="246" spans="1:22" s="504" customFormat="1" x14ac:dyDescent="0.25">
      <c r="A246" s="535">
        <v>13042024</v>
      </c>
      <c r="B246" s="504" t="s">
        <v>610</v>
      </c>
      <c r="C246" s="498" t="s">
        <v>13</v>
      </c>
      <c r="D246" s="499">
        <v>45395</v>
      </c>
      <c r="F246" s="498" t="s">
        <v>106</v>
      </c>
      <c r="H246" s="498" t="s">
        <v>279</v>
      </c>
      <c r="K246" s="500">
        <v>29770</v>
      </c>
      <c r="L246" s="500"/>
      <c r="T246" s="507" t="s">
        <v>922</v>
      </c>
      <c r="U246" s="502">
        <v>0.56111111111111112</v>
      </c>
      <c r="V246" s="502">
        <v>0.70972222222222225</v>
      </c>
    </row>
    <row r="247" spans="1:22" s="504" customFormat="1" x14ac:dyDescent="0.25">
      <c r="A247" s="535">
        <v>13042024</v>
      </c>
      <c r="B247" s="504" t="s">
        <v>608</v>
      </c>
      <c r="C247" s="498" t="s">
        <v>410</v>
      </c>
      <c r="D247" s="499">
        <v>45395</v>
      </c>
      <c r="F247" s="498" t="s">
        <v>236</v>
      </c>
      <c r="H247" s="498" t="s">
        <v>279</v>
      </c>
      <c r="K247" s="500">
        <v>59472</v>
      </c>
      <c r="L247" s="500"/>
      <c r="T247" s="507" t="s">
        <v>1506</v>
      </c>
      <c r="U247" s="502">
        <v>0.62291666666666667</v>
      </c>
      <c r="V247" s="502">
        <v>0.91805555555555562</v>
      </c>
    </row>
    <row r="248" spans="1:22" s="33" customFormat="1" x14ac:dyDescent="0.25">
      <c r="A248" s="544">
        <v>14042024</v>
      </c>
      <c r="B248" s="33" t="s">
        <v>4028</v>
      </c>
      <c r="C248" s="306" t="s">
        <v>410</v>
      </c>
      <c r="D248" s="548">
        <v>45396</v>
      </c>
      <c r="E248" s="667">
        <f>+K248-39500</f>
        <v>7110</v>
      </c>
      <c r="F248" s="306" t="s">
        <v>285</v>
      </c>
      <c r="H248" s="306" t="s">
        <v>279</v>
      </c>
      <c r="K248" s="549">
        <f>39500+7110</f>
        <v>46610</v>
      </c>
      <c r="L248" s="549"/>
      <c r="T248" s="280" t="s">
        <v>795</v>
      </c>
      <c r="U248" s="550">
        <v>0.27152777777777776</v>
      </c>
      <c r="V248" s="550">
        <v>0.56666666666666665</v>
      </c>
    </row>
    <row r="249" spans="1:22" s="504" customFormat="1" x14ac:dyDescent="0.25">
      <c r="A249" s="497">
        <v>15042024</v>
      </c>
      <c r="B249" s="504" t="s">
        <v>2769</v>
      </c>
      <c r="C249" s="498" t="s">
        <v>410</v>
      </c>
      <c r="D249" s="499">
        <v>45397</v>
      </c>
      <c r="F249" s="498" t="s">
        <v>236</v>
      </c>
      <c r="H249" s="498" t="s">
        <v>279</v>
      </c>
      <c r="K249" s="505">
        <v>62540</v>
      </c>
      <c r="L249" s="505"/>
      <c r="T249" s="507" t="s">
        <v>2050</v>
      </c>
      <c r="U249" s="502">
        <v>0.77569444444444446</v>
      </c>
      <c r="V249" s="502">
        <v>0.16874999999999998</v>
      </c>
    </row>
    <row r="250" spans="1:22" s="504" customFormat="1" x14ac:dyDescent="0.25">
      <c r="A250" s="497">
        <v>16042024</v>
      </c>
      <c r="B250" s="504" t="s">
        <v>4032</v>
      </c>
      <c r="C250" s="498" t="s">
        <v>410</v>
      </c>
      <c r="D250" s="499">
        <v>45398</v>
      </c>
      <c r="F250" s="498" t="s">
        <v>545</v>
      </c>
      <c r="H250" s="498" t="s">
        <v>279</v>
      </c>
      <c r="K250" s="505">
        <v>32284.799999999999</v>
      </c>
      <c r="L250" s="505"/>
      <c r="T250" s="507" t="s">
        <v>3463</v>
      </c>
      <c r="U250" s="502">
        <v>0.31597222222222221</v>
      </c>
      <c r="V250" s="502">
        <v>0.50763888888888886</v>
      </c>
    </row>
    <row r="251" spans="1:22" s="33" customFormat="1" x14ac:dyDescent="0.25">
      <c r="A251" s="547">
        <v>16042024</v>
      </c>
      <c r="B251" s="33" t="s">
        <v>3276</v>
      </c>
      <c r="C251" s="306" t="s">
        <v>13</v>
      </c>
      <c r="D251" s="548">
        <v>45398</v>
      </c>
      <c r="F251" s="306" t="s">
        <v>872</v>
      </c>
      <c r="H251" s="306" t="s">
        <v>279</v>
      </c>
      <c r="K251" s="549">
        <v>39600</v>
      </c>
      <c r="L251" s="549"/>
      <c r="T251" s="280" t="s">
        <v>4022</v>
      </c>
      <c r="U251" s="550">
        <v>0.33263888888888887</v>
      </c>
      <c r="V251" s="550">
        <v>0.52361111111111114</v>
      </c>
    </row>
    <row r="252" spans="1:22" s="504" customFormat="1" x14ac:dyDescent="0.25">
      <c r="A252" s="497">
        <v>16042024</v>
      </c>
      <c r="B252" s="504" t="s">
        <v>608</v>
      </c>
      <c r="C252" s="498" t="s">
        <v>13</v>
      </c>
      <c r="D252" s="499">
        <v>45398</v>
      </c>
      <c r="F252" s="498" t="s">
        <v>236</v>
      </c>
      <c r="H252" s="498" t="s">
        <v>279</v>
      </c>
      <c r="K252" s="500">
        <v>59472</v>
      </c>
      <c r="L252" s="500"/>
      <c r="T252" s="507" t="s">
        <v>2380</v>
      </c>
      <c r="U252" s="502">
        <v>0.57638888888888895</v>
      </c>
      <c r="V252" s="502">
        <v>0.87708333333333333</v>
      </c>
    </row>
    <row r="253" spans="1:22" s="283" customFormat="1" x14ac:dyDescent="0.25">
      <c r="A253" s="598">
        <v>16042024</v>
      </c>
      <c r="B253" s="283" t="s">
        <v>614</v>
      </c>
      <c r="C253" s="308" t="s">
        <v>410</v>
      </c>
      <c r="D253" s="599">
        <v>45398</v>
      </c>
      <c r="F253" s="308" t="s">
        <v>236</v>
      </c>
      <c r="H253" s="308" t="s">
        <v>279</v>
      </c>
      <c r="K253" s="317">
        <v>62304</v>
      </c>
      <c r="L253" s="317"/>
      <c r="T253" s="286" t="s">
        <v>1656</v>
      </c>
      <c r="U253" s="600">
        <v>0.38958333333333334</v>
      </c>
      <c r="V253" s="600">
        <v>0.16944444444444443</v>
      </c>
    </row>
    <row r="254" spans="1:22" s="504" customFormat="1" x14ac:dyDescent="0.25">
      <c r="A254" s="497">
        <v>17042024</v>
      </c>
      <c r="B254" s="504" t="s">
        <v>608</v>
      </c>
      <c r="C254" s="498" t="s">
        <v>410</v>
      </c>
      <c r="D254" s="499">
        <v>45399</v>
      </c>
      <c r="F254" s="498" t="s">
        <v>236</v>
      </c>
      <c r="H254" s="498" t="s">
        <v>279</v>
      </c>
      <c r="K254" s="500">
        <v>59472</v>
      </c>
      <c r="L254" s="500"/>
      <c r="T254" s="507" t="s">
        <v>3463</v>
      </c>
      <c r="U254" s="502">
        <v>0.2638888888888889</v>
      </c>
      <c r="V254" s="502">
        <v>0.56111111111111112</v>
      </c>
    </row>
    <row r="255" spans="1:22" s="504" customFormat="1" x14ac:dyDescent="0.25">
      <c r="A255" s="497">
        <v>17042024</v>
      </c>
      <c r="B255" s="504" t="s">
        <v>3007</v>
      </c>
      <c r="C255" s="498" t="s">
        <v>13</v>
      </c>
      <c r="D255" s="499">
        <v>45399</v>
      </c>
      <c r="F255" s="498" t="s">
        <v>106</v>
      </c>
      <c r="H255" s="498" t="s">
        <v>279</v>
      </c>
      <c r="K255" s="500">
        <v>26567</v>
      </c>
      <c r="L255" s="500"/>
      <c r="T255" s="507" t="s">
        <v>4022</v>
      </c>
      <c r="U255" s="502">
        <v>0.4916666666666667</v>
      </c>
      <c r="V255" s="502">
        <v>0.66249999999999998</v>
      </c>
    </row>
    <row r="256" spans="1:22" s="120" customFormat="1" x14ac:dyDescent="0.25">
      <c r="A256" s="595">
        <v>18042024</v>
      </c>
      <c r="B256" s="120" t="s">
        <v>930</v>
      </c>
      <c r="C256" s="334" t="s">
        <v>13</v>
      </c>
      <c r="D256" s="427">
        <v>45400</v>
      </c>
      <c r="F256" s="334" t="s">
        <v>294</v>
      </c>
      <c r="H256" s="334" t="s">
        <v>279</v>
      </c>
      <c r="K256" s="596">
        <v>33182</v>
      </c>
      <c r="L256" s="596"/>
      <c r="T256" s="336" t="s">
        <v>2050</v>
      </c>
      <c r="U256" s="597">
        <v>0.61111111111111105</v>
      </c>
      <c r="V256" s="597">
        <v>0.84305555555555556</v>
      </c>
    </row>
    <row r="257" spans="1:22" s="504" customFormat="1" x14ac:dyDescent="0.25">
      <c r="A257" s="497">
        <v>18042024</v>
      </c>
      <c r="B257" s="504" t="s">
        <v>1720</v>
      </c>
      <c r="C257" s="498" t="s">
        <v>410</v>
      </c>
      <c r="D257" s="499">
        <v>45400</v>
      </c>
      <c r="F257" s="498" t="s">
        <v>545</v>
      </c>
      <c r="H257" s="498" t="s">
        <v>277</v>
      </c>
      <c r="K257" s="500">
        <v>25016</v>
      </c>
      <c r="L257" s="500"/>
      <c r="T257" s="507" t="s">
        <v>2050</v>
      </c>
      <c r="U257" s="502">
        <v>0.90069444444444446</v>
      </c>
      <c r="V257" s="502">
        <v>2.2916666666666669E-2</v>
      </c>
    </row>
    <row r="258" spans="1:22" s="504" customFormat="1" x14ac:dyDescent="0.25">
      <c r="A258" s="497">
        <v>19042024</v>
      </c>
      <c r="B258" s="504" t="s">
        <v>4056</v>
      </c>
      <c r="C258" s="498" t="s">
        <v>410</v>
      </c>
      <c r="D258" s="499">
        <v>45401</v>
      </c>
      <c r="F258" s="498" t="s">
        <v>675</v>
      </c>
      <c r="H258" s="498" t="s">
        <v>279</v>
      </c>
      <c r="K258" s="500"/>
      <c r="L258" s="500">
        <v>11837.76</v>
      </c>
      <c r="T258" s="507" t="s">
        <v>795</v>
      </c>
      <c r="U258" s="502">
        <v>0.40763888888888888</v>
      </c>
      <c r="V258" s="502">
        <v>0.65208333333333335</v>
      </c>
    </row>
    <row r="259" spans="1:22" s="504" customFormat="1" x14ac:dyDescent="0.25">
      <c r="A259" s="497">
        <v>19042024</v>
      </c>
      <c r="B259" s="504" t="s">
        <v>1720</v>
      </c>
      <c r="C259" s="498" t="s">
        <v>410</v>
      </c>
      <c r="D259" s="499">
        <v>45401</v>
      </c>
      <c r="F259" s="498" t="s">
        <v>545</v>
      </c>
      <c r="H259" s="498" t="s">
        <v>277</v>
      </c>
      <c r="K259" s="500">
        <v>25016</v>
      </c>
      <c r="L259" s="500"/>
      <c r="T259" s="507" t="s">
        <v>795</v>
      </c>
      <c r="U259" s="502">
        <v>0.70625000000000004</v>
      </c>
      <c r="V259" s="502">
        <v>0.84236111111111112</v>
      </c>
    </row>
    <row r="260" spans="1:22" s="33" customFormat="1" x14ac:dyDescent="0.25">
      <c r="A260" s="547">
        <v>19042024</v>
      </c>
      <c r="B260" s="33" t="s">
        <v>614</v>
      </c>
      <c r="C260" s="306" t="s">
        <v>13</v>
      </c>
      <c r="D260" s="548">
        <v>45401</v>
      </c>
      <c r="F260" s="306" t="s">
        <v>675</v>
      </c>
      <c r="H260" s="306" t="s">
        <v>279</v>
      </c>
      <c r="K260" s="549">
        <v>49843.199999999997</v>
      </c>
      <c r="L260" s="549"/>
      <c r="T260" s="280" t="s">
        <v>3463</v>
      </c>
      <c r="U260" s="550">
        <v>0.89027777777777772</v>
      </c>
      <c r="V260" s="550">
        <v>0.10972222222222222</v>
      </c>
    </row>
    <row r="261" spans="1:22" s="504" customFormat="1" x14ac:dyDescent="0.25">
      <c r="A261" s="497">
        <v>20042024</v>
      </c>
      <c r="B261" s="504" t="s">
        <v>607</v>
      </c>
      <c r="C261" s="498" t="s">
        <v>410</v>
      </c>
      <c r="D261" s="499">
        <v>45402</v>
      </c>
      <c r="F261" s="498" t="s">
        <v>207</v>
      </c>
      <c r="H261" s="498" t="s">
        <v>279</v>
      </c>
      <c r="K261" s="500">
        <v>36253.14</v>
      </c>
      <c r="L261" s="500"/>
      <c r="T261" s="507" t="s">
        <v>4070</v>
      </c>
      <c r="U261" s="502">
        <v>0.25694444444444442</v>
      </c>
      <c r="V261" s="502">
        <v>0.4513888888888889</v>
      </c>
    </row>
    <row r="262" spans="1:22" s="504" customFormat="1" x14ac:dyDescent="0.25">
      <c r="A262" s="497">
        <v>20042024</v>
      </c>
      <c r="B262" s="504" t="s">
        <v>608</v>
      </c>
      <c r="C262" s="498" t="s">
        <v>410</v>
      </c>
      <c r="D262" s="499">
        <v>45402</v>
      </c>
      <c r="F262" s="498" t="s">
        <v>236</v>
      </c>
      <c r="H262" s="498" t="s">
        <v>279</v>
      </c>
      <c r="K262" s="500">
        <v>59472</v>
      </c>
      <c r="L262" s="500"/>
      <c r="T262" s="507" t="s">
        <v>3151</v>
      </c>
      <c r="U262" s="502">
        <v>0.74444444444444446</v>
      </c>
      <c r="V262" s="502">
        <v>1.9444444444444445E-2</v>
      </c>
    </row>
    <row r="263" spans="1:22" s="504" customFormat="1" x14ac:dyDescent="0.25">
      <c r="A263" s="497">
        <v>20042024</v>
      </c>
      <c r="B263" s="504" t="s">
        <v>4072</v>
      </c>
      <c r="C263" s="498" t="s">
        <v>13</v>
      </c>
      <c r="D263" s="499">
        <v>45402</v>
      </c>
      <c r="F263" s="498" t="s">
        <v>1931</v>
      </c>
      <c r="H263" s="498" t="s">
        <v>279</v>
      </c>
      <c r="K263" s="500">
        <v>53810</v>
      </c>
      <c r="L263" s="500"/>
      <c r="T263" s="507" t="s">
        <v>1644</v>
      </c>
      <c r="U263" s="502">
        <v>0.56805555555555554</v>
      </c>
      <c r="V263" s="502">
        <v>0.9375</v>
      </c>
    </row>
    <row r="264" spans="1:22" s="504" customFormat="1" x14ac:dyDescent="0.25">
      <c r="A264" s="497">
        <v>21042024</v>
      </c>
      <c r="B264" s="504" t="s">
        <v>4072</v>
      </c>
      <c r="C264" s="498" t="s">
        <v>410</v>
      </c>
      <c r="D264" s="499">
        <v>45403</v>
      </c>
      <c r="F264" s="498" t="s">
        <v>1931</v>
      </c>
      <c r="H264" s="498" t="s">
        <v>279</v>
      </c>
      <c r="K264" s="500">
        <v>53810</v>
      </c>
      <c r="L264" s="500"/>
      <c r="T264" s="507" t="s">
        <v>4071</v>
      </c>
      <c r="U264" s="502">
        <v>0.62986111111111109</v>
      </c>
      <c r="V264" s="502">
        <v>0.9604166666666667</v>
      </c>
    </row>
    <row r="265" spans="1:22" s="33" customFormat="1" x14ac:dyDescent="0.25">
      <c r="A265" s="547">
        <v>22042024</v>
      </c>
      <c r="B265" s="33" t="s">
        <v>4021</v>
      </c>
      <c r="C265" s="306" t="s">
        <v>13</v>
      </c>
      <c r="D265" s="548">
        <v>45404</v>
      </c>
      <c r="F265" s="306" t="s">
        <v>425</v>
      </c>
      <c r="H265" s="306" t="s">
        <v>279</v>
      </c>
      <c r="K265" s="549">
        <v>29850</v>
      </c>
      <c r="L265" s="549"/>
      <c r="T265" s="280" t="s">
        <v>922</v>
      </c>
      <c r="U265" s="550">
        <v>0.53680555555555554</v>
      </c>
      <c r="V265" s="550">
        <v>0.7631944444444444</v>
      </c>
    </row>
    <row r="266" spans="1:22" s="33" customFormat="1" x14ac:dyDescent="0.25">
      <c r="A266" s="547">
        <v>23042024</v>
      </c>
      <c r="B266" s="33" t="s">
        <v>4077</v>
      </c>
      <c r="C266" s="306" t="s">
        <v>410</v>
      </c>
      <c r="D266" s="548">
        <v>45405</v>
      </c>
      <c r="E266" s="667">
        <f>+K266-39500</f>
        <v>7110</v>
      </c>
      <c r="F266" s="306" t="s">
        <v>285</v>
      </c>
      <c r="H266" s="306" t="s">
        <v>279</v>
      </c>
      <c r="K266" s="549">
        <f>39500+7110</f>
        <v>46610</v>
      </c>
      <c r="L266" s="549"/>
      <c r="T266" s="280" t="s">
        <v>3151</v>
      </c>
      <c r="U266" s="550">
        <v>0.31041666666666667</v>
      </c>
      <c r="V266" s="550">
        <v>0.61944444444444446</v>
      </c>
    </row>
    <row r="267" spans="1:22" s="33" customFormat="1" x14ac:dyDescent="0.25">
      <c r="A267" s="547">
        <v>23042024</v>
      </c>
      <c r="B267" s="33" t="s">
        <v>3276</v>
      </c>
      <c r="C267" s="306" t="s">
        <v>13</v>
      </c>
      <c r="D267" s="548">
        <v>45405</v>
      </c>
      <c r="F267" s="306" t="s">
        <v>872</v>
      </c>
      <c r="H267" s="306" t="s">
        <v>279</v>
      </c>
      <c r="K267" s="549">
        <v>39600</v>
      </c>
      <c r="L267" s="549"/>
      <c r="T267" s="280" t="s">
        <v>2380</v>
      </c>
      <c r="U267" s="550">
        <v>0.32708333333333334</v>
      </c>
      <c r="V267" s="550">
        <v>0.52916666666666667</v>
      </c>
    </row>
    <row r="268" spans="1:22" s="504" customFormat="1" x14ac:dyDescent="0.25">
      <c r="A268" s="497">
        <v>23042024</v>
      </c>
      <c r="B268" s="504" t="s">
        <v>1720</v>
      </c>
      <c r="C268" s="498" t="s">
        <v>13</v>
      </c>
      <c r="D268" s="499">
        <v>45405</v>
      </c>
      <c r="F268" s="498" t="s">
        <v>545</v>
      </c>
      <c r="H268" s="498" t="s">
        <v>279</v>
      </c>
      <c r="K268" s="500">
        <v>34456</v>
      </c>
      <c r="L268" s="500"/>
      <c r="T268" s="507" t="s">
        <v>2380</v>
      </c>
      <c r="U268" s="502">
        <v>0.60486111111111107</v>
      </c>
      <c r="V268" s="502">
        <v>0.79513888888888884</v>
      </c>
    </row>
    <row r="269" spans="1:22" s="33" customFormat="1" x14ac:dyDescent="0.25">
      <c r="A269" s="547">
        <v>23042024</v>
      </c>
      <c r="B269" s="33" t="s">
        <v>614</v>
      </c>
      <c r="C269" s="306" t="s">
        <v>410</v>
      </c>
      <c r="D269" s="548">
        <v>45405</v>
      </c>
      <c r="F269" s="306" t="s">
        <v>143</v>
      </c>
      <c r="H269" s="306" t="s">
        <v>279</v>
      </c>
      <c r="K269" s="549">
        <v>43612.800000000003</v>
      </c>
      <c r="L269" s="549"/>
      <c r="T269" s="280" t="s">
        <v>1506</v>
      </c>
      <c r="U269" s="550">
        <v>0.78333333333333333</v>
      </c>
      <c r="V269" s="550">
        <v>0.76527777777777772</v>
      </c>
    </row>
    <row r="270" spans="1:22" s="504" customFormat="1" x14ac:dyDescent="0.25">
      <c r="A270" s="497">
        <v>24042024</v>
      </c>
      <c r="B270" s="504" t="s">
        <v>3383</v>
      </c>
      <c r="C270" s="498" t="s">
        <v>410</v>
      </c>
      <c r="D270" s="499">
        <v>45406</v>
      </c>
      <c r="F270" s="498" t="s">
        <v>861</v>
      </c>
      <c r="H270" s="498" t="s">
        <v>279</v>
      </c>
      <c r="K270" s="500">
        <v>34200</v>
      </c>
      <c r="L270" s="500"/>
      <c r="T270" s="507" t="s">
        <v>4022</v>
      </c>
      <c r="U270" s="502">
        <v>0.5756944444444444</v>
      </c>
      <c r="V270" s="502">
        <v>0.90972222222222221</v>
      </c>
    </row>
    <row r="271" spans="1:22" s="33" customFormat="1" x14ac:dyDescent="0.25">
      <c r="A271" s="547">
        <v>24042024</v>
      </c>
      <c r="B271" s="33" t="s">
        <v>614</v>
      </c>
      <c r="C271" s="306" t="s">
        <v>13</v>
      </c>
      <c r="D271" s="548">
        <v>45406</v>
      </c>
      <c r="F271" s="306" t="s">
        <v>294</v>
      </c>
      <c r="H271" s="306" t="s">
        <v>279</v>
      </c>
      <c r="K271" s="549">
        <v>44651.199999999997</v>
      </c>
      <c r="L271" s="549"/>
      <c r="T271" s="280" t="s">
        <v>1506</v>
      </c>
      <c r="U271" s="550">
        <v>0.70347222222222228</v>
      </c>
      <c r="V271" s="550">
        <v>0.90972222222222221</v>
      </c>
    </row>
    <row r="272" spans="1:22" s="33" customFormat="1" x14ac:dyDescent="0.25">
      <c r="A272" s="547">
        <v>25042024</v>
      </c>
      <c r="B272" s="33" t="s">
        <v>930</v>
      </c>
      <c r="C272" s="306" t="s">
        <v>13</v>
      </c>
      <c r="D272" s="548">
        <v>45407</v>
      </c>
      <c r="F272" s="306" t="s">
        <v>294</v>
      </c>
      <c r="H272" s="306" t="s">
        <v>277</v>
      </c>
      <c r="K272" s="549">
        <v>24886</v>
      </c>
      <c r="L272" s="549"/>
      <c r="T272" s="280" t="s">
        <v>2380</v>
      </c>
      <c r="U272" s="550">
        <v>0.46458333333333335</v>
      </c>
      <c r="V272" s="550">
        <v>0.625</v>
      </c>
    </row>
    <row r="273" spans="1:22" s="504" customFormat="1" x14ac:dyDescent="0.25">
      <c r="A273" s="497">
        <v>25042024</v>
      </c>
      <c r="B273" s="504" t="s">
        <v>2849</v>
      </c>
      <c r="C273" s="498" t="s">
        <v>410</v>
      </c>
      <c r="D273" s="499">
        <v>45407</v>
      </c>
      <c r="F273" s="498" t="s">
        <v>236</v>
      </c>
      <c r="H273" s="498" t="s">
        <v>279</v>
      </c>
      <c r="K273" s="500">
        <v>62540</v>
      </c>
      <c r="L273" s="500"/>
      <c r="T273" s="507" t="s">
        <v>3151</v>
      </c>
      <c r="U273" s="502">
        <v>0.48333333333333334</v>
      </c>
      <c r="V273" s="502">
        <v>0.75555555555555554</v>
      </c>
    </row>
    <row r="274" spans="1:22" s="33" customFormat="1" x14ac:dyDescent="0.25">
      <c r="A274" s="547">
        <v>25042024</v>
      </c>
      <c r="B274" s="33" t="s">
        <v>614</v>
      </c>
      <c r="C274" s="306" t="s">
        <v>410</v>
      </c>
      <c r="D274" s="548">
        <v>45407</v>
      </c>
      <c r="F274" s="306" t="s">
        <v>285</v>
      </c>
      <c r="H274" s="306" t="s">
        <v>279</v>
      </c>
      <c r="K274" s="594">
        <v>51920</v>
      </c>
      <c r="L274" s="549"/>
      <c r="T274" s="280" t="s">
        <v>4022</v>
      </c>
      <c r="U274" s="550">
        <v>0.85069444444444442</v>
      </c>
      <c r="V274" s="550">
        <v>6.7361111111111108E-2</v>
      </c>
    </row>
    <row r="275" spans="1:22" s="33" customFormat="1" x14ac:dyDescent="0.25">
      <c r="A275" s="547">
        <v>26042024</v>
      </c>
      <c r="B275" s="33" t="s">
        <v>614</v>
      </c>
      <c r="C275" s="306" t="s">
        <v>410</v>
      </c>
      <c r="D275" s="548">
        <v>45408</v>
      </c>
      <c r="F275" s="306" t="s">
        <v>68</v>
      </c>
      <c r="H275" s="306" t="s">
        <v>279</v>
      </c>
      <c r="K275" s="594">
        <v>49843.199999999997</v>
      </c>
      <c r="L275" s="549"/>
      <c r="T275" s="280" t="s">
        <v>1506</v>
      </c>
      <c r="U275" s="550">
        <v>0.65486111111111112</v>
      </c>
      <c r="V275" s="550">
        <v>0.93402777777777779</v>
      </c>
    </row>
    <row r="276" spans="1:22" s="33" customFormat="1" x14ac:dyDescent="0.25">
      <c r="A276" s="547">
        <v>27042024</v>
      </c>
      <c r="B276" s="33" t="s">
        <v>614</v>
      </c>
      <c r="C276" s="306" t="s">
        <v>410</v>
      </c>
      <c r="D276" s="548">
        <v>45409</v>
      </c>
      <c r="F276" s="306" t="s">
        <v>285</v>
      </c>
      <c r="H276" s="306" t="s">
        <v>279</v>
      </c>
      <c r="K276" s="594">
        <v>51920</v>
      </c>
      <c r="L276" s="549"/>
      <c r="T276" s="280" t="s">
        <v>4094</v>
      </c>
      <c r="U276" s="550">
        <v>0.60416666666666663</v>
      </c>
      <c r="V276" s="550">
        <v>0.83611111111111114</v>
      </c>
    </row>
    <row r="277" spans="1:22" s="33" customFormat="1" x14ac:dyDescent="0.25">
      <c r="A277" s="547">
        <v>29042024</v>
      </c>
      <c r="B277" s="33" t="s">
        <v>3276</v>
      </c>
      <c r="C277" s="306" t="s">
        <v>13</v>
      </c>
      <c r="D277" s="548">
        <v>45411</v>
      </c>
      <c r="F277" s="306" t="s">
        <v>872</v>
      </c>
      <c r="H277" s="306" t="s">
        <v>279</v>
      </c>
      <c r="K277" s="594">
        <v>39600</v>
      </c>
      <c r="L277" s="549"/>
      <c r="T277" s="280" t="s">
        <v>4022</v>
      </c>
      <c r="U277" s="550">
        <v>0.33888888888888891</v>
      </c>
      <c r="V277" s="550">
        <v>0.58819444444444446</v>
      </c>
    </row>
    <row r="278" spans="1:22" x14ac:dyDescent="0.25">
      <c r="A278" s="483"/>
      <c r="D278" s="233"/>
      <c r="K278" s="237"/>
      <c r="L278" s="251"/>
      <c r="T278" s="14"/>
      <c r="U278" s="360"/>
      <c r="V278" s="360"/>
    </row>
    <row r="279" spans="1:22" x14ac:dyDescent="0.25">
      <c r="A279" s="483"/>
      <c r="D279" s="233"/>
      <c r="K279" s="32"/>
      <c r="L279" s="17"/>
      <c r="N279" s="149"/>
      <c r="T279" s="14"/>
      <c r="U279" s="360"/>
      <c r="V279" s="360"/>
    </row>
    <row r="280" spans="1:22" x14ac:dyDescent="0.25">
      <c r="A280" s="483"/>
      <c r="D280" s="233"/>
      <c r="K280" s="589">
        <f>SUM(K228:K279)</f>
        <v>1975316.4799999997</v>
      </c>
      <c r="L280" s="589">
        <f>SUM(L228:L279)</f>
        <v>37518.76</v>
      </c>
      <c r="N280" s="149"/>
      <c r="T280" s="14"/>
      <c r="U280" s="360"/>
      <c r="V280" s="360"/>
    </row>
    <row r="281" spans="1:22" x14ac:dyDescent="0.25">
      <c r="A281" s="233"/>
      <c r="B281" s="28"/>
      <c r="D281" s="30"/>
      <c r="K281" s="251"/>
      <c r="L281" s="251"/>
      <c r="T281" s="14"/>
      <c r="U281" s="360"/>
      <c r="V281" s="360"/>
    </row>
    <row r="282" spans="1:22" x14ac:dyDescent="0.25">
      <c r="A282" s="233"/>
      <c r="B282" s="28"/>
      <c r="D282" s="30"/>
      <c r="K282" s="251"/>
      <c r="L282" s="251"/>
      <c r="T282" s="14"/>
      <c r="U282" s="360"/>
      <c r="V282" s="360"/>
    </row>
    <row r="283" spans="1:22" x14ac:dyDescent="0.25">
      <c r="A283" s="233"/>
      <c r="B283" s="28"/>
      <c r="D283"/>
      <c r="K283" s="251"/>
      <c r="L283" s="251"/>
      <c r="T283" s="14"/>
      <c r="U283" s="360"/>
      <c r="V283" s="360"/>
    </row>
    <row r="284" spans="1:22" x14ac:dyDescent="0.25">
      <c r="A284" s="509"/>
      <c r="D284" s="233"/>
      <c r="K284" s="251"/>
      <c r="L284" s="251"/>
      <c r="T284" s="14"/>
      <c r="U284" s="360"/>
      <c r="V284" s="360"/>
    </row>
    <row r="285" spans="1:22" s="33" customFormat="1" x14ac:dyDescent="0.25">
      <c r="A285" s="544">
        <v>1052024</v>
      </c>
      <c r="B285" s="33" t="s">
        <v>3990</v>
      </c>
      <c r="C285" s="306" t="s">
        <v>410</v>
      </c>
      <c r="D285" s="548">
        <v>45413</v>
      </c>
      <c r="F285" s="306" t="s">
        <v>2253</v>
      </c>
      <c r="H285" s="306" t="s">
        <v>279</v>
      </c>
      <c r="K285" s="549">
        <v>58824</v>
      </c>
      <c r="L285" s="549"/>
      <c r="T285" s="280" t="s">
        <v>2050</v>
      </c>
      <c r="U285" s="550">
        <v>0.26805555555555555</v>
      </c>
      <c r="V285" s="550">
        <v>0.62916666666666665</v>
      </c>
    </row>
    <row r="286" spans="1:22" s="504" customFormat="1" x14ac:dyDescent="0.25">
      <c r="A286" s="535">
        <v>1052024</v>
      </c>
      <c r="B286" s="504" t="s">
        <v>4124</v>
      </c>
      <c r="C286" s="498" t="s">
        <v>13</v>
      </c>
      <c r="D286" s="499">
        <v>45413</v>
      </c>
      <c r="F286" s="498" t="s">
        <v>2095</v>
      </c>
      <c r="H286" s="498" t="s">
        <v>279</v>
      </c>
      <c r="K286" s="591">
        <v>56350</v>
      </c>
      <c r="L286" s="500"/>
      <c r="T286" s="507" t="s">
        <v>922</v>
      </c>
      <c r="U286" s="502">
        <v>0.55138888888888893</v>
      </c>
      <c r="V286" s="502">
        <v>0.91111111111111109</v>
      </c>
    </row>
    <row r="287" spans="1:22" s="504" customFormat="1" x14ac:dyDescent="0.25">
      <c r="A287" s="535">
        <v>2052024</v>
      </c>
      <c r="B287" s="504" t="s">
        <v>610</v>
      </c>
      <c r="C287" s="498" t="s">
        <v>13</v>
      </c>
      <c r="D287" s="499">
        <v>45414</v>
      </c>
      <c r="F287" s="498" t="s">
        <v>106</v>
      </c>
      <c r="H287" s="498" t="s">
        <v>279</v>
      </c>
      <c r="K287" s="592">
        <v>29770</v>
      </c>
      <c r="L287" s="500"/>
      <c r="T287" s="507" t="s">
        <v>3463</v>
      </c>
      <c r="U287" s="502">
        <v>0.25416666666666665</v>
      </c>
      <c r="V287" s="502">
        <v>0.42291666666666666</v>
      </c>
    </row>
    <row r="288" spans="1:22" s="504" customFormat="1" x14ac:dyDescent="0.25">
      <c r="A288" s="535">
        <v>2052024</v>
      </c>
      <c r="B288" s="504" t="s">
        <v>614</v>
      </c>
      <c r="C288" s="498" t="s">
        <v>13</v>
      </c>
      <c r="D288" s="499">
        <v>45414</v>
      </c>
      <c r="F288" s="498" t="s">
        <v>2036</v>
      </c>
      <c r="H288" s="498" t="s">
        <v>279</v>
      </c>
      <c r="K288" s="500">
        <v>31152</v>
      </c>
      <c r="L288" s="506"/>
      <c r="M288" s="500"/>
      <c r="T288" s="507" t="s">
        <v>3463</v>
      </c>
      <c r="U288" s="502">
        <v>0.47569444444444442</v>
      </c>
      <c r="V288" s="502">
        <v>0.66319444444444442</v>
      </c>
    </row>
    <row r="289" spans="1:22" s="504" customFormat="1" x14ac:dyDescent="0.25">
      <c r="A289" s="535">
        <v>2052024</v>
      </c>
      <c r="B289" s="504" t="s">
        <v>3276</v>
      </c>
      <c r="C289" s="498" t="s">
        <v>410</v>
      </c>
      <c r="D289" s="499">
        <v>45414</v>
      </c>
      <c r="F289" s="498" t="s">
        <v>872</v>
      </c>
      <c r="H289" s="498" t="s">
        <v>279</v>
      </c>
      <c r="K289" s="591">
        <v>39600</v>
      </c>
      <c r="L289" s="500"/>
      <c r="T289" s="507" t="s">
        <v>4070</v>
      </c>
      <c r="U289" s="502">
        <v>0.5756944444444444</v>
      </c>
      <c r="V289" s="502">
        <v>0.78333333333333333</v>
      </c>
    </row>
    <row r="290" spans="1:22" s="33" customFormat="1" x14ac:dyDescent="0.25">
      <c r="A290" s="544">
        <v>2052024</v>
      </c>
      <c r="B290" s="33" t="s">
        <v>930</v>
      </c>
      <c r="C290" s="306" t="s">
        <v>809</v>
      </c>
      <c r="D290" s="548">
        <v>45414</v>
      </c>
      <c r="F290" s="306" t="s">
        <v>295</v>
      </c>
      <c r="H290" s="306" t="s">
        <v>279</v>
      </c>
      <c r="K290" s="312">
        <v>29000</v>
      </c>
      <c r="L290" s="549"/>
      <c r="T290" s="280" t="s">
        <v>4140</v>
      </c>
      <c r="U290" s="550">
        <v>0.46458333333333335</v>
      </c>
      <c r="V290" s="550">
        <v>0.80763888888888891</v>
      </c>
    </row>
    <row r="291" spans="1:22" s="33" customFormat="1" x14ac:dyDescent="0.25">
      <c r="A291" s="544">
        <v>2052024</v>
      </c>
      <c r="B291" s="33" t="s">
        <v>930</v>
      </c>
      <c r="C291" s="306" t="s">
        <v>13</v>
      </c>
      <c r="D291" s="548">
        <v>45414</v>
      </c>
      <c r="F291" s="306" t="s">
        <v>294</v>
      </c>
      <c r="H291" s="306" t="s">
        <v>279</v>
      </c>
      <c r="K291" s="312">
        <v>33182</v>
      </c>
      <c r="L291" s="549"/>
      <c r="T291" s="280" t="s">
        <v>1644</v>
      </c>
      <c r="U291" s="550">
        <v>0.72499999999999998</v>
      </c>
      <c r="V291" s="550">
        <v>0.92569444444444449</v>
      </c>
    </row>
    <row r="292" spans="1:22" s="504" customFormat="1" x14ac:dyDescent="0.25">
      <c r="A292" s="535">
        <v>2052024</v>
      </c>
      <c r="B292" s="504" t="s">
        <v>1720</v>
      </c>
      <c r="C292" s="498" t="s">
        <v>410</v>
      </c>
      <c r="D292" s="499">
        <v>45414</v>
      </c>
      <c r="F292" s="498" t="s">
        <v>545</v>
      </c>
      <c r="H292" s="498" t="s">
        <v>277</v>
      </c>
      <c r="K292" s="591">
        <v>25016</v>
      </c>
      <c r="L292" s="506"/>
      <c r="T292" s="507" t="s">
        <v>4070</v>
      </c>
      <c r="U292" s="502">
        <v>0.82222222222222219</v>
      </c>
      <c r="V292" s="502">
        <v>0.9506944444444444</v>
      </c>
    </row>
    <row r="293" spans="1:22" s="504" customFormat="1" x14ac:dyDescent="0.25">
      <c r="A293" s="535">
        <v>3052024</v>
      </c>
      <c r="B293" s="504" t="s">
        <v>4124</v>
      </c>
      <c r="C293" s="498" t="s">
        <v>13</v>
      </c>
      <c r="D293" s="499">
        <v>45415</v>
      </c>
      <c r="F293" s="498" t="s">
        <v>236</v>
      </c>
      <c r="H293" s="498" t="s">
        <v>279</v>
      </c>
      <c r="K293" s="500">
        <v>59472</v>
      </c>
      <c r="L293" s="506"/>
      <c r="T293" s="507" t="s">
        <v>3463</v>
      </c>
      <c r="U293" s="502">
        <v>0.27013888888888887</v>
      </c>
      <c r="V293" s="502">
        <v>0.56041666666666667</v>
      </c>
    </row>
    <row r="294" spans="1:22" s="504" customFormat="1" x14ac:dyDescent="0.25">
      <c r="A294" s="535">
        <v>3052024</v>
      </c>
      <c r="B294" s="504" t="s">
        <v>4124</v>
      </c>
      <c r="C294" s="498" t="s">
        <v>410</v>
      </c>
      <c r="D294" s="499">
        <v>45415</v>
      </c>
      <c r="F294" s="498" t="s">
        <v>236</v>
      </c>
      <c r="H294" s="498" t="s">
        <v>279</v>
      </c>
      <c r="K294" s="500">
        <v>59472</v>
      </c>
      <c r="L294" s="506"/>
      <c r="T294" s="507" t="s">
        <v>922</v>
      </c>
      <c r="U294" s="502">
        <v>0.50624999999999998</v>
      </c>
      <c r="V294" s="502">
        <v>0.82222222222222219</v>
      </c>
    </row>
    <row r="295" spans="1:22" s="504" customFormat="1" x14ac:dyDescent="0.25">
      <c r="A295" s="535">
        <v>4052024</v>
      </c>
      <c r="B295" s="504" t="s">
        <v>614</v>
      </c>
      <c r="C295" s="498" t="s">
        <v>13</v>
      </c>
      <c r="D295" s="499">
        <v>45416</v>
      </c>
      <c r="F295" s="498" t="s">
        <v>2008</v>
      </c>
      <c r="H295" s="498" t="s">
        <v>279</v>
      </c>
      <c r="K295" s="591">
        <v>55035.199999999997</v>
      </c>
      <c r="L295" s="506"/>
      <c r="T295" s="507" t="s">
        <v>4095</v>
      </c>
      <c r="U295" s="502">
        <v>0.26597222222222222</v>
      </c>
      <c r="V295" s="502">
        <v>0.54722222222222228</v>
      </c>
    </row>
    <row r="296" spans="1:22" s="504" customFormat="1" x14ac:dyDescent="0.25">
      <c r="A296" s="535">
        <v>4052024</v>
      </c>
      <c r="B296" s="504" t="s">
        <v>614</v>
      </c>
      <c r="C296" s="498" t="s">
        <v>410</v>
      </c>
      <c r="D296" s="499">
        <v>45416</v>
      </c>
      <c r="F296" s="498" t="s">
        <v>4096</v>
      </c>
      <c r="H296" s="498" t="s">
        <v>279</v>
      </c>
      <c r="K296" s="500">
        <v>31152</v>
      </c>
      <c r="L296" s="506"/>
      <c r="T296" s="507" t="s">
        <v>4097</v>
      </c>
      <c r="U296" s="502">
        <v>0.39374999999999999</v>
      </c>
      <c r="V296" s="502">
        <v>0.55694444444444446</v>
      </c>
    </row>
    <row r="297" spans="1:22" s="504" customFormat="1" x14ac:dyDescent="0.25">
      <c r="A297" s="535">
        <v>7052024</v>
      </c>
      <c r="B297" s="504" t="s">
        <v>3388</v>
      </c>
      <c r="C297" s="498" t="s">
        <v>13</v>
      </c>
      <c r="D297" s="499">
        <v>45419</v>
      </c>
      <c r="F297" s="498" t="s">
        <v>1931</v>
      </c>
      <c r="H297" s="498" t="s">
        <v>279</v>
      </c>
      <c r="K297" s="500">
        <v>61450</v>
      </c>
      <c r="L297" s="506"/>
      <c r="T297" s="507" t="s">
        <v>4095</v>
      </c>
      <c r="U297" s="502">
        <v>0.29652777777777778</v>
      </c>
      <c r="V297" s="502">
        <v>0.62152777777777779</v>
      </c>
    </row>
    <row r="298" spans="1:22" s="33" customFormat="1" x14ac:dyDescent="0.25">
      <c r="A298" s="544">
        <v>8052024</v>
      </c>
      <c r="B298" s="33" t="s">
        <v>930</v>
      </c>
      <c r="C298" s="306" t="s">
        <v>13</v>
      </c>
      <c r="D298" s="548">
        <v>45420</v>
      </c>
      <c r="F298" s="306" t="s">
        <v>294</v>
      </c>
      <c r="H298" s="306" t="s">
        <v>279</v>
      </c>
      <c r="K298" s="549">
        <v>33182</v>
      </c>
      <c r="L298" s="279"/>
      <c r="T298" s="280" t="s">
        <v>4095</v>
      </c>
      <c r="U298" s="550">
        <v>0.29444444444444445</v>
      </c>
      <c r="V298" s="550">
        <v>0.47916666666666669</v>
      </c>
    </row>
    <row r="299" spans="1:22" s="33" customFormat="1" x14ac:dyDescent="0.25">
      <c r="A299" s="544">
        <v>8052024</v>
      </c>
      <c r="B299" s="33" t="s">
        <v>930</v>
      </c>
      <c r="C299" s="306" t="s">
        <v>410</v>
      </c>
      <c r="D299" s="548">
        <v>45420</v>
      </c>
      <c r="F299" s="306" t="s">
        <v>294</v>
      </c>
      <c r="H299" s="306" t="s">
        <v>277</v>
      </c>
      <c r="K299" s="549">
        <v>24886</v>
      </c>
      <c r="L299" s="279"/>
      <c r="T299" s="280" t="s">
        <v>1506</v>
      </c>
      <c r="U299" s="550">
        <v>0.47638888888888892</v>
      </c>
      <c r="V299" s="550">
        <v>0.62638888888888888</v>
      </c>
    </row>
    <row r="300" spans="1:22" s="504" customFormat="1" x14ac:dyDescent="0.25">
      <c r="A300" s="497">
        <v>8052024</v>
      </c>
      <c r="B300" s="504" t="s">
        <v>614</v>
      </c>
      <c r="C300" s="498" t="s">
        <v>13</v>
      </c>
      <c r="D300" s="499">
        <v>45420</v>
      </c>
      <c r="F300" s="498" t="s">
        <v>207</v>
      </c>
      <c r="H300" s="498" t="s">
        <v>279</v>
      </c>
      <c r="K300" s="505">
        <v>41536</v>
      </c>
      <c r="L300" s="506"/>
      <c r="T300" s="507" t="s">
        <v>4123</v>
      </c>
      <c r="U300" s="502">
        <v>0.27083333333333331</v>
      </c>
      <c r="V300" s="502">
        <v>0.56388888888888888</v>
      </c>
    </row>
    <row r="301" spans="1:22" s="504" customFormat="1" x14ac:dyDescent="0.25">
      <c r="A301" s="497">
        <v>9052024</v>
      </c>
      <c r="B301" s="504" t="s">
        <v>4124</v>
      </c>
      <c r="C301" s="498" t="s">
        <v>13</v>
      </c>
      <c r="D301" s="499">
        <v>45421</v>
      </c>
      <c r="F301" s="498" t="s">
        <v>236</v>
      </c>
      <c r="H301" s="498" t="s">
        <v>279</v>
      </c>
      <c r="K301" s="505">
        <v>58231</v>
      </c>
      <c r="L301" s="506"/>
      <c r="T301" s="507" t="s">
        <v>3572</v>
      </c>
      <c r="U301" s="502">
        <v>0.75277777777777777</v>
      </c>
      <c r="V301" s="502">
        <v>6.458333333333334E-2</v>
      </c>
    </row>
    <row r="302" spans="1:22" s="504" customFormat="1" ht="15.75" customHeight="1" x14ac:dyDescent="0.25">
      <c r="A302" s="497">
        <v>9052024</v>
      </c>
      <c r="B302" s="504" t="s">
        <v>4032</v>
      </c>
      <c r="C302" s="498" t="s">
        <v>410</v>
      </c>
      <c r="D302" s="499">
        <v>45421</v>
      </c>
      <c r="F302" s="498" t="s">
        <v>545</v>
      </c>
      <c r="H302" s="498" t="s">
        <v>279</v>
      </c>
      <c r="K302" s="505">
        <v>32284.400000000001</v>
      </c>
      <c r="L302" s="506"/>
      <c r="T302" s="507" t="s">
        <v>795</v>
      </c>
      <c r="U302" s="502">
        <v>0.80277777777777781</v>
      </c>
      <c r="V302" s="502">
        <v>0.99097222222222225</v>
      </c>
    </row>
    <row r="303" spans="1:22" s="504" customFormat="1" x14ac:dyDescent="0.25">
      <c r="A303" s="497">
        <v>10052024</v>
      </c>
      <c r="B303" s="504" t="s">
        <v>3388</v>
      </c>
      <c r="C303" s="498" t="s">
        <v>13</v>
      </c>
      <c r="D303" s="499">
        <v>45422</v>
      </c>
      <c r="F303" s="498" t="s">
        <v>1931</v>
      </c>
      <c r="H303" s="498" t="s">
        <v>279</v>
      </c>
      <c r="K303" s="505">
        <v>61450</v>
      </c>
      <c r="L303" s="506"/>
      <c r="T303" s="507" t="s">
        <v>4123</v>
      </c>
      <c r="U303" s="502">
        <v>0.66111111111111109</v>
      </c>
      <c r="V303" s="502">
        <v>0.97777777777777775</v>
      </c>
    </row>
    <row r="304" spans="1:22" s="504" customFormat="1" x14ac:dyDescent="0.25">
      <c r="A304" s="497">
        <v>10052024</v>
      </c>
      <c r="B304" s="504" t="s">
        <v>614</v>
      </c>
      <c r="C304" s="498" t="s">
        <v>410</v>
      </c>
      <c r="D304" s="499">
        <v>45422</v>
      </c>
      <c r="F304" s="498" t="s">
        <v>143</v>
      </c>
      <c r="H304" s="498" t="s">
        <v>279</v>
      </c>
      <c r="K304" s="505">
        <v>43612.800000000003</v>
      </c>
      <c r="L304" s="506"/>
      <c r="T304" s="507" t="s">
        <v>4071</v>
      </c>
      <c r="U304" s="502">
        <v>0.66874999999999996</v>
      </c>
      <c r="V304" s="502">
        <v>0.86458333333333337</v>
      </c>
    </row>
    <row r="305" spans="1:22" s="504" customFormat="1" x14ac:dyDescent="0.25">
      <c r="A305" s="497">
        <v>11052024</v>
      </c>
      <c r="B305" s="504" t="s">
        <v>4137</v>
      </c>
      <c r="C305" s="498" t="s">
        <v>13</v>
      </c>
      <c r="D305" s="499">
        <v>45423</v>
      </c>
      <c r="F305" s="498" t="s">
        <v>106</v>
      </c>
      <c r="H305" s="498" t="s">
        <v>279</v>
      </c>
      <c r="K305" s="505">
        <v>28000</v>
      </c>
      <c r="L305" s="506"/>
      <c r="T305" s="507" t="s">
        <v>2050</v>
      </c>
      <c r="U305" s="502">
        <v>0.47430555555555554</v>
      </c>
      <c r="V305" s="502">
        <v>0.64166666666666672</v>
      </c>
    </row>
    <row r="306" spans="1:22" s="504" customFormat="1" x14ac:dyDescent="0.25">
      <c r="A306" s="497">
        <v>11052024</v>
      </c>
      <c r="B306" s="504" t="s">
        <v>4032</v>
      </c>
      <c r="C306" s="498" t="s">
        <v>410</v>
      </c>
      <c r="D306" s="499">
        <v>45423</v>
      </c>
      <c r="F306" s="498" t="s">
        <v>545</v>
      </c>
      <c r="H306" s="498" t="s">
        <v>277</v>
      </c>
      <c r="K306" s="505">
        <v>32284.400000000001</v>
      </c>
      <c r="L306" s="506"/>
      <c r="T306" s="507" t="s">
        <v>4139</v>
      </c>
      <c r="U306" s="502">
        <v>0.48958333333333331</v>
      </c>
      <c r="V306" s="502">
        <v>0.63958333333333328</v>
      </c>
    </row>
    <row r="307" spans="1:22" s="504" customFormat="1" x14ac:dyDescent="0.25">
      <c r="A307" s="497">
        <v>11052024</v>
      </c>
      <c r="B307" s="504" t="s">
        <v>1720</v>
      </c>
      <c r="C307" s="498" t="s">
        <v>13</v>
      </c>
      <c r="D307" s="499">
        <v>45423</v>
      </c>
      <c r="F307" s="498" t="s">
        <v>545</v>
      </c>
      <c r="H307" s="498" t="s">
        <v>2252</v>
      </c>
      <c r="K307" s="505">
        <v>25016</v>
      </c>
      <c r="L307" s="506"/>
      <c r="T307" s="507" t="s">
        <v>922</v>
      </c>
      <c r="U307" s="502">
        <v>0.81458333333333333</v>
      </c>
      <c r="V307" s="502">
        <v>6.9444444444444441E-3</v>
      </c>
    </row>
    <row r="308" spans="1:22" s="504" customFormat="1" x14ac:dyDescent="0.25">
      <c r="A308" s="497">
        <v>12052024</v>
      </c>
      <c r="B308" s="504" t="s">
        <v>610</v>
      </c>
      <c r="C308" s="498" t="s">
        <v>410</v>
      </c>
      <c r="D308" s="499">
        <v>45424</v>
      </c>
      <c r="F308" s="498" t="s">
        <v>106</v>
      </c>
      <c r="H308" s="498" t="s">
        <v>279</v>
      </c>
      <c r="K308" s="505">
        <v>29770</v>
      </c>
      <c r="L308" s="506"/>
      <c r="T308" s="507" t="s">
        <v>4071</v>
      </c>
      <c r="U308" s="502">
        <v>0.28125</v>
      </c>
      <c r="V308" s="502">
        <v>0.43194444444444446</v>
      </c>
    </row>
    <row r="309" spans="1:22" s="33" customFormat="1" x14ac:dyDescent="0.25">
      <c r="A309" s="547">
        <v>12052024</v>
      </c>
      <c r="B309" s="33" t="s">
        <v>3331</v>
      </c>
      <c r="C309" s="306" t="s">
        <v>13</v>
      </c>
      <c r="D309" s="548">
        <v>45424</v>
      </c>
      <c r="F309" s="306" t="s">
        <v>2008</v>
      </c>
      <c r="H309" s="306" t="s">
        <v>279</v>
      </c>
      <c r="K309" s="312">
        <v>47250</v>
      </c>
      <c r="L309" s="279"/>
      <c r="T309" s="280" t="s">
        <v>922</v>
      </c>
      <c r="U309" s="550">
        <v>0.28819444444444448</v>
      </c>
      <c r="V309" s="550">
        <v>0.52916666666666667</v>
      </c>
    </row>
    <row r="310" spans="1:22" s="504" customFormat="1" x14ac:dyDescent="0.25">
      <c r="A310" s="497">
        <v>12052024</v>
      </c>
      <c r="B310" s="504" t="s">
        <v>4124</v>
      </c>
      <c r="C310" s="498" t="s">
        <v>13</v>
      </c>
      <c r="D310" s="499">
        <v>45424</v>
      </c>
      <c r="F310" s="498" t="s">
        <v>236</v>
      </c>
      <c r="H310" s="498" t="s">
        <v>279</v>
      </c>
      <c r="K310" s="505">
        <v>58231</v>
      </c>
      <c r="L310" s="506"/>
      <c r="T310" s="507" t="s">
        <v>4138</v>
      </c>
      <c r="U310" s="502">
        <v>0.80138888888888893</v>
      </c>
      <c r="V310" s="502">
        <v>7.7777777777777779E-2</v>
      </c>
    </row>
    <row r="311" spans="1:22" s="33" customFormat="1" x14ac:dyDescent="0.25">
      <c r="A311" s="547">
        <v>14052024</v>
      </c>
      <c r="B311" s="33" t="s">
        <v>930</v>
      </c>
      <c r="C311" s="306" t="s">
        <v>13</v>
      </c>
      <c r="D311" s="548">
        <v>45426</v>
      </c>
      <c r="F311" s="306" t="s">
        <v>294</v>
      </c>
      <c r="H311" s="306" t="s">
        <v>277</v>
      </c>
      <c r="K311" s="312">
        <v>24886</v>
      </c>
      <c r="L311" s="279"/>
      <c r="T311" s="280" t="s">
        <v>1644</v>
      </c>
      <c r="U311" s="550">
        <v>0.66736111111111107</v>
      </c>
      <c r="V311" s="550">
        <v>0.84583333333333333</v>
      </c>
    </row>
    <row r="312" spans="1:22" s="504" customFormat="1" x14ac:dyDescent="0.25">
      <c r="A312" s="497">
        <v>14052024</v>
      </c>
      <c r="B312" s="504" t="s">
        <v>1720</v>
      </c>
      <c r="C312" s="498" t="s">
        <v>410</v>
      </c>
      <c r="D312" s="499">
        <v>45426</v>
      </c>
      <c r="F312" s="498" t="s">
        <v>545</v>
      </c>
      <c r="H312" s="498" t="s">
        <v>277</v>
      </c>
      <c r="K312" s="505">
        <v>25016</v>
      </c>
      <c r="L312" s="506"/>
      <c r="T312" s="507" t="s">
        <v>4071</v>
      </c>
      <c r="U312" s="502">
        <v>0.67569444444444438</v>
      </c>
      <c r="V312" s="502">
        <v>0.80486111111111114</v>
      </c>
    </row>
    <row r="313" spans="1:22" s="504" customFormat="1" x14ac:dyDescent="0.25">
      <c r="A313" s="497">
        <v>15052024</v>
      </c>
      <c r="B313" s="504" t="s">
        <v>610</v>
      </c>
      <c r="C313" s="498" t="s">
        <v>13</v>
      </c>
      <c r="D313" s="499">
        <v>45427</v>
      </c>
      <c r="F313" s="498" t="s">
        <v>106</v>
      </c>
      <c r="H313" s="498" t="s">
        <v>279</v>
      </c>
      <c r="K313" s="505">
        <v>29770</v>
      </c>
      <c r="L313" s="506"/>
      <c r="T313" s="507" t="s">
        <v>4150</v>
      </c>
      <c r="U313" s="502">
        <v>0.25555555555555559</v>
      </c>
      <c r="V313" s="502">
        <v>0.40069444444444446</v>
      </c>
    </row>
    <row r="314" spans="1:22" s="33" customFormat="1" ht="15.75" customHeight="1" x14ac:dyDescent="0.25">
      <c r="A314" s="547">
        <v>15052024</v>
      </c>
      <c r="B314" s="33" t="s">
        <v>614</v>
      </c>
      <c r="C314" s="306" t="s">
        <v>410</v>
      </c>
      <c r="D314" s="548">
        <v>45427</v>
      </c>
      <c r="F314" s="306" t="s">
        <v>317</v>
      </c>
      <c r="H314" s="306" t="s">
        <v>279</v>
      </c>
      <c r="K314" s="312">
        <v>53996.800000000003</v>
      </c>
      <c r="L314" s="279"/>
      <c r="T314" s="280" t="s">
        <v>4071</v>
      </c>
      <c r="U314" s="550">
        <v>0.35138888888888892</v>
      </c>
      <c r="V314" s="550">
        <v>0.6166666666666667</v>
      </c>
    </row>
    <row r="315" spans="1:22" s="504" customFormat="1" x14ac:dyDescent="0.25">
      <c r="A315" s="497">
        <v>15052024</v>
      </c>
      <c r="B315" s="504" t="s">
        <v>572</v>
      </c>
      <c r="C315" s="498" t="s">
        <v>13</v>
      </c>
      <c r="D315" s="499">
        <v>45427</v>
      </c>
      <c r="F315" s="498" t="s">
        <v>207</v>
      </c>
      <c r="H315" s="498" t="s">
        <v>277</v>
      </c>
      <c r="K315" s="505"/>
      <c r="L315" s="506">
        <v>6195</v>
      </c>
      <c r="T315" s="507" t="s">
        <v>4150</v>
      </c>
      <c r="U315" s="502">
        <v>0.5493055555555556</v>
      </c>
      <c r="V315" s="502">
        <v>0.75069444444444444</v>
      </c>
    </row>
    <row r="316" spans="1:22" s="33" customFormat="1" ht="14.25" customHeight="1" x14ac:dyDescent="0.25">
      <c r="A316" s="547">
        <v>15052024</v>
      </c>
      <c r="B316" s="33" t="s">
        <v>930</v>
      </c>
      <c r="C316" s="306" t="s">
        <v>410</v>
      </c>
      <c r="D316" s="548">
        <v>45427</v>
      </c>
      <c r="F316" s="306" t="s">
        <v>294</v>
      </c>
      <c r="H316" s="306" t="s">
        <v>279</v>
      </c>
      <c r="K316" s="312">
        <v>33182</v>
      </c>
      <c r="L316" s="279"/>
      <c r="T316" s="280" t="s">
        <v>4161</v>
      </c>
      <c r="U316" s="550">
        <v>0.67847222222222225</v>
      </c>
      <c r="V316" s="550">
        <v>0.86597222222222225</v>
      </c>
    </row>
    <row r="317" spans="1:22" s="504" customFormat="1" x14ac:dyDescent="0.25">
      <c r="A317" s="497">
        <v>16052024</v>
      </c>
      <c r="B317" s="504" t="s">
        <v>607</v>
      </c>
      <c r="C317" s="498" t="s">
        <v>13</v>
      </c>
      <c r="D317" s="499">
        <v>45428</v>
      </c>
      <c r="F317" s="498" t="s">
        <v>207</v>
      </c>
      <c r="H317" s="498" t="s">
        <v>279</v>
      </c>
      <c r="K317" s="505">
        <v>36253.14</v>
      </c>
      <c r="L317" s="506"/>
      <c r="T317" s="507" t="s">
        <v>4095</v>
      </c>
      <c r="U317" s="502">
        <v>0.26874999999999999</v>
      </c>
      <c r="V317" s="502">
        <v>0.52569444444444446</v>
      </c>
    </row>
    <row r="318" spans="1:22" s="504" customFormat="1" x14ac:dyDescent="0.25">
      <c r="A318" s="497">
        <v>16052024</v>
      </c>
      <c r="B318" s="504" t="s">
        <v>4193</v>
      </c>
      <c r="C318" s="498" t="s">
        <v>410</v>
      </c>
      <c r="D318" s="499">
        <v>45428</v>
      </c>
      <c r="F318" s="498" t="s">
        <v>236</v>
      </c>
      <c r="H318" s="498" t="s">
        <v>279</v>
      </c>
      <c r="K318" s="505">
        <v>58231</v>
      </c>
      <c r="L318" s="506"/>
      <c r="T318" s="507" t="s">
        <v>4139</v>
      </c>
      <c r="U318" s="502">
        <v>0.27361111111111114</v>
      </c>
      <c r="V318" s="502">
        <v>0.54583333333333328</v>
      </c>
    </row>
    <row r="319" spans="1:22" s="504" customFormat="1" x14ac:dyDescent="0.25">
      <c r="A319" s="497">
        <v>16052024</v>
      </c>
      <c r="B319" s="504" t="s">
        <v>1720</v>
      </c>
      <c r="C319" s="498" t="s">
        <v>13</v>
      </c>
      <c r="D319" s="499">
        <v>45428</v>
      </c>
      <c r="F319" s="498" t="s">
        <v>545</v>
      </c>
      <c r="H319" s="498" t="s">
        <v>279</v>
      </c>
      <c r="K319" s="505">
        <v>34456</v>
      </c>
      <c r="L319" s="506"/>
      <c r="T319" s="507" t="s">
        <v>4095</v>
      </c>
      <c r="U319" s="502">
        <v>0.56597222222222221</v>
      </c>
      <c r="V319" s="502">
        <v>0.7597222222222223</v>
      </c>
    </row>
    <row r="320" spans="1:22" s="504" customFormat="1" x14ac:dyDescent="0.25">
      <c r="A320" s="497">
        <v>17052024</v>
      </c>
      <c r="B320" s="504" t="s">
        <v>3276</v>
      </c>
      <c r="C320" s="498" t="s">
        <v>410</v>
      </c>
      <c r="D320" s="499">
        <v>45429</v>
      </c>
      <c r="F320" s="498" t="s">
        <v>872</v>
      </c>
      <c r="H320" s="498" t="s">
        <v>279</v>
      </c>
      <c r="K320" s="505">
        <v>39600</v>
      </c>
      <c r="L320" s="506"/>
      <c r="T320" s="507" t="s">
        <v>4186</v>
      </c>
      <c r="U320" s="502">
        <v>0.36180555555555555</v>
      </c>
      <c r="V320" s="502">
        <v>0.53888888888888886</v>
      </c>
    </row>
    <row r="321" spans="1:22" s="504" customFormat="1" x14ac:dyDescent="0.25">
      <c r="A321" s="497">
        <v>17052024</v>
      </c>
      <c r="B321" s="504" t="s">
        <v>4187</v>
      </c>
      <c r="C321" s="498" t="s">
        <v>13</v>
      </c>
      <c r="D321" s="499">
        <v>45429</v>
      </c>
      <c r="F321" s="498" t="s">
        <v>294</v>
      </c>
      <c r="H321" s="498" t="s">
        <v>279</v>
      </c>
      <c r="K321" s="505">
        <v>36350</v>
      </c>
      <c r="L321" s="506"/>
      <c r="T321" s="507" t="s">
        <v>4071</v>
      </c>
      <c r="U321" s="502">
        <v>0.40138888888888885</v>
      </c>
      <c r="V321" s="502">
        <v>0.64930555555555558</v>
      </c>
    </row>
    <row r="322" spans="1:22" s="33" customFormat="1" x14ac:dyDescent="0.25">
      <c r="A322" s="547">
        <v>17052024</v>
      </c>
      <c r="B322" s="33" t="s">
        <v>930</v>
      </c>
      <c r="C322" s="306" t="s">
        <v>809</v>
      </c>
      <c r="D322" s="548">
        <v>45429</v>
      </c>
      <c r="F322" s="306" t="s">
        <v>294</v>
      </c>
      <c r="H322" s="306" t="s">
        <v>277</v>
      </c>
      <c r="K322" s="312">
        <v>24886</v>
      </c>
      <c r="L322" s="279"/>
      <c r="T322" s="280" t="s">
        <v>1178</v>
      </c>
      <c r="U322" s="550">
        <v>0.58124999999999993</v>
      </c>
      <c r="V322" s="550">
        <v>0.73472222222222217</v>
      </c>
    </row>
    <row r="323" spans="1:22" s="504" customFormat="1" ht="14.1" customHeight="1" x14ac:dyDescent="0.25">
      <c r="A323" s="497">
        <v>17052024</v>
      </c>
      <c r="B323" s="504" t="s">
        <v>875</v>
      </c>
      <c r="C323" s="498" t="s">
        <v>410</v>
      </c>
      <c r="D323" s="499">
        <v>45429</v>
      </c>
      <c r="F323" s="498" t="s">
        <v>2036</v>
      </c>
      <c r="H323" s="498" t="s">
        <v>279</v>
      </c>
      <c r="K323" s="505">
        <v>26904</v>
      </c>
      <c r="L323" s="506"/>
      <c r="T323" s="507" t="s">
        <v>4186</v>
      </c>
      <c r="U323" s="502">
        <v>0.60277777777777775</v>
      </c>
      <c r="V323" s="502">
        <v>0.73125000000000007</v>
      </c>
    </row>
    <row r="324" spans="1:22" s="504" customFormat="1" x14ac:dyDescent="0.25">
      <c r="A324" s="497">
        <v>17052024</v>
      </c>
      <c r="B324" s="504" t="s">
        <v>1720</v>
      </c>
      <c r="C324" s="498" t="s">
        <v>13</v>
      </c>
      <c r="D324" s="499">
        <v>45429</v>
      </c>
      <c r="F324" s="498" t="s">
        <v>545</v>
      </c>
      <c r="H324" s="498" t="s">
        <v>277</v>
      </c>
      <c r="K324" s="505">
        <v>25016</v>
      </c>
      <c r="L324" s="506"/>
      <c r="T324" s="507" t="s">
        <v>4071</v>
      </c>
      <c r="U324" s="502">
        <v>0.68263888888888891</v>
      </c>
      <c r="V324" s="502">
        <v>0.81666666666666676</v>
      </c>
    </row>
    <row r="325" spans="1:22" s="504" customFormat="1" x14ac:dyDescent="0.25">
      <c r="A325" s="497">
        <v>17052024</v>
      </c>
      <c r="B325" s="504" t="s">
        <v>1720</v>
      </c>
      <c r="C325" s="498" t="s">
        <v>410</v>
      </c>
      <c r="D325" s="499">
        <v>45429</v>
      </c>
      <c r="F325" s="498" t="s">
        <v>545</v>
      </c>
      <c r="H325" s="498" t="s">
        <v>279</v>
      </c>
      <c r="K325" s="505">
        <v>34456</v>
      </c>
      <c r="L325" s="506"/>
      <c r="T325" s="507" t="s">
        <v>2050</v>
      </c>
      <c r="U325" s="502">
        <v>0.84444444444444444</v>
      </c>
      <c r="V325" s="502">
        <v>0.51250000000000007</v>
      </c>
    </row>
    <row r="326" spans="1:22" s="504" customFormat="1" x14ac:dyDescent="0.25">
      <c r="A326" s="497">
        <v>18052024</v>
      </c>
      <c r="B326" s="504" t="s">
        <v>1720</v>
      </c>
      <c r="C326" s="498" t="s">
        <v>13</v>
      </c>
      <c r="D326" s="499">
        <v>45430</v>
      </c>
      <c r="F326" s="498" t="s">
        <v>545</v>
      </c>
      <c r="H326" s="498" t="s">
        <v>277</v>
      </c>
      <c r="K326" s="505">
        <v>25016</v>
      </c>
      <c r="L326" s="506"/>
      <c r="T326" s="507" t="s">
        <v>2050</v>
      </c>
      <c r="U326" s="502">
        <v>3.9583333333333331E-2</v>
      </c>
      <c r="V326" s="502">
        <v>0.16041666666666668</v>
      </c>
    </row>
    <row r="327" spans="1:22" s="33" customFormat="1" x14ac:dyDescent="0.25">
      <c r="A327" s="547">
        <v>18052024</v>
      </c>
      <c r="B327" s="33" t="s">
        <v>4196</v>
      </c>
      <c r="C327" s="306" t="s">
        <v>809</v>
      </c>
      <c r="D327" s="548">
        <v>45430</v>
      </c>
      <c r="F327" s="306" t="s">
        <v>285</v>
      </c>
      <c r="H327" s="306" t="s">
        <v>279</v>
      </c>
      <c r="K327" s="312">
        <v>45430</v>
      </c>
      <c r="L327" s="279"/>
      <c r="T327" s="280" t="s">
        <v>4198</v>
      </c>
      <c r="U327" s="550">
        <v>0.26597222222222222</v>
      </c>
      <c r="V327" s="550">
        <v>0.58611111111111114</v>
      </c>
    </row>
    <row r="328" spans="1:22" s="418" customFormat="1" x14ac:dyDescent="0.25">
      <c r="A328" s="624">
        <v>18052024</v>
      </c>
      <c r="B328" s="418" t="s">
        <v>611</v>
      </c>
      <c r="C328" s="420" t="s">
        <v>410</v>
      </c>
      <c r="D328" s="602">
        <v>45430</v>
      </c>
      <c r="F328" s="420" t="s">
        <v>143</v>
      </c>
      <c r="H328" s="420" t="s">
        <v>279</v>
      </c>
      <c r="K328" s="421">
        <v>35400</v>
      </c>
      <c r="L328" s="422"/>
      <c r="T328" s="423" t="s">
        <v>4139</v>
      </c>
      <c r="U328" s="604">
        <v>0.44444444444444442</v>
      </c>
      <c r="V328" s="604">
        <v>0.63750000000000007</v>
      </c>
    </row>
    <row r="329" spans="1:22" s="660" customFormat="1" x14ac:dyDescent="0.25">
      <c r="A329" s="659">
        <v>18052024</v>
      </c>
      <c r="B329" s="660" t="s">
        <v>3457</v>
      </c>
      <c r="C329" s="661" t="s">
        <v>13</v>
      </c>
      <c r="D329" s="662">
        <v>45430</v>
      </c>
      <c r="F329" s="661" t="s">
        <v>317</v>
      </c>
      <c r="H329" s="661" t="s">
        <v>279</v>
      </c>
      <c r="K329" s="663">
        <v>47860.800000000003</v>
      </c>
      <c r="L329" s="664"/>
      <c r="T329" s="665" t="s">
        <v>4202</v>
      </c>
      <c r="U329" s="666">
        <v>0.32777777777777778</v>
      </c>
      <c r="V329" s="666">
        <v>0.73819444444444438</v>
      </c>
    </row>
    <row r="330" spans="1:22" s="504" customFormat="1" x14ac:dyDescent="0.25">
      <c r="A330" s="497">
        <v>19052024</v>
      </c>
      <c r="B330" s="504" t="s">
        <v>1720</v>
      </c>
      <c r="C330" s="498" t="s">
        <v>809</v>
      </c>
      <c r="D330" s="499">
        <v>45431</v>
      </c>
      <c r="F330" s="498" t="s">
        <v>545</v>
      </c>
      <c r="H330" s="498" t="s">
        <v>277</v>
      </c>
      <c r="K330" s="505">
        <v>25016</v>
      </c>
      <c r="L330" s="506"/>
      <c r="T330" s="507" t="s">
        <v>1178</v>
      </c>
      <c r="U330" s="502">
        <v>0.29444444444444445</v>
      </c>
      <c r="V330" s="502">
        <v>0.52152777777777781</v>
      </c>
    </row>
    <row r="331" spans="1:22" s="504" customFormat="1" x14ac:dyDescent="0.25">
      <c r="A331" s="497">
        <v>19052024</v>
      </c>
      <c r="B331" s="504" t="s">
        <v>1720</v>
      </c>
      <c r="C331" s="498" t="s">
        <v>809</v>
      </c>
      <c r="D331" s="499">
        <v>45431</v>
      </c>
      <c r="F331" s="498" t="s">
        <v>545</v>
      </c>
      <c r="H331" s="498" t="s">
        <v>277</v>
      </c>
      <c r="K331" s="505">
        <v>25016</v>
      </c>
      <c r="L331" s="506"/>
      <c r="T331" s="507" t="s">
        <v>1178</v>
      </c>
      <c r="U331" s="502">
        <v>13.2</v>
      </c>
      <c r="V331" s="502" t="s">
        <v>4199</v>
      </c>
    </row>
    <row r="332" spans="1:22" s="504" customFormat="1" x14ac:dyDescent="0.25">
      <c r="A332" s="497">
        <v>20052024</v>
      </c>
      <c r="B332" s="504" t="s">
        <v>4032</v>
      </c>
      <c r="C332" s="498" t="s">
        <v>13</v>
      </c>
      <c r="D332" s="499">
        <v>45432</v>
      </c>
      <c r="F332" s="498" t="s">
        <v>545</v>
      </c>
      <c r="H332" s="498" t="s">
        <v>277</v>
      </c>
      <c r="K332" s="505">
        <v>32284.400000000001</v>
      </c>
      <c r="L332" s="506"/>
      <c r="T332" s="507" t="s">
        <v>4095</v>
      </c>
      <c r="U332" s="502">
        <v>0.70763888888888893</v>
      </c>
      <c r="V332" s="502">
        <v>0.91111111111111109</v>
      </c>
    </row>
    <row r="333" spans="1:22" s="504" customFormat="1" x14ac:dyDescent="0.25">
      <c r="A333" s="497">
        <v>20052024</v>
      </c>
      <c r="B333" s="504" t="s">
        <v>1720</v>
      </c>
      <c r="C333" s="498" t="s">
        <v>410</v>
      </c>
      <c r="D333" s="499">
        <v>45432</v>
      </c>
      <c r="F333" s="498" t="s">
        <v>545</v>
      </c>
      <c r="H333" s="498" t="s">
        <v>279</v>
      </c>
      <c r="K333" s="505">
        <v>25016</v>
      </c>
      <c r="L333" s="506"/>
      <c r="T333" s="507" t="s">
        <v>4203</v>
      </c>
      <c r="U333" s="502">
        <v>0.79999999999999993</v>
      </c>
      <c r="V333" s="502">
        <v>0.93888888888888899</v>
      </c>
    </row>
    <row r="334" spans="1:22" s="33" customFormat="1" x14ac:dyDescent="0.25">
      <c r="A334" s="547">
        <v>21052024</v>
      </c>
      <c r="B334" s="33" t="s">
        <v>4201</v>
      </c>
      <c r="C334" s="306" t="s">
        <v>13</v>
      </c>
      <c r="D334" s="548">
        <v>45433</v>
      </c>
      <c r="F334" s="306" t="s">
        <v>4200</v>
      </c>
      <c r="H334" s="306" t="s">
        <v>279</v>
      </c>
      <c r="K334" s="312">
        <v>45690</v>
      </c>
      <c r="L334" s="279"/>
      <c r="T334" s="280" t="s">
        <v>922</v>
      </c>
      <c r="U334" s="550">
        <v>0.38472222222222219</v>
      </c>
      <c r="V334" s="550">
        <v>13.44</v>
      </c>
    </row>
    <row r="335" spans="1:22" s="33" customFormat="1" x14ac:dyDescent="0.25">
      <c r="A335" s="547">
        <v>21052024</v>
      </c>
      <c r="B335" s="33" t="s">
        <v>614</v>
      </c>
      <c r="C335" s="306" t="s">
        <v>410</v>
      </c>
      <c r="D335" s="548">
        <v>45433</v>
      </c>
      <c r="F335" s="306" t="s">
        <v>236</v>
      </c>
      <c r="H335" s="306" t="s">
        <v>279</v>
      </c>
      <c r="K335" s="312">
        <v>62304</v>
      </c>
      <c r="L335" s="279"/>
      <c r="T335" s="280" t="s">
        <v>4139</v>
      </c>
      <c r="U335" s="550">
        <v>0.25347222222222221</v>
      </c>
      <c r="V335" s="550">
        <v>13.08</v>
      </c>
    </row>
    <row r="336" spans="1:22" s="504" customFormat="1" x14ac:dyDescent="0.25">
      <c r="A336" s="497">
        <v>22052024</v>
      </c>
      <c r="B336" s="504" t="s">
        <v>1720</v>
      </c>
      <c r="C336" s="498" t="s">
        <v>410</v>
      </c>
      <c r="D336" s="499">
        <v>45434</v>
      </c>
      <c r="F336" s="498" t="s">
        <v>545</v>
      </c>
      <c r="H336" s="498" t="s">
        <v>277</v>
      </c>
      <c r="K336" s="505">
        <v>25016</v>
      </c>
      <c r="L336" s="506"/>
      <c r="T336" s="507" t="s">
        <v>3463</v>
      </c>
      <c r="U336" s="502">
        <v>0.7895833333333333</v>
      </c>
      <c r="V336" s="502">
        <v>0.91041666666666676</v>
      </c>
    </row>
    <row r="337" spans="1:22" s="504" customFormat="1" x14ac:dyDescent="0.25">
      <c r="A337" s="497">
        <v>23052024</v>
      </c>
      <c r="B337" s="504" t="s">
        <v>4217</v>
      </c>
      <c r="C337" s="498" t="s">
        <v>4218</v>
      </c>
      <c r="D337" s="499">
        <v>45435</v>
      </c>
      <c r="F337" s="498" t="s">
        <v>798</v>
      </c>
      <c r="H337" s="498" t="s">
        <v>279</v>
      </c>
      <c r="K337" s="505">
        <v>27260</v>
      </c>
      <c r="L337" s="506"/>
      <c r="T337" s="507" t="s">
        <v>4095</v>
      </c>
      <c r="U337" s="502">
        <v>0.55763888888888891</v>
      </c>
      <c r="V337" s="502">
        <v>0.72291666666666676</v>
      </c>
    </row>
    <row r="338" spans="1:22" s="33" customFormat="1" x14ac:dyDescent="0.25">
      <c r="A338" s="547">
        <v>24052024</v>
      </c>
      <c r="B338" s="33" t="s">
        <v>4124</v>
      </c>
      <c r="C338" s="306" t="s">
        <v>4218</v>
      </c>
      <c r="D338" s="548">
        <v>45436</v>
      </c>
      <c r="F338" s="306" t="s">
        <v>236</v>
      </c>
      <c r="H338" s="306" t="s">
        <v>279</v>
      </c>
      <c r="K338" s="312">
        <v>58231</v>
      </c>
      <c r="L338" s="279"/>
      <c r="T338" s="280" t="s">
        <v>4095</v>
      </c>
      <c r="U338" s="550">
        <v>0.2638888888888889</v>
      </c>
      <c r="V338" s="550">
        <v>0.55694444444444446</v>
      </c>
    </row>
    <row r="339" spans="1:22" s="33" customFormat="1" x14ac:dyDescent="0.25">
      <c r="A339" s="547">
        <v>25052024</v>
      </c>
      <c r="B339" s="33" t="s">
        <v>614</v>
      </c>
      <c r="C339" s="306" t="s">
        <v>4218</v>
      </c>
      <c r="D339" s="548">
        <v>45437</v>
      </c>
      <c r="F339" s="306" t="s">
        <v>4225</v>
      </c>
      <c r="H339" s="306" t="s">
        <v>279</v>
      </c>
      <c r="K339" s="312">
        <v>62304</v>
      </c>
      <c r="L339" s="279"/>
      <c r="T339" s="280" t="s">
        <v>4095</v>
      </c>
      <c r="U339" s="550">
        <v>0.4375</v>
      </c>
      <c r="V339" s="550">
        <v>0.73402777777777783</v>
      </c>
    </row>
    <row r="340" spans="1:22" s="33" customFormat="1" x14ac:dyDescent="0.25">
      <c r="A340" s="547">
        <v>25052024</v>
      </c>
      <c r="B340" s="33" t="s">
        <v>614</v>
      </c>
      <c r="C340" s="306" t="s">
        <v>13</v>
      </c>
      <c r="D340" s="548">
        <v>45437</v>
      </c>
      <c r="F340" s="306" t="s">
        <v>106</v>
      </c>
      <c r="H340" s="306" t="s">
        <v>279</v>
      </c>
      <c r="K340" s="312">
        <v>31152</v>
      </c>
      <c r="L340" s="279"/>
      <c r="T340" s="280" t="s">
        <v>1506</v>
      </c>
      <c r="U340" s="550">
        <v>0.25416666666666665</v>
      </c>
      <c r="V340" s="550">
        <v>0.4513888888888889</v>
      </c>
    </row>
    <row r="341" spans="1:22" s="33" customFormat="1" x14ac:dyDescent="0.25">
      <c r="A341" s="547">
        <v>26052024</v>
      </c>
      <c r="B341" s="33" t="s">
        <v>930</v>
      </c>
      <c r="C341" s="306" t="s">
        <v>13</v>
      </c>
      <c r="D341" s="548">
        <v>45438</v>
      </c>
      <c r="F341" s="306" t="s">
        <v>3342</v>
      </c>
      <c r="H341" s="306" t="s">
        <v>277</v>
      </c>
      <c r="K341" s="312">
        <v>24886</v>
      </c>
      <c r="L341" s="279"/>
      <c r="T341" s="280" t="s">
        <v>922</v>
      </c>
      <c r="U341" s="550">
        <v>0.64722222222222225</v>
      </c>
      <c r="V341" s="550">
        <v>0.79513888888888884</v>
      </c>
    </row>
    <row r="342" spans="1:22" s="504" customFormat="1" x14ac:dyDescent="0.25">
      <c r="A342" s="497">
        <v>27052024</v>
      </c>
      <c r="B342" s="504" t="s">
        <v>4226</v>
      </c>
      <c r="C342" s="498" t="s">
        <v>13</v>
      </c>
      <c r="D342" s="499">
        <v>45439</v>
      </c>
      <c r="F342" s="498" t="s">
        <v>4200</v>
      </c>
      <c r="H342" s="498" t="s">
        <v>279</v>
      </c>
      <c r="K342" s="505">
        <v>40710</v>
      </c>
      <c r="L342" s="506"/>
      <c r="T342" s="507" t="s">
        <v>4139</v>
      </c>
      <c r="U342" s="502">
        <v>0.5083333333333333</v>
      </c>
      <c r="V342" s="502">
        <v>0.77500000000000002</v>
      </c>
    </row>
    <row r="343" spans="1:22" s="33" customFormat="1" x14ac:dyDescent="0.25">
      <c r="A343" s="547">
        <v>27052024</v>
      </c>
      <c r="B343" s="33" t="s">
        <v>4032</v>
      </c>
      <c r="C343" s="306" t="s">
        <v>809</v>
      </c>
      <c r="D343" s="548">
        <v>45439</v>
      </c>
      <c r="F343" s="306" t="s">
        <v>545</v>
      </c>
      <c r="H343" s="306" t="s">
        <v>277</v>
      </c>
      <c r="K343" s="312">
        <v>23200</v>
      </c>
      <c r="L343" s="279"/>
      <c r="T343" s="280" t="s">
        <v>4241</v>
      </c>
      <c r="U343" s="550">
        <v>0.66736111111111107</v>
      </c>
      <c r="V343" s="550">
        <v>0.7270833333333333</v>
      </c>
    </row>
    <row r="344" spans="1:22" s="504" customFormat="1" x14ac:dyDescent="0.25">
      <c r="A344" s="497">
        <v>28052024</v>
      </c>
      <c r="B344" s="504" t="s">
        <v>3383</v>
      </c>
      <c r="C344" s="498" t="s">
        <v>410</v>
      </c>
      <c r="D344" s="499">
        <v>45440</v>
      </c>
      <c r="F344" s="498" t="s">
        <v>861</v>
      </c>
      <c r="H344" s="498" t="s">
        <v>279</v>
      </c>
      <c r="K344" s="505">
        <v>34200</v>
      </c>
      <c r="L344" s="506"/>
      <c r="T344" s="507" t="s">
        <v>4232</v>
      </c>
      <c r="U344" s="502">
        <v>0.3215277777777778</v>
      </c>
      <c r="V344" s="502">
        <v>0.53125</v>
      </c>
    </row>
    <row r="345" spans="1:22" s="504" customFormat="1" x14ac:dyDescent="0.25">
      <c r="A345" s="497">
        <v>28052024</v>
      </c>
      <c r="B345" s="504" t="s">
        <v>930</v>
      </c>
      <c r="C345" s="498" t="s">
        <v>410</v>
      </c>
      <c r="D345" s="499">
        <v>45440</v>
      </c>
      <c r="F345" s="498" t="s">
        <v>294</v>
      </c>
      <c r="H345" s="498" t="s">
        <v>279</v>
      </c>
      <c r="K345" s="505">
        <v>33182</v>
      </c>
      <c r="L345" s="506"/>
      <c r="T345" s="507" t="s">
        <v>2380</v>
      </c>
      <c r="U345" s="502">
        <v>0.76041666666666663</v>
      </c>
      <c r="V345" s="502">
        <v>0.97152777777777777</v>
      </c>
    </row>
    <row r="346" spans="1:22" s="504" customFormat="1" x14ac:dyDescent="0.25">
      <c r="A346" s="497">
        <v>29052024</v>
      </c>
      <c r="B346" s="504" t="s">
        <v>930</v>
      </c>
      <c r="C346" s="498" t="s">
        <v>13</v>
      </c>
      <c r="D346" s="499">
        <v>45441</v>
      </c>
      <c r="F346" s="498" t="s">
        <v>294</v>
      </c>
      <c r="H346" s="498" t="s">
        <v>279</v>
      </c>
      <c r="K346" s="505">
        <v>33182</v>
      </c>
      <c r="L346" s="506"/>
      <c r="T346" s="507" t="s">
        <v>4095</v>
      </c>
      <c r="U346" s="502">
        <v>0.61388888888888882</v>
      </c>
      <c r="V346" s="502">
        <v>0.81041666666666667</v>
      </c>
    </row>
    <row r="347" spans="1:22" s="504" customFormat="1" x14ac:dyDescent="0.25">
      <c r="A347" s="497">
        <v>29052024</v>
      </c>
      <c r="B347" s="504" t="s">
        <v>1907</v>
      </c>
      <c r="C347" s="498" t="s">
        <v>4218</v>
      </c>
      <c r="D347" s="499">
        <v>45441</v>
      </c>
      <c r="F347" s="498" t="s">
        <v>207</v>
      </c>
      <c r="H347" s="498" t="s">
        <v>279</v>
      </c>
      <c r="K347" s="505"/>
      <c r="L347" s="506">
        <v>7080</v>
      </c>
      <c r="T347" s="507" t="s">
        <v>3408</v>
      </c>
      <c r="U347" s="502">
        <v>0.27430555555555552</v>
      </c>
      <c r="V347" s="502">
        <v>0.44861111111111113</v>
      </c>
    </row>
    <row r="348" spans="1:22" s="33" customFormat="1" x14ac:dyDescent="0.25">
      <c r="A348" s="547">
        <v>29052024</v>
      </c>
      <c r="B348" s="33" t="s">
        <v>2227</v>
      </c>
      <c r="C348" s="306" t="s">
        <v>410</v>
      </c>
      <c r="D348" s="548">
        <v>45441</v>
      </c>
      <c r="F348" s="306" t="s">
        <v>106</v>
      </c>
      <c r="H348" s="306" t="s">
        <v>279</v>
      </c>
      <c r="K348" s="312">
        <v>28000</v>
      </c>
      <c r="L348" s="279"/>
      <c r="T348" s="280" t="s">
        <v>1506</v>
      </c>
      <c r="U348" s="550">
        <v>0.2638888888888889</v>
      </c>
      <c r="V348" s="550">
        <v>0.4597222222222222</v>
      </c>
    </row>
    <row r="349" spans="1:22" s="33" customFormat="1" x14ac:dyDescent="0.25">
      <c r="A349" s="547">
        <v>30052024</v>
      </c>
      <c r="B349" s="33" t="s">
        <v>607</v>
      </c>
      <c r="C349" s="306" t="s">
        <v>410</v>
      </c>
      <c r="D349" s="548">
        <v>45442</v>
      </c>
      <c r="F349" s="306" t="s">
        <v>207</v>
      </c>
      <c r="H349" s="306" t="s">
        <v>279</v>
      </c>
      <c r="K349" s="312">
        <v>36253.14</v>
      </c>
      <c r="L349" s="279"/>
      <c r="T349" s="280" t="s">
        <v>4097</v>
      </c>
      <c r="U349" s="550">
        <v>0.45277777777777778</v>
      </c>
      <c r="V349" s="550">
        <v>0.65555555555555556</v>
      </c>
    </row>
    <row r="350" spans="1:22" s="33" customFormat="1" x14ac:dyDescent="0.25">
      <c r="A350" s="547">
        <v>31052024</v>
      </c>
      <c r="B350" s="33" t="s">
        <v>4251</v>
      </c>
      <c r="C350" s="306" t="s">
        <v>410</v>
      </c>
      <c r="D350" s="548">
        <v>45443</v>
      </c>
      <c r="F350" s="306" t="s">
        <v>4200</v>
      </c>
      <c r="H350" s="306" t="s">
        <v>279</v>
      </c>
      <c r="K350" s="312">
        <v>40710</v>
      </c>
      <c r="L350" s="279"/>
      <c r="T350" s="280" t="s">
        <v>1644</v>
      </c>
      <c r="U350" s="550">
        <v>0.44861111111111113</v>
      </c>
      <c r="V350" s="550">
        <v>0.6972222222222223</v>
      </c>
    </row>
    <row r="351" spans="1:22" s="33" customFormat="1" x14ac:dyDescent="0.25">
      <c r="A351" s="547">
        <v>31052024</v>
      </c>
      <c r="B351" s="33" t="s">
        <v>4201</v>
      </c>
      <c r="C351" s="306" t="s">
        <v>13</v>
      </c>
      <c r="D351" s="548">
        <v>45443</v>
      </c>
      <c r="F351" s="306" t="s">
        <v>4200</v>
      </c>
      <c r="H351" s="306" t="s">
        <v>279</v>
      </c>
      <c r="K351" s="312">
        <v>41200</v>
      </c>
      <c r="L351" s="279"/>
      <c r="T351" s="280" t="s">
        <v>4139</v>
      </c>
      <c r="U351" s="550">
        <v>9.4499999999999993</v>
      </c>
      <c r="V351" s="550">
        <v>0.60902777777777783</v>
      </c>
    </row>
    <row r="352" spans="1:22" x14ac:dyDescent="0.25">
      <c r="A352" s="483"/>
      <c r="D352" s="233"/>
      <c r="T352" s="14"/>
      <c r="U352" s="360"/>
      <c r="V352" s="360"/>
    </row>
    <row r="353" spans="1:22" x14ac:dyDescent="0.25">
      <c r="A353" s="483"/>
      <c r="D353" s="233"/>
      <c r="K353" s="313"/>
      <c r="L353" s="88"/>
      <c r="M353" s="149"/>
      <c r="T353" s="14"/>
      <c r="U353" s="360"/>
      <c r="V353" s="360"/>
    </row>
    <row r="354" spans="1:22" x14ac:dyDescent="0.25">
      <c r="A354" s="483"/>
      <c r="D354" s="233"/>
      <c r="K354" s="313"/>
      <c r="L354" s="88"/>
      <c r="M354" s="313"/>
      <c r="N354" s="88"/>
      <c r="T354" s="14"/>
      <c r="U354" s="360"/>
      <c r="V354" s="360"/>
    </row>
    <row r="355" spans="1:22" x14ac:dyDescent="0.25">
      <c r="A355" s="483"/>
      <c r="D355" s="233"/>
      <c r="K355" s="313"/>
      <c r="L355" s="88"/>
      <c r="T355" s="14"/>
      <c r="U355" s="360"/>
      <c r="V355" s="360"/>
    </row>
    <row r="356" spans="1:22" x14ac:dyDescent="0.25">
      <c r="A356" s="509"/>
      <c r="D356" s="233"/>
      <c r="K356" s="500">
        <f>SUM(K285:K355)</f>
        <v>2476731.08</v>
      </c>
      <c r="L356" s="500">
        <f>SUM(L285:L355)</f>
        <v>13275</v>
      </c>
      <c r="T356" s="14"/>
      <c r="U356" s="360"/>
      <c r="V356" s="360"/>
    </row>
    <row r="357" spans="1:22" x14ac:dyDescent="0.25">
      <c r="A357" s="509"/>
      <c r="D357" s="233"/>
      <c r="K357" s="251"/>
      <c r="L357" s="251"/>
      <c r="T357" s="14"/>
      <c r="U357" s="360"/>
      <c r="V357" s="360"/>
    </row>
    <row r="358" spans="1:22" x14ac:dyDescent="0.25">
      <c r="A358" s="509"/>
      <c r="D358" s="233"/>
      <c r="K358" s="251"/>
      <c r="L358" s="251"/>
      <c r="T358" s="14"/>
      <c r="U358" s="360"/>
      <c r="V358" s="360"/>
    </row>
    <row r="359" spans="1:22" x14ac:dyDescent="0.25">
      <c r="A359" s="509"/>
      <c r="D359" s="233"/>
      <c r="K359" s="251"/>
      <c r="L359" s="251"/>
      <c r="T359" s="14"/>
      <c r="U359" s="360"/>
      <c r="V359" s="360"/>
    </row>
    <row r="360" spans="1:22" s="504" customFormat="1" x14ac:dyDescent="0.25">
      <c r="A360" s="535" t="s">
        <v>4247</v>
      </c>
      <c r="B360" s="504" t="s">
        <v>614</v>
      </c>
      <c r="C360" s="498" t="s">
        <v>13</v>
      </c>
      <c r="D360" s="499">
        <v>45444</v>
      </c>
      <c r="F360" s="498" t="s">
        <v>2008</v>
      </c>
      <c r="H360" s="498" t="s">
        <v>279</v>
      </c>
      <c r="K360" s="500">
        <v>55035.199999999997</v>
      </c>
      <c r="L360" s="500"/>
      <c r="T360" s="507" t="s">
        <v>2380</v>
      </c>
      <c r="U360" s="502">
        <v>0.2673611111111111</v>
      </c>
      <c r="V360" s="502">
        <v>0.56944444444444442</v>
      </c>
    </row>
    <row r="361" spans="1:22" s="504" customFormat="1" x14ac:dyDescent="0.25">
      <c r="A361" s="535" t="s">
        <v>4247</v>
      </c>
      <c r="B361" s="504" t="s">
        <v>4249</v>
      </c>
      <c r="C361" s="498" t="s">
        <v>4218</v>
      </c>
      <c r="D361" s="499">
        <v>45444</v>
      </c>
      <c r="F361" s="498" t="s">
        <v>207</v>
      </c>
      <c r="H361" s="498" t="s">
        <v>279</v>
      </c>
      <c r="K361" s="500"/>
      <c r="L361" s="504">
        <v>9440</v>
      </c>
      <c r="T361" s="507" t="s">
        <v>3151</v>
      </c>
      <c r="U361" s="502">
        <v>0.27638888888888885</v>
      </c>
      <c r="V361" s="502">
        <v>12.09</v>
      </c>
    </row>
    <row r="362" spans="1:22" s="504" customFormat="1" x14ac:dyDescent="0.25">
      <c r="A362" s="535" t="s">
        <v>4246</v>
      </c>
      <c r="B362" s="504" t="s">
        <v>4250</v>
      </c>
      <c r="C362" s="498" t="s">
        <v>13</v>
      </c>
      <c r="D362" s="499">
        <v>45445</v>
      </c>
      <c r="F362" s="499" t="s">
        <v>2437</v>
      </c>
      <c r="H362" s="498" t="s">
        <v>279</v>
      </c>
      <c r="K362" s="500">
        <v>25110</v>
      </c>
      <c r="L362" s="500"/>
      <c r="T362" s="507" t="s">
        <v>4071</v>
      </c>
      <c r="U362" s="502">
        <v>6.27</v>
      </c>
      <c r="V362" s="502">
        <v>0.53055555555555556</v>
      </c>
    </row>
    <row r="363" spans="1:22" s="504" customFormat="1" x14ac:dyDescent="0.25">
      <c r="A363" s="535" t="s">
        <v>4246</v>
      </c>
      <c r="B363" s="504" t="s">
        <v>614</v>
      </c>
      <c r="C363" s="498" t="s">
        <v>410</v>
      </c>
      <c r="D363" s="499">
        <v>45445</v>
      </c>
      <c r="F363" s="498" t="s">
        <v>143</v>
      </c>
      <c r="H363" s="498" t="s">
        <v>279</v>
      </c>
      <c r="K363" s="500">
        <v>43612.800000000003</v>
      </c>
      <c r="L363" s="500"/>
      <c r="T363" s="507" t="s">
        <v>4138</v>
      </c>
      <c r="U363" s="502">
        <v>0.41944444444444445</v>
      </c>
      <c r="V363" s="502">
        <v>0.60972222222222217</v>
      </c>
    </row>
    <row r="364" spans="1:22" s="504" customFormat="1" x14ac:dyDescent="0.25">
      <c r="A364" s="535" t="s">
        <v>4245</v>
      </c>
      <c r="B364" s="504" t="s">
        <v>1720</v>
      </c>
      <c r="C364" s="498" t="s">
        <v>4218</v>
      </c>
      <c r="D364" s="499">
        <v>45446</v>
      </c>
      <c r="F364" s="498" t="s">
        <v>545</v>
      </c>
      <c r="H364" s="498" t="s">
        <v>277</v>
      </c>
      <c r="K364" s="500">
        <v>25016</v>
      </c>
      <c r="L364" s="500"/>
      <c r="T364" s="507" t="s">
        <v>3151</v>
      </c>
      <c r="U364" s="502">
        <v>0.50555555555555554</v>
      </c>
      <c r="V364" s="502">
        <v>0.65555555555555556</v>
      </c>
    </row>
    <row r="365" spans="1:22" s="504" customFormat="1" x14ac:dyDescent="0.25">
      <c r="A365" s="535" t="s">
        <v>4245</v>
      </c>
      <c r="B365" s="504" t="s">
        <v>1720</v>
      </c>
      <c r="C365" s="498" t="s">
        <v>410</v>
      </c>
      <c r="D365" s="499">
        <v>45446</v>
      </c>
      <c r="F365" s="498" t="s">
        <v>545</v>
      </c>
      <c r="H365" s="498" t="s">
        <v>277</v>
      </c>
      <c r="K365" s="500">
        <v>25016</v>
      </c>
      <c r="L365" s="500"/>
      <c r="T365" s="507" t="s">
        <v>3151</v>
      </c>
      <c r="U365" s="502">
        <v>0.67152777777777783</v>
      </c>
      <c r="V365" s="502">
        <v>0.7909722222222223</v>
      </c>
    </row>
    <row r="366" spans="1:22" s="504" customFormat="1" x14ac:dyDescent="0.25">
      <c r="A366" s="535" t="s">
        <v>4245</v>
      </c>
      <c r="B366" s="504" t="s">
        <v>1720</v>
      </c>
      <c r="C366" s="498" t="s">
        <v>410</v>
      </c>
      <c r="D366" s="499">
        <v>45446</v>
      </c>
      <c r="F366" s="498" t="s">
        <v>545</v>
      </c>
      <c r="H366" s="498" t="s">
        <v>277</v>
      </c>
      <c r="K366" s="500">
        <v>25016</v>
      </c>
      <c r="L366" s="500"/>
      <c r="T366" s="507" t="s">
        <v>3151</v>
      </c>
      <c r="U366" s="502">
        <v>0.83333333333333337</v>
      </c>
      <c r="V366" s="502">
        <v>0.96388888888888891</v>
      </c>
    </row>
    <row r="367" spans="1:22" s="504" customFormat="1" x14ac:dyDescent="0.25">
      <c r="A367" s="535" t="s">
        <v>4252</v>
      </c>
      <c r="B367" s="504" t="s">
        <v>4253</v>
      </c>
      <c r="C367" s="498" t="s">
        <v>410</v>
      </c>
      <c r="D367" s="499">
        <v>45447</v>
      </c>
      <c r="F367" s="498" t="s">
        <v>143</v>
      </c>
      <c r="H367" s="498" t="s">
        <v>279</v>
      </c>
      <c r="K367" s="500">
        <v>36750</v>
      </c>
      <c r="L367" s="500"/>
      <c r="T367" s="507" t="s">
        <v>2050</v>
      </c>
      <c r="U367" s="502">
        <v>0.60277777777777775</v>
      </c>
      <c r="V367" s="502">
        <v>0.82708333333333339</v>
      </c>
    </row>
    <row r="368" spans="1:22" s="504" customFormat="1" x14ac:dyDescent="0.25">
      <c r="A368" s="535" t="s">
        <v>4256</v>
      </c>
      <c r="B368" s="504" t="s">
        <v>608</v>
      </c>
      <c r="C368" s="498" t="s">
        <v>13</v>
      </c>
      <c r="D368" s="499">
        <v>45448</v>
      </c>
      <c r="F368" s="498" t="s">
        <v>236</v>
      </c>
      <c r="H368" s="498" t="s">
        <v>279</v>
      </c>
      <c r="K368" s="500">
        <v>58231</v>
      </c>
      <c r="L368" s="500"/>
      <c r="T368" s="507" t="s">
        <v>4138</v>
      </c>
      <c r="U368" s="502">
        <v>0.66111111111111109</v>
      </c>
      <c r="V368" s="502">
        <v>0.97569444444444453</v>
      </c>
    </row>
    <row r="369" spans="1:22" s="504" customFormat="1" x14ac:dyDescent="0.25">
      <c r="A369" s="535" t="s">
        <v>4256</v>
      </c>
      <c r="B369" s="504" t="s">
        <v>2769</v>
      </c>
      <c r="C369" s="498" t="s">
        <v>410</v>
      </c>
      <c r="D369" s="499">
        <v>45448</v>
      </c>
      <c r="F369" s="498" t="s">
        <v>236</v>
      </c>
      <c r="H369" s="498" t="s">
        <v>279</v>
      </c>
      <c r="K369" s="500">
        <v>62540</v>
      </c>
      <c r="L369" s="500"/>
      <c r="T369" s="507" t="s">
        <v>4071</v>
      </c>
      <c r="U369" s="502">
        <v>0.78263888888888899</v>
      </c>
      <c r="V369" s="502">
        <v>6.6666666666666666E-2</v>
      </c>
    </row>
    <row r="370" spans="1:22" s="504" customFormat="1" x14ac:dyDescent="0.25">
      <c r="A370" s="535" t="s">
        <v>4256</v>
      </c>
      <c r="B370" s="504" t="s">
        <v>4257</v>
      </c>
      <c r="C370" s="498" t="s">
        <v>4218</v>
      </c>
      <c r="D370" s="499">
        <v>45448</v>
      </c>
      <c r="F370" s="498" t="s">
        <v>1985</v>
      </c>
      <c r="H370" s="498" t="s">
        <v>279</v>
      </c>
      <c r="K370" s="500">
        <v>61450</v>
      </c>
      <c r="L370" s="500"/>
      <c r="T370" s="507" t="s">
        <v>3151</v>
      </c>
      <c r="U370" s="502">
        <v>0.80902777777777779</v>
      </c>
      <c r="V370" s="502">
        <v>0.11597222222222221</v>
      </c>
    </row>
    <row r="371" spans="1:22" s="504" customFormat="1" x14ac:dyDescent="0.25">
      <c r="A371" s="535" t="s">
        <v>4258</v>
      </c>
      <c r="B371" s="504" t="s">
        <v>1720</v>
      </c>
      <c r="C371" s="498" t="s">
        <v>410</v>
      </c>
      <c r="D371" s="499">
        <v>45449</v>
      </c>
      <c r="F371" s="498" t="s">
        <v>545</v>
      </c>
      <c r="H371" s="498" t="s">
        <v>277</v>
      </c>
      <c r="K371" s="500">
        <v>25016</v>
      </c>
      <c r="L371" s="500"/>
      <c r="T371" s="507" t="s">
        <v>2050</v>
      </c>
      <c r="U371" s="502">
        <v>0.58472222222222225</v>
      </c>
      <c r="V371" s="502">
        <v>0.7055555555555556</v>
      </c>
    </row>
    <row r="372" spans="1:22" s="504" customFormat="1" x14ac:dyDescent="0.25">
      <c r="A372" s="535" t="s">
        <v>4258</v>
      </c>
      <c r="B372" s="504" t="s">
        <v>4032</v>
      </c>
      <c r="C372" s="498" t="s">
        <v>410</v>
      </c>
      <c r="D372" s="499">
        <v>45449</v>
      </c>
      <c r="F372" s="498" t="s">
        <v>545</v>
      </c>
      <c r="H372" s="498" t="s">
        <v>279</v>
      </c>
      <c r="K372" s="500">
        <v>32284.400000000001</v>
      </c>
      <c r="L372" s="500"/>
      <c r="T372" s="507" t="s">
        <v>4259</v>
      </c>
      <c r="U372" s="502">
        <v>0.80625000000000002</v>
      </c>
      <c r="V372" s="502">
        <v>2.7777777777777779E-3</v>
      </c>
    </row>
    <row r="373" spans="1:22" s="504" customFormat="1" x14ac:dyDescent="0.25">
      <c r="A373" s="535" t="s">
        <v>4260</v>
      </c>
      <c r="B373" s="504" t="s">
        <v>930</v>
      </c>
      <c r="C373" s="498" t="s">
        <v>13</v>
      </c>
      <c r="D373" s="499">
        <v>45450</v>
      </c>
      <c r="F373" s="498" t="s">
        <v>4261</v>
      </c>
      <c r="H373" s="498" t="s">
        <v>279</v>
      </c>
      <c r="K373" s="500">
        <v>33182</v>
      </c>
      <c r="L373" s="500"/>
      <c r="T373" s="507" t="s">
        <v>4138</v>
      </c>
      <c r="U373" s="502">
        <v>0.2951388888888889</v>
      </c>
      <c r="V373" s="502">
        <v>0.4777777777777778</v>
      </c>
    </row>
    <row r="374" spans="1:22" s="504" customFormat="1" x14ac:dyDescent="0.25">
      <c r="A374" s="535" t="s">
        <v>4265</v>
      </c>
      <c r="B374" s="504" t="s">
        <v>4266</v>
      </c>
      <c r="C374" s="498" t="s">
        <v>13</v>
      </c>
      <c r="D374" s="499">
        <v>45451</v>
      </c>
      <c r="F374" s="498" t="s">
        <v>2008</v>
      </c>
      <c r="H374" s="498" t="s">
        <v>279</v>
      </c>
      <c r="K374" s="500">
        <v>47250</v>
      </c>
      <c r="L374" s="500"/>
      <c r="T374" s="507" t="s">
        <v>4071</v>
      </c>
      <c r="U374" s="502">
        <v>0.29722222222222222</v>
      </c>
      <c r="V374" s="502">
        <v>0.62152777777777779</v>
      </c>
    </row>
    <row r="375" spans="1:22" s="504" customFormat="1" x14ac:dyDescent="0.25">
      <c r="A375" s="535" t="s">
        <v>4265</v>
      </c>
      <c r="B375" s="504" t="s">
        <v>614</v>
      </c>
      <c r="C375" s="498" t="s">
        <v>410</v>
      </c>
      <c r="D375" s="499">
        <v>45451</v>
      </c>
      <c r="F375" s="498" t="s">
        <v>1985</v>
      </c>
      <c r="H375" s="498" t="s">
        <v>279</v>
      </c>
      <c r="K375" s="500">
        <v>62304</v>
      </c>
      <c r="L375" s="500"/>
      <c r="T375" s="507" t="s">
        <v>2050</v>
      </c>
      <c r="U375" s="502">
        <v>0.37291666666666662</v>
      </c>
      <c r="V375" s="502">
        <v>0.65486111111111112</v>
      </c>
    </row>
    <row r="376" spans="1:22" s="418" customFormat="1" x14ac:dyDescent="0.25">
      <c r="A376" s="601" t="s">
        <v>4262</v>
      </c>
      <c r="B376" s="418" t="s">
        <v>4263</v>
      </c>
      <c r="C376" s="420" t="s">
        <v>13</v>
      </c>
      <c r="D376" s="602">
        <v>45452</v>
      </c>
      <c r="F376" s="420" t="s">
        <v>68</v>
      </c>
      <c r="H376" s="420" t="s">
        <v>279</v>
      </c>
      <c r="K376" s="603">
        <v>43046.400000000001</v>
      </c>
      <c r="L376" s="603"/>
      <c r="T376" s="423" t="s">
        <v>4095</v>
      </c>
      <c r="U376" s="604">
        <v>0.29652777777777778</v>
      </c>
      <c r="V376" s="604">
        <v>0.54861111111111105</v>
      </c>
    </row>
    <row r="377" spans="1:22" s="504" customFormat="1" x14ac:dyDescent="0.25">
      <c r="A377" s="535" t="s">
        <v>4262</v>
      </c>
      <c r="B377" s="504" t="s">
        <v>3276</v>
      </c>
      <c r="C377" s="498" t="s">
        <v>410</v>
      </c>
      <c r="D377" s="499">
        <v>45452</v>
      </c>
      <c r="F377" s="498" t="s">
        <v>294</v>
      </c>
      <c r="H377" s="498" t="s">
        <v>279</v>
      </c>
      <c r="K377" s="500">
        <v>39600</v>
      </c>
      <c r="L377" s="500"/>
      <c r="T377" s="507" t="s">
        <v>4138</v>
      </c>
      <c r="U377" s="502">
        <v>0.40763888888888888</v>
      </c>
      <c r="V377" s="502">
        <v>0.59375</v>
      </c>
    </row>
    <row r="378" spans="1:22" s="33" customFormat="1" x14ac:dyDescent="0.25">
      <c r="A378" s="544" t="s">
        <v>4262</v>
      </c>
      <c r="B378" s="33" t="s">
        <v>4264</v>
      </c>
      <c r="C378" s="306" t="s">
        <v>4218</v>
      </c>
      <c r="D378" s="548">
        <v>45452</v>
      </c>
      <c r="F378" s="306" t="s">
        <v>1985</v>
      </c>
      <c r="H378" s="306" t="s">
        <v>279</v>
      </c>
      <c r="K378" s="549">
        <v>56168</v>
      </c>
      <c r="L378" s="549"/>
      <c r="T378" s="280" t="s">
        <v>3151</v>
      </c>
      <c r="U378" s="550">
        <v>0.43124999999999997</v>
      </c>
      <c r="V378" s="550">
        <v>0.70486111111111116</v>
      </c>
    </row>
    <row r="379" spans="1:22" s="504" customFormat="1" x14ac:dyDescent="0.25">
      <c r="A379" s="535">
        <v>10062024</v>
      </c>
      <c r="B379" s="504" t="s">
        <v>930</v>
      </c>
      <c r="C379" s="498" t="s">
        <v>13</v>
      </c>
      <c r="D379" s="499">
        <v>45453</v>
      </c>
      <c r="F379" s="498" t="s">
        <v>294</v>
      </c>
      <c r="H379" s="498" t="s">
        <v>279</v>
      </c>
      <c r="K379" s="500">
        <v>33182</v>
      </c>
      <c r="L379" s="500"/>
      <c r="T379" s="507" t="s">
        <v>2050</v>
      </c>
      <c r="U379" s="502">
        <v>0.32013888888888892</v>
      </c>
      <c r="V379" s="502">
        <v>0.50763888888888886</v>
      </c>
    </row>
    <row r="380" spans="1:22" s="418" customFormat="1" x14ac:dyDescent="0.25">
      <c r="A380" s="601">
        <v>10062024</v>
      </c>
      <c r="B380" s="418" t="s">
        <v>4201</v>
      </c>
      <c r="C380" s="420" t="s">
        <v>4218</v>
      </c>
      <c r="D380" s="602">
        <v>45453</v>
      </c>
      <c r="F380" s="420" t="s">
        <v>4200</v>
      </c>
      <c r="H380" s="420" t="s">
        <v>279</v>
      </c>
      <c r="K380" s="603">
        <v>41200</v>
      </c>
      <c r="L380" s="603"/>
      <c r="T380" s="423" t="s">
        <v>3151</v>
      </c>
      <c r="U380" s="604">
        <v>0.38958333333333334</v>
      </c>
      <c r="V380" s="604">
        <v>0.56597222222222221</v>
      </c>
    </row>
    <row r="381" spans="1:22" s="504" customFormat="1" x14ac:dyDescent="0.25">
      <c r="A381" s="535">
        <v>10062024</v>
      </c>
      <c r="B381" s="504" t="s">
        <v>1720</v>
      </c>
      <c r="C381" s="498" t="s">
        <v>410</v>
      </c>
      <c r="D381" s="499">
        <v>45453</v>
      </c>
      <c r="F381" s="498" t="s">
        <v>545</v>
      </c>
      <c r="H381" s="498" t="s">
        <v>277</v>
      </c>
      <c r="K381" s="500">
        <v>25016</v>
      </c>
      <c r="L381" s="500"/>
      <c r="T381" s="507" t="s">
        <v>4071</v>
      </c>
      <c r="U381" s="502">
        <v>10.3</v>
      </c>
      <c r="V381" s="502">
        <v>0.55347222222222225</v>
      </c>
    </row>
    <row r="382" spans="1:22" s="504" customFormat="1" x14ac:dyDescent="0.25">
      <c r="A382" s="535">
        <v>11062024</v>
      </c>
      <c r="B382" s="504" t="s">
        <v>610</v>
      </c>
      <c r="C382" s="498" t="s">
        <v>13</v>
      </c>
      <c r="D382" s="499">
        <v>45454</v>
      </c>
      <c r="F382" s="498" t="s">
        <v>106</v>
      </c>
      <c r="H382" s="498" t="s">
        <v>279</v>
      </c>
      <c r="K382" s="500">
        <v>29770</v>
      </c>
      <c r="L382" s="500"/>
      <c r="T382" s="507" t="s">
        <v>4277</v>
      </c>
      <c r="U382" s="502">
        <v>0.25277777777777777</v>
      </c>
      <c r="V382" s="502">
        <v>0.38263888888888892</v>
      </c>
    </row>
    <row r="383" spans="1:22" s="504" customFormat="1" x14ac:dyDescent="0.25">
      <c r="A383" s="535">
        <v>11062024</v>
      </c>
      <c r="B383" s="504" t="s">
        <v>4296</v>
      </c>
      <c r="C383" s="498" t="s">
        <v>13</v>
      </c>
      <c r="D383" s="499">
        <v>45454</v>
      </c>
      <c r="F383" s="498" t="s">
        <v>143</v>
      </c>
      <c r="H383" s="498" t="s">
        <v>279</v>
      </c>
      <c r="K383" s="500">
        <v>36750</v>
      </c>
      <c r="L383" s="500"/>
      <c r="T383" s="507" t="s">
        <v>4297</v>
      </c>
      <c r="U383" s="502">
        <v>0.63958333333333328</v>
      </c>
      <c r="V383" s="502">
        <v>0.87013888888888891</v>
      </c>
    </row>
    <row r="384" spans="1:22" s="504" customFormat="1" x14ac:dyDescent="0.25">
      <c r="A384" s="535">
        <v>11062024</v>
      </c>
      <c r="B384" s="504" t="s">
        <v>2739</v>
      </c>
      <c r="C384" s="498" t="s">
        <v>410</v>
      </c>
      <c r="D384" s="499">
        <v>45454</v>
      </c>
      <c r="F384" s="498" t="s">
        <v>2107</v>
      </c>
      <c r="H384" s="498" t="s">
        <v>279</v>
      </c>
      <c r="K384" s="500">
        <v>29880</v>
      </c>
      <c r="L384" s="500"/>
      <c r="T384" s="507" t="s">
        <v>4138</v>
      </c>
      <c r="U384" s="502">
        <v>0.36805555555555558</v>
      </c>
      <c r="V384" s="502">
        <v>0.50347222222222221</v>
      </c>
    </row>
    <row r="385" spans="1:22" s="504" customFormat="1" x14ac:dyDescent="0.25">
      <c r="A385" s="535">
        <v>12062024</v>
      </c>
      <c r="B385" s="504" t="s">
        <v>607</v>
      </c>
      <c r="C385" s="498" t="s">
        <v>410</v>
      </c>
      <c r="D385" s="499">
        <v>45455</v>
      </c>
      <c r="F385" s="498" t="s">
        <v>207</v>
      </c>
      <c r="H385" s="498" t="s">
        <v>279</v>
      </c>
      <c r="K385" s="500">
        <v>36253.14</v>
      </c>
      <c r="L385" s="500"/>
      <c r="T385" s="507" t="s">
        <v>4295</v>
      </c>
      <c r="U385" s="502">
        <v>0.45902777777777781</v>
      </c>
      <c r="V385" s="502">
        <v>0.66041666666666665</v>
      </c>
    </row>
    <row r="386" spans="1:22" s="504" customFormat="1" x14ac:dyDescent="0.25">
      <c r="A386" s="535">
        <v>12062024</v>
      </c>
      <c r="B386" s="504" t="s">
        <v>3276</v>
      </c>
      <c r="C386" s="498" t="s">
        <v>13</v>
      </c>
      <c r="D386" s="499">
        <v>45455</v>
      </c>
      <c r="F386" s="498" t="s">
        <v>872</v>
      </c>
      <c r="H386" s="498" t="s">
        <v>279</v>
      </c>
      <c r="K386" s="500">
        <v>39600</v>
      </c>
      <c r="L386" s="500"/>
      <c r="T386" s="507" t="s">
        <v>4022</v>
      </c>
      <c r="U386" s="502">
        <v>0.33055555555555555</v>
      </c>
      <c r="V386" s="502">
        <v>0.57777777777777783</v>
      </c>
    </row>
    <row r="387" spans="1:22" s="504" customFormat="1" x14ac:dyDescent="0.25">
      <c r="A387" s="535">
        <v>12062024</v>
      </c>
      <c r="B387" s="504" t="s">
        <v>608</v>
      </c>
      <c r="C387" s="498" t="s">
        <v>4218</v>
      </c>
      <c r="D387" s="499">
        <v>45455</v>
      </c>
      <c r="F387" s="498" t="s">
        <v>236</v>
      </c>
      <c r="H387" s="498" t="s">
        <v>279</v>
      </c>
      <c r="K387" s="500">
        <v>58231</v>
      </c>
      <c r="L387" s="500"/>
      <c r="T387" s="507" t="s">
        <v>2050</v>
      </c>
      <c r="U387" s="502">
        <v>0.63541666666666663</v>
      </c>
      <c r="V387" s="502">
        <v>0.9145833333333333</v>
      </c>
    </row>
    <row r="388" spans="1:22" s="504" customFormat="1" x14ac:dyDescent="0.25">
      <c r="A388" s="535">
        <v>13062024</v>
      </c>
      <c r="B388" s="504" t="s">
        <v>930</v>
      </c>
      <c r="C388" s="498" t="s">
        <v>4218</v>
      </c>
      <c r="D388" s="499">
        <v>45456</v>
      </c>
      <c r="F388" s="498" t="s">
        <v>294</v>
      </c>
      <c r="H388" s="498" t="s">
        <v>279</v>
      </c>
      <c r="K388" s="500">
        <v>33182</v>
      </c>
      <c r="L388" s="500"/>
      <c r="T388" s="507" t="s">
        <v>3151</v>
      </c>
      <c r="U388" s="502">
        <v>0.60277777777777775</v>
      </c>
      <c r="V388" s="502">
        <v>0.78402777777777777</v>
      </c>
    </row>
    <row r="389" spans="1:22" s="504" customFormat="1" x14ac:dyDescent="0.25">
      <c r="A389" s="535">
        <v>13062024</v>
      </c>
      <c r="B389" s="504" t="s">
        <v>4032</v>
      </c>
      <c r="C389" s="498" t="s">
        <v>13</v>
      </c>
      <c r="D389" s="499">
        <v>45456</v>
      </c>
      <c r="F389" s="498" t="s">
        <v>545</v>
      </c>
      <c r="H389" s="498" t="s">
        <v>279</v>
      </c>
      <c r="K389" s="500">
        <v>32284.400000000001</v>
      </c>
      <c r="L389" s="500"/>
      <c r="T389" s="507" t="s">
        <v>4139</v>
      </c>
      <c r="U389" s="502">
        <v>0.48819444444444443</v>
      </c>
      <c r="V389" s="502">
        <v>0.16319444444444445</v>
      </c>
    </row>
    <row r="390" spans="1:22" s="33" customFormat="1" x14ac:dyDescent="0.25">
      <c r="A390" s="544">
        <v>14062024</v>
      </c>
      <c r="B390" s="33" t="s">
        <v>614</v>
      </c>
      <c r="C390" s="306" t="s">
        <v>13</v>
      </c>
      <c r="D390" s="548">
        <v>45457</v>
      </c>
      <c r="F390" s="306" t="s">
        <v>113</v>
      </c>
      <c r="H390" s="306" t="s">
        <v>279</v>
      </c>
      <c r="K390" s="549">
        <v>33228.800000000003</v>
      </c>
      <c r="L390" s="549"/>
      <c r="T390" s="280" t="s">
        <v>4070</v>
      </c>
      <c r="U390" s="550">
        <v>0.3743055555555555</v>
      </c>
      <c r="V390" s="550">
        <v>0.59444444444444444</v>
      </c>
    </row>
    <row r="391" spans="1:22" s="504" customFormat="1" x14ac:dyDescent="0.25">
      <c r="A391" s="535">
        <v>14062024</v>
      </c>
      <c r="B391" s="504" t="s">
        <v>1720</v>
      </c>
      <c r="C391" s="498" t="s">
        <v>410</v>
      </c>
      <c r="D391" s="499">
        <v>45457</v>
      </c>
      <c r="F391" s="498" t="s">
        <v>545</v>
      </c>
      <c r="H391" s="498" t="s">
        <v>277</v>
      </c>
      <c r="K391" s="500">
        <v>25016</v>
      </c>
      <c r="L391" s="500"/>
      <c r="T391" s="507" t="s">
        <v>4277</v>
      </c>
      <c r="U391" s="502">
        <v>0.71180555555555547</v>
      </c>
      <c r="V391" s="502">
        <v>0.84236111111111101</v>
      </c>
    </row>
    <row r="392" spans="1:22" s="504" customFormat="1" x14ac:dyDescent="0.25">
      <c r="A392" s="535">
        <v>15062024</v>
      </c>
      <c r="B392" s="504" t="s">
        <v>4346</v>
      </c>
      <c r="C392" s="498" t="s">
        <v>13</v>
      </c>
      <c r="D392" s="499">
        <v>45458</v>
      </c>
      <c r="F392" s="498" t="s">
        <v>207</v>
      </c>
      <c r="H392" s="498" t="s">
        <v>279</v>
      </c>
      <c r="K392" s="500"/>
      <c r="L392" s="500">
        <f>9440*1.05</f>
        <v>9912</v>
      </c>
      <c r="T392" s="507" t="s">
        <v>4022</v>
      </c>
      <c r="U392" s="502">
        <v>0.26666666666666666</v>
      </c>
      <c r="V392" s="502">
        <v>0.47430555555555554</v>
      </c>
    </row>
    <row r="393" spans="1:22" s="33" customFormat="1" x14ac:dyDescent="0.25">
      <c r="A393" s="544">
        <v>15062024</v>
      </c>
      <c r="B393" s="33" t="s">
        <v>4347</v>
      </c>
      <c r="C393" s="306" t="s">
        <v>4218</v>
      </c>
      <c r="D393" s="548">
        <v>45458</v>
      </c>
      <c r="F393" s="306" t="s">
        <v>4344</v>
      </c>
      <c r="H393" s="306" t="s">
        <v>1141</v>
      </c>
      <c r="K393" s="549"/>
      <c r="L393" s="279">
        <f>5000+3180</f>
        <v>8180</v>
      </c>
      <c r="T393" s="280" t="s">
        <v>3151</v>
      </c>
      <c r="U393" s="550">
        <v>0.38194444444444442</v>
      </c>
      <c r="V393" s="550">
        <v>0.73749999999999993</v>
      </c>
    </row>
    <row r="394" spans="1:22" s="408" customFormat="1" x14ac:dyDescent="0.25">
      <c r="A394" s="768">
        <v>15062024</v>
      </c>
      <c r="B394" s="408" t="s">
        <v>4201</v>
      </c>
      <c r="C394" s="410" t="s">
        <v>410</v>
      </c>
      <c r="D394" s="763">
        <v>45458</v>
      </c>
      <c r="F394" s="410" t="s">
        <v>4200</v>
      </c>
      <c r="H394" s="410" t="s">
        <v>279</v>
      </c>
      <c r="K394" s="769">
        <v>41200</v>
      </c>
      <c r="L394" s="769"/>
      <c r="T394" s="413" t="s">
        <v>3572</v>
      </c>
      <c r="U394" s="764">
        <v>0.4152777777777778</v>
      </c>
      <c r="V394" s="764">
        <v>0.59444444444444444</v>
      </c>
    </row>
    <row r="395" spans="1:22" s="504" customFormat="1" x14ac:dyDescent="0.25">
      <c r="A395" s="535">
        <v>15062024</v>
      </c>
      <c r="B395" s="504" t="s">
        <v>610</v>
      </c>
      <c r="C395" s="498" t="s">
        <v>13</v>
      </c>
      <c r="D395" s="499">
        <v>45458</v>
      </c>
      <c r="F395" s="498" t="s">
        <v>106</v>
      </c>
      <c r="H395" s="498" t="s">
        <v>279</v>
      </c>
      <c r="K395" s="500">
        <v>29770</v>
      </c>
      <c r="L395" s="500"/>
      <c r="T395" s="507" t="s">
        <v>4022</v>
      </c>
      <c r="U395" s="502">
        <v>0.52638888888888891</v>
      </c>
      <c r="V395" s="502">
        <v>0.70208333333333339</v>
      </c>
    </row>
    <row r="396" spans="1:22" s="504" customFormat="1" x14ac:dyDescent="0.25">
      <c r="A396" s="535">
        <v>16062024</v>
      </c>
      <c r="B396" s="504" t="s">
        <v>608</v>
      </c>
      <c r="C396" s="498" t="s">
        <v>13</v>
      </c>
      <c r="D396" s="499">
        <v>45459</v>
      </c>
      <c r="F396" s="498" t="s">
        <v>236</v>
      </c>
      <c r="H396" s="498" t="s">
        <v>279</v>
      </c>
      <c r="K396" s="500">
        <v>58231</v>
      </c>
      <c r="L396" s="500"/>
      <c r="T396" s="507" t="s">
        <v>1506</v>
      </c>
      <c r="U396" s="502">
        <v>1.3194444444444444E-2</v>
      </c>
      <c r="V396" s="502">
        <v>0.28680555555555554</v>
      </c>
    </row>
    <row r="397" spans="1:22" s="504" customFormat="1" x14ac:dyDescent="0.25">
      <c r="A397" s="535">
        <v>17062024</v>
      </c>
      <c r="B397" s="504" t="s">
        <v>1720</v>
      </c>
      <c r="C397" s="498" t="s">
        <v>13</v>
      </c>
      <c r="D397" s="499">
        <v>45460</v>
      </c>
      <c r="F397" s="498" t="s">
        <v>545</v>
      </c>
      <c r="H397" s="498" t="s">
        <v>277</v>
      </c>
      <c r="K397" s="500">
        <v>25016</v>
      </c>
      <c r="L397" s="500"/>
      <c r="T397" s="507" t="s">
        <v>4345</v>
      </c>
      <c r="U397" s="502">
        <v>0.43958333333333338</v>
      </c>
      <c r="V397" s="502">
        <v>0.58750000000000002</v>
      </c>
    </row>
    <row r="398" spans="1:22" s="504" customFormat="1" x14ac:dyDescent="0.25">
      <c r="A398" s="535">
        <v>18062024</v>
      </c>
      <c r="B398" s="504" t="s">
        <v>610</v>
      </c>
      <c r="C398" s="498" t="s">
        <v>410</v>
      </c>
      <c r="D398" s="499">
        <v>45461</v>
      </c>
      <c r="F398" s="498" t="s">
        <v>106</v>
      </c>
      <c r="H398" s="498" t="s">
        <v>279</v>
      </c>
      <c r="K398" s="500">
        <v>29770</v>
      </c>
      <c r="L398" s="500"/>
      <c r="T398" s="507" t="s">
        <v>2050</v>
      </c>
      <c r="U398" s="502">
        <v>0.25416666666666665</v>
      </c>
      <c r="V398" s="502">
        <v>0.41041666666666665</v>
      </c>
    </row>
    <row r="399" spans="1:22" s="418" customFormat="1" x14ac:dyDescent="0.25">
      <c r="A399" s="601">
        <v>18062024</v>
      </c>
      <c r="B399" s="418" t="s">
        <v>3236</v>
      </c>
      <c r="C399" s="420" t="s">
        <v>13</v>
      </c>
      <c r="D399" s="602">
        <v>45461</v>
      </c>
      <c r="F399" s="420" t="s">
        <v>68</v>
      </c>
      <c r="H399" s="420" t="s">
        <v>279</v>
      </c>
      <c r="K399" s="603">
        <v>43046.400000000001</v>
      </c>
      <c r="L399" s="603"/>
      <c r="T399" s="423" t="s">
        <v>3408</v>
      </c>
      <c r="U399" s="604">
        <v>0.33194444444444443</v>
      </c>
      <c r="V399" s="604">
        <v>0.64097222222222217</v>
      </c>
    </row>
    <row r="400" spans="1:22" s="504" customFormat="1" x14ac:dyDescent="0.25">
      <c r="A400" s="535">
        <v>18062024</v>
      </c>
      <c r="B400" s="504" t="s">
        <v>614</v>
      </c>
      <c r="C400" s="498" t="s">
        <v>410</v>
      </c>
      <c r="D400" s="499">
        <v>45461</v>
      </c>
      <c r="F400" s="498" t="s">
        <v>317</v>
      </c>
      <c r="H400" s="498" t="s">
        <v>279</v>
      </c>
      <c r="K400" s="500">
        <v>53996.800000000003</v>
      </c>
      <c r="L400" s="500"/>
      <c r="T400" s="507" t="s">
        <v>4139</v>
      </c>
      <c r="U400" s="502">
        <v>0.53263888888888888</v>
      </c>
      <c r="V400" s="502">
        <v>0.77638888888888891</v>
      </c>
    </row>
    <row r="401" spans="1:22" s="504" customFormat="1" x14ac:dyDescent="0.25">
      <c r="A401" s="535">
        <v>18062024</v>
      </c>
      <c r="B401" s="504" t="s">
        <v>1720</v>
      </c>
      <c r="C401" s="498" t="s">
        <v>4218</v>
      </c>
      <c r="D401" s="499">
        <v>45461</v>
      </c>
      <c r="F401" s="498" t="s">
        <v>545</v>
      </c>
      <c r="H401" s="498" t="s">
        <v>277</v>
      </c>
      <c r="K401" s="500">
        <v>25016</v>
      </c>
      <c r="L401" s="500"/>
      <c r="T401" s="507" t="s">
        <v>4097</v>
      </c>
      <c r="U401" s="502">
        <v>0.69027777777777777</v>
      </c>
      <c r="V401" s="502">
        <v>19.43</v>
      </c>
    </row>
    <row r="402" spans="1:22" s="504" customFormat="1" ht="14.1" customHeight="1" x14ac:dyDescent="0.25">
      <c r="A402" s="535">
        <v>19062024</v>
      </c>
      <c r="B402" s="504" t="s">
        <v>614</v>
      </c>
      <c r="C402" s="498" t="s">
        <v>13</v>
      </c>
      <c r="D402" s="499">
        <v>45462</v>
      </c>
      <c r="F402" s="498" t="s">
        <v>1744</v>
      </c>
      <c r="H402" s="498" t="s">
        <v>279</v>
      </c>
      <c r="K402" s="500">
        <v>62304</v>
      </c>
      <c r="L402" s="500"/>
      <c r="T402" s="507" t="s">
        <v>4365</v>
      </c>
      <c r="U402" s="502">
        <v>0.32500000000000001</v>
      </c>
      <c r="V402" s="502">
        <v>0.56666666666666665</v>
      </c>
    </row>
    <row r="403" spans="1:22" s="504" customFormat="1" x14ac:dyDescent="0.25">
      <c r="A403" s="535">
        <v>19062024</v>
      </c>
      <c r="B403" s="504" t="s">
        <v>1720</v>
      </c>
      <c r="C403" s="498" t="s">
        <v>410</v>
      </c>
      <c r="D403" s="499">
        <v>45462</v>
      </c>
      <c r="F403" s="498" t="s">
        <v>545</v>
      </c>
      <c r="H403" s="498" t="s">
        <v>277</v>
      </c>
      <c r="K403" s="500">
        <v>25016</v>
      </c>
      <c r="L403" s="500"/>
      <c r="T403" s="507" t="s">
        <v>4071</v>
      </c>
      <c r="U403" s="502">
        <v>0.77708333333333324</v>
      </c>
      <c r="V403" s="502">
        <v>0.89722222222222225</v>
      </c>
    </row>
    <row r="404" spans="1:22" s="33" customFormat="1" x14ac:dyDescent="0.25">
      <c r="A404" s="544">
        <v>19062024</v>
      </c>
      <c r="B404" s="33" t="s">
        <v>614</v>
      </c>
      <c r="C404" s="306" t="s">
        <v>13</v>
      </c>
      <c r="D404" s="548">
        <v>45462</v>
      </c>
      <c r="F404" s="306" t="s">
        <v>143</v>
      </c>
      <c r="H404" s="306" t="s">
        <v>279</v>
      </c>
      <c r="K404" s="549">
        <v>43612.800000000003</v>
      </c>
      <c r="L404" s="549"/>
      <c r="T404" s="280" t="s">
        <v>4376</v>
      </c>
      <c r="U404" s="550">
        <v>0.74513888888888891</v>
      </c>
      <c r="V404" s="550">
        <v>0.9472222222222223</v>
      </c>
    </row>
    <row r="405" spans="1:22" s="33" customFormat="1" x14ac:dyDescent="0.25">
      <c r="A405" s="544">
        <v>20062024</v>
      </c>
      <c r="B405" s="33" t="s">
        <v>614</v>
      </c>
      <c r="C405" s="306" t="s">
        <v>4218</v>
      </c>
      <c r="D405" s="548">
        <v>45463</v>
      </c>
      <c r="F405" s="306" t="s">
        <v>113</v>
      </c>
      <c r="H405" s="306" t="s">
        <v>279</v>
      </c>
      <c r="K405" s="549">
        <v>44651.199999999997</v>
      </c>
      <c r="L405" s="549"/>
      <c r="T405" s="280" t="s">
        <v>4377</v>
      </c>
      <c r="U405" s="550">
        <v>0.33611111111111108</v>
      </c>
      <c r="V405" s="550">
        <v>13.04</v>
      </c>
    </row>
    <row r="406" spans="1:22" s="504" customFormat="1" x14ac:dyDescent="0.25">
      <c r="A406" s="535">
        <v>20062024</v>
      </c>
      <c r="B406" s="504" t="s">
        <v>607</v>
      </c>
      <c r="C406" s="498" t="s">
        <v>13</v>
      </c>
      <c r="D406" s="499">
        <v>45463</v>
      </c>
      <c r="F406" s="498" t="s">
        <v>207</v>
      </c>
      <c r="H406" s="498" t="s">
        <v>279</v>
      </c>
      <c r="K406" s="500">
        <v>36253.14</v>
      </c>
      <c r="L406" s="500"/>
      <c r="T406" s="507" t="s">
        <v>4139</v>
      </c>
      <c r="U406" s="502">
        <v>0.52708333333333335</v>
      </c>
      <c r="V406" s="502">
        <v>0.73125000000000007</v>
      </c>
    </row>
    <row r="407" spans="1:22" s="504" customFormat="1" x14ac:dyDescent="0.25">
      <c r="A407" s="535">
        <v>20062024</v>
      </c>
      <c r="B407" s="504" t="s">
        <v>1076</v>
      </c>
      <c r="C407" s="498" t="s">
        <v>410</v>
      </c>
      <c r="D407" s="499">
        <v>45463</v>
      </c>
      <c r="F407" s="498" t="s">
        <v>294</v>
      </c>
      <c r="H407" s="498" t="s">
        <v>277</v>
      </c>
      <c r="K407" s="500">
        <v>24886</v>
      </c>
      <c r="L407" s="500"/>
      <c r="T407" s="507" t="s">
        <v>2050</v>
      </c>
      <c r="U407" s="502">
        <v>0.42708333333333331</v>
      </c>
      <c r="V407" s="502">
        <v>0.60763888888888895</v>
      </c>
    </row>
    <row r="408" spans="1:22" s="33" customFormat="1" ht="14.1" customHeight="1" x14ac:dyDescent="0.25">
      <c r="A408" s="544">
        <v>21062024</v>
      </c>
      <c r="B408" s="33" t="s">
        <v>930</v>
      </c>
      <c r="C408" s="306" t="s">
        <v>3932</v>
      </c>
      <c r="D408" s="548">
        <v>45464</v>
      </c>
      <c r="F408" s="306" t="s">
        <v>295</v>
      </c>
      <c r="H408" s="306" t="s">
        <v>277</v>
      </c>
      <c r="K408" s="549">
        <v>29000</v>
      </c>
      <c r="L408" s="549"/>
      <c r="T408" s="280"/>
      <c r="U408" s="550"/>
      <c r="V408" s="550"/>
    </row>
    <row r="409" spans="1:22" s="33" customFormat="1" x14ac:dyDescent="0.25">
      <c r="A409" s="544">
        <v>21062024</v>
      </c>
      <c r="B409" s="33" t="s">
        <v>614</v>
      </c>
      <c r="C409" s="306" t="s">
        <v>410</v>
      </c>
      <c r="D409" s="548">
        <v>45464</v>
      </c>
      <c r="F409" s="306" t="s">
        <v>236</v>
      </c>
      <c r="H409" s="306" t="s">
        <v>279</v>
      </c>
      <c r="K409" s="549">
        <v>62304</v>
      </c>
      <c r="L409" s="549"/>
      <c r="T409" s="280" t="s">
        <v>4397</v>
      </c>
      <c r="U409" s="550">
        <v>0.73888888888888893</v>
      </c>
      <c r="V409" s="550">
        <v>4.0972222222222222E-2</v>
      </c>
    </row>
    <row r="410" spans="1:22" s="504" customFormat="1" ht="15" customHeight="1" x14ac:dyDescent="0.25">
      <c r="A410" s="535">
        <v>21062024</v>
      </c>
      <c r="B410" s="504" t="s">
        <v>1720</v>
      </c>
      <c r="C410" s="498" t="s">
        <v>4218</v>
      </c>
      <c r="D410" s="499">
        <v>45464</v>
      </c>
      <c r="F410" s="498" t="s">
        <v>545</v>
      </c>
      <c r="H410" s="498" t="s">
        <v>279</v>
      </c>
      <c r="K410" s="500">
        <v>34456</v>
      </c>
      <c r="L410" s="500"/>
      <c r="T410" s="507" t="s">
        <v>4398</v>
      </c>
      <c r="U410" s="502">
        <v>0.7944444444444444</v>
      </c>
      <c r="V410" s="502">
        <v>0.46249999999999997</v>
      </c>
    </row>
    <row r="411" spans="1:22" s="504" customFormat="1" ht="15" customHeight="1" x14ac:dyDescent="0.25">
      <c r="A411" s="535">
        <v>22062024</v>
      </c>
      <c r="B411" s="504" t="s">
        <v>596</v>
      </c>
      <c r="C411" s="498" t="s">
        <v>410</v>
      </c>
      <c r="D411" s="499">
        <v>45465</v>
      </c>
      <c r="F411" s="498" t="s">
        <v>236</v>
      </c>
      <c r="H411" s="498" t="s">
        <v>277</v>
      </c>
      <c r="K411" s="506">
        <v>49173</v>
      </c>
      <c r="L411" s="500"/>
      <c r="T411" s="507" t="s">
        <v>4365</v>
      </c>
      <c r="U411" s="502">
        <v>0.30277777777777776</v>
      </c>
      <c r="V411" s="502">
        <v>0.59236111111111112</v>
      </c>
    </row>
    <row r="412" spans="1:22" s="504" customFormat="1" x14ac:dyDescent="0.25">
      <c r="A412" s="535">
        <v>22062024</v>
      </c>
      <c r="B412" s="504" t="s">
        <v>1720</v>
      </c>
      <c r="C412" s="498" t="s">
        <v>4218</v>
      </c>
      <c r="D412" s="499">
        <v>45465</v>
      </c>
      <c r="F412" s="498" t="s">
        <v>545</v>
      </c>
      <c r="H412" s="498" t="s">
        <v>277</v>
      </c>
      <c r="K412" s="500">
        <v>25016</v>
      </c>
      <c r="L412" s="500"/>
      <c r="T412" s="507" t="s">
        <v>4365</v>
      </c>
      <c r="U412" s="502">
        <v>0.63680555555555551</v>
      </c>
      <c r="V412" s="502">
        <v>0.76180555555555562</v>
      </c>
    </row>
    <row r="413" spans="1:22" s="504" customFormat="1" x14ac:dyDescent="0.25">
      <c r="A413" s="535">
        <v>22062024</v>
      </c>
      <c r="B413" s="504" t="s">
        <v>596</v>
      </c>
      <c r="C413" s="498" t="s">
        <v>13</v>
      </c>
      <c r="D413" s="499">
        <v>45465</v>
      </c>
      <c r="F413" s="498" t="s">
        <v>236</v>
      </c>
      <c r="H413" s="498" t="s">
        <v>279</v>
      </c>
      <c r="K413" s="500">
        <v>58231</v>
      </c>
      <c r="L413" s="500"/>
      <c r="T413" s="507" t="s">
        <v>4139</v>
      </c>
      <c r="U413" s="502">
        <v>0.6118055555555556</v>
      </c>
      <c r="V413" s="502">
        <v>0.89513888888888893</v>
      </c>
    </row>
    <row r="414" spans="1:22" s="504" customFormat="1" x14ac:dyDescent="0.25">
      <c r="A414" s="535">
        <v>23062024</v>
      </c>
      <c r="B414" s="504" t="s">
        <v>4187</v>
      </c>
      <c r="C414" s="498" t="s">
        <v>410</v>
      </c>
      <c r="D414" s="499">
        <v>45466</v>
      </c>
      <c r="F414" s="498" t="s">
        <v>294</v>
      </c>
      <c r="H414" s="498" t="s">
        <v>279</v>
      </c>
      <c r="K414" s="500">
        <v>36350</v>
      </c>
      <c r="L414" s="500"/>
      <c r="T414" s="507" t="s">
        <v>4397</v>
      </c>
      <c r="U414" s="502">
        <v>0.29375000000000001</v>
      </c>
      <c r="V414" s="502">
        <v>0.49583333333333335</v>
      </c>
    </row>
    <row r="415" spans="1:22" s="33" customFormat="1" x14ac:dyDescent="0.25">
      <c r="A415" s="544">
        <v>23062024</v>
      </c>
      <c r="B415" s="33" t="s">
        <v>614</v>
      </c>
      <c r="C415" s="306" t="s">
        <v>13</v>
      </c>
      <c r="D415" s="548">
        <v>45466</v>
      </c>
      <c r="F415" s="306" t="s">
        <v>861</v>
      </c>
      <c r="H415" s="306" t="s">
        <v>279</v>
      </c>
      <c r="K415" s="549">
        <v>39459.199999999997</v>
      </c>
      <c r="L415" s="549"/>
      <c r="T415" s="280" t="s">
        <v>3151</v>
      </c>
      <c r="U415" s="550">
        <v>11.18</v>
      </c>
      <c r="V415" s="550">
        <v>0.69513888888888886</v>
      </c>
    </row>
    <row r="416" spans="1:22" s="33" customFormat="1" x14ac:dyDescent="0.25">
      <c r="A416" s="544">
        <v>23062024</v>
      </c>
      <c r="B416" s="33" t="s">
        <v>2129</v>
      </c>
      <c r="C416" s="306" t="s">
        <v>410</v>
      </c>
      <c r="D416" s="548">
        <v>45466</v>
      </c>
      <c r="F416" s="306" t="s">
        <v>236</v>
      </c>
      <c r="H416" s="306" t="s">
        <v>279</v>
      </c>
      <c r="K416" s="549">
        <v>62540</v>
      </c>
      <c r="L416" s="549"/>
      <c r="T416" s="280" t="s">
        <v>2146</v>
      </c>
      <c r="U416" s="550">
        <v>0.68611111111111101</v>
      </c>
      <c r="V416" s="550">
        <v>4.4444444444444446E-2</v>
      </c>
    </row>
    <row r="417" spans="1:22" s="120" customFormat="1" x14ac:dyDescent="0.25">
      <c r="A417" s="571">
        <v>24062024</v>
      </c>
      <c r="B417" s="120" t="s">
        <v>2227</v>
      </c>
      <c r="C417" s="334" t="s">
        <v>4218</v>
      </c>
      <c r="D417" s="427">
        <v>45467</v>
      </c>
      <c r="F417" s="334" t="s">
        <v>106</v>
      </c>
      <c r="H417" s="334" t="s">
        <v>279</v>
      </c>
      <c r="K417" s="596">
        <v>28000</v>
      </c>
      <c r="L417" s="596"/>
      <c r="T417" s="336" t="s">
        <v>4396</v>
      </c>
      <c r="U417" s="597">
        <v>0.2951388888888889</v>
      </c>
      <c r="V417" s="597">
        <v>0.46666666666666662</v>
      </c>
    </row>
    <row r="418" spans="1:22" s="33" customFormat="1" x14ac:dyDescent="0.25">
      <c r="A418" s="544">
        <v>25062024</v>
      </c>
      <c r="B418" s="33" t="s">
        <v>614</v>
      </c>
      <c r="C418" s="306" t="s">
        <v>13</v>
      </c>
      <c r="D418" s="548">
        <v>45468</v>
      </c>
      <c r="F418" s="306" t="s">
        <v>2036</v>
      </c>
      <c r="H418" s="306" t="s">
        <v>279</v>
      </c>
      <c r="K418" s="549">
        <v>31152</v>
      </c>
      <c r="L418" s="549"/>
      <c r="T418" s="280" t="s">
        <v>4365</v>
      </c>
      <c r="U418" s="550">
        <v>0.44166666666666665</v>
      </c>
      <c r="V418" s="550">
        <v>0.56527777777777777</v>
      </c>
    </row>
    <row r="419" spans="1:22" s="504" customFormat="1" x14ac:dyDescent="0.25">
      <c r="A419" s="535">
        <v>26062024</v>
      </c>
      <c r="B419" s="504" t="s">
        <v>607</v>
      </c>
      <c r="C419" s="498" t="s">
        <v>13</v>
      </c>
      <c r="D419" s="499">
        <v>45469</v>
      </c>
      <c r="F419" s="498" t="s">
        <v>207</v>
      </c>
      <c r="H419" s="498" t="s">
        <v>279</v>
      </c>
      <c r="K419" s="500">
        <v>36253.14</v>
      </c>
      <c r="L419" s="500"/>
      <c r="T419" s="507" t="s">
        <v>1644</v>
      </c>
      <c r="U419" s="502">
        <v>0.28472222222222221</v>
      </c>
      <c r="V419" s="502">
        <v>0.46388888888888885</v>
      </c>
    </row>
    <row r="420" spans="1:22" s="504" customFormat="1" x14ac:dyDescent="0.25">
      <c r="A420" s="535">
        <v>26062024</v>
      </c>
      <c r="B420" s="504" t="s">
        <v>610</v>
      </c>
      <c r="C420" s="498" t="s">
        <v>410</v>
      </c>
      <c r="D420" s="499">
        <v>45469</v>
      </c>
      <c r="F420" s="498" t="s">
        <v>106</v>
      </c>
      <c r="H420" s="498" t="s">
        <v>279</v>
      </c>
      <c r="K420" s="500">
        <v>29770</v>
      </c>
      <c r="L420" s="500"/>
      <c r="T420" s="507" t="s">
        <v>4139</v>
      </c>
      <c r="U420" s="502">
        <v>0.50208333333333333</v>
      </c>
      <c r="V420" s="502">
        <v>0.74722222222222223</v>
      </c>
    </row>
    <row r="421" spans="1:22" s="504" customFormat="1" x14ac:dyDescent="0.25">
      <c r="A421" s="535">
        <v>26062024</v>
      </c>
      <c r="B421" s="504" t="s">
        <v>1720</v>
      </c>
      <c r="C421" s="498" t="s">
        <v>4218</v>
      </c>
      <c r="D421" s="499">
        <v>45469</v>
      </c>
      <c r="F421" s="498" t="s">
        <v>545</v>
      </c>
      <c r="H421" s="498" t="s">
        <v>277</v>
      </c>
      <c r="K421" s="500">
        <v>25016</v>
      </c>
      <c r="L421" s="500"/>
      <c r="T421" s="507" t="s">
        <v>4409</v>
      </c>
      <c r="U421" s="502">
        <v>0.44236111111111115</v>
      </c>
      <c r="V421" s="502">
        <v>0.56944444444444442</v>
      </c>
    </row>
    <row r="422" spans="1:22" s="504" customFormat="1" x14ac:dyDescent="0.25">
      <c r="A422" s="535">
        <v>26062024</v>
      </c>
      <c r="B422" s="504" t="s">
        <v>1720</v>
      </c>
      <c r="C422" s="498" t="s">
        <v>13</v>
      </c>
      <c r="D422" s="499">
        <v>45469</v>
      </c>
      <c r="F422" s="498" t="s">
        <v>545</v>
      </c>
      <c r="H422" s="498" t="s">
        <v>277</v>
      </c>
      <c r="K422" s="500">
        <v>25016</v>
      </c>
      <c r="L422" s="500"/>
      <c r="T422" s="507" t="s">
        <v>1644</v>
      </c>
      <c r="U422" s="502">
        <v>0.50555555555555554</v>
      </c>
      <c r="V422" s="502">
        <v>0.63750000000000007</v>
      </c>
    </row>
    <row r="423" spans="1:22" s="504" customFormat="1" x14ac:dyDescent="0.25">
      <c r="A423" s="535">
        <v>26062024</v>
      </c>
      <c r="B423" s="504" t="s">
        <v>1720</v>
      </c>
      <c r="C423" s="498" t="s">
        <v>13</v>
      </c>
      <c r="D423" s="499">
        <v>45469</v>
      </c>
      <c r="F423" s="498" t="s">
        <v>545</v>
      </c>
      <c r="H423" s="498" t="s">
        <v>277</v>
      </c>
      <c r="K423" s="500">
        <v>25016</v>
      </c>
      <c r="L423" s="500"/>
      <c r="T423" s="507" t="s">
        <v>1644</v>
      </c>
      <c r="U423" s="502">
        <v>0.75208333333333333</v>
      </c>
      <c r="V423" s="502">
        <v>0.91319444444444453</v>
      </c>
    </row>
    <row r="424" spans="1:22" s="33" customFormat="1" x14ac:dyDescent="0.25">
      <c r="A424" s="544">
        <v>27062024</v>
      </c>
      <c r="B424" s="33" t="s">
        <v>930</v>
      </c>
      <c r="C424" s="306" t="s">
        <v>3932</v>
      </c>
      <c r="D424" s="548">
        <v>45470</v>
      </c>
      <c r="F424" s="306" t="s">
        <v>293</v>
      </c>
      <c r="H424" s="306" t="s">
        <v>277</v>
      </c>
      <c r="K424" s="549">
        <v>25000</v>
      </c>
      <c r="L424" s="549"/>
      <c r="T424" s="280"/>
      <c r="U424" s="550"/>
      <c r="V424" s="550"/>
    </row>
    <row r="425" spans="1:22" s="33" customFormat="1" x14ac:dyDescent="0.25">
      <c r="A425" s="544">
        <v>27062024</v>
      </c>
      <c r="B425" s="33" t="s">
        <v>3331</v>
      </c>
      <c r="C425" s="306" t="s">
        <v>13</v>
      </c>
      <c r="D425" s="548">
        <v>45470</v>
      </c>
      <c r="F425" s="306" t="s">
        <v>2008</v>
      </c>
      <c r="H425" s="306" t="s">
        <v>279</v>
      </c>
      <c r="K425" s="549">
        <v>47250</v>
      </c>
      <c r="L425" s="549"/>
      <c r="T425" s="280" t="s">
        <v>4070</v>
      </c>
      <c r="U425" s="550">
        <v>0.2638888888888889</v>
      </c>
      <c r="V425" s="550">
        <v>0.51874999999999993</v>
      </c>
    </row>
    <row r="426" spans="1:22" s="120" customFormat="1" x14ac:dyDescent="0.25">
      <c r="A426" s="571">
        <v>27062024</v>
      </c>
      <c r="B426" s="120" t="s">
        <v>2527</v>
      </c>
      <c r="C426" s="334" t="s">
        <v>4218</v>
      </c>
      <c r="D426" s="427">
        <v>45470</v>
      </c>
      <c r="F426" s="334" t="s">
        <v>285</v>
      </c>
      <c r="H426" s="334" t="s">
        <v>279</v>
      </c>
      <c r="K426" s="596">
        <v>45430</v>
      </c>
      <c r="L426" s="596"/>
      <c r="T426" s="336" t="s">
        <v>4417</v>
      </c>
      <c r="U426" s="597">
        <v>0.44166666666666665</v>
      </c>
      <c r="V426" s="597">
        <v>0.68125000000000002</v>
      </c>
    </row>
    <row r="427" spans="1:22" s="504" customFormat="1" x14ac:dyDescent="0.25">
      <c r="A427" s="535">
        <v>27062024</v>
      </c>
      <c r="B427" s="504" t="s">
        <v>596</v>
      </c>
      <c r="C427" s="498" t="s">
        <v>4218</v>
      </c>
      <c r="D427" s="499">
        <v>45470</v>
      </c>
      <c r="F427" s="498" t="s">
        <v>236</v>
      </c>
      <c r="H427" s="498" t="s">
        <v>279</v>
      </c>
      <c r="K427" s="500">
        <v>58231</v>
      </c>
      <c r="L427" s="500"/>
      <c r="T427" s="507" t="s">
        <v>3151</v>
      </c>
      <c r="U427" s="502">
        <v>0.73333333333333339</v>
      </c>
      <c r="V427" s="502">
        <v>0.5083333333333333</v>
      </c>
    </row>
    <row r="428" spans="1:22" s="504" customFormat="1" x14ac:dyDescent="0.25">
      <c r="A428" s="535">
        <v>27062024</v>
      </c>
      <c r="B428" s="504" t="s">
        <v>596</v>
      </c>
      <c r="C428" s="498" t="s">
        <v>410</v>
      </c>
      <c r="D428" s="499">
        <v>45470</v>
      </c>
      <c r="F428" s="498" t="s">
        <v>236</v>
      </c>
      <c r="H428" s="498" t="s">
        <v>279</v>
      </c>
      <c r="K428" s="500">
        <v>58231</v>
      </c>
      <c r="L428" s="500"/>
      <c r="T428" s="507" t="s">
        <v>4277</v>
      </c>
      <c r="U428" s="502">
        <v>0.74305555555555547</v>
      </c>
      <c r="V428" s="502">
        <v>5.5555555555555552E-2</v>
      </c>
    </row>
    <row r="429" spans="1:22" s="33" customFormat="1" x14ac:dyDescent="0.25">
      <c r="A429" s="544">
        <v>28062024</v>
      </c>
      <c r="B429" s="33" t="s">
        <v>3276</v>
      </c>
      <c r="C429" s="306" t="s">
        <v>410</v>
      </c>
      <c r="D429" s="548">
        <v>45471</v>
      </c>
      <c r="F429" s="306" t="s">
        <v>872</v>
      </c>
      <c r="H429" s="306" t="s">
        <v>279</v>
      </c>
      <c r="K429" s="549">
        <v>40592</v>
      </c>
      <c r="L429" s="549"/>
      <c r="T429" s="280" t="s">
        <v>4139</v>
      </c>
      <c r="U429" s="550">
        <v>0.4777777777777778</v>
      </c>
      <c r="V429" s="550">
        <v>0.71805555555555556</v>
      </c>
    </row>
    <row r="430" spans="1:22" s="33" customFormat="1" x14ac:dyDescent="0.25">
      <c r="A430" s="544">
        <v>28062024</v>
      </c>
      <c r="B430" s="33" t="s">
        <v>607</v>
      </c>
      <c r="C430" s="306" t="s">
        <v>4218</v>
      </c>
      <c r="D430" s="548">
        <v>45471</v>
      </c>
      <c r="F430" s="306" t="s">
        <v>207</v>
      </c>
      <c r="H430" s="306" t="s">
        <v>279</v>
      </c>
      <c r="K430" s="549">
        <v>36253.14</v>
      </c>
      <c r="L430" s="549"/>
      <c r="T430" s="280" t="s">
        <v>4365</v>
      </c>
      <c r="U430" s="550">
        <v>0.54375000000000007</v>
      </c>
      <c r="V430" s="550">
        <v>0.73888888888888893</v>
      </c>
    </row>
    <row r="431" spans="1:22" s="33" customFormat="1" x14ac:dyDescent="0.25">
      <c r="A431" s="544">
        <v>28062024</v>
      </c>
      <c r="B431" s="33" t="s">
        <v>930</v>
      </c>
      <c r="C431" s="306" t="s">
        <v>809</v>
      </c>
      <c r="D431" s="548">
        <v>45471</v>
      </c>
      <c r="F431" s="306" t="s">
        <v>294</v>
      </c>
      <c r="H431" s="306" t="s">
        <v>277</v>
      </c>
      <c r="K431" s="549">
        <v>24886</v>
      </c>
      <c r="L431" s="549"/>
      <c r="T431" s="280" t="s">
        <v>4424</v>
      </c>
      <c r="U431" s="550">
        <v>0.67708333333333337</v>
      </c>
      <c r="V431" s="550">
        <v>0.87361111111111101</v>
      </c>
    </row>
    <row r="432" spans="1:22" s="33" customFormat="1" x14ac:dyDescent="0.25">
      <c r="A432" s="544">
        <v>28062024</v>
      </c>
      <c r="B432" s="33" t="s">
        <v>4257</v>
      </c>
      <c r="C432" s="306" t="s">
        <v>410</v>
      </c>
      <c r="D432" s="548">
        <v>45471</v>
      </c>
      <c r="F432" s="306" t="s">
        <v>1985</v>
      </c>
      <c r="H432" s="306" t="s">
        <v>279</v>
      </c>
      <c r="K432" s="549">
        <v>61450</v>
      </c>
      <c r="L432" s="549"/>
      <c r="T432" s="280" t="s">
        <v>3408</v>
      </c>
      <c r="U432" s="550">
        <v>0.84236111111111101</v>
      </c>
      <c r="V432" s="550">
        <v>0.14375000000000002</v>
      </c>
    </row>
    <row r="433" spans="1:22" s="33" customFormat="1" x14ac:dyDescent="0.25">
      <c r="A433" s="544">
        <v>29062024</v>
      </c>
      <c r="B433" s="33" t="s">
        <v>572</v>
      </c>
      <c r="C433" s="306" t="s">
        <v>410</v>
      </c>
      <c r="D433" s="548">
        <v>45472</v>
      </c>
      <c r="F433" s="306" t="s">
        <v>2008</v>
      </c>
      <c r="H433" s="306" t="s">
        <v>279</v>
      </c>
      <c r="K433" s="279"/>
      <c r="L433" s="549">
        <v>11659</v>
      </c>
      <c r="T433" s="280" t="s">
        <v>4259</v>
      </c>
      <c r="U433" s="550">
        <v>0.26458333333333334</v>
      </c>
      <c r="V433" s="550">
        <v>0.59722222222222221</v>
      </c>
    </row>
    <row r="434" spans="1:22" s="33" customFormat="1" x14ac:dyDescent="0.25">
      <c r="A434" s="544">
        <v>30062024</v>
      </c>
      <c r="B434" s="33" t="s">
        <v>614</v>
      </c>
      <c r="C434" s="306" t="s">
        <v>410</v>
      </c>
      <c r="D434" s="548">
        <v>45473</v>
      </c>
      <c r="F434" s="306" t="s">
        <v>1985</v>
      </c>
      <c r="H434" s="306" t="s">
        <v>279</v>
      </c>
      <c r="K434" s="549">
        <v>62304</v>
      </c>
      <c r="L434" s="549"/>
      <c r="T434" s="280" t="s">
        <v>1506</v>
      </c>
      <c r="U434" s="550">
        <v>0.30416666666666664</v>
      </c>
      <c r="V434" s="550">
        <v>0.6333333333333333</v>
      </c>
    </row>
    <row r="435" spans="1:22" s="33" customFormat="1" x14ac:dyDescent="0.25">
      <c r="A435" s="544">
        <v>30062024</v>
      </c>
      <c r="B435" s="33" t="s">
        <v>930</v>
      </c>
      <c r="C435" s="306" t="s">
        <v>4218</v>
      </c>
      <c r="D435" s="548">
        <v>45473</v>
      </c>
      <c r="F435" s="306" t="s">
        <v>294</v>
      </c>
      <c r="H435" s="306" t="s">
        <v>277</v>
      </c>
      <c r="K435" s="549">
        <v>24886</v>
      </c>
      <c r="L435" s="549"/>
      <c r="T435" s="280" t="s">
        <v>4097</v>
      </c>
      <c r="U435" s="550">
        <v>0.60902777777777783</v>
      </c>
      <c r="V435" s="550">
        <v>0.79375000000000007</v>
      </c>
    </row>
    <row r="436" spans="1:22" s="33" customFormat="1" x14ac:dyDescent="0.25">
      <c r="A436" s="544">
        <v>30062024</v>
      </c>
      <c r="B436" s="33" t="s">
        <v>3276</v>
      </c>
      <c r="C436" s="306" t="s">
        <v>410</v>
      </c>
      <c r="D436" s="548">
        <v>45473</v>
      </c>
      <c r="F436" s="306" t="s">
        <v>294</v>
      </c>
      <c r="H436" s="306" t="s">
        <v>279</v>
      </c>
      <c r="K436" s="549">
        <v>40592</v>
      </c>
      <c r="L436" s="549"/>
      <c r="T436" s="280" t="s">
        <v>4417</v>
      </c>
      <c r="U436" s="550">
        <v>0.7090277777777777</v>
      </c>
      <c r="V436" s="550">
        <v>0.84930555555555554</v>
      </c>
    </row>
    <row r="437" spans="1:22" x14ac:dyDescent="0.25">
      <c r="A437" s="509"/>
      <c r="D437" s="233"/>
      <c r="K437" s="251"/>
      <c r="L437" s="251"/>
      <c r="T437" s="14"/>
      <c r="U437" s="360"/>
      <c r="V437" s="360"/>
    </row>
    <row r="438" spans="1:22" x14ac:dyDescent="0.25">
      <c r="A438" s="483"/>
      <c r="D438" s="233"/>
      <c r="K438" s="251"/>
      <c r="L438" s="88"/>
      <c r="T438" s="14"/>
      <c r="U438" s="360"/>
      <c r="V438" s="360"/>
    </row>
    <row r="439" spans="1:22" x14ac:dyDescent="0.25">
      <c r="A439" s="483"/>
      <c r="D439" s="233"/>
      <c r="K439" s="500">
        <f>SUM(K360:K438)</f>
        <v>2874847.96</v>
      </c>
      <c r="L439" s="500">
        <f>SUM(L360:L438)</f>
        <v>39191</v>
      </c>
      <c r="N439">
        <f>765329.14/1.18</f>
        <v>648584.01694915257</v>
      </c>
      <c r="T439" s="14"/>
      <c r="U439" s="360"/>
      <c r="V439" s="360"/>
    </row>
    <row r="440" spans="1:22" x14ac:dyDescent="0.25">
      <c r="A440" s="483"/>
      <c r="D440" s="233"/>
      <c r="K440" s="251"/>
      <c r="L440" s="251"/>
      <c r="T440" s="14"/>
      <c r="U440" s="360"/>
      <c r="V440" s="360"/>
    </row>
    <row r="441" spans="1:22" x14ac:dyDescent="0.25">
      <c r="A441" s="483"/>
      <c r="D441" s="233"/>
      <c r="K441" s="251"/>
      <c r="L441" s="251"/>
      <c r="T441" s="14"/>
      <c r="U441" s="360"/>
      <c r="V441" s="360"/>
    </row>
    <row r="442" spans="1:22" x14ac:dyDescent="0.25">
      <c r="A442" s="483"/>
      <c r="D442" s="233"/>
      <c r="K442" s="251"/>
      <c r="L442" s="251"/>
      <c r="T442" s="14"/>
      <c r="U442" s="360"/>
      <c r="V442" s="360"/>
    </row>
    <row r="443" spans="1:22" x14ac:dyDescent="0.25">
      <c r="A443" s="483"/>
      <c r="D443" s="233"/>
      <c r="K443" s="251"/>
      <c r="L443" s="251"/>
      <c r="T443" s="14"/>
      <c r="U443" s="360"/>
      <c r="V443" s="360"/>
    </row>
    <row r="444" spans="1:22" s="504" customFormat="1" x14ac:dyDescent="0.25">
      <c r="A444" s="497" t="s">
        <v>4436</v>
      </c>
      <c r="B444" s="504" t="s">
        <v>610</v>
      </c>
      <c r="C444" s="498" t="s">
        <v>4437</v>
      </c>
      <c r="D444" s="499">
        <v>45475</v>
      </c>
      <c r="F444" s="498" t="s">
        <v>106</v>
      </c>
      <c r="H444" s="498" t="s">
        <v>279</v>
      </c>
      <c r="K444" s="500">
        <v>29770</v>
      </c>
      <c r="L444" s="500"/>
      <c r="T444" s="507" t="s">
        <v>4438</v>
      </c>
      <c r="U444" s="502">
        <v>0.40972222222222227</v>
      </c>
      <c r="V444" s="502">
        <v>0.5444444444444444</v>
      </c>
    </row>
    <row r="445" spans="1:22" s="504" customFormat="1" x14ac:dyDescent="0.25">
      <c r="A445" s="497" t="s">
        <v>4436</v>
      </c>
      <c r="B445" s="504" t="s">
        <v>1800</v>
      </c>
      <c r="C445" s="498" t="s">
        <v>410</v>
      </c>
      <c r="D445" s="499">
        <v>45475</v>
      </c>
      <c r="F445" s="498" t="s">
        <v>285</v>
      </c>
      <c r="H445" s="498" t="s">
        <v>279</v>
      </c>
      <c r="K445" s="505"/>
      <c r="L445" s="506">
        <v>11800</v>
      </c>
      <c r="T445" s="507" t="s">
        <v>4345</v>
      </c>
      <c r="U445" s="502">
        <v>0.42638888888888887</v>
      </c>
      <c r="V445" s="502">
        <v>0.7319444444444444</v>
      </c>
    </row>
    <row r="446" spans="1:22" s="504" customFormat="1" x14ac:dyDescent="0.25">
      <c r="A446" s="497" t="s">
        <v>4436</v>
      </c>
      <c r="B446" s="504" t="s">
        <v>1720</v>
      </c>
      <c r="C446" s="498" t="s">
        <v>4437</v>
      </c>
      <c r="D446" s="499">
        <v>45475</v>
      </c>
      <c r="F446" s="498" t="s">
        <v>545</v>
      </c>
      <c r="H446" s="498" t="s">
        <v>277</v>
      </c>
      <c r="K446" s="505">
        <v>25016</v>
      </c>
      <c r="L446" s="506"/>
      <c r="T446" s="504" t="s">
        <v>4446</v>
      </c>
      <c r="U446" s="502">
        <v>0.66319444444444442</v>
      </c>
      <c r="V446" s="502">
        <v>0.78680555555555554</v>
      </c>
    </row>
    <row r="447" spans="1:22" s="504" customFormat="1" x14ac:dyDescent="0.25">
      <c r="A447" s="497" t="s">
        <v>4448</v>
      </c>
      <c r="B447" s="504" t="s">
        <v>614</v>
      </c>
      <c r="C447" s="498" t="s">
        <v>4437</v>
      </c>
      <c r="D447" s="499">
        <v>45476</v>
      </c>
      <c r="F447" s="498" t="s">
        <v>68</v>
      </c>
      <c r="H447" s="498" t="s">
        <v>279</v>
      </c>
      <c r="K447" s="505">
        <v>49843.199999999997</v>
      </c>
      <c r="L447" s="505"/>
      <c r="T447" s="507" t="s">
        <v>4097</v>
      </c>
      <c r="U447" s="502">
        <v>0.1763888888888889</v>
      </c>
      <c r="V447" s="502">
        <v>0.40763888888888888</v>
      </c>
    </row>
    <row r="448" spans="1:22" s="33" customFormat="1" x14ac:dyDescent="0.25">
      <c r="A448" s="547" t="s">
        <v>4448</v>
      </c>
      <c r="B448" s="33" t="s">
        <v>2527</v>
      </c>
      <c r="C448" s="306" t="s">
        <v>13</v>
      </c>
      <c r="D448" s="548">
        <v>45476</v>
      </c>
      <c r="F448" s="306" t="s">
        <v>285</v>
      </c>
      <c r="H448" s="306" t="s">
        <v>279</v>
      </c>
      <c r="K448" s="312">
        <v>45430</v>
      </c>
      <c r="L448" s="312"/>
      <c r="T448" s="280" t="s">
        <v>4295</v>
      </c>
      <c r="U448" s="550">
        <v>0.30624999999999997</v>
      </c>
      <c r="V448" s="550">
        <v>0.6069444444444444</v>
      </c>
    </row>
    <row r="449" spans="1:22" s="504" customFormat="1" x14ac:dyDescent="0.25">
      <c r="A449" s="497" t="s">
        <v>4448</v>
      </c>
      <c r="B449" s="504" t="s">
        <v>610</v>
      </c>
      <c r="C449" s="498" t="s">
        <v>410</v>
      </c>
      <c r="D449" s="499">
        <v>45476</v>
      </c>
      <c r="F449" s="498" t="s">
        <v>106</v>
      </c>
      <c r="H449" s="498" t="s">
        <v>279</v>
      </c>
      <c r="K449" s="505">
        <v>29770</v>
      </c>
      <c r="L449" s="505"/>
      <c r="T449" s="507" t="s">
        <v>4449</v>
      </c>
      <c r="U449" s="502">
        <v>0.61805555555555558</v>
      </c>
      <c r="V449" s="502">
        <v>0.73888888888888893</v>
      </c>
    </row>
    <row r="450" spans="1:22" s="504" customFormat="1" x14ac:dyDescent="0.25">
      <c r="A450" s="497" t="s">
        <v>4459</v>
      </c>
      <c r="B450" s="504" t="s">
        <v>1720</v>
      </c>
      <c r="C450" s="498" t="s">
        <v>410</v>
      </c>
      <c r="D450" s="499">
        <v>45477</v>
      </c>
      <c r="F450" s="498" t="s">
        <v>545</v>
      </c>
      <c r="H450" s="498" t="s">
        <v>277</v>
      </c>
      <c r="K450" s="505">
        <v>25016</v>
      </c>
      <c r="L450" s="505"/>
      <c r="T450" s="507" t="s">
        <v>4345</v>
      </c>
      <c r="U450" s="502">
        <v>0.29375000000000001</v>
      </c>
      <c r="V450" s="502">
        <v>0.44166666666666665</v>
      </c>
    </row>
    <row r="451" spans="1:22" s="504" customFormat="1" x14ac:dyDescent="0.25">
      <c r="A451" s="497" t="s">
        <v>4459</v>
      </c>
      <c r="B451" s="504" t="s">
        <v>4458</v>
      </c>
      <c r="C451" s="498" t="s">
        <v>13</v>
      </c>
      <c r="D451" s="499">
        <v>45477</v>
      </c>
      <c r="F451" s="498" t="s">
        <v>207</v>
      </c>
      <c r="H451" s="498" t="s">
        <v>279</v>
      </c>
      <c r="K451" s="505">
        <v>36816</v>
      </c>
      <c r="L451" s="505"/>
      <c r="T451" s="507" t="s">
        <v>4417</v>
      </c>
      <c r="U451" s="502">
        <v>0.34861111111111115</v>
      </c>
      <c r="V451" s="502">
        <v>0.57708333333333328</v>
      </c>
    </row>
    <row r="452" spans="1:22" s="504" customFormat="1" x14ac:dyDescent="0.25">
      <c r="A452" s="497" t="s">
        <v>4459</v>
      </c>
      <c r="B452" s="504" t="s">
        <v>4460</v>
      </c>
      <c r="C452" s="498" t="s">
        <v>4218</v>
      </c>
      <c r="D452" s="499">
        <v>45477</v>
      </c>
      <c r="F452" s="498" t="s">
        <v>113</v>
      </c>
      <c r="H452" s="498" t="s">
        <v>279</v>
      </c>
      <c r="K452" s="505">
        <v>38500</v>
      </c>
      <c r="L452" s="505"/>
      <c r="T452" s="507" t="s">
        <v>2050</v>
      </c>
      <c r="U452" s="502">
        <v>0.52916666666666667</v>
      </c>
      <c r="V452" s="502">
        <v>0.73333333333333339</v>
      </c>
    </row>
    <row r="453" spans="1:22" s="504" customFormat="1" x14ac:dyDescent="0.25">
      <c r="A453" s="497" t="s">
        <v>4459</v>
      </c>
      <c r="B453" s="504" t="s">
        <v>614</v>
      </c>
      <c r="C453" s="498" t="s">
        <v>410</v>
      </c>
      <c r="D453" s="499">
        <v>45477</v>
      </c>
      <c r="F453" s="498" t="s">
        <v>545</v>
      </c>
      <c r="H453" s="498" t="s">
        <v>279</v>
      </c>
      <c r="K453" s="505">
        <v>37382.400000000001</v>
      </c>
      <c r="L453" s="505"/>
      <c r="T453" s="507" t="s">
        <v>4345</v>
      </c>
      <c r="U453" s="502">
        <v>0.51874999999999993</v>
      </c>
      <c r="V453" s="502">
        <v>0.7416666666666667</v>
      </c>
    </row>
    <row r="454" spans="1:22" s="504" customFormat="1" x14ac:dyDescent="0.25">
      <c r="A454" s="497" t="s">
        <v>4459</v>
      </c>
      <c r="B454" s="504" t="s">
        <v>614</v>
      </c>
      <c r="C454" s="498" t="s">
        <v>13</v>
      </c>
      <c r="D454" s="499">
        <v>45477</v>
      </c>
      <c r="F454" s="498" t="s">
        <v>1985</v>
      </c>
      <c r="H454" s="498" t="s">
        <v>279</v>
      </c>
      <c r="K454" s="505">
        <v>62304</v>
      </c>
      <c r="L454" s="505"/>
      <c r="T454" s="507" t="s">
        <v>4097</v>
      </c>
      <c r="U454" s="502">
        <v>0.88541666666666663</v>
      </c>
      <c r="V454" s="502">
        <v>0.17847222222222223</v>
      </c>
    </row>
    <row r="455" spans="1:22" s="645" customFormat="1" x14ac:dyDescent="0.25">
      <c r="A455" s="644" t="s">
        <v>4463</v>
      </c>
      <c r="B455" s="645" t="s">
        <v>762</v>
      </c>
      <c r="C455" s="646" t="s">
        <v>13</v>
      </c>
      <c r="D455" s="647">
        <v>45478</v>
      </c>
      <c r="F455" s="646" t="s">
        <v>294</v>
      </c>
      <c r="H455" s="646" t="s">
        <v>279</v>
      </c>
      <c r="K455" s="648">
        <v>40592</v>
      </c>
      <c r="L455" s="648"/>
      <c r="T455" s="649" t="s">
        <v>4295</v>
      </c>
      <c r="U455" s="650">
        <v>0.34652777777777777</v>
      </c>
      <c r="V455" s="650">
        <v>0.51597222222222217</v>
      </c>
    </row>
    <row r="456" spans="1:22" s="504" customFormat="1" x14ac:dyDescent="0.25">
      <c r="A456" s="497" t="s">
        <v>4463</v>
      </c>
      <c r="B456" s="504" t="s">
        <v>4464</v>
      </c>
      <c r="C456" s="498" t="s">
        <v>4437</v>
      </c>
      <c r="D456" s="499">
        <v>45478</v>
      </c>
      <c r="F456" s="498" t="s">
        <v>2008</v>
      </c>
      <c r="H456" s="498" t="s">
        <v>279</v>
      </c>
      <c r="K456" s="505">
        <v>47250</v>
      </c>
      <c r="L456" s="505"/>
      <c r="T456" s="507" t="s">
        <v>4417</v>
      </c>
      <c r="U456" s="502">
        <v>0.51180555555555551</v>
      </c>
      <c r="V456" s="502">
        <v>0.7631944444444444</v>
      </c>
    </row>
    <row r="457" spans="1:22" s="504" customFormat="1" x14ac:dyDescent="0.25">
      <c r="A457" s="497" t="s">
        <v>4474</v>
      </c>
      <c r="B457" s="504" t="s">
        <v>572</v>
      </c>
      <c r="C457" s="498" t="s">
        <v>13</v>
      </c>
      <c r="D457" s="499">
        <v>45479</v>
      </c>
      <c r="F457" s="498" t="s">
        <v>207</v>
      </c>
      <c r="H457" s="498" t="s">
        <v>279</v>
      </c>
      <c r="K457" s="505"/>
      <c r="L457" s="505">
        <v>8968</v>
      </c>
      <c r="T457" s="507" t="s">
        <v>4297</v>
      </c>
      <c r="U457" s="502">
        <v>0.26041666666666669</v>
      </c>
      <c r="V457" s="502">
        <v>0.47986111111111113</v>
      </c>
    </row>
    <row r="458" spans="1:22" s="504" customFormat="1" x14ac:dyDescent="0.25">
      <c r="A458" s="497" t="s">
        <v>4474</v>
      </c>
      <c r="B458" s="504" t="s">
        <v>1055</v>
      </c>
      <c r="C458" s="498" t="s">
        <v>4218</v>
      </c>
      <c r="D458" s="499">
        <v>45479</v>
      </c>
      <c r="F458" s="498" t="s">
        <v>4476</v>
      </c>
      <c r="H458" s="498" t="s">
        <v>279</v>
      </c>
      <c r="K458" s="505">
        <v>64100</v>
      </c>
      <c r="L458" s="505"/>
      <c r="T458" s="507" t="s">
        <v>4097</v>
      </c>
      <c r="U458" s="502">
        <v>0.35000000000000003</v>
      </c>
      <c r="V458" s="502">
        <v>0.93680555555555556</v>
      </c>
    </row>
    <row r="459" spans="1:22" s="504" customFormat="1" x14ac:dyDescent="0.25">
      <c r="A459" s="497" t="s">
        <v>4474</v>
      </c>
      <c r="B459" s="504" t="s">
        <v>614</v>
      </c>
      <c r="C459" s="498" t="s">
        <v>13</v>
      </c>
      <c r="D459" s="499">
        <v>45479</v>
      </c>
      <c r="F459" s="498" t="s">
        <v>236</v>
      </c>
      <c r="H459" s="498" t="s">
        <v>279</v>
      </c>
      <c r="K459" s="505">
        <v>62304</v>
      </c>
      <c r="L459" s="505"/>
      <c r="T459" s="507" t="s">
        <v>3408</v>
      </c>
      <c r="U459" s="502">
        <v>0.52638888888888891</v>
      </c>
      <c r="V459" s="636">
        <v>19.37</v>
      </c>
    </row>
    <row r="460" spans="1:22" s="33" customFormat="1" x14ac:dyDescent="0.25">
      <c r="A460" s="547" t="s">
        <v>4474</v>
      </c>
      <c r="B460" s="33" t="s">
        <v>4477</v>
      </c>
      <c r="C460" s="306" t="s">
        <v>809</v>
      </c>
      <c r="D460" s="548">
        <v>45479</v>
      </c>
      <c r="F460" s="306" t="s">
        <v>106</v>
      </c>
      <c r="H460" s="306" t="s">
        <v>279</v>
      </c>
      <c r="K460" s="312">
        <v>28000</v>
      </c>
      <c r="L460" s="312"/>
      <c r="T460" s="280" t="s">
        <v>4475</v>
      </c>
      <c r="U460" s="550">
        <v>0.56111111111111112</v>
      </c>
      <c r="V460" s="550">
        <v>0.71458333333333324</v>
      </c>
    </row>
    <row r="461" spans="1:22" s="504" customFormat="1" x14ac:dyDescent="0.25">
      <c r="A461" s="497" t="s">
        <v>4473</v>
      </c>
      <c r="B461" s="504" t="s">
        <v>1720</v>
      </c>
      <c r="C461" s="498" t="s">
        <v>13</v>
      </c>
      <c r="D461" s="499">
        <v>45481</v>
      </c>
      <c r="F461" s="498" t="s">
        <v>545</v>
      </c>
      <c r="H461" s="498" t="s">
        <v>279</v>
      </c>
      <c r="K461" s="505">
        <v>34456</v>
      </c>
      <c r="L461" s="505"/>
      <c r="T461" s="507" t="s">
        <v>4277</v>
      </c>
      <c r="U461" s="502">
        <v>0.27291666666666664</v>
      </c>
      <c r="V461" s="636">
        <v>11.14</v>
      </c>
    </row>
    <row r="462" spans="1:22" s="504" customFormat="1" x14ac:dyDescent="0.25">
      <c r="A462" s="497" t="s">
        <v>4473</v>
      </c>
      <c r="B462" s="504" t="s">
        <v>930</v>
      </c>
      <c r="C462" s="498" t="s">
        <v>13</v>
      </c>
      <c r="D462" s="499">
        <v>45481</v>
      </c>
      <c r="F462" s="498" t="s">
        <v>294</v>
      </c>
      <c r="H462" s="498" t="s">
        <v>279</v>
      </c>
      <c r="K462" s="505">
        <v>33182</v>
      </c>
      <c r="L462" s="505"/>
      <c r="T462" s="507" t="s">
        <v>4365</v>
      </c>
      <c r="U462" s="502">
        <v>0.62083333333333335</v>
      </c>
      <c r="V462" s="636">
        <v>19.41</v>
      </c>
    </row>
    <row r="463" spans="1:22" s="504" customFormat="1" x14ac:dyDescent="0.25">
      <c r="A463" s="497" t="s">
        <v>4483</v>
      </c>
      <c r="B463" s="504" t="s">
        <v>4681</v>
      </c>
      <c r="C463" s="498" t="s">
        <v>4218</v>
      </c>
      <c r="D463" s="499">
        <v>45482</v>
      </c>
      <c r="F463" s="498" t="s">
        <v>317</v>
      </c>
      <c r="H463" s="498" t="s">
        <v>279</v>
      </c>
      <c r="K463" s="505"/>
      <c r="L463" s="505">
        <v>12980</v>
      </c>
      <c r="T463" s="507" t="s">
        <v>4365</v>
      </c>
      <c r="U463" s="502">
        <v>0.30694444444444441</v>
      </c>
      <c r="V463" s="502">
        <v>0.68402777777777779</v>
      </c>
    </row>
    <row r="464" spans="1:22" s="504" customFormat="1" x14ac:dyDescent="0.25">
      <c r="A464" s="497" t="s">
        <v>4483</v>
      </c>
      <c r="B464" s="504" t="s">
        <v>614</v>
      </c>
      <c r="C464" s="498" t="s">
        <v>13</v>
      </c>
      <c r="D464" s="499">
        <v>45482</v>
      </c>
      <c r="F464" s="498" t="s">
        <v>317</v>
      </c>
      <c r="H464" s="498" t="s">
        <v>279</v>
      </c>
      <c r="K464" s="505">
        <v>53996.800000000003</v>
      </c>
      <c r="L464" s="505"/>
      <c r="T464" s="507" t="s">
        <v>3408</v>
      </c>
      <c r="U464" s="502">
        <v>0.30277777777777776</v>
      </c>
      <c r="V464" s="502">
        <v>0.66111111111111109</v>
      </c>
    </row>
    <row r="465" spans="1:22" s="504" customFormat="1" x14ac:dyDescent="0.25">
      <c r="A465" s="497" t="s">
        <v>4483</v>
      </c>
      <c r="B465" s="504" t="s">
        <v>1720</v>
      </c>
      <c r="C465" s="498" t="s">
        <v>13</v>
      </c>
      <c r="D465" s="499">
        <v>45482</v>
      </c>
      <c r="F465" s="498" t="s">
        <v>545</v>
      </c>
      <c r="H465" s="498" t="s">
        <v>277</v>
      </c>
      <c r="K465" s="505">
        <v>25016</v>
      </c>
      <c r="L465" s="505"/>
      <c r="T465" s="507" t="s">
        <v>4345</v>
      </c>
      <c r="U465" s="502">
        <v>17.170000000000002</v>
      </c>
      <c r="V465" s="502">
        <v>0.84861111111111109</v>
      </c>
    </row>
    <row r="466" spans="1:22" s="504" customFormat="1" x14ac:dyDescent="0.25">
      <c r="A466" s="497" t="s">
        <v>4483</v>
      </c>
      <c r="B466" s="504" t="s">
        <v>4464</v>
      </c>
      <c r="C466" s="498" t="s">
        <v>410</v>
      </c>
      <c r="D466" s="499">
        <v>45482</v>
      </c>
      <c r="F466" s="498" t="s">
        <v>2008</v>
      </c>
      <c r="H466" s="498" t="s">
        <v>279</v>
      </c>
      <c r="K466" s="505">
        <v>47250</v>
      </c>
      <c r="L466" s="505"/>
      <c r="T466" s="507" t="s">
        <v>4345</v>
      </c>
      <c r="U466" s="502">
        <v>0.39513888888888887</v>
      </c>
      <c r="V466" s="502">
        <v>0.68958333333333333</v>
      </c>
    </row>
    <row r="467" spans="1:22" s="504" customFormat="1" x14ac:dyDescent="0.25">
      <c r="A467" s="497" t="s">
        <v>4489</v>
      </c>
      <c r="B467" s="504" t="s">
        <v>4488</v>
      </c>
      <c r="C467" s="498" t="s">
        <v>4218</v>
      </c>
      <c r="D467" s="499">
        <v>45483</v>
      </c>
      <c r="F467" s="498" t="s">
        <v>2437</v>
      </c>
      <c r="H467" s="498" t="s">
        <v>279</v>
      </c>
      <c r="K467" s="505">
        <v>25450</v>
      </c>
      <c r="L467" s="505"/>
      <c r="T467" s="507" t="s">
        <v>4097</v>
      </c>
      <c r="U467" s="502">
        <v>0.32569444444444445</v>
      </c>
      <c r="V467" s="502">
        <v>0.43958333333333338</v>
      </c>
    </row>
    <row r="468" spans="1:22" s="33" customFormat="1" x14ac:dyDescent="0.25">
      <c r="A468" s="547" t="s">
        <v>4489</v>
      </c>
      <c r="B468" s="33" t="s">
        <v>4477</v>
      </c>
      <c r="C468" s="306" t="s">
        <v>4218</v>
      </c>
      <c r="D468" s="548">
        <v>45483</v>
      </c>
      <c r="F468" s="306" t="s">
        <v>106</v>
      </c>
      <c r="H468" s="306" t="s">
        <v>279</v>
      </c>
      <c r="K468" s="312">
        <v>28000</v>
      </c>
      <c r="L468" s="312"/>
      <c r="T468" s="280" t="s">
        <v>4097</v>
      </c>
      <c r="U468" s="550">
        <v>0.4916666666666667</v>
      </c>
      <c r="V468" s="550">
        <v>0.62638888888888888</v>
      </c>
    </row>
    <row r="469" spans="1:22" s="504" customFormat="1" x14ac:dyDescent="0.25">
      <c r="A469" s="497" t="s">
        <v>4491</v>
      </c>
      <c r="B469" s="504" t="s">
        <v>610</v>
      </c>
      <c r="C469" s="498" t="s">
        <v>13</v>
      </c>
      <c r="D469" s="499">
        <v>45484</v>
      </c>
      <c r="F469" s="498" t="s">
        <v>106</v>
      </c>
      <c r="H469" s="498" t="s">
        <v>279</v>
      </c>
      <c r="K469" s="505">
        <v>29770</v>
      </c>
      <c r="L469" s="505"/>
      <c r="T469" s="507" t="s">
        <v>4138</v>
      </c>
      <c r="U469" s="502">
        <v>0.4055555555555555</v>
      </c>
      <c r="V469" s="502">
        <v>0.57916666666666672</v>
      </c>
    </row>
    <row r="470" spans="1:22" s="504" customFormat="1" x14ac:dyDescent="0.25">
      <c r="A470" s="497" t="s">
        <v>4491</v>
      </c>
      <c r="B470" s="504" t="s">
        <v>930</v>
      </c>
      <c r="C470" s="498" t="s">
        <v>4218</v>
      </c>
      <c r="D470" s="499">
        <v>45484</v>
      </c>
      <c r="F470" s="498" t="s">
        <v>295</v>
      </c>
      <c r="H470" s="498" t="s">
        <v>277</v>
      </c>
      <c r="K470" s="505">
        <v>29000</v>
      </c>
      <c r="L470" s="505"/>
      <c r="T470" s="507" t="s">
        <v>4097</v>
      </c>
      <c r="U470" s="502">
        <v>0.63958333333333328</v>
      </c>
      <c r="V470" s="502">
        <v>0.89930555555555547</v>
      </c>
    </row>
    <row r="471" spans="1:22" s="504" customFormat="1" x14ac:dyDescent="0.25">
      <c r="A471" s="497" t="s">
        <v>4491</v>
      </c>
      <c r="B471" s="504" t="s">
        <v>1720</v>
      </c>
      <c r="C471" s="498" t="s">
        <v>13</v>
      </c>
      <c r="D471" s="499">
        <v>45484</v>
      </c>
      <c r="F471" s="498" t="s">
        <v>545</v>
      </c>
      <c r="H471" s="498" t="s">
        <v>279</v>
      </c>
      <c r="K471" s="505">
        <v>34456</v>
      </c>
      <c r="L471" s="505"/>
      <c r="T471" s="507" t="s">
        <v>4138</v>
      </c>
      <c r="U471" s="502">
        <v>0.63541666666666663</v>
      </c>
      <c r="V471" s="502">
        <v>0.84305555555555556</v>
      </c>
    </row>
    <row r="472" spans="1:22" s="408" customFormat="1" x14ac:dyDescent="0.25">
      <c r="A472" s="762" t="s">
        <v>4508</v>
      </c>
      <c r="B472" s="408" t="s">
        <v>4201</v>
      </c>
      <c r="C472" s="410" t="s">
        <v>13</v>
      </c>
      <c r="D472" s="763">
        <v>45485</v>
      </c>
      <c r="F472" s="410" t="s">
        <v>4200</v>
      </c>
      <c r="H472" s="410" t="s">
        <v>279</v>
      </c>
      <c r="K472" s="411">
        <v>41200</v>
      </c>
      <c r="L472" s="411"/>
      <c r="T472" s="413" t="s">
        <v>4509</v>
      </c>
      <c r="U472" s="764">
        <v>0.40277777777777773</v>
      </c>
      <c r="V472" s="764" t="s">
        <v>4510</v>
      </c>
    </row>
    <row r="473" spans="1:22" s="504" customFormat="1" x14ac:dyDescent="0.25">
      <c r="A473" s="497" t="s">
        <v>4508</v>
      </c>
      <c r="B473" s="504" t="s">
        <v>614</v>
      </c>
      <c r="C473" s="498" t="s">
        <v>410</v>
      </c>
      <c r="D473" s="499">
        <v>45485</v>
      </c>
      <c r="F473" s="498" t="s">
        <v>68</v>
      </c>
      <c r="H473" s="498" t="s">
        <v>279</v>
      </c>
      <c r="K473" s="505">
        <v>49843.199999999997</v>
      </c>
      <c r="L473" s="505"/>
      <c r="T473" s="507" t="s">
        <v>3572</v>
      </c>
      <c r="U473" s="502">
        <v>0.70208333333333339</v>
      </c>
      <c r="V473" s="502">
        <v>0.96527777777777779</v>
      </c>
    </row>
    <row r="474" spans="1:22" s="504" customFormat="1" x14ac:dyDescent="0.25">
      <c r="A474" s="497" t="s">
        <v>4508</v>
      </c>
      <c r="B474" s="504" t="s">
        <v>1720</v>
      </c>
      <c r="C474" s="498" t="s">
        <v>4218</v>
      </c>
      <c r="D474" s="499">
        <v>45485</v>
      </c>
      <c r="F474" s="498" t="s">
        <v>545</v>
      </c>
      <c r="H474" s="498" t="s">
        <v>277</v>
      </c>
      <c r="K474" s="505">
        <v>25016</v>
      </c>
      <c r="L474" s="505"/>
      <c r="T474" s="507" t="s">
        <v>4138</v>
      </c>
      <c r="U474" s="502">
        <v>0.66875000000000007</v>
      </c>
      <c r="V474" s="502">
        <v>0.80555555555555547</v>
      </c>
    </row>
    <row r="475" spans="1:22" s="504" customFormat="1" x14ac:dyDescent="0.25">
      <c r="A475" s="497" t="s">
        <v>4508</v>
      </c>
      <c r="B475" s="504" t="s">
        <v>4511</v>
      </c>
      <c r="C475" s="498" t="s">
        <v>13</v>
      </c>
      <c r="D475" s="499">
        <v>45485</v>
      </c>
      <c r="F475" s="498" t="s">
        <v>68</v>
      </c>
      <c r="H475" s="498" t="s">
        <v>279</v>
      </c>
      <c r="K475" s="505">
        <v>42399</v>
      </c>
      <c r="L475" s="505"/>
      <c r="T475" s="507" t="s">
        <v>4097</v>
      </c>
      <c r="U475" s="502">
        <v>0.84166666666666667</v>
      </c>
      <c r="V475" s="502">
        <v>0.12222222222222223</v>
      </c>
    </row>
    <row r="476" spans="1:22" s="33" customFormat="1" x14ac:dyDescent="0.25">
      <c r="A476" s="547" t="s">
        <v>4512</v>
      </c>
      <c r="B476" s="33" t="s">
        <v>875</v>
      </c>
      <c r="C476" s="306" t="s">
        <v>410</v>
      </c>
      <c r="D476" s="548">
        <v>45486</v>
      </c>
      <c r="F476" s="306" t="s">
        <v>2036</v>
      </c>
      <c r="H476" s="306" t="s">
        <v>279</v>
      </c>
      <c r="K476" s="312">
        <v>23500</v>
      </c>
      <c r="L476" s="312"/>
      <c r="T476" s="280" t="s">
        <v>4509</v>
      </c>
      <c r="U476" s="550">
        <v>0.36041666666666666</v>
      </c>
      <c r="V476" s="550">
        <v>0.59097222222222223</v>
      </c>
    </row>
    <row r="477" spans="1:22" s="33" customFormat="1" x14ac:dyDescent="0.25">
      <c r="A477" s="547" t="s">
        <v>4513</v>
      </c>
      <c r="B477" s="33" t="s">
        <v>4515</v>
      </c>
      <c r="C477" s="306" t="s">
        <v>410</v>
      </c>
      <c r="D477" s="548">
        <v>45487</v>
      </c>
      <c r="F477" s="306" t="s">
        <v>68</v>
      </c>
      <c r="H477" s="306" t="s">
        <v>279</v>
      </c>
      <c r="K477" s="279"/>
      <c r="L477" s="312">
        <v>11800</v>
      </c>
      <c r="T477" s="280" t="s">
        <v>3408</v>
      </c>
      <c r="U477" s="550">
        <v>0.3034722222222222</v>
      </c>
      <c r="V477" s="550">
        <v>0.56736111111111109</v>
      </c>
    </row>
    <row r="478" spans="1:22" s="504" customFormat="1" x14ac:dyDescent="0.25">
      <c r="A478" s="497" t="s">
        <v>4513</v>
      </c>
      <c r="B478" s="504" t="s">
        <v>608</v>
      </c>
      <c r="C478" s="498" t="s">
        <v>4218</v>
      </c>
      <c r="D478" s="499">
        <v>45487</v>
      </c>
      <c r="F478" s="498" t="s">
        <v>236</v>
      </c>
      <c r="H478" s="498" t="s">
        <v>279</v>
      </c>
      <c r="K478" s="505">
        <v>58231</v>
      </c>
      <c r="L478" s="505"/>
      <c r="T478" s="507" t="s">
        <v>4365</v>
      </c>
      <c r="U478" s="502">
        <v>0.40069444444444446</v>
      </c>
      <c r="V478" s="502">
        <v>0.67222222222222217</v>
      </c>
    </row>
    <row r="479" spans="1:22" s="504" customFormat="1" x14ac:dyDescent="0.25">
      <c r="A479" s="497" t="s">
        <v>4514</v>
      </c>
      <c r="B479" s="504" t="s">
        <v>4511</v>
      </c>
      <c r="C479" s="498" t="s">
        <v>410</v>
      </c>
      <c r="D479" s="499">
        <v>45488</v>
      </c>
      <c r="F479" s="498" t="s">
        <v>68</v>
      </c>
      <c r="H479" s="498" t="s">
        <v>279</v>
      </c>
      <c r="K479" s="505">
        <v>42399</v>
      </c>
      <c r="L479" s="505"/>
      <c r="T479" s="507" t="s">
        <v>4345</v>
      </c>
      <c r="U479" s="502">
        <v>0.26041666666666669</v>
      </c>
      <c r="V479" s="502">
        <v>0.55138888888888882</v>
      </c>
    </row>
    <row r="480" spans="1:22" s="504" customFormat="1" x14ac:dyDescent="0.25">
      <c r="A480" s="497" t="s">
        <v>4514</v>
      </c>
      <c r="B480" s="504" t="s">
        <v>1720</v>
      </c>
      <c r="C480" s="498" t="s">
        <v>4218</v>
      </c>
      <c r="D480" s="499">
        <v>45488</v>
      </c>
      <c r="F480" s="498" t="s">
        <v>545</v>
      </c>
      <c r="H480" s="498" t="s">
        <v>277</v>
      </c>
      <c r="K480" s="505">
        <v>25016</v>
      </c>
      <c r="L480" s="505"/>
      <c r="T480" s="507" t="s">
        <v>3408</v>
      </c>
      <c r="U480" s="502">
        <v>0.28958333333333336</v>
      </c>
      <c r="V480" s="502">
        <v>0.43055555555555558</v>
      </c>
    </row>
    <row r="481" spans="1:22" s="504" customFormat="1" x14ac:dyDescent="0.25">
      <c r="A481" s="497" t="s">
        <v>4514</v>
      </c>
      <c r="B481" s="504" t="s">
        <v>1720</v>
      </c>
      <c r="C481" s="498" t="s">
        <v>4218</v>
      </c>
      <c r="D481" s="499">
        <v>45488</v>
      </c>
      <c r="F481" s="498" t="s">
        <v>545</v>
      </c>
      <c r="H481" s="498" t="s">
        <v>277</v>
      </c>
      <c r="K481" s="505">
        <v>25016</v>
      </c>
      <c r="L481" s="505"/>
      <c r="T481" s="507" t="s">
        <v>4365</v>
      </c>
      <c r="U481" s="502">
        <v>0.70347222222222217</v>
      </c>
      <c r="V481" s="502">
        <v>0.82708333333333339</v>
      </c>
    </row>
    <row r="482" spans="1:22" s="504" customFormat="1" x14ac:dyDescent="0.25">
      <c r="A482" s="497" t="s">
        <v>4516</v>
      </c>
      <c r="B482" s="504" t="s">
        <v>930</v>
      </c>
      <c r="C482" s="498" t="s">
        <v>410</v>
      </c>
      <c r="D482" s="499">
        <v>45489</v>
      </c>
      <c r="F482" s="498" t="s">
        <v>294</v>
      </c>
      <c r="H482" s="498" t="s">
        <v>279</v>
      </c>
      <c r="K482" s="505">
        <v>33182</v>
      </c>
      <c r="L482" s="505"/>
      <c r="T482" s="507" t="s">
        <v>4295</v>
      </c>
      <c r="U482" s="502">
        <v>0.51180555555555551</v>
      </c>
      <c r="V482" s="502">
        <v>0.71805555555555556</v>
      </c>
    </row>
    <row r="483" spans="1:22" s="504" customFormat="1" x14ac:dyDescent="0.25">
      <c r="A483" s="497" t="s">
        <v>4516</v>
      </c>
      <c r="B483" s="504" t="s">
        <v>596</v>
      </c>
      <c r="C483" s="498" t="s">
        <v>4218</v>
      </c>
      <c r="D483" s="499">
        <v>45489</v>
      </c>
      <c r="F483" s="498" t="s">
        <v>236</v>
      </c>
      <c r="H483" s="498" t="s">
        <v>279</v>
      </c>
      <c r="K483" s="505">
        <v>58231</v>
      </c>
      <c r="L483" s="505"/>
      <c r="T483" s="507" t="s">
        <v>4138</v>
      </c>
      <c r="U483" s="502">
        <v>0.62777777777777777</v>
      </c>
      <c r="V483" s="502">
        <v>0.92083333333333339</v>
      </c>
    </row>
    <row r="484" spans="1:22" s="504" customFormat="1" x14ac:dyDescent="0.25">
      <c r="A484" s="497" t="s">
        <v>4517</v>
      </c>
      <c r="B484" s="504" t="s">
        <v>1720</v>
      </c>
      <c r="C484" s="498" t="s">
        <v>410</v>
      </c>
      <c r="D484" s="499">
        <v>45490</v>
      </c>
      <c r="F484" s="498" t="s">
        <v>545</v>
      </c>
      <c r="H484" s="498" t="s">
        <v>279</v>
      </c>
      <c r="K484" s="505"/>
      <c r="L484" s="505"/>
      <c r="T484" s="507" t="s">
        <v>4509</v>
      </c>
      <c r="U484" s="502">
        <v>0.65694444444444444</v>
      </c>
      <c r="V484" s="502">
        <v>0.69027777777777777</v>
      </c>
    </row>
    <row r="485" spans="1:22" s="504" customFormat="1" x14ac:dyDescent="0.25">
      <c r="A485" s="497" t="s">
        <v>4517</v>
      </c>
      <c r="B485" s="504" t="s">
        <v>1720</v>
      </c>
      <c r="C485" s="498" t="s">
        <v>4218</v>
      </c>
      <c r="D485" s="499">
        <v>45490</v>
      </c>
      <c r="F485" s="498" t="s">
        <v>545</v>
      </c>
      <c r="H485" s="498" t="s">
        <v>279</v>
      </c>
      <c r="K485" s="505">
        <v>34456</v>
      </c>
      <c r="L485" s="505"/>
      <c r="T485" s="507" t="s">
        <v>4509</v>
      </c>
      <c r="U485" s="502">
        <v>0.74513888888888891</v>
      </c>
      <c r="V485" s="502"/>
    </row>
    <row r="486" spans="1:22" s="504" customFormat="1" x14ac:dyDescent="0.25">
      <c r="A486" s="497" t="s">
        <v>4517</v>
      </c>
      <c r="B486" s="504" t="s">
        <v>596</v>
      </c>
      <c r="C486" s="498" t="s">
        <v>13</v>
      </c>
      <c r="D486" s="499">
        <v>45490</v>
      </c>
      <c r="F486" s="498" t="s">
        <v>236</v>
      </c>
      <c r="H486" s="498" t="s">
        <v>279</v>
      </c>
      <c r="K486" s="505">
        <v>58231</v>
      </c>
      <c r="L486" s="505"/>
      <c r="T486" s="507" t="s">
        <v>3572</v>
      </c>
      <c r="U486" s="502">
        <v>0.75624999999999998</v>
      </c>
      <c r="V486" s="502">
        <v>2.7777777777777776E-2</v>
      </c>
    </row>
    <row r="487" spans="1:22" s="504" customFormat="1" x14ac:dyDescent="0.25">
      <c r="A487" s="497">
        <v>18072024</v>
      </c>
      <c r="B487" s="504" t="s">
        <v>4682</v>
      </c>
      <c r="C487" s="498" t="s">
        <v>4218</v>
      </c>
      <c r="D487" s="499">
        <v>45491</v>
      </c>
      <c r="F487" s="498" t="s">
        <v>2253</v>
      </c>
      <c r="H487" s="498" t="s">
        <v>279</v>
      </c>
      <c r="K487" s="505"/>
      <c r="L487" s="505">
        <v>15800</v>
      </c>
      <c r="T487" s="507" t="s">
        <v>4550</v>
      </c>
      <c r="U487" s="502">
        <v>0.30138888888888887</v>
      </c>
      <c r="V487" s="502">
        <v>0.73263888888888884</v>
      </c>
    </row>
    <row r="488" spans="1:22" s="33" customFormat="1" x14ac:dyDescent="0.25">
      <c r="A488" s="547">
        <v>18072024</v>
      </c>
      <c r="B488" s="33" t="s">
        <v>3640</v>
      </c>
      <c r="C488" s="306" t="s">
        <v>13</v>
      </c>
      <c r="D488" s="548">
        <v>45491</v>
      </c>
      <c r="F488" s="306" t="s">
        <v>285</v>
      </c>
      <c r="H488" s="306" t="s">
        <v>279</v>
      </c>
      <c r="K488" s="279"/>
      <c r="L488" s="312">
        <v>11800</v>
      </c>
      <c r="T488" s="280" t="s">
        <v>4022</v>
      </c>
      <c r="U488" s="550">
        <v>0.31180555555555556</v>
      </c>
      <c r="V488" s="550">
        <v>0.54861111111111105</v>
      </c>
    </row>
    <row r="489" spans="1:22" s="33" customFormat="1" x14ac:dyDescent="0.25">
      <c r="A489" s="547">
        <v>18072024</v>
      </c>
      <c r="B489" s="33" t="s">
        <v>875</v>
      </c>
      <c r="C489" s="306" t="s">
        <v>410</v>
      </c>
      <c r="D489" s="548">
        <v>45491</v>
      </c>
      <c r="F489" s="306" t="s">
        <v>2036</v>
      </c>
      <c r="H489" s="306" t="s">
        <v>279</v>
      </c>
      <c r="K489" s="312">
        <v>23500</v>
      </c>
      <c r="L489" s="312"/>
      <c r="T489" s="280" t="s">
        <v>4509</v>
      </c>
      <c r="U489" s="550">
        <v>0.49305555555555558</v>
      </c>
      <c r="V489" s="550">
        <v>0.64583333333333337</v>
      </c>
    </row>
    <row r="490" spans="1:22" s="504" customFormat="1" x14ac:dyDescent="0.25">
      <c r="A490" s="497">
        <v>18072024</v>
      </c>
      <c r="B490" s="504" t="s">
        <v>3767</v>
      </c>
      <c r="C490" s="498" t="s">
        <v>13</v>
      </c>
      <c r="D490" s="499">
        <v>45491</v>
      </c>
      <c r="F490" s="498" t="s">
        <v>1985</v>
      </c>
      <c r="H490" s="498" t="s">
        <v>279</v>
      </c>
      <c r="K490" s="505">
        <v>61450</v>
      </c>
      <c r="L490" s="505"/>
      <c r="T490" s="507" t="s">
        <v>3572</v>
      </c>
      <c r="U490" s="502">
        <v>0.67569444444444438</v>
      </c>
      <c r="V490" s="502">
        <v>0.98749999999999993</v>
      </c>
    </row>
    <row r="491" spans="1:22" s="504" customFormat="1" x14ac:dyDescent="0.25">
      <c r="A491" s="497">
        <v>18072024</v>
      </c>
      <c r="B491" s="504" t="s">
        <v>1720</v>
      </c>
      <c r="C491" s="498" t="s">
        <v>410</v>
      </c>
      <c r="D491" s="499">
        <v>45491</v>
      </c>
      <c r="F491" s="498" t="s">
        <v>545</v>
      </c>
      <c r="H491" s="498" t="s">
        <v>279</v>
      </c>
      <c r="K491" s="505">
        <v>34456</v>
      </c>
      <c r="L491" s="505"/>
      <c r="T491" s="507" t="s">
        <v>4509</v>
      </c>
      <c r="U491" s="502">
        <v>0.74652777777777779</v>
      </c>
      <c r="V491" s="502">
        <v>0.93402777777777779</v>
      </c>
    </row>
    <row r="492" spans="1:22" s="504" customFormat="1" ht="14.1" customHeight="1" x14ac:dyDescent="0.25">
      <c r="A492" s="497">
        <v>18072024</v>
      </c>
      <c r="B492" s="504" t="s">
        <v>930</v>
      </c>
      <c r="C492" s="498" t="s">
        <v>809</v>
      </c>
      <c r="D492" s="499">
        <v>45491</v>
      </c>
      <c r="F492" s="498" t="s">
        <v>294</v>
      </c>
      <c r="H492" s="498" t="s">
        <v>277</v>
      </c>
      <c r="K492" s="505">
        <v>24886</v>
      </c>
      <c r="L492" s="505"/>
      <c r="T492" s="507" t="s">
        <v>3668</v>
      </c>
      <c r="U492" s="502">
        <v>0.50763888888888886</v>
      </c>
      <c r="V492" s="502">
        <v>0.67291666666666661</v>
      </c>
    </row>
    <row r="493" spans="1:22" s="33" customFormat="1" x14ac:dyDescent="0.25">
      <c r="A493" s="547">
        <v>19072024</v>
      </c>
      <c r="B493" s="33" t="s">
        <v>614</v>
      </c>
      <c r="C493" s="306" t="s">
        <v>13</v>
      </c>
      <c r="D493" s="548">
        <v>45492</v>
      </c>
      <c r="F493" s="306" t="s">
        <v>285</v>
      </c>
      <c r="H493" s="306" t="s">
        <v>279</v>
      </c>
      <c r="K493" s="312">
        <v>51920</v>
      </c>
      <c r="L493" s="312"/>
      <c r="T493" s="280" t="s">
        <v>4396</v>
      </c>
      <c r="U493" s="550">
        <v>0.32708333333333334</v>
      </c>
      <c r="V493" s="550">
        <v>0.56388888888888888</v>
      </c>
    </row>
    <row r="494" spans="1:22" s="504" customFormat="1" x14ac:dyDescent="0.25">
      <c r="A494" s="497">
        <v>19072024</v>
      </c>
      <c r="B494" s="504" t="s">
        <v>608</v>
      </c>
      <c r="C494" s="498" t="s">
        <v>410</v>
      </c>
      <c r="D494" s="499">
        <v>45492</v>
      </c>
      <c r="F494" s="498" t="s">
        <v>236</v>
      </c>
      <c r="H494" s="498" t="s">
        <v>277</v>
      </c>
      <c r="K494" s="505">
        <v>49173</v>
      </c>
      <c r="L494" s="505"/>
      <c r="T494" s="507" t="s">
        <v>4365</v>
      </c>
      <c r="U494" s="502">
        <v>0.58888888888888891</v>
      </c>
      <c r="V494" s="502">
        <v>0.93263888888888891</v>
      </c>
    </row>
    <row r="495" spans="1:22" s="504" customFormat="1" x14ac:dyDescent="0.25">
      <c r="A495" s="497">
        <v>20072024</v>
      </c>
      <c r="B495" s="504" t="s">
        <v>1720</v>
      </c>
      <c r="C495" s="498" t="s">
        <v>4218</v>
      </c>
      <c r="D495" s="499">
        <v>45493</v>
      </c>
      <c r="F495" s="498" t="s">
        <v>545</v>
      </c>
      <c r="H495" s="498" t="s">
        <v>277</v>
      </c>
      <c r="K495" s="505">
        <v>25016</v>
      </c>
      <c r="L495" s="505"/>
      <c r="T495" s="507" t="s">
        <v>3151</v>
      </c>
      <c r="U495" s="502">
        <v>0.30416666666666664</v>
      </c>
      <c r="V495" s="502">
        <v>0.46458333333333335</v>
      </c>
    </row>
    <row r="496" spans="1:22" s="504" customFormat="1" x14ac:dyDescent="0.25">
      <c r="A496" s="497">
        <v>20072024</v>
      </c>
      <c r="B496" s="504" t="s">
        <v>586</v>
      </c>
      <c r="C496" s="498" t="s">
        <v>13</v>
      </c>
      <c r="D496" s="499">
        <v>45493</v>
      </c>
      <c r="F496" s="498" t="s">
        <v>545</v>
      </c>
      <c r="H496" s="498" t="s">
        <v>279</v>
      </c>
      <c r="K496" s="505">
        <v>32200</v>
      </c>
      <c r="L496" s="505"/>
      <c r="T496" s="507" t="s">
        <v>3151</v>
      </c>
      <c r="U496" s="502">
        <v>0.5229166666666667</v>
      </c>
      <c r="V496" s="502">
        <v>0.69027777777777777</v>
      </c>
    </row>
    <row r="497" spans="1:22" s="504" customFormat="1" x14ac:dyDescent="0.25">
      <c r="A497" s="497">
        <v>20072024</v>
      </c>
      <c r="B497" s="504" t="s">
        <v>586</v>
      </c>
      <c r="C497" s="498" t="s">
        <v>13</v>
      </c>
      <c r="D497" s="499">
        <v>45493</v>
      </c>
      <c r="F497" s="498" t="s">
        <v>545</v>
      </c>
      <c r="H497" s="498" t="s">
        <v>279</v>
      </c>
      <c r="K497" s="505">
        <v>32200</v>
      </c>
      <c r="L497" s="505"/>
      <c r="T497" s="507" t="s">
        <v>4022</v>
      </c>
      <c r="U497" s="502">
        <v>0.71180555555555547</v>
      </c>
      <c r="V497" s="502">
        <v>0.8847222222222223</v>
      </c>
    </row>
    <row r="498" spans="1:22" s="379" customFormat="1" x14ac:dyDescent="0.25">
      <c r="A498" s="765">
        <v>21072024</v>
      </c>
      <c r="B498" s="379" t="s">
        <v>4554</v>
      </c>
      <c r="C498" s="381" t="s">
        <v>13</v>
      </c>
      <c r="D498" s="766">
        <v>45494</v>
      </c>
      <c r="F498" s="381" t="s">
        <v>2008</v>
      </c>
      <c r="H498" s="381" t="s">
        <v>279</v>
      </c>
      <c r="K498" s="382">
        <v>47250</v>
      </c>
      <c r="L498" s="382"/>
      <c r="T498" s="384" t="s">
        <v>4345</v>
      </c>
      <c r="U498" s="767">
        <v>0.30208333333333331</v>
      </c>
      <c r="V498" s="767">
        <v>0.6166666666666667</v>
      </c>
    </row>
    <row r="499" spans="1:22" s="645" customFormat="1" x14ac:dyDescent="0.25">
      <c r="A499" s="644">
        <v>21072024</v>
      </c>
      <c r="B499" s="645" t="s">
        <v>4264</v>
      </c>
      <c r="C499" s="646" t="s">
        <v>410</v>
      </c>
      <c r="D499" s="647">
        <v>45494</v>
      </c>
      <c r="F499" s="646" t="s">
        <v>4225</v>
      </c>
      <c r="H499" s="646" t="s">
        <v>279</v>
      </c>
      <c r="K499" s="648">
        <f>41100+12000</f>
        <v>53100</v>
      </c>
      <c r="L499" s="648"/>
      <c r="T499" s="649" t="s">
        <v>4365</v>
      </c>
      <c r="U499" s="650">
        <v>0.5541666666666667</v>
      </c>
      <c r="V499" s="650">
        <v>0.72499999999999998</v>
      </c>
    </row>
    <row r="500" spans="1:22" s="645" customFormat="1" x14ac:dyDescent="0.25">
      <c r="A500" s="644">
        <v>22072024</v>
      </c>
      <c r="B500" s="645" t="s">
        <v>586</v>
      </c>
      <c r="C500" s="646" t="s">
        <v>13</v>
      </c>
      <c r="D500" s="647">
        <v>45495</v>
      </c>
      <c r="F500" s="646" t="s">
        <v>545</v>
      </c>
      <c r="H500" s="646" t="s">
        <v>279</v>
      </c>
      <c r="K500" s="648">
        <v>32200</v>
      </c>
      <c r="L500" s="648"/>
      <c r="T500" s="649" t="s">
        <v>4022</v>
      </c>
      <c r="U500" s="650">
        <v>0.33124999999999999</v>
      </c>
      <c r="V500" s="650">
        <v>0.49236111111111108</v>
      </c>
    </row>
    <row r="501" spans="1:22" s="645" customFormat="1" x14ac:dyDescent="0.25">
      <c r="A501" s="644">
        <v>22072024</v>
      </c>
      <c r="B501" s="645" t="s">
        <v>3932</v>
      </c>
      <c r="C501" s="646" t="s">
        <v>13</v>
      </c>
      <c r="D501" s="647">
        <v>45495</v>
      </c>
      <c r="F501" s="646" t="s">
        <v>294</v>
      </c>
      <c r="H501" s="646" t="s">
        <v>279</v>
      </c>
      <c r="K501" s="648">
        <v>35872</v>
      </c>
      <c r="L501" s="648"/>
      <c r="T501" s="649" t="s">
        <v>4295</v>
      </c>
      <c r="U501" s="650">
        <v>0.33333333333333331</v>
      </c>
      <c r="V501" s="650">
        <v>0.48541666666666666</v>
      </c>
    </row>
    <row r="502" spans="1:22" s="645" customFormat="1" x14ac:dyDescent="0.25">
      <c r="A502" s="644">
        <v>23072024</v>
      </c>
      <c r="B502" s="645" t="s">
        <v>572</v>
      </c>
      <c r="C502" s="646" t="s">
        <v>13</v>
      </c>
      <c r="D502" s="647">
        <v>45496</v>
      </c>
      <c r="F502" s="646" t="s">
        <v>207</v>
      </c>
      <c r="H502" s="646" t="s">
        <v>279</v>
      </c>
      <c r="K502" s="648"/>
      <c r="L502" s="648">
        <v>8968</v>
      </c>
      <c r="T502" s="649" t="s">
        <v>4297</v>
      </c>
      <c r="U502" s="650">
        <v>0.44444444444444442</v>
      </c>
      <c r="V502" s="650">
        <v>0.6430555555555556</v>
      </c>
    </row>
    <row r="503" spans="1:22" s="33" customFormat="1" x14ac:dyDescent="0.25">
      <c r="A503" s="547">
        <v>23072024</v>
      </c>
      <c r="B503" s="33" t="s">
        <v>930</v>
      </c>
      <c r="C503" s="306" t="s">
        <v>4218</v>
      </c>
      <c r="D503" s="548">
        <v>45496</v>
      </c>
      <c r="F503" s="306" t="s">
        <v>293</v>
      </c>
      <c r="H503" s="306" t="s">
        <v>277</v>
      </c>
      <c r="K503" s="312">
        <v>25000</v>
      </c>
      <c r="L503" s="312"/>
      <c r="T503" s="280" t="s">
        <v>4022</v>
      </c>
      <c r="U503" s="550">
        <v>0.56180555555555556</v>
      </c>
      <c r="V503" s="550">
        <v>0.77083333333333337</v>
      </c>
    </row>
    <row r="504" spans="1:22" s="645" customFormat="1" x14ac:dyDescent="0.25">
      <c r="A504" s="644">
        <v>24072024</v>
      </c>
      <c r="B504" s="645" t="s">
        <v>1720</v>
      </c>
      <c r="C504" s="646" t="s">
        <v>4218</v>
      </c>
      <c r="D504" s="647">
        <v>45497</v>
      </c>
      <c r="F504" s="646" t="s">
        <v>545</v>
      </c>
      <c r="H504" s="646" t="s">
        <v>277</v>
      </c>
      <c r="K504" s="648">
        <v>25016</v>
      </c>
      <c r="L504" s="648"/>
      <c r="T504" s="649" t="s">
        <v>3151</v>
      </c>
      <c r="U504" s="650">
        <v>0.58611111111111114</v>
      </c>
      <c r="V504" s="650">
        <v>0.70000000000000007</v>
      </c>
    </row>
    <row r="505" spans="1:22" s="645" customFormat="1" x14ac:dyDescent="0.25">
      <c r="A505" s="644">
        <v>26072024</v>
      </c>
      <c r="B505" s="645" t="s">
        <v>610</v>
      </c>
      <c r="C505" s="646" t="s">
        <v>13</v>
      </c>
      <c r="D505" s="647">
        <v>45499</v>
      </c>
      <c r="F505" s="646" t="s">
        <v>106</v>
      </c>
      <c r="H505" s="646" t="s">
        <v>279</v>
      </c>
      <c r="K505" s="648">
        <v>29770</v>
      </c>
      <c r="L505" s="648"/>
      <c r="T505" s="649" t="s">
        <v>4277</v>
      </c>
      <c r="U505" s="650">
        <v>0.30277777777777776</v>
      </c>
      <c r="V505" s="650">
        <v>0.48055555555555557</v>
      </c>
    </row>
    <row r="506" spans="1:22" s="33" customFormat="1" x14ac:dyDescent="0.25">
      <c r="A506" s="547">
        <v>26072024</v>
      </c>
      <c r="B506" s="33" t="s">
        <v>875</v>
      </c>
      <c r="C506" s="306" t="s">
        <v>410</v>
      </c>
      <c r="D506" s="548">
        <v>45499</v>
      </c>
      <c r="F506" s="306" t="s">
        <v>2036</v>
      </c>
      <c r="H506" s="306" t="s">
        <v>279</v>
      </c>
      <c r="K506" s="312">
        <v>23500</v>
      </c>
      <c r="L506" s="312"/>
      <c r="T506" s="280" t="s">
        <v>4365</v>
      </c>
      <c r="U506" s="550">
        <v>0.36458333333333331</v>
      </c>
      <c r="V506" s="550">
        <v>0.4993055555555555</v>
      </c>
    </row>
    <row r="507" spans="1:22" s="645" customFormat="1" x14ac:dyDescent="0.25">
      <c r="A507" s="644">
        <v>26072024</v>
      </c>
      <c r="B507" s="645" t="s">
        <v>1720</v>
      </c>
      <c r="C507" s="646" t="s">
        <v>13</v>
      </c>
      <c r="D507" s="647">
        <v>45499</v>
      </c>
      <c r="F507" s="646" t="s">
        <v>545</v>
      </c>
      <c r="H507" s="646" t="s">
        <v>279</v>
      </c>
      <c r="K507" s="648">
        <v>34456</v>
      </c>
      <c r="L507" s="648"/>
      <c r="T507" s="649" t="s">
        <v>4277</v>
      </c>
      <c r="U507" s="650">
        <v>0.56041666666666667</v>
      </c>
      <c r="V507" s="650">
        <v>0.81874999999999998</v>
      </c>
    </row>
    <row r="508" spans="1:22" s="645" customFormat="1" x14ac:dyDescent="0.25">
      <c r="A508" s="644">
        <v>26072024</v>
      </c>
      <c r="B508" s="645" t="s">
        <v>608</v>
      </c>
      <c r="C508" s="646" t="s">
        <v>410</v>
      </c>
      <c r="D508" s="647">
        <v>45499</v>
      </c>
      <c r="F508" s="646" t="s">
        <v>236</v>
      </c>
      <c r="H508" s="646" t="s">
        <v>279</v>
      </c>
      <c r="K508" s="648">
        <v>58231</v>
      </c>
      <c r="L508" s="648"/>
      <c r="T508" s="649" t="s">
        <v>4138</v>
      </c>
      <c r="U508" s="650">
        <v>0.73611111111111116</v>
      </c>
      <c r="V508" s="650">
        <v>1.2499999999999999E-2</v>
      </c>
    </row>
    <row r="509" spans="1:22" s="645" customFormat="1" x14ac:dyDescent="0.25">
      <c r="A509" s="644">
        <v>26072024</v>
      </c>
      <c r="B509" s="645" t="s">
        <v>608</v>
      </c>
      <c r="C509" s="646" t="s">
        <v>13</v>
      </c>
      <c r="D509" s="647">
        <v>45499</v>
      </c>
      <c r="F509" s="646" t="s">
        <v>236</v>
      </c>
      <c r="H509" s="646" t="s">
        <v>279</v>
      </c>
      <c r="K509" s="648">
        <v>58231</v>
      </c>
      <c r="L509" s="648"/>
      <c r="T509" s="649" t="s">
        <v>4097</v>
      </c>
      <c r="U509" s="650">
        <v>0.85</v>
      </c>
      <c r="V509" s="650">
        <v>0.10902777777777778</v>
      </c>
    </row>
    <row r="510" spans="1:22" s="33" customFormat="1" x14ac:dyDescent="0.25">
      <c r="A510" s="547">
        <v>27072024</v>
      </c>
      <c r="B510" s="33" t="s">
        <v>614</v>
      </c>
      <c r="C510" s="306" t="s">
        <v>13</v>
      </c>
      <c r="D510" s="548">
        <v>45500</v>
      </c>
      <c r="F510" s="306" t="s">
        <v>68</v>
      </c>
      <c r="H510" s="306" t="s">
        <v>279</v>
      </c>
      <c r="K510" s="312">
        <v>49843.199999999997</v>
      </c>
      <c r="L510" s="312"/>
      <c r="T510" s="280" t="s">
        <v>4365</v>
      </c>
      <c r="U510" s="550">
        <v>0.49444444444444446</v>
      </c>
      <c r="V510" s="550">
        <v>0.77361111111111114</v>
      </c>
    </row>
    <row r="511" spans="1:22" s="33" customFormat="1" x14ac:dyDescent="0.25">
      <c r="A511" s="547">
        <v>30072024</v>
      </c>
      <c r="B511" s="33" t="s">
        <v>614</v>
      </c>
      <c r="C511" s="306" t="s">
        <v>13</v>
      </c>
      <c r="D511" s="548">
        <v>45503</v>
      </c>
      <c r="F511" s="306" t="s">
        <v>4562</v>
      </c>
      <c r="H511" s="306" t="s">
        <v>279</v>
      </c>
      <c r="K511" s="312">
        <v>31152</v>
      </c>
      <c r="L511" s="312"/>
      <c r="T511" s="280" t="s">
        <v>4277</v>
      </c>
      <c r="U511" s="550">
        <v>0.33749999999999997</v>
      </c>
      <c r="V511" s="550">
        <v>0.48402777777777778</v>
      </c>
    </row>
    <row r="512" spans="1:22" s="645" customFormat="1" x14ac:dyDescent="0.25">
      <c r="A512" s="644">
        <v>31072024</v>
      </c>
      <c r="B512" s="645" t="s">
        <v>586</v>
      </c>
      <c r="C512" s="646" t="s">
        <v>13</v>
      </c>
      <c r="D512" s="647">
        <v>45504</v>
      </c>
      <c r="F512" s="646" t="s">
        <v>545</v>
      </c>
      <c r="H512" s="646" t="s">
        <v>279</v>
      </c>
      <c r="K512" s="648">
        <v>32200</v>
      </c>
      <c r="L512" s="648"/>
      <c r="T512" s="649" t="s">
        <v>4138</v>
      </c>
      <c r="U512" s="650">
        <v>0.29375000000000001</v>
      </c>
      <c r="V512" s="650">
        <v>0.53680555555555554</v>
      </c>
    </row>
    <row r="513" spans="1:22" s="33" customFormat="1" x14ac:dyDescent="0.25">
      <c r="A513" s="547">
        <v>31072024</v>
      </c>
      <c r="B513" s="33" t="s">
        <v>875</v>
      </c>
      <c r="C513" s="306" t="s">
        <v>13</v>
      </c>
      <c r="D513" s="548">
        <v>45504</v>
      </c>
      <c r="F513" s="306" t="s">
        <v>2036</v>
      </c>
      <c r="H513" s="306" t="s">
        <v>279</v>
      </c>
      <c r="K513" s="312">
        <v>23500</v>
      </c>
      <c r="L513" s="312"/>
      <c r="T513" s="280" t="s">
        <v>4138</v>
      </c>
      <c r="U513" s="550">
        <v>0.62708333333333333</v>
      </c>
      <c r="V513" s="550">
        <v>0.76180555555555562</v>
      </c>
    </row>
    <row r="514" spans="1:22" s="408" customFormat="1" x14ac:dyDescent="0.25">
      <c r="A514" s="762">
        <v>31072024</v>
      </c>
      <c r="B514" s="408" t="s">
        <v>3238</v>
      </c>
      <c r="C514" s="410" t="s">
        <v>410</v>
      </c>
      <c r="D514" s="763">
        <v>45504</v>
      </c>
      <c r="F514" s="410" t="s">
        <v>68</v>
      </c>
      <c r="H514" s="410" t="s">
        <v>279</v>
      </c>
      <c r="K514" s="411"/>
      <c r="L514" s="411">
        <f>9750*1.18</f>
        <v>11505</v>
      </c>
      <c r="T514" s="413" t="s">
        <v>4365</v>
      </c>
      <c r="U514" s="764">
        <v>0.68888888888888899</v>
      </c>
      <c r="V514" s="764">
        <v>0.93819444444444444</v>
      </c>
    </row>
    <row r="515" spans="1:22" x14ac:dyDescent="0.25">
      <c r="F515" s="25"/>
      <c r="T515" s="14"/>
      <c r="U515" s="360"/>
    </row>
    <row r="516" spans="1:22" x14ac:dyDescent="0.25">
      <c r="F516" s="25"/>
      <c r="T516" s="14"/>
      <c r="U516" s="360"/>
    </row>
    <row r="517" spans="1:22" x14ac:dyDescent="0.25">
      <c r="F517" s="25"/>
    </row>
    <row r="518" spans="1:22" x14ac:dyDescent="0.25">
      <c r="K518" s="505">
        <f>SUM(K444:K517)</f>
        <v>2373512.8000000003</v>
      </c>
      <c r="L518" s="505">
        <f>SUM(L444:L517)</f>
        <v>93621</v>
      </c>
    </row>
    <row r="520" spans="1:22" s="504" customFormat="1" x14ac:dyDescent="0.25">
      <c r="A520" s="643" t="s">
        <v>4576</v>
      </c>
      <c r="B520" s="504" t="s">
        <v>318</v>
      </c>
      <c r="C520" s="498" t="s">
        <v>13</v>
      </c>
      <c r="D520" s="499">
        <v>45505</v>
      </c>
      <c r="F520" s="498" t="s">
        <v>143</v>
      </c>
      <c r="H520" s="498" t="s">
        <v>279</v>
      </c>
      <c r="K520" s="505">
        <v>43612.800000000003</v>
      </c>
      <c r="L520" s="506"/>
      <c r="T520" s="504" t="s">
        <v>4097</v>
      </c>
      <c r="U520" s="502">
        <v>0.24722222222222223</v>
      </c>
      <c r="V520" s="502">
        <v>0.43611111111111112</v>
      </c>
    </row>
    <row r="521" spans="1:22" s="386" customFormat="1" x14ac:dyDescent="0.25">
      <c r="A521" s="753" t="s">
        <v>4576</v>
      </c>
      <c r="B521" s="386" t="s">
        <v>4554</v>
      </c>
      <c r="C521" s="388" t="s">
        <v>410</v>
      </c>
      <c r="D521" s="754">
        <v>45505</v>
      </c>
      <c r="F521" s="388" t="s">
        <v>2008</v>
      </c>
      <c r="H521" s="388" t="s">
        <v>279</v>
      </c>
      <c r="K521" s="389">
        <v>47250</v>
      </c>
      <c r="L521" s="390"/>
      <c r="T521" s="386" t="s">
        <v>4277</v>
      </c>
      <c r="U521" s="755">
        <v>0.40972222222222227</v>
      </c>
      <c r="V521" s="755">
        <v>0.6791666666666667</v>
      </c>
    </row>
    <row r="522" spans="1:22" s="504" customFormat="1" x14ac:dyDescent="0.25">
      <c r="A522" s="643" t="s">
        <v>4576</v>
      </c>
      <c r="B522" s="504" t="s">
        <v>318</v>
      </c>
      <c r="C522" s="498" t="s">
        <v>13</v>
      </c>
      <c r="D522" s="499">
        <v>45505</v>
      </c>
      <c r="F522" s="498" t="s">
        <v>4562</v>
      </c>
      <c r="H522" s="498" t="s">
        <v>279</v>
      </c>
      <c r="K522" s="505">
        <v>31152</v>
      </c>
      <c r="L522" s="506"/>
      <c r="T522" s="504" t="s">
        <v>4097</v>
      </c>
      <c r="U522" s="502">
        <v>0.48194444444444445</v>
      </c>
      <c r="V522" s="502">
        <v>0.61805555555555558</v>
      </c>
    </row>
    <row r="523" spans="1:22" s="504" customFormat="1" x14ac:dyDescent="0.25">
      <c r="A523" s="643" t="s">
        <v>4576</v>
      </c>
      <c r="B523" s="504" t="s">
        <v>1335</v>
      </c>
      <c r="C523" s="498" t="s">
        <v>13</v>
      </c>
      <c r="D523" s="499">
        <v>45505</v>
      </c>
      <c r="F523" s="498" t="s">
        <v>236</v>
      </c>
      <c r="H523" s="498" t="s">
        <v>279</v>
      </c>
      <c r="K523" s="505">
        <v>62540</v>
      </c>
      <c r="L523" s="506"/>
      <c r="T523" s="504" t="s">
        <v>4365</v>
      </c>
      <c r="U523" s="502">
        <v>0.74861111111111101</v>
      </c>
      <c r="V523" s="502">
        <v>4.027777777777778E-2</v>
      </c>
    </row>
    <row r="524" spans="1:22" s="504" customFormat="1" x14ac:dyDescent="0.25">
      <c r="A524" s="643" t="s">
        <v>4576</v>
      </c>
      <c r="B524" s="504" t="s">
        <v>1720</v>
      </c>
      <c r="C524" s="498" t="s">
        <v>410</v>
      </c>
      <c r="D524" s="499">
        <v>45505</v>
      </c>
      <c r="F524" s="498" t="s">
        <v>545</v>
      </c>
      <c r="H524" s="498" t="s">
        <v>279</v>
      </c>
      <c r="K524" s="505">
        <v>34456</v>
      </c>
      <c r="L524" s="506"/>
      <c r="T524" s="504" t="s">
        <v>4277</v>
      </c>
      <c r="U524" s="502">
        <v>0.73055555555555562</v>
      </c>
      <c r="V524" s="502">
        <v>0.93194444444444446</v>
      </c>
    </row>
    <row r="525" spans="1:22" s="504" customFormat="1" x14ac:dyDescent="0.25">
      <c r="A525" s="643" t="s">
        <v>4577</v>
      </c>
      <c r="B525" s="504" t="s">
        <v>3276</v>
      </c>
      <c r="C525" s="498" t="s">
        <v>13</v>
      </c>
      <c r="D525" s="499">
        <v>45506</v>
      </c>
      <c r="F525" s="498" t="s">
        <v>294</v>
      </c>
      <c r="H525" s="498" t="s">
        <v>279</v>
      </c>
      <c r="K525" s="505">
        <v>40592</v>
      </c>
      <c r="L525" s="506"/>
      <c r="T525" s="504" t="s">
        <v>4097</v>
      </c>
      <c r="U525" s="502">
        <v>0.30763888888888891</v>
      </c>
      <c r="V525" s="636">
        <v>11.42</v>
      </c>
    </row>
    <row r="526" spans="1:22" s="504" customFormat="1" x14ac:dyDescent="0.25">
      <c r="A526" s="643" t="s">
        <v>4577</v>
      </c>
      <c r="B526" s="504" t="s">
        <v>4253</v>
      </c>
      <c r="C526" s="498" t="s">
        <v>13</v>
      </c>
      <c r="D526" s="499">
        <v>45506</v>
      </c>
      <c r="F526" s="498" t="s">
        <v>143</v>
      </c>
      <c r="H526" s="498" t="s">
        <v>279</v>
      </c>
      <c r="K526" s="505">
        <v>36750</v>
      </c>
      <c r="L526" s="506"/>
      <c r="T526" s="504" t="s">
        <v>4297</v>
      </c>
      <c r="U526" s="502">
        <v>0.64513888888888882</v>
      </c>
      <c r="V526" s="502">
        <v>0.98749999999999993</v>
      </c>
    </row>
    <row r="527" spans="1:22" s="504" customFormat="1" x14ac:dyDescent="0.25">
      <c r="A527" s="643" t="s">
        <v>4577</v>
      </c>
      <c r="B527" s="504" t="s">
        <v>613</v>
      </c>
      <c r="C527" s="498" t="s">
        <v>410</v>
      </c>
      <c r="D527" s="499">
        <v>45506</v>
      </c>
      <c r="F527" s="498" t="s">
        <v>425</v>
      </c>
      <c r="H527" s="498" t="s">
        <v>279</v>
      </c>
      <c r="K527" s="505">
        <v>30491</v>
      </c>
      <c r="L527" s="506"/>
      <c r="T527" s="504" t="s">
        <v>4277</v>
      </c>
      <c r="U527" s="502">
        <v>0.68402777777777779</v>
      </c>
      <c r="V527" s="502">
        <v>0.93472222222222223</v>
      </c>
    </row>
    <row r="528" spans="1:22" s="504" customFormat="1" x14ac:dyDescent="0.25">
      <c r="A528" s="643" t="s">
        <v>4579</v>
      </c>
      <c r="B528" s="504" t="s">
        <v>4580</v>
      </c>
      <c r="C528" s="498" t="s">
        <v>4218</v>
      </c>
      <c r="D528" s="499">
        <v>45507</v>
      </c>
      <c r="F528" s="498" t="s">
        <v>4344</v>
      </c>
      <c r="H528" s="498" t="s">
        <v>277</v>
      </c>
      <c r="K528" s="505"/>
      <c r="L528" s="506">
        <v>8180</v>
      </c>
      <c r="T528" s="504" t="s">
        <v>4581</v>
      </c>
      <c r="U528" s="502">
        <v>0.39166666666666666</v>
      </c>
      <c r="V528" s="502">
        <v>0.68819444444444444</v>
      </c>
    </row>
    <row r="529" spans="1:22" s="504" customFormat="1" x14ac:dyDescent="0.25">
      <c r="A529" s="643" t="s">
        <v>4579</v>
      </c>
      <c r="B529" s="504" t="s">
        <v>572</v>
      </c>
      <c r="C529" s="498" t="s">
        <v>4218</v>
      </c>
      <c r="D529" s="499">
        <v>45507</v>
      </c>
      <c r="F529" s="498" t="s">
        <v>1930</v>
      </c>
      <c r="H529" s="498" t="s">
        <v>279</v>
      </c>
      <c r="K529" s="506"/>
      <c r="L529" s="505">
        <v>8968</v>
      </c>
      <c r="T529" s="504" t="s">
        <v>4070</v>
      </c>
      <c r="U529" s="502">
        <v>0.62291666666666667</v>
      </c>
      <c r="V529" s="502">
        <v>0.77222222222222225</v>
      </c>
    </row>
    <row r="530" spans="1:22" s="504" customFormat="1" x14ac:dyDescent="0.25">
      <c r="A530" s="643" t="s">
        <v>4579</v>
      </c>
      <c r="B530" s="504" t="s">
        <v>608</v>
      </c>
      <c r="C530" s="498" t="s">
        <v>13</v>
      </c>
      <c r="D530" s="499">
        <v>45507</v>
      </c>
      <c r="F530" s="498" t="s">
        <v>236</v>
      </c>
      <c r="H530" s="498" t="s">
        <v>279</v>
      </c>
      <c r="K530" s="505">
        <v>58231</v>
      </c>
      <c r="L530" s="506"/>
      <c r="T530" s="504" t="s">
        <v>4277</v>
      </c>
      <c r="U530" s="502">
        <v>0.68402777777777779</v>
      </c>
      <c r="V530" s="502">
        <v>0.96597222222222223</v>
      </c>
    </row>
    <row r="531" spans="1:22" s="504" customFormat="1" x14ac:dyDescent="0.25">
      <c r="A531" s="643" t="s">
        <v>4578</v>
      </c>
      <c r="B531" s="504" t="s">
        <v>1720</v>
      </c>
      <c r="C531" s="498" t="s">
        <v>13</v>
      </c>
      <c r="D531" s="499">
        <v>45508</v>
      </c>
      <c r="F531" s="498" t="s">
        <v>545</v>
      </c>
      <c r="H531" s="498" t="s">
        <v>279</v>
      </c>
      <c r="K531" s="505">
        <v>34456</v>
      </c>
      <c r="L531" s="506"/>
      <c r="T531" s="504" t="s">
        <v>4297</v>
      </c>
      <c r="U531" s="502">
        <v>0.72638888888888886</v>
      </c>
      <c r="V531" s="502">
        <v>0.90833333333333333</v>
      </c>
    </row>
    <row r="532" spans="1:22" s="504" customFormat="1" x14ac:dyDescent="0.25">
      <c r="A532" s="643" t="s">
        <v>4595</v>
      </c>
      <c r="B532" s="504" t="s">
        <v>2469</v>
      </c>
      <c r="C532" s="498" t="s">
        <v>13</v>
      </c>
      <c r="D532" s="499">
        <v>45509</v>
      </c>
      <c r="F532" s="498" t="s">
        <v>294</v>
      </c>
      <c r="H532" s="498" t="s">
        <v>279</v>
      </c>
      <c r="K532" s="505">
        <v>39040</v>
      </c>
      <c r="L532" s="506"/>
      <c r="T532" s="504" t="s">
        <v>4396</v>
      </c>
      <c r="U532" s="502">
        <v>0.84652777777777777</v>
      </c>
      <c r="V532" s="502">
        <v>0.99861111111111101</v>
      </c>
    </row>
    <row r="533" spans="1:22" s="504" customFormat="1" x14ac:dyDescent="0.25">
      <c r="A533" s="643" t="s">
        <v>4596</v>
      </c>
      <c r="B533" s="504" t="s">
        <v>2227</v>
      </c>
      <c r="C533" s="498" t="s">
        <v>13</v>
      </c>
      <c r="D533" s="499">
        <v>45510</v>
      </c>
      <c r="F533" s="498" t="s">
        <v>106</v>
      </c>
      <c r="H533" s="498" t="s">
        <v>279</v>
      </c>
      <c r="K533" s="505">
        <v>24549</v>
      </c>
      <c r="L533" s="506"/>
      <c r="T533" s="504" t="s">
        <v>4365</v>
      </c>
      <c r="U533" s="502">
        <v>0.25069444444444444</v>
      </c>
      <c r="V533" s="502">
        <v>0.3923611111111111</v>
      </c>
    </row>
    <row r="534" spans="1:22" s="504" customFormat="1" x14ac:dyDescent="0.25">
      <c r="A534" s="643" t="s">
        <v>4596</v>
      </c>
      <c r="B534" s="504" t="s">
        <v>612</v>
      </c>
      <c r="C534" s="498" t="s">
        <v>13</v>
      </c>
      <c r="D534" s="499">
        <v>45510</v>
      </c>
      <c r="F534" s="498" t="s">
        <v>113</v>
      </c>
      <c r="H534" s="498" t="s">
        <v>279</v>
      </c>
      <c r="K534" s="505">
        <v>38500</v>
      </c>
      <c r="L534" s="506"/>
      <c r="T534" s="504" t="s">
        <v>4365</v>
      </c>
      <c r="U534" s="502">
        <v>0.49791666666666662</v>
      </c>
      <c r="V534" s="502">
        <v>0.71875</v>
      </c>
    </row>
    <row r="535" spans="1:22" s="504" customFormat="1" x14ac:dyDescent="0.25">
      <c r="A535" s="643" t="s">
        <v>4597</v>
      </c>
      <c r="B535" s="504" t="s">
        <v>3276</v>
      </c>
      <c r="C535" s="498" t="s">
        <v>13</v>
      </c>
      <c r="D535" s="499">
        <v>45511</v>
      </c>
      <c r="F535" s="498" t="s">
        <v>872</v>
      </c>
      <c r="H535" s="498" t="s">
        <v>279</v>
      </c>
      <c r="K535" s="505">
        <v>40592</v>
      </c>
      <c r="L535" s="506"/>
      <c r="T535" s="504" t="s">
        <v>4277</v>
      </c>
      <c r="U535" s="502">
        <v>0.33055555555555555</v>
      </c>
      <c r="V535" s="502">
        <v>0.56597222222222221</v>
      </c>
    </row>
    <row r="536" spans="1:22" s="504" customFormat="1" x14ac:dyDescent="0.25">
      <c r="A536" s="643" t="s">
        <v>4615</v>
      </c>
      <c r="B536" s="504" t="s">
        <v>3276</v>
      </c>
      <c r="C536" s="498" t="s">
        <v>4218</v>
      </c>
      <c r="D536" s="499">
        <v>45512</v>
      </c>
      <c r="F536" s="498" t="s">
        <v>872</v>
      </c>
      <c r="H536" s="498" t="s">
        <v>279</v>
      </c>
      <c r="K536" s="505">
        <v>40592</v>
      </c>
      <c r="L536" s="506"/>
      <c r="T536" s="504" t="s">
        <v>4277</v>
      </c>
      <c r="U536" s="502">
        <v>0.6166666666666667</v>
      </c>
      <c r="V536" s="502">
        <v>0.54791666666666672</v>
      </c>
    </row>
    <row r="537" spans="1:22" s="504" customFormat="1" x14ac:dyDescent="0.25">
      <c r="A537" s="643" t="s">
        <v>4597</v>
      </c>
      <c r="B537" s="504" t="s">
        <v>1720</v>
      </c>
      <c r="C537" s="498" t="s">
        <v>13</v>
      </c>
      <c r="D537" s="499">
        <v>45511</v>
      </c>
      <c r="F537" s="498" t="s">
        <v>545</v>
      </c>
      <c r="H537" s="498" t="s">
        <v>277</v>
      </c>
      <c r="K537" s="505">
        <v>25016</v>
      </c>
      <c r="L537" s="506"/>
      <c r="T537" s="504" t="s">
        <v>4070</v>
      </c>
      <c r="U537" s="502">
        <v>0.64722222222222225</v>
      </c>
      <c r="V537" s="502">
        <v>0.77222222222222225</v>
      </c>
    </row>
    <row r="538" spans="1:22" s="504" customFormat="1" x14ac:dyDescent="0.25">
      <c r="A538" s="643" t="s">
        <v>4615</v>
      </c>
      <c r="B538" s="504" t="s">
        <v>582</v>
      </c>
      <c r="C538" s="498" t="s">
        <v>410</v>
      </c>
      <c r="D538" s="499">
        <v>45512</v>
      </c>
      <c r="F538" s="498" t="s">
        <v>207</v>
      </c>
      <c r="H538" s="498" t="s">
        <v>279</v>
      </c>
      <c r="K538" s="505"/>
      <c r="L538" s="506">
        <v>11385</v>
      </c>
      <c r="T538" s="504" t="s">
        <v>4550</v>
      </c>
      <c r="U538" s="502">
        <v>0.47500000000000003</v>
      </c>
      <c r="V538" s="502">
        <v>0.6875</v>
      </c>
    </row>
    <row r="539" spans="1:22" s="386" customFormat="1" x14ac:dyDescent="0.25">
      <c r="A539" s="753" t="s">
        <v>4616</v>
      </c>
      <c r="B539" s="386" t="s">
        <v>576</v>
      </c>
      <c r="C539" s="388" t="s">
        <v>410</v>
      </c>
      <c r="D539" s="754">
        <v>45513</v>
      </c>
      <c r="F539" s="388" t="s">
        <v>285</v>
      </c>
      <c r="H539" s="388" t="s">
        <v>279</v>
      </c>
      <c r="K539" s="389">
        <v>44250</v>
      </c>
      <c r="L539" s="390"/>
      <c r="T539" s="386" t="s">
        <v>4617</v>
      </c>
      <c r="U539" s="755">
        <v>0.24097222222222223</v>
      </c>
      <c r="V539" s="755">
        <v>0.50069444444444444</v>
      </c>
    </row>
    <row r="540" spans="1:22" s="504" customFormat="1" x14ac:dyDescent="0.25">
      <c r="A540" s="643" t="s">
        <v>4616</v>
      </c>
      <c r="B540" s="504" t="s">
        <v>3276</v>
      </c>
      <c r="C540" s="498" t="s">
        <v>13</v>
      </c>
      <c r="D540" s="499">
        <v>45513</v>
      </c>
      <c r="F540" s="498" t="s">
        <v>872</v>
      </c>
      <c r="H540" s="498" t="s">
        <v>279</v>
      </c>
      <c r="K540" s="505">
        <v>40592</v>
      </c>
      <c r="L540" s="506"/>
      <c r="T540" s="504" t="s">
        <v>2050</v>
      </c>
      <c r="U540" s="502">
        <v>0.37916666666666665</v>
      </c>
      <c r="V540" s="502">
        <v>0.62638888888888888</v>
      </c>
    </row>
    <row r="541" spans="1:22" s="504" customFormat="1" x14ac:dyDescent="0.25">
      <c r="A541" s="643" t="s">
        <v>4616</v>
      </c>
      <c r="B541" s="504" t="s">
        <v>930</v>
      </c>
      <c r="C541" s="498" t="s">
        <v>410</v>
      </c>
      <c r="D541" s="499">
        <v>45513</v>
      </c>
      <c r="F541" s="498" t="s">
        <v>294</v>
      </c>
      <c r="H541" s="498" t="s">
        <v>277</v>
      </c>
      <c r="K541" s="505">
        <v>24886</v>
      </c>
      <c r="L541" s="506"/>
      <c r="T541" s="504" t="s">
        <v>4617</v>
      </c>
      <c r="U541" s="502">
        <v>0.55694444444444446</v>
      </c>
      <c r="V541" s="502">
        <v>0.72777777777777775</v>
      </c>
    </row>
    <row r="542" spans="1:22" s="504" customFormat="1" x14ac:dyDescent="0.25">
      <c r="A542" s="643" t="s">
        <v>4616</v>
      </c>
      <c r="B542" s="504" t="s">
        <v>930</v>
      </c>
      <c r="C542" s="498" t="s">
        <v>410</v>
      </c>
      <c r="D542" s="499">
        <v>45513</v>
      </c>
      <c r="F542" s="498" t="s">
        <v>294</v>
      </c>
      <c r="H542" s="498" t="s">
        <v>279</v>
      </c>
      <c r="K542" s="505">
        <v>33182</v>
      </c>
      <c r="L542" s="506"/>
      <c r="T542" s="504" t="s">
        <v>4396</v>
      </c>
      <c r="U542" s="502">
        <v>0.7729166666666667</v>
      </c>
      <c r="V542" s="502">
        <v>0.89583333333333337</v>
      </c>
    </row>
    <row r="543" spans="1:22" s="504" customFormat="1" x14ac:dyDescent="0.25">
      <c r="A543" s="657" t="s">
        <v>4616</v>
      </c>
      <c r="B543" s="504" t="s">
        <v>1720</v>
      </c>
      <c r="C543" s="498" t="s">
        <v>13</v>
      </c>
      <c r="D543" s="499">
        <v>45513</v>
      </c>
      <c r="F543" s="498" t="s">
        <v>545</v>
      </c>
      <c r="H543" s="498" t="s">
        <v>279</v>
      </c>
      <c r="K543" s="505">
        <v>34456</v>
      </c>
      <c r="L543" s="506"/>
      <c r="T543" s="504" t="s">
        <v>2050</v>
      </c>
      <c r="U543" s="502">
        <v>0.69930555555555562</v>
      </c>
      <c r="V543" s="502">
        <v>0.89583333333333337</v>
      </c>
    </row>
    <row r="544" spans="1:22" s="504" customFormat="1" x14ac:dyDescent="0.25">
      <c r="A544" s="643">
        <v>10082024</v>
      </c>
      <c r="B544" s="504" t="s">
        <v>930</v>
      </c>
      <c r="C544" s="498" t="s">
        <v>410</v>
      </c>
      <c r="D544" s="499">
        <v>45514</v>
      </c>
      <c r="F544" s="498" t="s">
        <v>293</v>
      </c>
      <c r="H544" s="498" t="s">
        <v>277</v>
      </c>
      <c r="K544" s="505">
        <v>25000</v>
      </c>
      <c r="L544" s="506"/>
      <c r="T544" s="504" t="s">
        <v>4550</v>
      </c>
      <c r="U544" s="502">
        <v>0.46249999999999997</v>
      </c>
      <c r="V544" s="502">
        <v>0.72291666666666676</v>
      </c>
    </row>
    <row r="545" spans="1:22" s="504" customFormat="1" x14ac:dyDescent="0.25">
      <c r="A545" s="643">
        <v>11082024</v>
      </c>
      <c r="B545" s="504" t="s">
        <v>582</v>
      </c>
      <c r="C545" s="498" t="s">
        <v>13</v>
      </c>
      <c r="D545" s="499">
        <v>45515</v>
      </c>
      <c r="F545" s="498" t="s">
        <v>4621</v>
      </c>
      <c r="H545" s="498" t="s">
        <v>279</v>
      </c>
      <c r="K545" s="505">
        <v>26900</v>
      </c>
      <c r="L545" s="506"/>
      <c r="T545" s="507" t="s">
        <v>2050</v>
      </c>
      <c r="U545" s="502">
        <v>0.59166666666666667</v>
      </c>
      <c r="V545" s="502">
        <v>0.7583333333333333</v>
      </c>
    </row>
    <row r="546" spans="1:22" s="1150" customFormat="1" x14ac:dyDescent="0.25">
      <c r="A546" s="1212">
        <v>11082024</v>
      </c>
      <c r="B546" s="1150" t="s">
        <v>4623</v>
      </c>
      <c r="C546" s="1151" t="s">
        <v>410</v>
      </c>
      <c r="D546" s="1152">
        <v>45515</v>
      </c>
      <c r="F546" s="1151" t="s">
        <v>4622</v>
      </c>
      <c r="H546" s="1151" t="s">
        <v>279</v>
      </c>
      <c r="K546" s="1163">
        <v>26950</v>
      </c>
      <c r="L546" s="1161"/>
      <c r="T546" s="1150" t="s">
        <v>4617</v>
      </c>
      <c r="U546" s="1154">
        <v>0.62083333333333335</v>
      </c>
      <c r="V546" s="1154">
        <v>0.78125</v>
      </c>
    </row>
    <row r="547" spans="1:22" s="504" customFormat="1" x14ac:dyDescent="0.25">
      <c r="A547" s="643">
        <v>11082024</v>
      </c>
      <c r="B547" s="504" t="s">
        <v>608</v>
      </c>
      <c r="C547" s="498" t="s">
        <v>13</v>
      </c>
      <c r="D547" s="499">
        <v>45515</v>
      </c>
      <c r="F547" s="498" t="s">
        <v>236</v>
      </c>
      <c r="H547" s="498" t="s">
        <v>279</v>
      </c>
      <c r="K547" s="505">
        <v>58231</v>
      </c>
      <c r="L547" s="506"/>
      <c r="T547" s="504" t="s">
        <v>4396</v>
      </c>
      <c r="U547" s="502">
        <v>0.87777777777777777</v>
      </c>
      <c r="V547" s="502">
        <v>0.1451388888888889</v>
      </c>
    </row>
    <row r="548" spans="1:22" s="504" customFormat="1" x14ac:dyDescent="0.25">
      <c r="A548" s="643">
        <v>13082024</v>
      </c>
      <c r="B548" s="504" t="s">
        <v>586</v>
      </c>
      <c r="C548" s="498" t="s">
        <v>13</v>
      </c>
      <c r="D548" s="499">
        <v>45517</v>
      </c>
      <c r="F548" s="498" t="s">
        <v>545</v>
      </c>
      <c r="H548" s="498" t="s">
        <v>279</v>
      </c>
      <c r="K548" s="505">
        <v>32200</v>
      </c>
      <c r="L548" s="506"/>
      <c r="T548" s="504" t="s">
        <v>4617</v>
      </c>
      <c r="U548" s="502">
        <v>0.48680555555555555</v>
      </c>
      <c r="V548" s="502">
        <v>0.68472222222222223</v>
      </c>
    </row>
    <row r="549" spans="1:22" s="504" customFormat="1" x14ac:dyDescent="0.25">
      <c r="A549" s="643">
        <v>13082024</v>
      </c>
      <c r="B549" s="504" t="s">
        <v>608</v>
      </c>
      <c r="C549" s="498" t="s">
        <v>410</v>
      </c>
      <c r="D549" s="499">
        <v>45517</v>
      </c>
      <c r="F549" s="498" t="s">
        <v>236</v>
      </c>
      <c r="H549" s="498" t="s">
        <v>279</v>
      </c>
      <c r="K549" s="505">
        <v>58231</v>
      </c>
      <c r="L549" s="506"/>
      <c r="T549" s="504" t="s">
        <v>4297</v>
      </c>
      <c r="U549" s="502">
        <v>0.58680555555555558</v>
      </c>
      <c r="V549" s="502">
        <v>0.86041666666666661</v>
      </c>
    </row>
    <row r="550" spans="1:22" s="504" customFormat="1" x14ac:dyDescent="0.25">
      <c r="A550" s="643">
        <v>14082024</v>
      </c>
      <c r="B550" s="504" t="s">
        <v>1720</v>
      </c>
      <c r="C550" s="498" t="s">
        <v>410</v>
      </c>
      <c r="D550" s="499">
        <v>45518</v>
      </c>
      <c r="F550" s="498" t="s">
        <v>545</v>
      </c>
      <c r="H550" s="498" t="s">
        <v>277</v>
      </c>
      <c r="K550" s="505">
        <v>25016</v>
      </c>
      <c r="L550" s="506"/>
      <c r="T550" s="504" t="s">
        <v>4277</v>
      </c>
      <c r="U550" s="502">
        <v>0.44722222222222219</v>
      </c>
      <c r="V550" s="502">
        <v>0.64097222222222217</v>
      </c>
    </row>
    <row r="551" spans="1:22" s="283" customFormat="1" x14ac:dyDescent="0.25">
      <c r="A551" s="718">
        <v>15082024</v>
      </c>
      <c r="B551" s="283" t="s">
        <v>2527</v>
      </c>
      <c r="C551" s="308" t="s">
        <v>410</v>
      </c>
      <c r="D551" s="599">
        <v>45519</v>
      </c>
      <c r="F551" s="308" t="s">
        <v>285</v>
      </c>
      <c r="H551" s="308" t="s">
        <v>279</v>
      </c>
      <c r="K551" s="317">
        <v>45430</v>
      </c>
      <c r="L551" s="285"/>
      <c r="T551" s="283" t="s">
        <v>4097</v>
      </c>
      <c r="U551" s="600">
        <v>0.28611111111111115</v>
      </c>
      <c r="V551" s="600">
        <v>0.52430555555555558</v>
      </c>
    </row>
    <row r="552" spans="1:22" s="283" customFormat="1" x14ac:dyDescent="0.25">
      <c r="A552" s="718">
        <v>15082024</v>
      </c>
      <c r="B552" s="283" t="s">
        <v>318</v>
      </c>
      <c r="C552" s="308" t="s">
        <v>13</v>
      </c>
      <c r="D552" s="599">
        <v>45519</v>
      </c>
      <c r="F552" s="308" t="s">
        <v>113</v>
      </c>
      <c r="H552" s="308" t="s">
        <v>279</v>
      </c>
      <c r="K552" s="317">
        <v>44651.199999999997</v>
      </c>
      <c r="L552" s="285"/>
      <c r="T552" s="283" t="s">
        <v>4277</v>
      </c>
      <c r="U552" s="600">
        <v>0.34166666666666662</v>
      </c>
      <c r="V552" s="600">
        <v>0.57500000000000007</v>
      </c>
    </row>
    <row r="553" spans="1:22" s="504" customFormat="1" x14ac:dyDescent="0.25">
      <c r="A553" s="643">
        <v>15082024</v>
      </c>
      <c r="B553" s="504" t="s">
        <v>572</v>
      </c>
      <c r="C553" s="498" t="s">
        <v>410</v>
      </c>
      <c r="D553" s="499">
        <v>45519</v>
      </c>
      <c r="F553" s="498" t="s">
        <v>207</v>
      </c>
      <c r="H553" s="498" t="s">
        <v>279</v>
      </c>
      <c r="K553" s="505"/>
      <c r="L553" s="506">
        <v>8861</v>
      </c>
      <c r="T553" s="504" t="s">
        <v>4097</v>
      </c>
      <c r="U553" s="502">
        <v>0.59305555555555556</v>
      </c>
      <c r="V553" s="502">
        <v>0.7402777777777777</v>
      </c>
    </row>
    <row r="554" spans="1:22" s="504" customFormat="1" x14ac:dyDescent="0.25">
      <c r="A554" s="643">
        <v>17082024</v>
      </c>
      <c r="B554" s="504" t="s">
        <v>4655</v>
      </c>
      <c r="C554" s="498" t="s">
        <v>13</v>
      </c>
      <c r="D554" s="499">
        <v>45521</v>
      </c>
      <c r="F554" s="498" t="s">
        <v>1744</v>
      </c>
      <c r="H554" s="498" t="s">
        <v>279</v>
      </c>
      <c r="K554" s="505">
        <f>39978.4+9086</f>
        <v>49064.4</v>
      </c>
      <c r="L554" s="506"/>
      <c r="T554" s="504" t="s">
        <v>4139</v>
      </c>
      <c r="U554" s="502">
        <v>0.33263888888888887</v>
      </c>
      <c r="V554" s="502">
        <v>0.57361111111111118</v>
      </c>
    </row>
    <row r="555" spans="1:22" s="504" customFormat="1" x14ac:dyDescent="0.25">
      <c r="A555" s="643">
        <v>18082024</v>
      </c>
      <c r="B555" s="504" t="s">
        <v>607</v>
      </c>
      <c r="C555" s="498" t="s">
        <v>13</v>
      </c>
      <c r="D555" s="499">
        <v>45522</v>
      </c>
      <c r="F555" s="498" t="s">
        <v>207</v>
      </c>
      <c r="H555" s="498" t="s">
        <v>279</v>
      </c>
      <c r="K555" s="505">
        <v>36253.14</v>
      </c>
      <c r="L555" s="506"/>
      <c r="T555" s="504" t="s">
        <v>4022</v>
      </c>
      <c r="U555" s="502">
        <v>0.25625000000000003</v>
      </c>
      <c r="V555" s="502">
        <v>0.44791666666666669</v>
      </c>
    </row>
    <row r="556" spans="1:22" s="386" customFormat="1" x14ac:dyDescent="0.25">
      <c r="A556" s="753">
        <v>18082024</v>
      </c>
      <c r="B556" s="386" t="s">
        <v>4849</v>
      </c>
      <c r="C556" s="388" t="s">
        <v>410</v>
      </c>
      <c r="D556" s="754">
        <v>45522</v>
      </c>
      <c r="F556" s="388" t="s">
        <v>2008</v>
      </c>
      <c r="H556" s="388" t="s">
        <v>279</v>
      </c>
      <c r="K556" s="389">
        <v>47250</v>
      </c>
      <c r="L556" s="390"/>
      <c r="T556" s="386" t="s">
        <v>2050</v>
      </c>
      <c r="U556" s="755">
        <v>0.32291666666666669</v>
      </c>
      <c r="V556" s="755">
        <v>0.57013888888888886</v>
      </c>
    </row>
    <row r="557" spans="1:22" s="33" customFormat="1" x14ac:dyDescent="0.25">
      <c r="A557" s="277">
        <v>18082024</v>
      </c>
      <c r="B557" s="33" t="s">
        <v>318</v>
      </c>
      <c r="C557" s="306" t="s">
        <v>13</v>
      </c>
      <c r="D557" s="548">
        <v>45522</v>
      </c>
      <c r="F557" s="306" t="s">
        <v>2036</v>
      </c>
      <c r="H557" s="306" t="s">
        <v>279</v>
      </c>
      <c r="K557" s="312">
        <v>31152</v>
      </c>
      <c r="L557" s="279"/>
      <c r="T557" s="33" t="s">
        <v>4022</v>
      </c>
      <c r="U557" s="550">
        <v>0.49444444444444446</v>
      </c>
      <c r="V557" s="550">
        <v>0.65069444444444446</v>
      </c>
    </row>
    <row r="558" spans="1:22" s="504" customFormat="1" x14ac:dyDescent="0.25">
      <c r="A558" s="643">
        <v>19082024</v>
      </c>
      <c r="B558" s="504" t="s">
        <v>3276</v>
      </c>
      <c r="C558" s="498" t="s">
        <v>13</v>
      </c>
      <c r="D558" s="499">
        <v>45523</v>
      </c>
      <c r="F558" s="498" t="s">
        <v>294</v>
      </c>
      <c r="H558" s="498" t="s">
        <v>279</v>
      </c>
      <c r="K558" s="505">
        <v>40592</v>
      </c>
      <c r="L558" s="506"/>
      <c r="T558" s="504" t="s">
        <v>4022</v>
      </c>
      <c r="U558" s="502">
        <v>0.30277777777777776</v>
      </c>
      <c r="V558" s="502">
        <v>0.46111111111111108</v>
      </c>
    </row>
    <row r="559" spans="1:22" s="33" customFormat="1" x14ac:dyDescent="0.25">
      <c r="A559" s="277">
        <v>19082024</v>
      </c>
      <c r="B559" s="33" t="s">
        <v>2527</v>
      </c>
      <c r="C559" s="306" t="s">
        <v>410</v>
      </c>
      <c r="D559" s="548">
        <v>45523</v>
      </c>
      <c r="F559" s="306" t="s">
        <v>285</v>
      </c>
      <c r="H559" s="306" t="s">
        <v>279</v>
      </c>
      <c r="K559" s="312">
        <v>45428.75</v>
      </c>
      <c r="L559" s="279"/>
      <c r="T559" s="33" t="s">
        <v>4550</v>
      </c>
      <c r="U559" s="550">
        <v>0.32361111111111113</v>
      </c>
      <c r="V559" s="550">
        <v>0.56319444444444444</v>
      </c>
    </row>
    <row r="560" spans="1:22" s="504" customFormat="1" x14ac:dyDescent="0.25">
      <c r="A560" s="643">
        <v>19082024</v>
      </c>
      <c r="B560" s="504" t="s">
        <v>608</v>
      </c>
      <c r="C560" s="498" t="s">
        <v>410</v>
      </c>
      <c r="D560" s="499">
        <v>45523</v>
      </c>
      <c r="F560" s="498" t="s">
        <v>236</v>
      </c>
      <c r="H560" s="498" t="s">
        <v>279</v>
      </c>
      <c r="K560" s="505">
        <v>49173</v>
      </c>
      <c r="L560" s="506"/>
      <c r="T560" s="504" t="s">
        <v>2050</v>
      </c>
      <c r="U560" s="502">
        <v>0.71805555555555556</v>
      </c>
      <c r="V560" s="502">
        <v>9.7222222222222224E-3</v>
      </c>
    </row>
    <row r="561" spans="1:22" s="33" customFormat="1" x14ac:dyDescent="0.25">
      <c r="A561" s="277">
        <v>20082024</v>
      </c>
      <c r="B561" s="33" t="s">
        <v>875</v>
      </c>
      <c r="C561" s="306" t="s">
        <v>410</v>
      </c>
      <c r="D561" s="548">
        <v>45524</v>
      </c>
      <c r="F561" s="306" t="s">
        <v>2036</v>
      </c>
      <c r="H561" s="306" t="s">
        <v>279</v>
      </c>
      <c r="K561" s="312">
        <v>23500</v>
      </c>
      <c r="L561" s="279"/>
      <c r="T561" s="33" t="s">
        <v>4071</v>
      </c>
      <c r="U561" s="550">
        <v>0.43194444444444446</v>
      </c>
      <c r="V561" s="550">
        <v>0.58402777777777781</v>
      </c>
    </row>
    <row r="562" spans="1:22" s="504" customFormat="1" x14ac:dyDescent="0.25">
      <c r="A562" s="643">
        <v>20082024</v>
      </c>
      <c r="B562" s="504" t="s">
        <v>2469</v>
      </c>
      <c r="C562" s="498" t="s">
        <v>13</v>
      </c>
      <c r="D562" s="499">
        <v>45524</v>
      </c>
      <c r="F562" s="498" t="s">
        <v>294</v>
      </c>
      <c r="H562" s="498" t="s">
        <v>279</v>
      </c>
      <c r="K562" s="505">
        <v>37465</v>
      </c>
      <c r="L562" s="506"/>
      <c r="T562" s="504" t="s">
        <v>2050</v>
      </c>
      <c r="U562" s="502">
        <v>0.80625000000000002</v>
      </c>
      <c r="V562" s="502">
        <v>0.97361111111111109</v>
      </c>
    </row>
    <row r="563" spans="1:22" s="504" customFormat="1" x14ac:dyDescent="0.25">
      <c r="A563" s="643">
        <v>21082024</v>
      </c>
      <c r="B563" s="504" t="s">
        <v>607</v>
      </c>
      <c r="C563" s="498" t="s">
        <v>13</v>
      </c>
      <c r="D563" s="499">
        <v>45525</v>
      </c>
      <c r="F563" s="498" t="s">
        <v>207</v>
      </c>
      <c r="H563" s="498" t="s">
        <v>279</v>
      </c>
      <c r="K563" s="505">
        <v>36253.14</v>
      </c>
      <c r="L563" s="506"/>
      <c r="T563" s="504" t="s">
        <v>4022</v>
      </c>
      <c r="U563" s="502">
        <v>0.26180555555555557</v>
      </c>
      <c r="V563" s="502">
        <v>0.47083333333333338</v>
      </c>
    </row>
    <row r="564" spans="1:22" s="504" customFormat="1" x14ac:dyDescent="0.25">
      <c r="A564" s="643">
        <v>21082024</v>
      </c>
      <c r="B564" s="504" t="s">
        <v>1720</v>
      </c>
      <c r="C564" s="498" t="s">
        <v>410</v>
      </c>
      <c r="D564" s="499">
        <v>45525</v>
      </c>
      <c r="F564" s="498" t="s">
        <v>545</v>
      </c>
      <c r="H564" s="498" t="s">
        <v>277</v>
      </c>
      <c r="K564" s="505">
        <v>25016</v>
      </c>
      <c r="L564" s="506"/>
      <c r="T564" s="504" t="s">
        <v>4139</v>
      </c>
      <c r="U564" s="502">
        <v>0.34513888888888888</v>
      </c>
      <c r="V564" s="502">
        <v>0.49374999999999997</v>
      </c>
    </row>
    <row r="565" spans="1:22" s="33" customFormat="1" x14ac:dyDescent="0.25">
      <c r="A565" s="277">
        <v>21082024</v>
      </c>
      <c r="B565" s="33" t="s">
        <v>2849</v>
      </c>
      <c r="C565" s="306" t="s">
        <v>410</v>
      </c>
      <c r="D565" s="548">
        <v>45525</v>
      </c>
      <c r="F565" s="306" t="s">
        <v>236</v>
      </c>
      <c r="H565" s="306" t="s">
        <v>279</v>
      </c>
      <c r="K565" s="312">
        <v>62540</v>
      </c>
      <c r="L565" s="279"/>
      <c r="T565" s="33" t="s">
        <v>4509</v>
      </c>
      <c r="U565" s="550">
        <v>0.82986111111111116</v>
      </c>
      <c r="V565" s="550">
        <v>0.37152777777777773</v>
      </c>
    </row>
    <row r="566" spans="1:22" s="504" customFormat="1" x14ac:dyDescent="0.25">
      <c r="A566" s="643">
        <v>22082024</v>
      </c>
      <c r="B566" s="504" t="s">
        <v>610</v>
      </c>
      <c r="C566" s="498" t="s">
        <v>13</v>
      </c>
      <c r="D566" s="499">
        <v>45526</v>
      </c>
      <c r="F566" s="498" t="s">
        <v>106</v>
      </c>
      <c r="H566" s="498" t="s">
        <v>279</v>
      </c>
      <c r="K566" s="505">
        <v>29770</v>
      </c>
      <c r="L566" s="506"/>
      <c r="T566" s="504" t="s">
        <v>2050</v>
      </c>
      <c r="U566" s="502">
        <v>0.33819444444444446</v>
      </c>
      <c r="V566" s="502">
        <v>0.49583333333333335</v>
      </c>
    </row>
    <row r="567" spans="1:22" s="504" customFormat="1" x14ac:dyDescent="0.25">
      <c r="A567" s="643">
        <v>22082024</v>
      </c>
      <c r="B567" s="504" t="s">
        <v>607</v>
      </c>
      <c r="C567" s="498" t="s">
        <v>410</v>
      </c>
      <c r="D567" s="499">
        <v>45526</v>
      </c>
      <c r="F567" s="498" t="s">
        <v>207</v>
      </c>
      <c r="H567" s="498" t="s">
        <v>279</v>
      </c>
      <c r="K567" s="505">
        <v>36253.14</v>
      </c>
      <c r="L567" s="506"/>
      <c r="T567" s="504" t="s">
        <v>2050</v>
      </c>
      <c r="U567" s="502">
        <v>0.51944444444444449</v>
      </c>
      <c r="V567" s="502">
        <v>0.71875</v>
      </c>
    </row>
    <row r="568" spans="1:22" s="504" customFormat="1" x14ac:dyDescent="0.25">
      <c r="A568" s="643">
        <v>23082024</v>
      </c>
      <c r="B568" s="504" t="s">
        <v>608</v>
      </c>
      <c r="C568" s="498" t="s">
        <v>13</v>
      </c>
      <c r="D568" s="499">
        <v>45527</v>
      </c>
      <c r="F568" s="498" t="s">
        <v>236</v>
      </c>
      <c r="H568" s="498" t="s">
        <v>279</v>
      </c>
      <c r="K568" s="505">
        <v>58231</v>
      </c>
      <c r="L568" s="506"/>
      <c r="T568" s="504" t="s">
        <v>4071</v>
      </c>
      <c r="U568" s="502">
        <v>0.66180555555555554</v>
      </c>
      <c r="V568" s="502">
        <v>0.97083333333333333</v>
      </c>
    </row>
    <row r="569" spans="1:22" s="504" customFormat="1" x14ac:dyDescent="0.25">
      <c r="A569" s="643">
        <v>23082024</v>
      </c>
      <c r="B569" s="504" t="s">
        <v>1720</v>
      </c>
      <c r="C569" s="498" t="s">
        <v>410</v>
      </c>
      <c r="D569" s="499">
        <v>45527</v>
      </c>
      <c r="F569" s="498" t="s">
        <v>545</v>
      </c>
      <c r="H569" s="498" t="s">
        <v>277</v>
      </c>
      <c r="K569" s="505">
        <v>25016</v>
      </c>
      <c r="L569" s="506"/>
      <c r="T569" s="504" t="s">
        <v>1644</v>
      </c>
      <c r="U569" s="502">
        <v>0.69027777777777777</v>
      </c>
      <c r="V569" s="502">
        <v>0.82777777777777783</v>
      </c>
    </row>
    <row r="570" spans="1:22" s="504" customFormat="1" x14ac:dyDescent="0.25">
      <c r="A570" s="643">
        <v>25082024</v>
      </c>
      <c r="B570" s="504" t="s">
        <v>930</v>
      </c>
      <c r="C570" s="498" t="s">
        <v>410</v>
      </c>
      <c r="D570" s="499">
        <v>45529</v>
      </c>
      <c r="F570" s="498" t="s">
        <v>294</v>
      </c>
      <c r="H570" s="498" t="s">
        <v>277</v>
      </c>
      <c r="K570" s="505">
        <v>24886</v>
      </c>
      <c r="L570" s="506"/>
      <c r="T570" s="504" t="s">
        <v>4070</v>
      </c>
      <c r="U570" s="502">
        <v>0.43263888888888885</v>
      </c>
      <c r="V570" s="502">
        <v>14.1</v>
      </c>
    </row>
    <row r="571" spans="1:22" s="234" customFormat="1" x14ac:dyDescent="0.25">
      <c r="A571" s="756">
        <v>27082024</v>
      </c>
      <c r="B571" s="234" t="s">
        <v>3238</v>
      </c>
      <c r="C571" s="757" t="s">
        <v>410</v>
      </c>
      <c r="D571" s="758">
        <v>45531</v>
      </c>
      <c r="F571" s="757" t="s">
        <v>207</v>
      </c>
      <c r="H571" s="757" t="s">
        <v>279</v>
      </c>
      <c r="K571" s="759"/>
      <c r="L571" s="760">
        <f>7800*1.18</f>
        <v>9204</v>
      </c>
      <c r="T571" s="234" t="s">
        <v>1644</v>
      </c>
      <c r="U571" s="761">
        <v>0.25972222222222224</v>
      </c>
      <c r="V571" s="761">
        <v>0.46875</v>
      </c>
    </row>
    <row r="572" spans="1:22" s="504" customFormat="1" x14ac:dyDescent="0.25">
      <c r="A572" s="643">
        <v>27082024</v>
      </c>
      <c r="B572" s="504" t="s">
        <v>608</v>
      </c>
      <c r="C572" s="498" t="s">
        <v>410</v>
      </c>
      <c r="D572" s="499">
        <v>45531</v>
      </c>
      <c r="F572" s="498" t="s">
        <v>236</v>
      </c>
      <c r="H572" s="498" t="s">
        <v>279</v>
      </c>
      <c r="K572" s="505">
        <v>58231</v>
      </c>
      <c r="L572" s="506"/>
      <c r="T572" s="504" t="s">
        <v>4071</v>
      </c>
      <c r="U572" s="502">
        <v>0.72499999999999998</v>
      </c>
      <c r="V572" s="502">
        <v>8.3333333333333332E-3</v>
      </c>
    </row>
    <row r="573" spans="1:22" s="33" customFormat="1" x14ac:dyDescent="0.25">
      <c r="A573" s="277">
        <v>28082024</v>
      </c>
      <c r="B573" s="33" t="s">
        <v>4691</v>
      </c>
      <c r="C573" s="306" t="s">
        <v>410</v>
      </c>
      <c r="D573" s="548">
        <v>45532</v>
      </c>
      <c r="F573" s="306" t="s">
        <v>106</v>
      </c>
      <c r="H573" s="306" t="s">
        <v>279</v>
      </c>
      <c r="K573" s="312">
        <v>29770</v>
      </c>
      <c r="L573" s="279"/>
      <c r="T573" s="33" t="s">
        <v>4365</v>
      </c>
      <c r="U573" s="550">
        <v>0.26180555555555557</v>
      </c>
      <c r="V573" s="550">
        <v>0.4145833333333333</v>
      </c>
    </row>
    <row r="574" spans="1:22" s="33" customFormat="1" x14ac:dyDescent="0.25">
      <c r="A574" s="277">
        <v>28082024</v>
      </c>
      <c r="B574" s="33" t="s">
        <v>3276</v>
      </c>
      <c r="C574" s="306" t="s">
        <v>4218</v>
      </c>
      <c r="D574" s="548">
        <v>45532</v>
      </c>
      <c r="F574" s="306" t="s">
        <v>872</v>
      </c>
      <c r="H574" s="306" t="s">
        <v>279</v>
      </c>
      <c r="K574" s="312">
        <v>40592</v>
      </c>
      <c r="L574" s="279"/>
      <c r="T574" s="33" t="s">
        <v>4692</v>
      </c>
      <c r="U574" s="550">
        <v>0.49027777777777781</v>
      </c>
      <c r="V574" s="550">
        <v>0.72361111111111109</v>
      </c>
    </row>
    <row r="575" spans="1:22" s="33" customFormat="1" x14ac:dyDescent="0.25">
      <c r="A575" s="277">
        <v>28082024</v>
      </c>
      <c r="B575" s="33" t="s">
        <v>318</v>
      </c>
      <c r="C575" s="306" t="s">
        <v>410</v>
      </c>
      <c r="D575" s="548">
        <v>45532</v>
      </c>
      <c r="F575" s="306" t="s">
        <v>285</v>
      </c>
      <c r="H575" s="306" t="s">
        <v>279</v>
      </c>
      <c r="K575" s="312">
        <v>51920</v>
      </c>
      <c r="L575" s="279"/>
      <c r="T575" s="33" t="s">
        <v>4365</v>
      </c>
      <c r="U575" s="550">
        <v>0.47569444444444442</v>
      </c>
      <c r="V575" s="550">
        <v>0.69513888888888886</v>
      </c>
    </row>
    <row r="576" spans="1:22" s="33" customFormat="1" x14ac:dyDescent="0.25">
      <c r="A576" s="277">
        <v>28082024</v>
      </c>
      <c r="B576" s="33" t="s">
        <v>318</v>
      </c>
      <c r="C576" s="306" t="s">
        <v>410</v>
      </c>
      <c r="D576" s="548">
        <v>45532</v>
      </c>
      <c r="F576" s="306" t="s">
        <v>236</v>
      </c>
      <c r="H576" s="306" t="s">
        <v>279</v>
      </c>
      <c r="K576" s="312">
        <v>62304</v>
      </c>
      <c r="L576" s="279"/>
      <c r="T576" s="33" t="s">
        <v>4138</v>
      </c>
      <c r="U576" s="550">
        <v>0.74583333333333335</v>
      </c>
      <c r="V576" s="550">
        <v>1.1111111111111112E-2</v>
      </c>
    </row>
    <row r="577" spans="1:22" s="33" customFormat="1" x14ac:dyDescent="0.25">
      <c r="A577" s="277">
        <v>28082024</v>
      </c>
      <c r="B577" s="33" t="s">
        <v>930</v>
      </c>
      <c r="C577" s="306" t="s">
        <v>4218</v>
      </c>
      <c r="D577" s="548">
        <v>45532</v>
      </c>
      <c r="F577" s="306" t="s">
        <v>294</v>
      </c>
      <c r="H577" s="306" t="s">
        <v>277</v>
      </c>
      <c r="K577" s="312">
        <v>24886</v>
      </c>
      <c r="L577" s="279"/>
      <c r="T577" s="33" t="s">
        <v>4277</v>
      </c>
      <c r="U577" s="550">
        <v>0.76041666666666663</v>
      </c>
      <c r="V577" s="550">
        <v>0.92569444444444449</v>
      </c>
    </row>
    <row r="578" spans="1:22" s="33" customFormat="1" x14ac:dyDescent="0.25">
      <c r="A578" s="277">
        <v>29082024</v>
      </c>
      <c r="B578" s="33" t="s">
        <v>3673</v>
      </c>
      <c r="C578" s="306" t="s">
        <v>410</v>
      </c>
      <c r="D578" s="548">
        <v>45533</v>
      </c>
      <c r="F578" s="306" t="s">
        <v>2437</v>
      </c>
      <c r="H578" s="306" t="s">
        <v>279</v>
      </c>
      <c r="K578" s="312">
        <v>25110</v>
      </c>
      <c r="L578" s="279"/>
      <c r="T578" s="33" t="s">
        <v>4097</v>
      </c>
      <c r="U578" s="550">
        <v>0.26597222222222222</v>
      </c>
      <c r="V578" s="550">
        <v>0.50902777777777775</v>
      </c>
    </row>
    <row r="579" spans="1:22" s="33" customFormat="1" x14ac:dyDescent="0.25">
      <c r="A579" s="277">
        <v>29082024</v>
      </c>
      <c r="B579" s="33" t="s">
        <v>608</v>
      </c>
      <c r="C579" s="306" t="s">
        <v>13</v>
      </c>
      <c r="D579" s="548">
        <v>45533</v>
      </c>
      <c r="F579" s="306" t="s">
        <v>236</v>
      </c>
      <c r="H579" s="306" t="s">
        <v>279</v>
      </c>
      <c r="K579" s="312">
        <v>58231</v>
      </c>
      <c r="L579" s="279"/>
      <c r="T579" s="33" t="s">
        <v>4509</v>
      </c>
      <c r="U579" s="550">
        <v>0.40416666666666667</v>
      </c>
      <c r="V579" s="550">
        <v>0.70138888888888884</v>
      </c>
    </row>
    <row r="580" spans="1:22" s="33" customFormat="1" x14ac:dyDescent="0.25">
      <c r="A580" s="277">
        <v>29082024</v>
      </c>
      <c r="B580" s="33" t="s">
        <v>318</v>
      </c>
      <c r="C580" s="306" t="s">
        <v>410</v>
      </c>
      <c r="D580" s="548">
        <v>45533</v>
      </c>
      <c r="F580" s="306" t="s">
        <v>317</v>
      </c>
      <c r="H580" s="306" t="s">
        <v>279</v>
      </c>
      <c r="K580" s="312">
        <v>53996.800000000003</v>
      </c>
      <c r="L580" s="279"/>
      <c r="T580" s="33" t="s">
        <v>1506</v>
      </c>
      <c r="U580" s="550">
        <v>0.5708333333333333</v>
      </c>
      <c r="V580" s="550">
        <v>0.8833333333333333</v>
      </c>
    </row>
    <row r="581" spans="1:22" s="33" customFormat="1" x14ac:dyDescent="0.25">
      <c r="A581" s="277">
        <v>30082024</v>
      </c>
      <c r="B581" s="33" t="s">
        <v>1720</v>
      </c>
      <c r="C581" s="306" t="s">
        <v>410</v>
      </c>
      <c r="D581" s="548">
        <v>45534</v>
      </c>
      <c r="F581" s="306" t="s">
        <v>545</v>
      </c>
      <c r="H581" s="306" t="s">
        <v>277</v>
      </c>
      <c r="K581" s="312">
        <v>25016</v>
      </c>
      <c r="L581" s="279"/>
      <c r="T581" s="33" t="s">
        <v>4297</v>
      </c>
      <c r="U581" s="550">
        <v>0.65208333333333335</v>
      </c>
      <c r="V581" s="550">
        <v>0.75277777777777777</v>
      </c>
    </row>
    <row r="582" spans="1:22" s="33" customFormat="1" x14ac:dyDescent="0.25">
      <c r="A582" s="277">
        <v>31082024</v>
      </c>
      <c r="B582" s="33" t="s">
        <v>596</v>
      </c>
      <c r="C582" s="306" t="s">
        <v>13</v>
      </c>
      <c r="D582" s="548">
        <v>45535</v>
      </c>
      <c r="F582" s="306" t="s">
        <v>236</v>
      </c>
      <c r="H582" s="306" t="s">
        <v>279</v>
      </c>
      <c r="K582" s="312">
        <v>58231</v>
      </c>
      <c r="L582" s="279"/>
      <c r="T582" s="33" t="s">
        <v>4022</v>
      </c>
      <c r="U582" s="550">
        <v>0.74305555555555558</v>
      </c>
      <c r="V582" s="550">
        <v>1.2500000000000001E-2</v>
      </c>
    </row>
    <row r="583" spans="1:22" s="33" customFormat="1" x14ac:dyDescent="0.25">
      <c r="A583" s="277">
        <v>31082024</v>
      </c>
      <c r="B583" s="33" t="s">
        <v>318</v>
      </c>
      <c r="C583" s="306" t="s">
        <v>13</v>
      </c>
      <c r="D583" s="548">
        <v>45535</v>
      </c>
      <c r="F583" s="306" t="s">
        <v>113</v>
      </c>
      <c r="H583" s="306" t="s">
        <v>279</v>
      </c>
      <c r="K583" s="312">
        <v>44651.199999999997</v>
      </c>
      <c r="L583" s="279"/>
      <c r="T583" s="33" t="s">
        <v>4617</v>
      </c>
      <c r="U583" s="550">
        <v>0.59444444444444444</v>
      </c>
      <c r="V583" s="550">
        <v>0.78749999999999998</v>
      </c>
    </row>
    <row r="584" spans="1:22" x14ac:dyDescent="0.25">
      <c r="A584" s="95"/>
      <c r="D584" s="233"/>
      <c r="K584" s="313"/>
      <c r="L584" s="88"/>
      <c r="U584" s="360"/>
      <c r="V584" s="360"/>
    </row>
    <row r="585" spans="1:22" x14ac:dyDescent="0.25">
      <c r="A585" s="95"/>
      <c r="D585" s="233"/>
      <c r="K585" s="313"/>
      <c r="L585" s="88"/>
      <c r="U585" s="360"/>
      <c r="V585" s="360"/>
    </row>
    <row r="586" spans="1:22" x14ac:dyDescent="0.25">
      <c r="A586" s="95"/>
      <c r="D586" s="233"/>
      <c r="K586" s="313">
        <f>SUM(K520:K583)</f>
        <v>2338577.5699999994</v>
      </c>
      <c r="L586" s="313">
        <f>SUM(L520:L583)</f>
        <v>46598</v>
      </c>
      <c r="U586" s="360"/>
      <c r="V586" s="360"/>
    </row>
    <row r="587" spans="1:22" x14ac:dyDescent="0.25">
      <c r="A587" s="95"/>
      <c r="D587" s="233"/>
      <c r="K587" s="313"/>
      <c r="L587" s="88"/>
      <c r="U587" s="360"/>
      <c r="V587" s="360"/>
    </row>
    <row r="588" spans="1:22" x14ac:dyDescent="0.25">
      <c r="A588" s="95"/>
      <c r="D588" s="233"/>
      <c r="K588" s="313"/>
      <c r="L588" s="88"/>
      <c r="U588" s="360"/>
      <c r="V588" s="360"/>
    </row>
    <row r="589" spans="1:22" s="504" customFormat="1" x14ac:dyDescent="0.25">
      <c r="A589" s="643">
        <v>1092024</v>
      </c>
      <c r="B589" s="504" t="s">
        <v>607</v>
      </c>
      <c r="C589" s="498" t="s">
        <v>13</v>
      </c>
      <c r="D589" s="499">
        <v>45536</v>
      </c>
      <c r="F589" s="498" t="s">
        <v>207</v>
      </c>
      <c r="H589" s="498" t="s">
        <v>279</v>
      </c>
      <c r="K589" s="505">
        <v>36253.14</v>
      </c>
      <c r="L589" s="506"/>
      <c r="T589" s="504" t="s">
        <v>4277</v>
      </c>
      <c r="U589" s="502">
        <v>0.26666666666666666</v>
      </c>
      <c r="V589" s="502">
        <v>0.46388888888888891</v>
      </c>
    </row>
    <row r="590" spans="1:22" s="504" customFormat="1" x14ac:dyDescent="0.25">
      <c r="A590" s="643">
        <v>2092024</v>
      </c>
      <c r="B590" s="504" t="s">
        <v>1720</v>
      </c>
      <c r="C590" s="498" t="s">
        <v>410</v>
      </c>
      <c r="D590" s="499">
        <v>45537</v>
      </c>
      <c r="F590" s="498" t="s">
        <v>545</v>
      </c>
      <c r="H590" s="498" t="s">
        <v>279</v>
      </c>
      <c r="K590" s="505">
        <v>34456</v>
      </c>
      <c r="L590" s="506"/>
      <c r="T590" s="504" t="s">
        <v>4022</v>
      </c>
      <c r="U590" s="502">
        <v>0.24513888888888888</v>
      </c>
      <c r="V590" s="502">
        <v>0.49652777777777779</v>
      </c>
    </row>
    <row r="591" spans="1:22" s="504" customFormat="1" x14ac:dyDescent="0.25">
      <c r="A591" s="643">
        <v>2092024</v>
      </c>
      <c r="B591" s="504" t="s">
        <v>24</v>
      </c>
      <c r="C591" s="498" t="s">
        <v>13</v>
      </c>
      <c r="D591" s="499">
        <v>45537</v>
      </c>
      <c r="F591" s="498" t="s">
        <v>2008</v>
      </c>
      <c r="H591" s="498" t="s">
        <v>279</v>
      </c>
      <c r="K591" s="505"/>
      <c r="L591" s="506">
        <v>11658.4</v>
      </c>
      <c r="T591" s="504" t="s">
        <v>4617</v>
      </c>
      <c r="U591" s="502">
        <v>0.34791666666666665</v>
      </c>
      <c r="V591" s="502">
        <v>0.61250000000000004</v>
      </c>
    </row>
    <row r="592" spans="1:22" s="504" customFormat="1" x14ac:dyDescent="0.25">
      <c r="A592" s="643">
        <v>2092024</v>
      </c>
      <c r="B592" s="504" t="s">
        <v>610</v>
      </c>
      <c r="C592" s="498" t="s">
        <v>410</v>
      </c>
      <c r="D592" s="499">
        <v>45537</v>
      </c>
      <c r="F592" s="498" t="s">
        <v>4698</v>
      </c>
      <c r="H592" s="498" t="s">
        <v>279</v>
      </c>
      <c r="K592" s="505">
        <v>29770</v>
      </c>
      <c r="L592" s="506"/>
      <c r="M592" s="658"/>
      <c r="T592" s="504" t="s">
        <v>4022</v>
      </c>
      <c r="U592" s="502">
        <v>0.55208333333333337</v>
      </c>
      <c r="V592" s="502">
        <v>0.68263888888888891</v>
      </c>
    </row>
    <row r="593" spans="1:26" s="504" customFormat="1" x14ac:dyDescent="0.25">
      <c r="A593" s="643">
        <v>3092024</v>
      </c>
      <c r="B593" s="504" t="s">
        <v>614</v>
      </c>
      <c r="C593" s="498" t="s">
        <v>13</v>
      </c>
      <c r="D593" s="499">
        <v>45538</v>
      </c>
      <c r="F593" s="498" t="s">
        <v>545</v>
      </c>
      <c r="H593" s="498" t="s">
        <v>279</v>
      </c>
      <c r="K593" s="505">
        <v>37382.400000000001</v>
      </c>
      <c r="L593" s="506"/>
      <c r="T593" s="504" t="s">
        <v>4509</v>
      </c>
      <c r="U593" s="502">
        <v>0.39444444444444443</v>
      </c>
      <c r="V593" s="502">
        <v>0.59375</v>
      </c>
    </row>
    <row r="594" spans="1:26" s="504" customFormat="1" ht="14.1" customHeight="1" x14ac:dyDescent="0.25">
      <c r="A594" s="643">
        <v>3092024</v>
      </c>
      <c r="B594" s="504" t="s">
        <v>4137</v>
      </c>
      <c r="C594" s="498" t="s">
        <v>13</v>
      </c>
      <c r="D594" s="499">
        <v>45538</v>
      </c>
      <c r="F594" s="498" t="s">
        <v>4698</v>
      </c>
      <c r="H594" s="498" t="s">
        <v>279</v>
      </c>
      <c r="K594" s="505">
        <v>26000</v>
      </c>
      <c r="L594" s="506"/>
      <c r="T594" s="504" t="s">
        <v>4071</v>
      </c>
      <c r="U594" s="502">
        <v>0.58750000000000002</v>
      </c>
      <c r="V594" s="502">
        <v>0.75</v>
      </c>
    </row>
    <row r="595" spans="1:26" s="504" customFormat="1" x14ac:dyDescent="0.25">
      <c r="A595" s="643">
        <v>4092024</v>
      </c>
      <c r="B595" s="504" t="s">
        <v>4724</v>
      </c>
      <c r="C595" s="498" t="s">
        <v>13</v>
      </c>
      <c r="D595" s="499">
        <v>45539</v>
      </c>
      <c r="F595" s="498" t="s">
        <v>285</v>
      </c>
      <c r="H595" s="498" t="s">
        <v>279</v>
      </c>
      <c r="K595" s="505">
        <v>45428.75</v>
      </c>
      <c r="L595" s="506"/>
      <c r="T595" s="504" t="s">
        <v>1644</v>
      </c>
      <c r="U595" s="502">
        <v>0.3125</v>
      </c>
      <c r="V595" s="502">
        <v>0.56527777777777777</v>
      </c>
    </row>
    <row r="596" spans="1:26" s="504" customFormat="1" x14ac:dyDescent="0.25">
      <c r="A596" s="643">
        <v>4092024</v>
      </c>
      <c r="B596" s="504" t="s">
        <v>607</v>
      </c>
      <c r="C596" s="498" t="s">
        <v>13</v>
      </c>
      <c r="D596" s="499">
        <v>45539</v>
      </c>
      <c r="F596" s="498" t="s">
        <v>207</v>
      </c>
      <c r="H596" s="498" t="s">
        <v>279</v>
      </c>
      <c r="K596" s="505">
        <v>36253.14</v>
      </c>
      <c r="L596" s="506"/>
      <c r="T596" s="504" t="s">
        <v>4509</v>
      </c>
      <c r="U596" s="502">
        <v>0.60069444444444442</v>
      </c>
      <c r="V596" s="502">
        <v>0.79861111111111116</v>
      </c>
    </row>
    <row r="597" spans="1:26" s="504" customFormat="1" x14ac:dyDescent="0.25">
      <c r="A597" s="643">
        <v>4092024</v>
      </c>
      <c r="B597" s="504" t="s">
        <v>1720</v>
      </c>
      <c r="C597" s="498" t="s">
        <v>410</v>
      </c>
      <c r="D597" s="499">
        <v>45539</v>
      </c>
      <c r="F597" s="498" t="s">
        <v>545</v>
      </c>
      <c r="H597" s="498" t="s">
        <v>277</v>
      </c>
      <c r="K597" s="505">
        <v>25016</v>
      </c>
      <c r="L597" s="506"/>
      <c r="T597" s="504" t="s">
        <v>4509</v>
      </c>
      <c r="U597" s="502">
        <v>0.81388888888888899</v>
      </c>
      <c r="V597" s="502">
        <v>0.9472222222222223</v>
      </c>
    </row>
    <row r="598" spans="1:26" s="504" customFormat="1" x14ac:dyDescent="0.25">
      <c r="A598" s="643">
        <v>5092024</v>
      </c>
      <c r="B598" s="504" t="s">
        <v>2469</v>
      </c>
      <c r="C598" s="498" t="s">
        <v>13</v>
      </c>
      <c r="D598" s="499">
        <v>45540</v>
      </c>
      <c r="F598" s="498" t="s">
        <v>294</v>
      </c>
      <c r="H598" s="498" t="s">
        <v>279</v>
      </c>
      <c r="K598" s="505">
        <v>36350</v>
      </c>
      <c r="L598" s="506"/>
      <c r="T598" s="504" t="s">
        <v>4139</v>
      </c>
      <c r="U598" s="502">
        <v>0.32569444444444445</v>
      </c>
      <c r="V598" s="502">
        <v>0.52569444444444446</v>
      </c>
    </row>
    <row r="599" spans="1:26" s="504" customFormat="1" x14ac:dyDescent="0.25">
      <c r="A599" s="643">
        <v>5092024</v>
      </c>
      <c r="B599" s="504" t="s">
        <v>3276</v>
      </c>
      <c r="C599" s="498" t="s">
        <v>410</v>
      </c>
      <c r="D599" s="499">
        <v>45540</v>
      </c>
      <c r="F599" s="498" t="s">
        <v>872</v>
      </c>
      <c r="H599" s="498" t="s">
        <v>279</v>
      </c>
      <c r="K599" s="505">
        <v>40592</v>
      </c>
      <c r="L599" s="506"/>
      <c r="T599" s="504" t="s">
        <v>4417</v>
      </c>
      <c r="U599" s="502">
        <v>0.47013888888888888</v>
      </c>
      <c r="V599" s="502">
        <v>0.76180555555555562</v>
      </c>
    </row>
    <row r="600" spans="1:26" s="504" customFormat="1" x14ac:dyDescent="0.25">
      <c r="A600" s="643">
        <v>5092024</v>
      </c>
      <c r="B600" s="504" t="s">
        <v>1720</v>
      </c>
      <c r="C600" s="498" t="s">
        <v>13</v>
      </c>
      <c r="D600" s="499">
        <v>45540</v>
      </c>
      <c r="F600" s="498" t="s">
        <v>545</v>
      </c>
      <c r="H600" s="498" t="s">
        <v>277</v>
      </c>
      <c r="K600" s="505">
        <v>25016</v>
      </c>
      <c r="L600" s="506"/>
      <c r="T600" s="504" t="s">
        <v>4139</v>
      </c>
      <c r="U600" s="502">
        <v>0.6694444444444444</v>
      </c>
      <c r="V600" s="502">
        <v>0.81666666666666676</v>
      </c>
    </row>
    <row r="601" spans="1:26" s="504" customFormat="1" x14ac:dyDescent="0.25">
      <c r="A601" s="643">
        <v>5092024</v>
      </c>
      <c r="B601" s="504" t="s">
        <v>930</v>
      </c>
      <c r="C601" s="498" t="s">
        <v>4437</v>
      </c>
      <c r="D601" s="499">
        <v>45540</v>
      </c>
      <c r="F601" s="498" t="s">
        <v>294</v>
      </c>
      <c r="H601" s="498" t="s">
        <v>277</v>
      </c>
      <c r="K601" s="505">
        <v>24886</v>
      </c>
      <c r="L601" s="506"/>
      <c r="T601" s="504" t="s">
        <v>4396</v>
      </c>
      <c r="U601" s="502">
        <v>0.74513888888888891</v>
      </c>
      <c r="V601" s="502">
        <v>0.9291666666666667</v>
      </c>
    </row>
    <row r="602" spans="1:26" s="13" customFormat="1" x14ac:dyDescent="0.25">
      <c r="A602" s="643">
        <v>6092024</v>
      </c>
      <c r="B602" s="504" t="s">
        <v>24</v>
      </c>
      <c r="C602" s="498" t="s">
        <v>13</v>
      </c>
      <c r="D602" s="499">
        <v>45541</v>
      </c>
      <c r="E602" s="504"/>
      <c r="F602" s="498" t="s">
        <v>207</v>
      </c>
      <c r="G602" s="504"/>
      <c r="H602" s="498" t="s">
        <v>279</v>
      </c>
      <c r="I602" s="504"/>
      <c r="J602" s="504"/>
      <c r="K602" s="505"/>
      <c r="L602" s="506">
        <v>8968</v>
      </c>
      <c r="M602" s="504"/>
      <c r="N602" s="504"/>
      <c r="O602" s="504"/>
      <c r="P602" s="504"/>
      <c r="Q602" s="504"/>
      <c r="R602" s="504"/>
      <c r="S602" s="504"/>
      <c r="T602" s="504" t="s">
        <v>4417</v>
      </c>
      <c r="U602" s="502">
        <v>0.31180555555555556</v>
      </c>
      <c r="V602" s="502">
        <v>0.52777777777777779</v>
      </c>
      <c r="W602" s="504"/>
      <c r="X602" s="504"/>
      <c r="Y602" s="504"/>
      <c r="Z602" s="504"/>
    </row>
    <row r="603" spans="1:26" s="504" customFormat="1" x14ac:dyDescent="0.25">
      <c r="A603" s="643">
        <v>6092024</v>
      </c>
      <c r="B603" s="504" t="s">
        <v>4736</v>
      </c>
      <c r="C603" s="498" t="s">
        <v>410</v>
      </c>
      <c r="D603" s="499">
        <v>45541</v>
      </c>
      <c r="F603" s="498" t="s">
        <v>4562</v>
      </c>
      <c r="H603" s="498" t="s">
        <v>279</v>
      </c>
      <c r="K603" s="505">
        <v>27612</v>
      </c>
      <c r="L603" s="506"/>
      <c r="T603" s="504" t="s">
        <v>2050</v>
      </c>
      <c r="U603" s="502">
        <v>0.41319444444444442</v>
      </c>
      <c r="V603" s="502">
        <v>0.56944444444444398</v>
      </c>
    </row>
    <row r="604" spans="1:26" s="504" customFormat="1" x14ac:dyDescent="0.25">
      <c r="A604" s="643">
        <v>6092024</v>
      </c>
      <c r="B604" s="504" t="s">
        <v>930</v>
      </c>
      <c r="C604" s="498" t="s">
        <v>13</v>
      </c>
      <c r="D604" s="499">
        <v>45541</v>
      </c>
      <c r="F604" s="498" t="s">
        <v>294</v>
      </c>
      <c r="H604" s="498" t="s">
        <v>279</v>
      </c>
      <c r="K604" s="505">
        <v>33182</v>
      </c>
      <c r="L604" s="506"/>
      <c r="T604" s="504" t="s">
        <v>4417</v>
      </c>
      <c r="U604" s="502">
        <v>0.58263888888888882</v>
      </c>
      <c r="V604" s="502">
        <v>0.81458333333333333</v>
      </c>
    </row>
    <row r="605" spans="1:26" s="504" customFormat="1" x14ac:dyDescent="0.25">
      <c r="A605" s="643">
        <v>6092024</v>
      </c>
      <c r="B605" s="504" t="s">
        <v>1720</v>
      </c>
      <c r="C605" s="498" t="s">
        <v>4437</v>
      </c>
      <c r="D605" s="499">
        <v>45541</v>
      </c>
      <c r="F605" s="498" t="s">
        <v>545</v>
      </c>
      <c r="H605" s="498" t="s">
        <v>277</v>
      </c>
      <c r="K605" s="505">
        <v>25016</v>
      </c>
      <c r="L605" s="506"/>
      <c r="T605" s="504" t="s">
        <v>2050</v>
      </c>
      <c r="U605" s="502">
        <v>0.7055555555555556</v>
      </c>
      <c r="V605" s="502">
        <v>0.83124999999999993</v>
      </c>
    </row>
    <row r="606" spans="1:26" s="504" customFormat="1" x14ac:dyDescent="0.25">
      <c r="A606" s="643">
        <v>6092024</v>
      </c>
      <c r="B606" s="504" t="s">
        <v>608</v>
      </c>
      <c r="C606" s="498" t="s">
        <v>410</v>
      </c>
      <c r="D606" s="499">
        <v>45541</v>
      </c>
      <c r="F606" s="498" t="s">
        <v>236</v>
      </c>
      <c r="H606" s="498" t="s">
        <v>279</v>
      </c>
      <c r="K606" s="505">
        <v>58231</v>
      </c>
      <c r="L606" s="505"/>
      <c r="T606" s="504" t="s">
        <v>4396</v>
      </c>
      <c r="U606" s="502">
        <v>0.67152777777777783</v>
      </c>
      <c r="V606" s="502">
        <v>0.98055555555555562</v>
      </c>
    </row>
    <row r="607" spans="1:26" s="504" customFormat="1" x14ac:dyDescent="0.25">
      <c r="A607" s="643">
        <v>7092024</v>
      </c>
      <c r="B607" s="504" t="s">
        <v>614</v>
      </c>
      <c r="C607" s="498" t="s">
        <v>410</v>
      </c>
      <c r="D607" s="499">
        <v>45542</v>
      </c>
      <c r="F607" s="498" t="s">
        <v>798</v>
      </c>
      <c r="H607" s="498" t="s">
        <v>279</v>
      </c>
      <c r="K607" s="505">
        <v>31152</v>
      </c>
      <c r="L607" s="505"/>
      <c r="T607" s="504" t="s">
        <v>4139</v>
      </c>
      <c r="U607" s="502">
        <v>0.36527777777777781</v>
      </c>
      <c r="V607" s="502">
        <v>0.50555555555555554</v>
      </c>
    </row>
    <row r="608" spans="1:26" s="504" customFormat="1" x14ac:dyDescent="0.25">
      <c r="A608" s="643">
        <v>8092024</v>
      </c>
      <c r="B608" s="504" t="s">
        <v>1720</v>
      </c>
      <c r="C608" s="498" t="s">
        <v>13</v>
      </c>
      <c r="D608" s="499">
        <v>45543</v>
      </c>
      <c r="F608" s="498" t="s">
        <v>545</v>
      </c>
      <c r="H608" s="498" t="s">
        <v>279</v>
      </c>
      <c r="K608" s="505">
        <v>34456</v>
      </c>
      <c r="L608" s="505"/>
      <c r="T608" s="504" t="s">
        <v>4345</v>
      </c>
      <c r="U608" s="502">
        <v>0.35555555555555557</v>
      </c>
      <c r="V608" s="502">
        <v>0.53333333333333333</v>
      </c>
    </row>
    <row r="609" spans="1:26" s="504" customFormat="1" x14ac:dyDescent="0.25">
      <c r="A609" s="643">
        <v>8092024</v>
      </c>
      <c r="B609" s="504" t="s">
        <v>614</v>
      </c>
      <c r="C609" s="498" t="s">
        <v>410</v>
      </c>
      <c r="D609" s="499">
        <v>45543</v>
      </c>
      <c r="F609" s="498" t="s">
        <v>4200</v>
      </c>
      <c r="H609" s="498" t="s">
        <v>279</v>
      </c>
      <c r="K609" s="505">
        <v>44651.199999999997</v>
      </c>
      <c r="L609" s="505"/>
      <c r="T609" s="504" t="s">
        <v>4071</v>
      </c>
      <c r="U609" s="502">
        <v>0.3611111111111111</v>
      </c>
      <c r="V609" s="502">
        <v>0.72152777777777777</v>
      </c>
    </row>
    <row r="610" spans="1:26" s="504" customFormat="1" x14ac:dyDescent="0.25">
      <c r="A610" s="643">
        <v>8092024</v>
      </c>
      <c r="B610" s="504" t="s">
        <v>4738</v>
      </c>
      <c r="C610" s="498" t="s">
        <v>4437</v>
      </c>
      <c r="D610" s="499">
        <v>45543</v>
      </c>
      <c r="F610" s="498" t="s">
        <v>4737</v>
      </c>
      <c r="H610" s="498" t="s">
        <v>277</v>
      </c>
      <c r="K610" s="505"/>
      <c r="L610" s="505">
        <v>5192</v>
      </c>
      <c r="T610" s="504" t="s">
        <v>2050</v>
      </c>
      <c r="U610" s="502">
        <v>0.42777777777777781</v>
      </c>
      <c r="V610" s="502">
        <v>0.6020833333333333</v>
      </c>
    </row>
    <row r="611" spans="1:26" s="504" customFormat="1" x14ac:dyDescent="0.25">
      <c r="A611" s="643">
        <v>8092024</v>
      </c>
      <c r="B611" s="504" t="s">
        <v>614</v>
      </c>
      <c r="C611" s="498" t="s">
        <v>13</v>
      </c>
      <c r="D611" s="499">
        <v>45543</v>
      </c>
      <c r="F611" s="498" t="s">
        <v>106</v>
      </c>
      <c r="H611" s="498" t="s">
        <v>279</v>
      </c>
      <c r="K611" s="505">
        <v>31152</v>
      </c>
      <c r="L611" s="505"/>
      <c r="T611" s="504" t="s">
        <v>4345</v>
      </c>
      <c r="U611" s="502">
        <v>0.57152777777777775</v>
      </c>
      <c r="V611" s="502">
        <v>0.7270833333333333</v>
      </c>
    </row>
    <row r="612" spans="1:26" s="504" customFormat="1" x14ac:dyDescent="0.25">
      <c r="A612" s="643">
        <v>9092024</v>
      </c>
      <c r="B612" s="504" t="s">
        <v>608</v>
      </c>
      <c r="C612" s="498" t="s">
        <v>410</v>
      </c>
      <c r="D612" s="499">
        <v>45544</v>
      </c>
      <c r="F612" s="498" t="s">
        <v>236</v>
      </c>
      <c r="H612" s="498" t="s">
        <v>279</v>
      </c>
      <c r="K612" s="505">
        <v>58231</v>
      </c>
      <c r="L612" s="505"/>
      <c r="T612" s="504" t="s">
        <v>4022</v>
      </c>
      <c r="U612" s="502">
        <v>0.36458333333333331</v>
      </c>
      <c r="V612" s="502">
        <v>0.70347222222222217</v>
      </c>
    </row>
    <row r="613" spans="1:26" s="504" customFormat="1" x14ac:dyDescent="0.25">
      <c r="A613" s="643">
        <v>10092024</v>
      </c>
      <c r="B613" s="504" t="s">
        <v>608</v>
      </c>
      <c r="C613" s="498" t="s">
        <v>410</v>
      </c>
      <c r="D613" s="499">
        <v>45545</v>
      </c>
      <c r="F613" s="498" t="s">
        <v>236</v>
      </c>
      <c r="H613" s="498" t="s">
        <v>279</v>
      </c>
      <c r="K613" s="505">
        <v>58231</v>
      </c>
      <c r="L613" s="505"/>
      <c r="T613" s="504" t="s">
        <v>4509</v>
      </c>
      <c r="U613" s="502">
        <v>0.88055555555555554</v>
      </c>
      <c r="V613" s="502">
        <v>0.14097222222222222</v>
      </c>
    </row>
    <row r="614" spans="1:26" s="5" customFormat="1" x14ac:dyDescent="0.25">
      <c r="A614" s="643">
        <v>10092024</v>
      </c>
      <c r="B614" s="504" t="s">
        <v>614</v>
      </c>
      <c r="C614" s="498" t="s">
        <v>13</v>
      </c>
      <c r="D614" s="499">
        <v>45545</v>
      </c>
      <c r="E614" s="504"/>
      <c r="F614" s="498" t="s">
        <v>106</v>
      </c>
      <c r="G614" s="504"/>
      <c r="H614" s="498" t="s">
        <v>279</v>
      </c>
      <c r="I614" s="504"/>
      <c r="J614" s="504"/>
      <c r="K614" s="505">
        <v>31152</v>
      </c>
      <c r="L614" s="505"/>
      <c r="M614" s="504"/>
      <c r="N614" s="504"/>
      <c r="O614" s="504"/>
      <c r="P614" s="504"/>
      <c r="Q614" s="504"/>
      <c r="R614" s="504"/>
      <c r="S614" s="504"/>
      <c r="T614" s="504" t="s">
        <v>4022</v>
      </c>
      <c r="U614" s="502">
        <v>0.21666666666666667</v>
      </c>
      <c r="V614" s="502">
        <v>0.35694444444444445</v>
      </c>
      <c r="W614" s="504"/>
      <c r="X614" s="504"/>
      <c r="Y614" s="504"/>
      <c r="Z614" s="504"/>
    </row>
    <row r="615" spans="1:26" s="504" customFormat="1" x14ac:dyDescent="0.25">
      <c r="A615" s="643">
        <v>10092024</v>
      </c>
      <c r="B615" s="504" t="s">
        <v>1720</v>
      </c>
      <c r="C615" s="498" t="s">
        <v>809</v>
      </c>
      <c r="D615" s="499">
        <v>45545</v>
      </c>
      <c r="F615" s="498" t="s">
        <v>545</v>
      </c>
      <c r="H615" s="498" t="s">
        <v>277</v>
      </c>
      <c r="K615" s="505">
        <v>25016</v>
      </c>
      <c r="L615" s="505"/>
      <c r="T615" s="504" t="s">
        <v>894</v>
      </c>
      <c r="U615" s="502">
        <v>0.38958333333333334</v>
      </c>
      <c r="V615" s="502">
        <v>0.44236111111111115</v>
      </c>
    </row>
    <row r="616" spans="1:26" s="504" customFormat="1" x14ac:dyDescent="0.25">
      <c r="A616" s="643">
        <v>10092024</v>
      </c>
      <c r="B616" s="504" t="s">
        <v>608</v>
      </c>
      <c r="C616" s="498" t="s">
        <v>410</v>
      </c>
      <c r="D616" s="499">
        <v>45545</v>
      </c>
      <c r="F616" s="498" t="s">
        <v>236</v>
      </c>
      <c r="H616" s="498" t="s">
        <v>279</v>
      </c>
      <c r="K616" s="505">
        <v>58231</v>
      </c>
      <c r="L616" s="505"/>
      <c r="T616" s="504" t="s">
        <v>1506</v>
      </c>
      <c r="U616" s="502">
        <v>0.27569444444444446</v>
      </c>
      <c r="V616" s="502">
        <v>0.58402777777777781</v>
      </c>
    </row>
    <row r="617" spans="1:26" s="504" customFormat="1" x14ac:dyDescent="0.25">
      <c r="A617" s="643">
        <v>10092024</v>
      </c>
      <c r="B617" s="504" t="s">
        <v>2129</v>
      </c>
      <c r="C617" s="498" t="s">
        <v>13</v>
      </c>
      <c r="D617" s="499">
        <v>45545</v>
      </c>
      <c r="F617" s="498" t="s">
        <v>236</v>
      </c>
      <c r="H617" s="498" t="s">
        <v>279</v>
      </c>
      <c r="K617" s="505">
        <v>62540</v>
      </c>
      <c r="L617" s="505"/>
      <c r="T617" s="504" t="s">
        <v>4022</v>
      </c>
      <c r="U617" s="502">
        <v>0.4201388888888889</v>
      </c>
      <c r="V617" s="502">
        <v>0.70833333333333337</v>
      </c>
    </row>
    <row r="618" spans="1:26" s="504" customFormat="1" x14ac:dyDescent="0.25">
      <c r="A618" s="643">
        <v>10092024</v>
      </c>
      <c r="B618" s="504" t="s">
        <v>608</v>
      </c>
      <c r="C618" s="498" t="s">
        <v>410</v>
      </c>
      <c r="D618" s="499">
        <v>45545</v>
      </c>
      <c r="F618" s="498" t="s">
        <v>236</v>
      </c>
      <c r="H618" s="498" t="s">
        <v>279</v>
      </c>
      <c r="K618" s="505">
        <v>58231</v>
      </c>
      <c r="L618" s="505"/>
      <c r="T618" s="504" t="s">
        <v>4509</v>
      </c>
      <c r="U618" s="502">
        <v>0.72013888888888899</v>
      </c>
      <c r="V618" s="502">
        <v>2.0833333333333332E-2</v>
      </c>
    </row>
    <row r="619" spans="1:26" s="504" customFormat="1" x14ac:dyDescent="0.25">
      <c r="A619" s="643">
        <v>11092024</v>
      </c>
      <c r="B619" s="504" t="s">
        <v>1720</v>
      </c>
      <c r="C619" s="498" t="s">
        <v>13</v>
      </c>
      <c r="D619" s="499">
        <v>45546</v>
      </c>
      <c r="F619" s="498" t="s">
        <v>545</v>
      </c>
      <c r="H619" s="498" t="s">
        <v>279</v>
      </c>
      <c r="K619" s="505">
        <v>34456</v>
      </c>
      <c r="L619" s="505"/>
      <c r="T619" s="504" t="s">
        <v>4745</v>
      </c>
      <c r="U619" s="502">
        <v>0.25763888888888892</v>
      </c>
      <c r="V619" s="502">
        <v>0.42430555555555555</v>
      </c>
    </row>
    <row r="620" spans="1:26" s="504" customFormat="1" ht="14.1" customHeight="1" x14ac:dyDescent="0.25">
      <c r="A620" s="643">
        <v>11092024</v>
      </c>
      <c r="B620" s="504" t="s">
        <v>4748</v>
      </c>
      <c r="C620" s="498" t="s">
        <v>410</v>
      </c>
      <c r="D620" s="499">
        <v>45546</v>
      </c>
      <c r="F620" s="498" t="s">
        <v>236</v>
      </c>
      <c r="H620" s="498" t="s">
        <v>279</v>
      </c>
      <c r="K620" s="505">
        <v>62540</v>
      </c>
      <c r="L620" s="505"/>
      <c r="T620" s="504" t="s">
        <v>1506</v>
      </c>
      <c r="U620" s="502">
        <v>0.31041666666666667</v>
      </c>
      <c r="V620" s="502">
        <v>0.60763888888888895</v>
      </c>
    </row>
    <row r="621" spans="1:26" s="504" customFormat="1" x14ac:dyDescent="0.25">
      <c r="A621" s="643">
        <v>11092024</v>
      </c>
      <c r="B621" s="504" t="s">
        <v>610</v>
      </c>
      <c r="C621" s="498" t="s">
        <v>13</v>
      </c>
      <c r="D621" s="499">
        <v>45546</v>
      </c>
      <c r="F621" s="498" t="s">
        <v>106</v>
      </c>
      <c r="H621" s="498" t="s">
        <v>279</v>
      </c>
      <c r="K621" s="505">
        <v>29770</v>
      </c>
      <c r="L621" s="505"/>
      <c r="T621" s="504" t="s">
        <v>4793</v>
      </c>
      <c r="U621" s="502">
        <v>0.46597222222222223</v>
      </c>
      <c r="V621" s="502">
        <v>0.61458333333333337</v>
      </c>
    </row>
    <row r="622" spans="1:26" s="504" customFormat="1" x14ac:dyDescent="0.25">
      <c r="A622" s="643">
        <v>11092024</v>
      </c>
      <c r="B622" s="504" t="s">
        <v>608</v>
      </c>
      <c r="C622" s="498" t="s">
        <v>13</v>
      </c>
      <c r="D622" s="499">
        <v>45546</v>
      </c>
      <c r="F622" s="498" t="s">
        <v>236</v>
      </c>
      <c r="H622" s="498" t="s">
        <v>279</v>
      </c>
      <c r="K622" s="505">
        <v>58231</v>
      </c>
      <c r="L622" s="505"/>
      <c r="T622" s="504" t="s">
        <v>4138</v>
      </c>
      <c r="U622" s="502">
        <v>0.77847222222222223</v>
      </c>
      <c r="V622" s="502">
        <v>5.9722222222222225E-2</v>
      </c>
    </row>
    <row r="623" spans="1:26" s="504" customFormat="1" x14ac:dyDescent="0.25">
      <c r="A623" s="643">
        <v>12092024</v>
      </c>
      <c r="B623" s="504" t="s">
        <v>614</v>
      </c>
      <c r="C623" s="498" t="s">
        <v>13</v>
      </c>
      <c r="D623" s="499">
        <v>45547</v>
      </c>
      <c r="F623" s="498" t="s">
        <v>143</v>
      </c>
      <c r="H623" s="498" t="s">
        <v>279</v>
      </c>
      <c r="K623" s="505">
        <v>43612.800000000003</v>
      </c>
      <c r="L623" s="505"/>
      <c r="T623" s="504" t="s">
        <v>4509</v>
      </c>
      <c r="U623" s="502">
        <v>0.29444444444444445</v>
      </c>
      <c r="V623" s="502">
        <v>0.51458333333333328</v>
      </c>
    </row>
    <row r="624" spans="1:26" s="504" customFormat="1" x14ac:dyDescent="0.25">
      <c r="A624" s="643">
        <v>12092024</v>
      </c>
      <c r="B624" s="504" t="s">
        <v>930</v>
      </c>
      <c r="C624" s="498" t="s">
        <v>410</v>
      </c>
      <c r="D624" s="499">
        <v>45547</v>
      </c>
      <c r="F624" s="498" t="s">
        <v>294</v>
      </c>
      <c r="H624" s="498" t="s">
        <v>277</v>
      </c>
      <c r="K624" s="505">
        <v>24886</v>
      </c>
      <c r="L624" s="505"/>
      <c r="T624" s="504" t="s">
        <v>1644</v>
      </c>
      <c r="U624" s="502">
        <v>0.44791666666666669</v>
      </c>
      <c r="V624" s="502">
        <v>0.60277777777777775</v>
      </c>
    </row>
    <row r="625" spans="1:26" s="504" customFormat="1" x14ac:dyDescent="0.25">
      <c r="A625" s="643">
        <v>12092024</v>
      </c>
      <c r="B625" s="504" t="s">
        <v>875</v>
      </c>
      <c r="C625" s="498" t="s">
        <v>13</v>
      </c>
      <c r="D625" s="499">
        <v>45547</v>
      </c>
      <c r="F625" s="498" t="s">
        <v>2036</v>
      </c>
      <c r="H625" s="498" t="s">
        <v>279</v>
      </c>
      <c r="K625" s="505">
        <v>23500</v>
      </c>
      <c r="L625" s="505"/>
      <c r="T625" s="504" t="s">
        <v>4509</v>
      </c>
      <c r="U625" s="502">
        <v>0.55972222222222223</v>
      </c>
      <c r="V625" s="502">
        <v>0.70624999999999993</v>
      </c>
    </row>
    <row r="626" spans="1:26" s="504" customFormat="1" x14ac:dyDescent="0.25">
      <c r="A626" s="643">
        <v>13092024</v>
      </c>
      <c r="B626" s="504" t="s">
        <v>4834</v>
      </c>
      <c r="C626" s="498" t="s">
        <v>13</v>
      </c>
      <c r="D626" s="499">
        <v>45548</v>
      </c>
      <c r="F626" s="498" t="s">
        <v>207</v>
      </c>
      <c r="H626" s="498" t="s">
        <v>279</v>
      </c>
      <c r="K626" s="505"/>
      <c r="L626" s="505">
        <v>9440</v>
      </c>
      <c r="T626" s="504" t="s">
        <v>4792</v>
      </c>
      <c r="U626" s="502">
        <v>0.26111111111111113</v>
      </c>
      <c r="V626" s="502">
        <v>0.46319444444444446</v>
      </c>
    </row>
    <row r="627" spans="1:26" s="504" customFormat="1" x14ac:dyDescent="0.25">
      <c r="A627" s="643">
        <v>13092024</v>
      </c>
      <c r="B627" s="504" t="s">
        <v>1720</v>
      </c>
      <c r="C627" s="498" t="s">
        <v>13</v>
      </c>
      <c r="D627" s="499">
        <v>45548</v>
      </c>
      <c r="F627" s="498" t="s">
        <v>545</v>
      </c>
      <c r="H627" s="498" t="s">
        <v>279</v>
      </c>
      <c r="K627" s="505">
        <v>34456</v>
      </c>
      <c r="L627" s="505"/>
      <c r="T627" s="504" t="s">
        <v>4509</v>
      </c>
      <c r="U627" s="502">
        <v>0.7416666666666667</v>
      </c>
      <c r="V627" s="502">
        <v>0.9194444444444444</v>
      </c>
    </row>
    <row r="628" spans="1:26" s="504" customFormat="1" x14ac:dyDescent="0.25">
      <c r="A628" s="643">
        <v>16092024</v>
      </c>
      <c r="B628" s="504" t="s">
        <v>4831</v>
      </c>
      <c r="C628" s="498" t="s">
        <v>410</v>
      </c>
      <c r="D628" s="499">
        <v>45551</v>
      </c>
      <c r="F628" s="498" t="s">
        <v>236</v>
      </c>
      <c r="H628" s="498" t="s">
        <v>279</v>
      </c>
      <c r="K628" s="505">
        <v>53808</v>
      </c>
      <c r="L628" s="505"/>
      <c r="T628" s="504" t="s">
        <v>4509</v>
      </c>
      <c r="U628" s="502">
        <v>0.25486111111111109</v>
      </c>
      <c r="V628" s="502">
        <v>0.53055555555555556</v>
      </c>
    </row>
    <row r="629" spans="1:26" s="504" customFormat="1" x14ac:dyDescent="0.25">
      <c r="A629" s="643">
        <v>16092024</v>
      </c>
      <c r="B629" s="504" t="s">
        <v>607</v>
      </c>
      <c r="C629" s="498" t="s">
        <v>13</v>
      </c>
      <c r="D629" s="499">
        <v>45551</v>
      </c>
      <c r="F629" s="498" t="s">
        <v>207</v>
      </c>
      <c r="H629" s="498" t="s">
        <v>279</v>
      </c>
      <c r="K629" s="505">
        <v>36253.14</v>
      </c>
      <c r="L629" s="505"/>
      <c r="T629" s="504" t="s">
        <v>4792</v>
      </c>
      <c r="U629" s="502">
        <v>0.29583333333333334</v>
      </c>
      <c r="V629" s="502">
        <v>0.50555555555555554</v>
      </c>
    </row>
    <row r="630" spans="1:26" s="5" customFormat="1" x14ac:dyDescent="0.25">
      <c r="A630" s="643">
        <v>16092024</v>
      </c>
      <c r="B630" s="504" t="s">
        <v>608</v>
      </c>
      <c r="C630" s="498" t="s">
        <v>13</v>
      </c>
      <c r="D630" s="499">
        <v>45551</v>
      </c>
      <c r="E630" s="504"/>
      <c r="F630" s="498" t="s">
        <v>236</v>
      </c>
      <c r="G630" s="504"/>
      <c r="H630" s="498" t="s">
        <v>279</v>
      </c>
      <c r="I630" s="504"/>
      <c r="J630" s="504"/>
      <c r="K630" s="505">
        <v>58231</v>
      </c>
      <c r="L630" s="505"/>
      <c r="M630" s="504"/>
      <c r="N630" s="504"/>
      <c r="O630" s="504"/>
      <c r="P630" s="504"/>
      <c r="Q630" s="504"/>
      <c r="R630" s="504"/>
      <c r="S630" s="504"/>
      <c r="T630" s="504" t="s">
        <v>1644</v>
      </c>
      <c r="U630" s="502">
        <v>0.75486111111111109</v>
      </c>
      <c r="V630" s="502">
        <v>2.9861111111111113E-2</v>
      </c>
      <c r="W630" s="504"/>
      <c r="X630" s="504"/>
      <c r="Y630" s="504"/>
      <c r="Z630" s="504"/>
    </row>
    <row r="631" spans="1:26" s="504" customFormat="1" x14ac:dyDescent="0.25">
      <c r="A631" s="643">
        <v>17092024</v>
      </c>
      <c r="B631" s="504" t="s">
        <v>607</v>
      </c>
      <c r="C631" s="498" t="s">
        <v>13</v>
      </c>
      <c r="D631" s="499">
        <v>45552</v>
      </c>
      <c r="F631" s="498" t="s">
        <v>207</v>
      </c>
      <c r="H631" s="498" t="s">
        <v>279</v>
      </c>
      <c r="K631" s="505">
        <v>36253.14</v>
      </c>
      <c r="L631" s="505"/>
      <c r="T631" s="504" t="s">
        <v>4509</v>
      </c>
      <c r="U631" s="502">
        <v>0.25972222222222224</v>
      </c>
      <c r="V631" s="502">
        <v>0.4604166666666667</v>
      </c>
    </row>
    <row r="632" spans="1:26" s="504" customFormat="1" x14ac:dyDescent="0.25">
      <c r="A632" s="643">
        <v>18092024</v>
      </c>
      <c r="B632" s="504" t="s">
        <v>24</v>
      </c>
      <c r="C632" s="498" t="s">
        <v>13</v>
      </c>
      <c r="D632" s="499">
        <v>45553</v>
      </c>
      <c r="F632" s="498" t="s">
        <v>207</v>
      </c>
      <c r="H632" s="498" t="s">
        <v>279</v>
      </c>
      <c r="K632" s="505"/>
      <c r="L632" s="505">
        <v>8968</v>
      </c>
      <c r="T632" s="504" t="s">
        <v>4138</v>
      </c>
      <c r="U632" s="502">
        <v>0.25069444444444444</v>
      </c>
      <c r="V632" s="502">
        <v>0.52013888888888882</v>
      </c>
    </row>
    <row r="633" spans="1:26" s="33" customFormat="1" x14ac:dyDescent="0.25">
      <c r="A633" s="643">
        <v>18092024</v>
      </c>
      <c r="B633" s="504" t="s">
        <v>3276</v>
      </c>
      <c r="C633" s="498" t="s">
        <v>410</v>
      </c>
      <c r="D633" s="499">
        <v>45553</v>
      </c>
      <c r="E633" s="504"/>
      <c r="F633" s="498" t="s">
        <v>872</v>
      </c>
      <c r="G633" s="504"/>
      <c r="H633" s="498" t="s">
        <v>279</v>
      </c>
      <c r="I633" s="504"/>
      <c r="J633" s="504"/>
      <c r="K633" s="505">
        <v>40592</v>
      </c>
      <c r="L633" s="505"/>
      <c r="M633" s="504"/>
      <c r="N633" s="504"/>
      <c r="O633" s="504"/>
      <c r="P633" s="504"/>
      <c r="Q633" s="504"/>
      <c r="R633" s="504"/>
      <c r="S633" s="504"/>
      <c r="T633" s="504" t="s">
        <v>4509</v>
      </c>
      <c r="U633" s="502">
        <v>0.34930555555555554</v>
      </c>
      <c r="V633" s="502">
        <v>0.57222222222222219</v>
      </c>
      <c r="W633" s="504"/>
      <c r="X633" s="504"/>
      <c r="Y633" s="504"/>
      <c r="Z633" s="504"/>
    </row>
    <row r="634" spans="1:26" s="33" customFormat="1" x14ac:dyDescent="0.25">
      <c r="A634" s="643">
        <v>18092024</v>
      </c>
      <c r="B634" s="504" t="s">
        <v>1720</v>
      </c>
      <c r="C634" s="498" t="s">
        <v>809</v>
      </c>
      <c r="D634" s="499">
        <v>45553</v>
      </c>
      <c r="E634" s="504"/>
      <c r="F634" s="498" t="s">
        <v>545</v>
      </c>
      <c r="G634" s="504"/>
      <c r="H634" s="498" t="s">
        <v>277</v>
      </c>
      <c r="I634" s="504"/>
      <c r="J634" s="504"/>
      <c r="K634" s="505">
        <v>25016</v>
      </c>
      <c r="L634" s="505"/>
      <c r="M634" s="504"/>
      <c r="N634" s="504"/>
      <c r="O634" s="504"/>
      <c r="P634" s="504"/>
      <c r="Q634" s="504"/>
      <c r="R634" s="504"/>
      <c r="S634" s="504"/>
      <c r="T634" s="504" t="s">
        <v>4824</v>
      </c>
      <c r="U634" s="502">
        <v>0.69166666666666676</v>
      </c>
      <c r="V634" s="502">
        <v>0.83124999999999993</v>
      </c>
      <c r="W634" s="504"/>
      <c r="X634" s="504"/>
      <c r="Y634" s="504"/>
      <c r="Z634" s="504"/>
    </row>
    <row r="635" spans="1:26" s="504" customFormat="1" x14ac:dyDescent="0.25">
      <c r="A635" s="643">
        <v>19092024</v>
      </c>
      <c r="B635" s="504" t="s">
        <v>1720</v>
      </c>
      <c r="C635" s="498" t="s">
        <v>410</v>
      </c>
      <c r="D635" s="499">
        <v>45554</v>
      </c>
      <c r="F635" s="498" t="s">
        <v>545</v>
      </c>
      <c r="H635" s="498" t="s">
        <v>277</v>
      </c>
      <c r="K635" s="505">
        <v>25016</v>
      </c>
      <c r="L635" s="505"/>
      <c r="T635" s="504" t="s">
        <v>4138</v>
      </c>
      <c r="U635" s="502">
        <v>0.32083333333333336</v>
      </c>
      <c r="V635" s="502">
        <v>0.4770833333333333</v>
      </c>
    </row>
    <row r="636" spans="1:26" s="33" customFormat="1" x14ac:dyDescent="0.25">
      <c r="A636" s="643">
        <v>19092024</v>
      </c>
      <c r="B636" s="504" t="s">
        <v>1720</v>
      </c>
      <c r="C636" s="498" t="s">
        <v>13</v>
      </c>
      <c r="D636" s="499">
        <v>45554</v>
      </c>
      <c r="E636" s="504"/>
      <c r="F636" s="498" t="s">
        <v>545</v>
      </c>
      <c r="G636" s="504"/>
      <c r="H636" s="498" t="s">
        <v>279</v>
      </c>
      <c r="I636" s="504"/>
      <c r="J636" s="504"/>
      <c r="K636" s="505">
        <v>34456</v>
      </c>
      <c r="L636" s="505"/>
      <c r="M636" s="504"/>
      <c r="N636" s="504"/>
      <c r="O636" s="504"/>
      <c r="P636" s="504"/>
      <c r="Q636" s="504"/>
      <c r="R636" s="504"/>
      <c r="S636" s="504"/>
      <c r="T636" s="504" t="s">
        <v>4509</v>
      </c>
      <c r="U636" s="502">
        <v>0.8041666666666667</v>
      </c>
      <c r="V636" s="502">
        <v>0.36458333333333331</v>
      </c>
      <c r="W636" s="504"/>
      <c r="X636" s="504"/>
      <c r="Y636" s="504"/>
      <c r="Z636" s="504"/>
    </row>
    <row r="637" spans="1:26" s="504" customFormat="1" x14ac:dyDescent="0.25">
      <c r="A637" s="643">
        <v>20092024</v>
      </c>
      <c r="B637" s="504" t="s">
        <v>5016</v>
      </c>
      <c r="C637" s="498" t="s">
        <v>13</v>
      </c>
      <c r="D637" s="499">
        <v>45555</v>
      </c>
      <c r="F637" s="498" t="s">
        <v>207</v>
      </c>
      <c r="H637" s="498" t="s">
        <v>279</v>
      </c>
      <c r="K637" s="506"/>
      <c r="L637" s="505">
        <v>10150</v>
      </c>
      <c r="T637" s="504" t="s">
        <v>1644</v>
      </c>
      <c r="U637" s="502">
        <v>0.41111111111111115</v>
      </c>
      <c r="V637" s="502">
        <v>0.61319444444444449</v>
      </c>
    </row>
    <row r="638" spans="1:26" s="33" customFormat="1" x14ac:dyDescent="0.25">
      <c r="A638" s="643">
        <v>21092024</v>
      </c>
      <c r="B638" s="504" t="s">
        <v>608</v>
      </c>
      <c r="C638" s="498" t="s">
        <v>13</v>
      </c>
      <c r="D638" s="499">
        <v>45556</v>
      </c>
      <c r="E638" s="504"/>
      <c r="F638" s="498" t="s">
        <v>236</v>
      </c>
      <c r="G638" s="504"/>
      <c r="H638" s="498" t="s">
        <v>279</v>
      </c>
      <c r="I638" s="504"/>
      <c r="J638" s="504"/>
      <c r="K638" s="505">
        <v>58231</v>
      </c>
      <c r="L638" s="506"/>
      <c r="M638" s="504"/>
      <c r="N638" s="504"/>
      <c r="O638" s="504"/>
      <c r="P638" s="504"/>
      <c r="Q638" s="504"/>
      <c r="R638" s="504"/>
      <c r="S638" s="504"/>
      <c r="T638" s="504" t="s">
        <v>1644</v>
      </c>
      <c r="U638" s="502">
        <v>0.67986111111111114</v>
      </c>
      <c r="V638" s="502">
        <v>0.95416666666666661</v>
      </c>
      <c r="W638" s="504"/>
      <c r="X638" s="504"/>
      <c r="Y638" s="504"/>
      <c r="Z638" s="504"/>
    </row>
    <row r="639" spans="1:26" s="504" customFormat="1" x14ac:dyDescent="0.25">
      <c r="A639" s="643">
        <v>22092024</v>
      </c>
      <c r="B639" s="504" t="s">
        <v>4834</v>
      </c>
      <c r="C639" s="498" t="s">
        <v>13</v>
      </c>
      <c r="D639" s="499">
        <v>45557</v>
      </c>
      <c r="F639" s="498" t="s">
        <v>207</v>
      </c>
      <c r="H639" s="498" t="s">
        <v>279</v>
      </c>
      <c r="K639" s="505"/>
      <c r="L639" s="506">
        <v>9440</v>
      </c>
      <c r="T639" s="504" t="s">
        <v>4139</v>
      </c>
      <c r="U639" s="502">
        <v>0.25555555555555559</v>
      </c>
      <c r="V639" s="502">
        <v>0.55069444444444449</v>
      </c>
    </row>
    <row r="640" spans="1:26" s="504" customFormat="1" x14ac:dyDescent="0.25">
      <c r="A640" s="643">
        <v>23092024</v>
      </c>
      <c r="B640" s="504" t="s">
        <v>1720</v>
      </c>
      <c r="C640" s="498" t="s">
        <v>410</v>
      </c>
      <c r="D640" s="499">
        <v>45558</v>
      </c>
      <c r="F640" s="498" t="s">
        <v>545</v>
      </c>
      <c r="H640" s="498" t="s">
        <v>277</v>
      </c>
      <c r="K640" s="505">
        <v>25016</v>
      </c>
      <c r="L640" s="505"/>
      <c r="T640" s="504" t="s">
        <v>4417</v>
      </c>
      <c r="U640" s="502">
        <v>0.67638888888888893</v>
      </c>
      <c r="V640" s="502">
        <v>0.79583333333333339</v>
      </c>
    </row>
    <row r="641" spans="1:26" s="33" customFormat="1" x14ac:dyDescent="0.25">
      <c r="A641" s="643">
        <v>24092024</v>
      </c>
      <c r="B641" s="504" t="s">
        <v>4834</v>
      </c>
      <c r="C641" s="498" t="s">
        <v>13</v>
      </c>
      <c r="D641" s="499">
        <v>45559</v>
      </c>
      <c r="E641" s="504"/>
      <c r="F641" s="498" t="s">
        <v>207</v>
      </c>
      <c r="G641" s="504"/>
      <c r="H641" s="498" t="s">
        <v>279</v>
      </c>
      <c r="I641" s="504"/>
      <c r="J641" s="504"/>
      <c r="K641" s="505"/>
      <c r="L641" s="505">
        <v>9440</v>
      </c>
      <c r="M641" s="504"/>
      <c r="N641" s="504"/>
      <c r="O641" s="504"/>
      <c r="P641" s="504"/>
      <c r="Q641" s="504"/>
      <c r="R641" s="504"/>
      <c r="S641" s="504"/>
      <c r="T641" s="504" t="s">
        <v>4396</v>
      </c>
      <c r="U641" s="502">
        <v>0.41041666666666665</v>
      </c>
      <c r="V641" s="502">
        <v>0.64027777777777783</v>
      </c>
      <c r="W641" s="504"/>
      <c r="X641" s="504"/>
      <c r="Y641" s="504"/>
      <c r="Z641" s="504"/>
    </row>
    <row r="642" spans="1:26" s="33" customFormat="1" x14ac:dyDescent="0.25">
      <c r="A642" s="643">
        <v>24092024</v>
      </c>
      <c r="B642" s="504" t="s">
        <v>24</v>
      </c>
      <c r="C642" s="498" t="s">
        <v>13</v>
      </c>
      <c r="D642" s="499">
        <v>45559</v>
      </c>
      <c r="E642" s="504"/>
      <c r="F642" s="498" t="s">
        <v>317</v>
      </c>
      <c r="G642" s="504"/>
      <c r="H642" s="498" t="s">
        <v>279</v>
      </c>
      <c r="I642" s="504"/>
      <c r="J642" s="504"/>
      <c r="K642" s="505"/>
      <c r="L642" s="505">
        <v>11658.4</v>
      </c>
      <c r="M642" s="504"/>
      <c r="N642" s="504"/>
      <c r="O642" s="504"/>
      <c r="P642" s="504"/>
      <c r="Q642" s="504"/>
      <c r="R642" s="504"/>
      <c r="S642" s="504"/>
      <c r="T642" s="504" t="s">
        <v>1644</v>
      </c>
      <c r="U642" s="502">
        <v>0.67638888888888893</v>
      </c>
      <c r="V642" s="502">
        <v>0.89583333333333337</v>
      </c>
      <c r="W642" s="504"/>
      <c r="X642" s="504"/>
      <c r="Y642" s="504"/>
      <c r="Z642" s="504"/>
    </row>
    <row r="643" spans="1:26" s="504" customFormat="1" x14ac:dyDescent="0.25">
      <c r="A643" s="643">
        <v>25092024</v>
      </c>
      <c r="B643" s="504" t="s">
        <v>4834</v>
      </c>
      <c r="C643" s="498" t="s">
        <v>13</v>
      </c>
      <c r="D643" s="499">
        <v>45560</v>
      </c>
      <c r="F643" s="498" t="s">
        <v>207</v>
      </c>
      <c r="H643" s="498" t="s">
        <v>279</v>
      </c>
      <c r="K643" s="505"/>
      <c r="L643" s="505">
        <v>9440</v>
      </c>
      <c r="T643" s="504" t="s">
        <v>4139</v>
      </c>
      <c r="U643" s="502">
        <v>0.27152777777777776</v>
      </c>
      <c r="V643" s="502">
        <v>0.49930555555555556</v>
      </c>
    </row>
    <row r="644" spans="1:26" s="504" customFormat="1" x14ac:dyDescent="0.25">
      <c r="A644" s="643">
        <v>26092024</v>
      </c>
      <c r="B644" s="504" t="s">
        <v>3276</v>
      </c>
      <c r="C644" s="498" t="s">
        <v>13</v>
      </c>
      <c r="D644" s="499">
        <v>45561</v>
      </c>
      <c r="F644" s="498" t="s">
        <v>872</v>
      </c>
      <c r="H644" s="498" t="s">
        <v>279</v>
      </c>
      <c r="K644" s="505">
        <v>40592</v>
      </c>
      <c r="L644" s="505"/>
      <c r="T644" s="507" t="s">
        <v>4848</v>
      </c>
      <c r="U644" s="502">
        <v>0.33611111111111114</v>
      </c>
      <c r="V644" s="502">
        <v>0.5541666666666667</v>
      </c>
    </row>
    <row r="645" spans="1:26" s="504" customFormat="1" x14ac:dyDescent="0.25">
      <c r="A645" s="643">
        <v>28092024</v>
      </c>
      <c r="B645" s="504" t="s">
        <v>3880</v>
      </c>
      <c r="C645" s="498" t="s">
        <v>13</v>
      </c>
      <c r="D645" s="499">
        <v>45563</v>
      </c>
      <c r="F645" s="498" t="s">
        <v>545</v>
      </c>
      <c r="H645" s="498" t="s">
        <v>279</v>
      </c>
      <c r="K645" s="505">
        <v>32284.400000000001</v>
      </c>
      <c r="L645" s="505"/>
      <c r="T645" s="504" t="s">
        <v>4854</v>
      </c>
      <c r="U645" s="502">
        <v>0.4777777777777778</v>
      </c>
      <c r="V645" s="502">
        <v>0.65625</v>
      </c>
    </row>
    <row r="646" spans="1:26" s="33" customFormat="1" ht="14.1" customHeight="1" x14ac:dyDescent="0.25">
      <c r="A646" s="656">
        <v>5092024</v>
      </c>
      <c r="B646" s="13" t="s">
        <v>1317</v>
      </c>
      <c r="C646" s="241" t="s">
        <v>4437</v>
      </c>
      <c r="D646" s="587">
        <v>45540</v>
      </c>
      <c r="E646" s="13"/>
      <c r="F646" s="241" t="s">
        <v>2029</v>
      </c>
      <c r="G646" s="13"/>
      <c r="H646" s="241" t="s">
        <v>277</v>
      </c>
      <c r="I646" s="13"/>
      <c r="J646" s="13"/>
      <c r="K646" s="322">
        <f>4000*3.8</f>
        <v>15200</v>
      </c>
      <c r="L646" s="96"/>
      <c r="M646" s="13"/>
      <c r="N646" s="13"/>
      <c r="O646" s="13"/>
      <c r="P646" s="13"/>
      <c r="Q646" s="13"/>
      <c r="R646" s="13"/>
      <c r="S646" s="13"/>
      <c r="T646" s="13" t="s">
        <v>2050</v>
      </c>
      <c r="U646" s="482">
        <v>0.27847222222222223</v>
      </c>
      <c r="V646" s="482">
        <v>0.63402777777777775</v>
      </c>
      <c r="W646" s="13"/>
      <c r="X646" s="13"/>
      <c r="Y646" s="13"/>
      <c r="Z646" s="13"/>
    </row>
    <row r="647" spans="1:26" s="33" customFormat="1" x14ac:dyDescent="0.25">
      <c r="A647" s="277">
        <v>9092024</v>
      </c>
      <c r="B647" s="33" t="s">
        <v>2303</v>
      </c>
      <c r="C647" s="306" t="s">
        <v>13</v>
      </c>
      <c r="D647" s="548">
        <v>45544</v>
      </c>
      <c r="F647" s="306" t="s">
        <v>4747</v>
      </c>
      <c r="H647" s="306" t="s">
        <v>279</v>
      </c>
      <c r="K647" s="312">
        <v>49064.4</v>
      </c>
      <c r="L647" s="312"/>
      <c r="T647" s="33" t="s">
        <v>1506</v>
      </c>
      <c r="U647" s="550">
        <v>0.58124999999999993</v>
      </c>
      <c r="V647" s="550">
        <v>0.86736111111111114</v>
      </c>
    </row>
    <row r="648" spans="1:26" s="504" customFormat="1" x14ac:dyDescent="0.25">
      <c r="A648" s="642">
        <v>15092024</v>
      </c>
      <c r="B648" s="5" t="s">
        <v>582</v>
      </c>
      <c r="C648" s="127" t="s">
        <v>13</v>
      </c>
      <c r="D648" s="494">
        <v>45550</v>
      </c>
      <c r="E648" s="5"/>
      <c r="F648" s="127" t="s">
        <v>207</v>
      </c>
      <c r="G648" s="5"/>
      <c r="H648" s="127" t="s">
        <v>279</v>
      </c>
      <c r="I648" s="5"/>
      <c r="J648" s="5"/>
      <c r="K648" s="296"/>
      <c r="L648" s="296">
        <v>9440</v>
      </c>
      <c r="M648" s="670"/>
      <c r="N648" s="5"/>
      <c r="O648" s="5"/>
      <c r="P648" s="5"/>
      <c r="Q648" s="5"/>
      <c r="R648" s="5"/>
      <c r="S648" s="5"/>
      <c r="T648" s="5" t="s">
        <v>1644</v>
      </c>
      <c r="U648" s="496">
        <v>0.27291666666666664</v>
      </c>
      <c r="V648" s="496">
        <v>0.5131944444444444</v>
      </c>
      <c r="W648" s="5"/>
      <c r="X648" s="5"/>
      <c r="Y648" s="5"/>
      <c r="Z648" s="5"/>
    </row>
    <row r="649" spans="1:26" s="33" customFormat="1" x14ac:dyDescent="0.25">
      <c r="A649" s="277">
        <v>16092024</v>
      </c>
      <c r="B649" s="33" t="s">
        <v>875</v>
      </c>
      <c r="C649" s="306" t="s">
        <v>13</v>
      </c>
      <c r="D649" s="548">
        <v>45551</v>
      </c>
      <c r="F649" s="306" t="s">
        <v>2036</v>
      </c>
      <c r="H649" s="306" t="s">
        <v>279</v>
      </c>
      <c r="K649" s="312">
        <v>23500</v>
      </c>
      <c r="L649" s="312"/>
      <c r="T649" s="33" t="s">
        <v>4509</v>
      </c>
      <c r="U649" s="550">
        <v>0.55347222222222225</v>
      </c>
      <c r="V649" s="550">
        <v>0.72222222222222221</v>
      </c>
    </row>
    <row r="650" spans="1:26" s="504" customFormat="1" x14ac:dyDescent="0.25">
      <c r="A650" s="277">
        <v>16092024</v>
      </c>
      <c r="B650" s="33" t="s">
        <v>875</v>
      </c>
      <c r="C650" s="306" t="s">
        <v>410</v>
      </c>
      <c r="D650" s="548">
        <v>45551</v>
      </c>
      <c r="E650" s="33"/>
      <c r="F650" s="306" t="s">
        <v>2036</v>
      </c>
      <c r="G650" s="33"/>
      <c r="H650" s="306" t="s">
        <v>279</v>
      </c>
      <c r="I650" s="33"/>
      <c r="J650" s="33"/>
      <c r="K650" s="312">
        <v>23500</v>
      </c>
      <c r="L650" s="312"/>
      <c r="M650" s="33"/>
      <c r="N650" s="33"/>
      <c r="O650" s="33"/>
      <c r="P650" s="33"/>
      <c r="Q650" s="33"/>
      <c r="R650" s="33"/>
      <c r="S650" s="33"/>
      <c r="T650" s="33" t="s">
        <v>4792</v>
      </c>
      <c r="U650" s="550">
        <v>0.57430555555555551</v>
      </c>
      <c r="V650" s="550">
        <v>0.72222222222222221</v>
      </c>
      <c r="W650" s="33"/>
      <c r="X650" s="33"/>
      <c r="Y650" s="33"/>
      <c r="Z650" s="33"/>
    </row>
    <row r="651" spans="1:26" s="504" customFormat="1" x14ac:dyDescent="0.25">
      <c r="A651" s="277">
        <v>17092024</v>
      </c>
      <c r="B651" s="33" t="s">
        <v>614</v>
      </c>
      <c r="C651" s="306" t="s">
        <v>410</v>
      </c>
      <c r="D651" s="548">
        <v>45552</v>
      </c>
      <c r="E651" s="33"/>
      <c r="F651" s="306" t="s">
        <v>68</v>
      </c>
      <c r="G651" s="33"/>
      <c r="H651" s="306" t="s">
        <v>279</v>
      </c>
      <c r="I651" s="33"/>
      <c r="J651" s="33"/>
      <c r="K651" s="312">
        <v>49843.199999999997</v>
      </c>
      <c r="L651" s="312"/>
      <c r="M651" s="33"/>
      <c r="N651" s="33"/>
      <c r="O651" s="33"/>
      <c r="P651" s="33"/>
      <c r="Q651" s="33"/>
      <c r="R651" s="33"/>
      <c r="S651" s="33"/>
      <c r="T651" s="33" t="s">
        <v>4792</v>
      </c>
      <c r="U651" s="550">
        <v>0.26319444444444445</v>
      </c>
      <c r="V651" s="550">
        <v>0.52430555555555558</v>
      </c>
      <c r="W651" s="33"/>
      <c r="X651" s="33"/>
      <c r="Y651" s="33"/>
      <c r="Z651" s="33"/>
    </row>
    <row r="652" spans="1:26" s="504" customFormat="1" x14ac:dyDescent="0.25">
      <c r="A652" s="277">
        <v>17092024</v>
      </c>
      <c r="B652" s="33" t="s">
        <v>4201</v>
      </c>
      <c r="C652" s="306" t="s">
        <v>4218</v>
      </c>
      <c r="D652" s="548">
        <v>45552</v>
      </c>
      <c r="E652" s="33"/>
      <c r="F652" s="306" t="s">
        <v>4200</v>
      </c>
      <c r="G652" s="33"/>
      <c r="H652" s="306" t="s">
        <v>279</v>
      </c>
      <c r="I652" s="33"/>
      <c r="J652" s="33"/>
      <c r="K652" s="312">
        <v>41200</v>
      </c>
      <c r="L652" s="312"/>
      <c r="M652" s="33"/>
      <c r="N652" s="33"/>
      <c r="O652" s="33"/>
      <c r="P652" s="33"/>
      <c r="Q652" s="33"/>
      <c r="R652" s="33"/>
      <c r="S652" s="33"/>
      <c r="T652" s="33" t="s">
        <v>4071</v>
      </c>
      <c r="U652" s="550">
        <v>0.35486111111111113</v>
      </c>
      <c r="V652" s="550">
        <v>0.70694444444444438</v>
      </c>
      <c r="W652" s="33"/>
      <c r="X652" s="33"/>
      <c r="Y652" s="33"/>
      <c r="Z652" s="33"/>
    </row>
    <row r="653" spans="1:26" s="504" customFormat="1" x14ac:dyDescent="0.25">
      <c r="A653" s="277">
        <v>18092024</v>
      </c>
      <c r="B653" s="33" t="s">
        <v>614</v>
      </c>
      <c r="C653" s="306" t="s">
        <v>13</v>
      </c>
      <c r="D653" s="548">
        <v>45553</v>
      </c>
      <c r="E653" s="33"/>
      <c r="F653" s="306" t="s">
        <v>68</v>
      </c>
      <c r="G653" s="33"/>
      <c r="H653" s="306" t="s">
        <v>279</v>
      </c>
      <c r="I653" s="33"/>
      <c r="J653" s="33"/>
      <c r="K653" s="312">
        <v>49843.199999999997</v>
      </c>
      <c r="L653" s="312"/>
      <c r="M653" s="33"/>
      <c r="N653" s="33"/>
      <c r="O653" s="33"/>
      <c r="P653" s="33"/>
      <c r="Q653" s="33"/>
      <c r="R653" s="33"/>
      <c r="S653" s="33"/>
      <c r="T653" s="33" t="s">
        <v>4097</v>
      </c>
      <c r="U653" s="550">
        <v>0.59375</v>
      </c>
      <c r="V653" s="550">
        <v>0.84097222222222223</v>
      </c>
      <c r="W653" s="33"/>
      <c r="X653" s="33"/>
      <c r="Y653" s="33"/>
      <c r="Z653" s="33"/>
    </row>
    <row r="654" spans="1:26" s="504" customFormat="1" x14ac:dyDescent="0.25">
      <c r="A654" s="277">
        <v>18092024</v>
      </c>
      <c r="B654" s="33" t="s">
        <v>614</v>
      </c>
      <c r="C654" s="306" t="s">
        <v>410</v>
      </c>
      <c r="D654" s="548">
        <v>45553</v>
      </c>
      <c r="E654" s="33"/>
      <c r="F654" s="306" t="s">
        <v>68</v>
      </c>
      <c r="G654" s="33"/>
      <c r="H654" s="306" t="s">
        <v>279</v>
      </c>
      <c r="I654" s="33"/>
      <c r="J654" s="33"/>
      <c r="K654" s="312">
        <v>49843.199999999997</v>
      </c>
      <c r="L654" s="312"/>
      <c r="M654" s="33"/>
      <c r="N654" s="33"/>
      <c r="O654" s="33"/>
      <c r="P654" s="33"/>
      <c r="Q654" s="33"/>
      <c r="R654" s="33"/>
      <c r="S654" s="33"/>
      <c r="T654" s="33" t="s">
        <v>1506</v>
      </c>
      <c r="U654" s="550">
        <v>0.68402777777777779</v>
      </c>
      <c r="V654" s="550">
        <v>0.95763888888888893</v>
      </c>
      <c r="W654" s="33"/>
      <c r="X654" s="33"/>
      <c r="Y654" s="33"/>
      <c r="Z654" s="33"/>
    </row>
    <row r="655" spans="1:26" s="33" customFormat="1" x14ac:dyDescent="0.25">
      <c r="A655" s="277">
        <v>20092024</v>
      </c>
      <c r="B655" s="33" t="s">
        <v>2227</v>
      </c>
      <c r="C655" s="306" t="s">
        <v>410</v>
      </c>
      <c r="D655" s="548">
        <v>45555</v>
      </c>
      <c r="F655" s="306" t="s">
        <v>106</v>
      </c>
      <c r="H655" s="306" t="s">
        <v>279</v>
      </c>
      <c r="K655" s="312">
        <v>26100</v>
      </c>
      <c r="L655" s="312"/>
      <c r="T655" s="33" t="s">
        <v>4792</v>
      </c>
      <c r="U655" s="550">
        <v>0.25486111111111109</v>
      </c>
      <c r="V655" s="550">
        <v>0.42777777777777781</v>
      </c>
    </row>
    <row r="656" spans="1:26" s="33" customFormat="1" x14ac:dyDescent="0.25">
      <c r="A656" s="277">
        <v>21092024</v>
      </c>
      <c r="B656" s="33" t="s">
        <v>611</v>
      </c>
      <c r="C656" s="306" t="s">
        <v>410</v>
      </c>
      <c r="D656" s="548">
        <v>45556</v>
      </c>
      <c r="F656" s="306" t="s">
        <v>143</v>
      </c>
      <c r="H656" s="306" t="s">
        <v>279</v>
      </c>
      <c r="K656" s="312">
        <v>36750</v>
      </c>
      <c r="L656" s="279"/>
      <c r="T656" s="33" t="s">
        <v>4833</v>
      </c>
      <c r="U656" s="550">
        <v>0.7715277777777777</v>
      </c>
      <c r="V656" s="550">
        <v>1.8055555555555557E-2</v>
      </c>
    </row>
    <row r="657" spans="1:26" s="33" customFormat="1" x14ac:dyDescent="0.25">
      <c r="A657" s="277">
        <v>25092024</v>
      </c>
      <c r="B657" s="33" t="s">
        <v>614</v>
      </c>
      <c r="C657" s="306" t="s">
        <v>410</v>
      </c>
      <c r="D657" s="548">
        <v>45560</v>
      </c>
      <c r="F657" s="306" t="s">
        <v>285</v>
      </c>
      <c r="H657" s="306" t="s">
        <v>279</v>
      </c>
      <c r="K657" s="312">
        <v>51920</v>
      </c>
      <c r="L657" s="312"/>
      <c r="T657" s="33" t="s">
        <v>4842</v>
      </c>
      <c r="U657" s="550">
        <v>0.28749999999999998</v>
      </c>
      <c r="V657" s="550">
        <v>0.62222222222222223</v>
      </c>
    </row>
    <row r="658" spans="1:26" s="33" customFormat="1" ht="15.75" customHeight="1" x14ac:dyDescent="0.25">
      <c r="A658" s="277">
        <v>25092024</v>
      </c>
      <c r="B658" s="33" t="s">
        <v>930</v>
      </c>
      <c r="C658" s="306" t="s">
        <v>4218</v>
      </c>
      <c r="D658" s="548">
        <v>45560</v>
      </c>
      <c r="F658" s="306" t="s">
        <v>294</v>
      </c>
      <c r="H658" s="306" t="s">
        <v>277</v>
      </c>
      <c r="K658" s="312">
        <v>24886</v>
      </c>
      <c r="L658" s="312"/>
      <c r="T658" s="33" t="s">
        <v>4139</v>
      </c>
      <c r="U658" s="550">
        <v>0.53888888888888886</v>
      </c>
      <c r="V658" s="550">
        <v>0.72361111111111109</v>
      </c>
    </row>
    <row r="659" spans="1:26" s="504" customFormat="1" ht="15.75" customHeight="1" x14ac:dyDescent="0.25">
      <c r="A659" s="277">
        <v>25092024</v>
      </c>
      <c r="B659" s="33" t="s">
        <v>614</v>
      </c>
      <c r="C659" s="306" t="s">
        <v>13</v>
      </c>
      <c r="D659" s="548">
        <v>45560</v>
      </c>
      <c r="E659" s="33"/>
      <c r="F659" s="306" t="s">
        <v>317</v>
      </c>
      <c r="G659" s="33"/>
      <c r="H659" s="306" t="s">
        <v>279</v>
      </c>
      <c r="I659" s="33"/>
      <c r="J659" s="33"/>
      <c r="K659" s="312">
        <v>53996.800000000003</v>
      </c>
      <c r="L659" s="312"/>
      <c r="M659" s="33"/>
      <c r="N659" s="33"/>
      <c r="O659" s="33"/>
      <c r="P659" s="33"/>
      <c r="Q659" s="33"/>
      <c r="R659" s="33"/>
      <c r="S659" s="33"/>
      <c r="T659" s="33" t="s">
        <v>4509</v>
      </c>
      <c r="U659" s="550">
        <v>0.54861111111111116</v>
      </c>
      <c r="V659" s="550">
        <v>0.82847222222222228</v>
      </c>
      <c r="W659" s="33"/>
      <c r="X659" s="33"/>
      <c r="Y659" s="33"/>
      <c r="Z659" s="33"/>
    </row>
    <row r="660" spans="1:26" s="33" customFormat="1" x14ac:dyDescent="0.25">
      <c r="A660" s="277">
        <v>25092024</v>
      </c>
      <c r="B660" s="33" t="s">
        <v>596</v>
      </c>
      <c r="C660" s="306" t="s">
        <v>410</v>
      </c>
      <c r="D660" s="548">
        <v>45560</v>
      </c>
      <c r="F660" s="306" t="s">
        <v>236</v>
      </c>
      <c r="H660" s="306" t="s">
        <v>279</v>
      </c>
      <c r="K660" s="312">
        <v>58231</v>
      </c>
      <c r="L660" s="312"/>
      <c r="T660" s="33" t="s">
        <v>1644</v>
      </c>
      <c r="U660" s="550">
        <v>0.77916666666666667</v>
      </c>
      <c r="V660" s="550">
        <v>5.2083333333333336E-2</v>
      </c>
    </row>
    <row r="661" spans="1:26" s="33" customFormat="1" x14ac:dyDescent="0.25">
      <c r="A661" s="277">
        <v>26092024</v>
      </c>
      <c r="B661" s="33" t="s">
        <v>2739</v>
      </c>
      <c r="C661" s="306" t="s">
        <v>410</v>
      </c>
      <c r="D661" s="548">
        <v>45561</v>
      </c>
      <c r="F661" s="306" t="s">
        <v>2107</v>
      </c>
      <c r="H661" s="306" t="s">
        <v>279</v>
      </c>
      <c r="K661" s="312">
        <v>29880</v>
      </c>
      <c r="L661" s="312"/>
      <c r="T661" s="33" t="s">
        <v>4792</v>
      </c>
      <c r="U661" s="550">
        <v>0.51666666666666672</v>
      </c>
      <c r="V661" s="550">
        <v>0.66249999999999998</v>
      </c>
    </row>
    <row r="662" spans="1:26" s="5" customFormat="1" x14ac:dyDescent="0.25">
      <c r="A662" s="277">
        <v>26092024</v>
      </c>
      <c r="B662" s="33" t="s">
        <v>614</v>
      </c>
      <c r="C662" s="306" t="s">
        <v>13</v>
      </c>
      <c r="D662" s="548">
        <v>45561</v>
      </c>
      <c r="E662" s="33"/>
      <c r="F662" s="306" t="s">
        <v>68</v>
      </c>
      <c r="G662" s="33"/>
      <c r="H662" s="306" t="s">
        <v>279</v>
      </c>
      <c r="I662" s="33"/>
      <c r="J662" s="33"/>
      <c r="K662" s="312">
        <v>49843.199999999997</v>
      </c>
      <c r="L662" s="312"/>
      <c r="M662" s="33"/>
      <c r="N662" s="33"/>
      <c r="O662" s="33"/>
      <c r="P662" s="33"/>
      <c r="Q662" s="33"/>
      <c r="R662" s="33"/>
      <c r="S662" s="33"/>
      <c r="T662" s="33" t="s">
        <v>4509</v>
      </c>
      <c r="U662" s="550">
        <v>0.75277777777777777</v>
      </c>
      <c r="V662" s="550">
        <v>0.99236111111111114</v>
      </c>
      <c r="W662" s="33"/>
      <c r="X662" s="33"/>
      <c r="Y662" s="33"/>
      <c r="Z662" s="33"/>
    </row>
    <row r="663" spans="1:26" s="386" customFormat="1" x14ac:dyDescent="0.25">
      <c r="A663" s="753">
        <v>27092024</v>
      </c>
      <c r="B663" s="386" t="s">
        <v>4849</v>
      </c>
      <c r="C663" s="388" t="s">
        <v>13</v>
      </c>
      <c r="D663" s="754">
        <v>45562</v>
      </c>
      <c r="F663" s="388" t="s">
        <v>2008</v>
      </c>
      <c r="H663" s="388" t="s">
        <v>279</v>
      </c>
      <c r="K663" s="389">
        <v>47250</v>
      </c>
      <c r="L663" s="389"/>
      <c r="T663" s="386" t="s">
        <v>4850</v>
      </c>
      <c r="U663" s="755">
        <v>0.29236111111111113</v>
      </c>
      <c r="V663" s="755">
        <v>0.5444444444444444</v>
      </c>
    </row>
    <row r="664" spans="1:26" s="33" customFormat="1" x14ac:dyDescent="0.25">
      <c r="A664" s="277">
        <v>27092024</v>
      </c>
      <c r="B664" s="33" t="s">
        <v>930</v>
      </c>
      <c r="C664" s="306" t="s">
        <v>410</v>
      </c>
      <c r="D664" s="548">
        <v>45562</v>
      </c>
      <c r="F664" s="306" t="s">
        <v>294</v>
      </c>
      <c r="H664" s="306" t="s">
        <v>279</v>
      </c>
      <c r="K664" s="312">
        <v>33182</v>
      </c>
      <c r="L664" s="312"/>
      <c r="T664" s="33" t="s">
        <v>2050</v>
      </c>
      <c r="U664" s="550">
        <v>0.43263888888888885</v>
      </c>
      <c r="V664" s="550">
        <v>0.61458333333333337</v>
      </c>
    </row>
    <row r="665" spans="1:26" s="5" customFormat="1" x14ac:dyDescent="0.25">
      <c r="A665" s="277">
        <v>27092024</v>
      </c>
      <c r="B665" s="33" t="s">
        <v>1720</v>
      </c>
      <c r="C665" s="306" t="s">
        <v>13</v>
      </c>
      <c r="D665" s="548">
        <v>45562</v>
      </c>
      <c r="E665" s="33"/>
      <c r="F665" s="306" t="s">
        <v>545</v>
      </c>
      <c r="G665" s="33"/>
      <c r="H665" s="306" t="s">
        <v>279</v>
      </c>
      <c r="I665" s="33"/>
      <c r="J665" s="33"/>
      <c r="K665" s="312">
        <v>34456</v>
      </c>
      <c r="L665" s="312"/>
      <c r="M665" s="33"/>
      <c r="N665" s="33"/>
      <c r="O665" s="33"/>
      <c r="P665" s="33"/>
      <c r="Q665" s="33"/>
      <c r="R665" s="33"/>
      <c r="S665" s="33"/>
      <c r="T665" s="33" t="s">
        <v>4850</v>
      </c>
      <c r="U665" s="550">
        <v>0.59236111111111112</v>
      </c>
      <c r="V665" s="550">
        <v>0.80555555555555547</v>
      </c>
      <c r="W665" s="33"/>
      <c r="X665" s="33"/>
      <c r="Y665" s="33"/>
      <c r="Z665" s="33"/>
    </row>
    <row r="666" spans="1:26" s="33" customFormat="1" x14ac:dyDescent="0.25">
      <c r="A666" s="277">
        <v>27092024</v>
      </c>
      <c r="B666" s="33" t="s">
        <v>3276</v>
      </c>
      <c r="C666" s="306" t="s">
        <v>410</v>
      </c>
      <c r="D666" s="548">
        <v>45562</v>
      </c>
      <c r="F666" s="306" t="s">
        <v>872</v>
      </c>
      <c r="H666" s="306" t="s">
        <v>279</v>
      </c>
      <c r="K666" s="312">
        <v>40592</v>
      </c>
      <c r="L666" s="312"/>
      <c r="T666" s="33" t="s">
        <v>2050</v>
      </c>
      <c r="U666" s="550">
        <v>0.67638888888888893</v>
      </c>
      <c r="V666" s="550">
        <v>0.81458333333333333</v>
      </c>
    </row>
    <row r="667" spans="1:26" s="504" customFormat="1" x14ac:dyDescent="0.25">
      <c r="A667" s="277">
        <v>28092024</v>
      </c>
      <c r="B667" s="33" t="s">
        <v>1720</v>
      </c>
      <c r="C667" s="306" t="s">
        <v>410</v>
      </c>
      <c r="D667" s="548">
        <v>45563</v>
      </c>
      <c r="E667" s="33"/>
      <c r="F667" s="306" t="s">
        <v>545</v>
      </c>
      <c r="G667" s="33"/>
      <c r="H667" s="306" t="s">
        <v>277</v>
      </c>
      <c r="I667" s="33"/>
      <c r="J667" s="33"/>
      <c r="K667" s="312">
        <v>25016</v>
      </c>
      <c r="L667" s="312"/>
      <c r="M667" s="33"/>
      <c r="N667" s="33"/>
      <c r="O667" s="33"/>
      <c r="P667" s="33"/>
      <c r="Q667" s="33"/>
      <c r="R667" s="33"/>
      <c r="S667" s="33"/>
      <c r="T667" s="33" t="s">
        <v>4854</v>
      </c>
      <c r="U667" s="550">
        <v>0.30763888888888891</v>
      </c>
      <c r="V667" s="550">
        <v>0.42499999999999999</v>
      </c>
      <c r="W667" s="33"/>
      <c r="X667" s="33"/>
      <c r="Y667" s="33"/>
      <c r="Z667" s="33"/>
    </row>
    <row r="668" spans="1:26" s="33" customFormat="1" x14ac:dyDescent="0.25">
      <c r="A668" s="277">
        <v>28092024</v>
      </c>
      <c r="B668" s="33" t="s">
        <v>930</v>
      </c>
      <c r="C668" s="306" t="s">
        <v>3932</v>
      </c>
      <c r="D668" s="548">
        <v>45563</v>
      </c>
      <c r="F668" s="306" t="s">
        <v>293</v>
      </c>
      <c r="H668" s="306" t="s">
        <v>277</v>
      </c>
      <c r="K668" s="312">
        <v>29000</v>
      </c>
      <c r="L668" s="312"/>
      <c r="T668" s="33" t="s">
        <v>3932</v>
      </c>
      <c r="U668" s="550"/>
      <c r="V668" s="550"/>
    </row>
    <row r="669" spans="1:26" s="33" customFormat="1" x14ac:dyDescent="0.25">
      <c r="A669" s="277">
        <v>29092024</v>
      </c>
      <c r="B669" s="33" t="s">
        <v>614</v>
      </c>
      <c r="C669" s="306" t="s">
        <v>13</v>
      </c>
      <c r="D669" s="548">
        <v>45564</v>
      </c>
      <c r="F669" s="306" t="s">
        <v>143</v>
      </c>
      <c r="H669" s="306" t="s">
        <v>279</v>
      </c>
      <c r="K669" s="312">
        <v>43612.800000000003</v>
      </c>
      <c r="L669" s="312"/>
      <c r="T669" s="33" t="s">
        <v>4139</v>
      </c>
      <c r="U669" s="550">
        <v>0.53749999999999998</v>
      </c>
      <c r="V669" s="550">
        <v>0.74930555555555556</v>
      </c>
    </row>
    <row r="670" spans="1:26" s="33" customFormat="1" x14ac:dyDescent="0.25">
      <c r="A670" s="277">
        <v>30092024</v>
      </c>
      <c r="B670" s="33" t="s">
        <v>875</v>
      </c>
      <c r="C670" s="306" t="s">
        <v>13</v>
      </c>
      <c r="D670" s="548">
        <v>45565</v>
      </c>
      <c r="F670" s="306" t="s">
        <v>2036</v>
      </c>
      <c r="H670" s="306" t="s">
        <v>279</v>
      </c>
      <c r="K670" s="312">
        <v>23500</v>
      </c>
      <c r="L670" s="312"/>
      <c r="T670" s="33" t="s">
        <v>4853</v>
      </c>
      <c r="U670" s="550">
        <v>0.37916666666666665</v>
      </c>
      <c r="V670" s="550">
        <v>0.53194444444444444</v>
      </c>
    </row>
    <row r="671" spans="1:26" x14ac:dyDescent="0.25">
      <c r="A671" s="95"/>
      <c r="D671" s="233"/>
      <c r="K671" s="313"/>
      <c r="L671" s="313"/>
      <c r="U671" s="360"/>
      <c r="V671" s="360"/>
    </row>
    <row r="672" spans="1:26" x14ac:dyDescent="0.25">
      <c r="A672" s="95"/>
      <c r="D672" s="233"/>
      <c r="K672" s="313"/>
      <c r="L672" s="313"/>
      <c r="O672" s="368"/>
    </row>
    <row r="673" spans="1:23 16384:16384" x14ac:dyDescent="0.25">
      <c r="A673" s="95"/>
      <c r="D673" s="233"/>
      <c r="T673" s="32">
        <f>847759.8/1.18</f>
        <v>718440.5084745764</v>
      </c>
      <c r="U673" s="360"/>
    </row>
    <row r="674" spans="1:23 16384:16384" x14ac:dyDescent="0.25">
      <c r="K674" s="672">
        <f>SUM(K589:K673)</f>
        <v>2721897.9099999992</v>
      </c>
      <c r="L674" s="672">
        <f>SUM(L589:L673)</f>
        <v>103794.79999999999</v>
      </c>
    </row>
    <row r="675" spans="1:23 16384:16384" x14ac:dyDescent="0.25">
      <c r="K675" s="313"/>
      <c r="L675" s="313"/>
    </row>
    <row r="676" spans="1:23 16384:16384" x14ac:dyDescent="0.25">
      <c r="K676" s="313"/>
      <c r="L676" s="313"/>
    </row>
    <row r="677" spans="1:23 16384:16384" x14ac:dyDescent="0.25">
      <c r="K677" s="313"/>
      <c r="L677" s="313"/>
    </row>
    <row r="678" spans="1:23 16384:16384" x14ac:dyDescent="0.25">
      <c r="K678" s="313"/>
      <c r="L678" s="313"/>
    </row>
    <row r="679" spans="1:23 16384:16384" x14ac:dyDescent="0.25">
      <c r="L679" s="61"/>
    </row>
    <row r="680" spans="1:23 16384:16384" s="5" customFormat="1" x14ac:dyDescent="0.25">
      <c r="A680" s="495" t="s">
        <v>4864</v>
      </c>
      <c r="B680" s="5" t="s">
        <v>582</v>
      </c>
      <c r="C680" s="127" t="s">
        <v>13</v>
      </c>
      <c r="D680" s="494">
        <v>45566</v>
      </c>
      <c r="F680" s="127" t="s">
        <v>545</v>
      </c>
      <c r="H680" s="127" t="s">
        <v>279</v>
      </c>
      <c r="K680" s="296">
        <v>35000</v>
      </c>
      <c r="L680" s="296"/>
      <c r="T680" s="5" t="s">
        <v>4365</v>
      </c>
      <c r="U680" s="496">
        <v>0.25972222222222224</v>
      </c>
      <c r="V680" s="496">
        <v>0.44166666666666665</v>
      </c>
      <c r="XFD680" s="138">
        <f>SUM(K680:XFC680)</f>
        <v>35000.701388888891</v>
      </c>
    </row>
    <row r="681" spans="1:23 16384:16384" s="504" customFormat="1" x14ac:dyDescent="0.25">
      <c r="A681" s="497" t="s">
        <v>4864</v>
      </c>
      <c r="B681" s="504" t="s">
        <v>4866</v>
      </c>
      <c r="C681" s="498" t="s">
        <v>4218</v>
      </c>
      <c r="D681" s="499">
        <v>45566</v>
      </c>
      <c r="F681" s="498" t="s">
        <v>4865</v>
      </c>
      <c r="H681" s="498" t="s">
        <v>277</v>
      </c>
      <c r="K681" s="505"/>
      <c r="L681" s="505">
        <v>13192</v>
      </c>
      <c r="T681" s="504" t="s">
        <v>4550</v>
      </c>
      <c r="U681" s="502">
        <v>0.47847222222222224</v>
      </c>
      <c r="W681" s="671"/>
    </row>
    <row r="682" spans="1:23 16384:16384" s="504" customFormat="1" x14ac:dyDescent="0.25">
      <c r="A682" s="497" t="s">
        <v>4864</v>
      </c>
      <c r="B682" s="504" t="s">
        <v>3880</v>
      </c>
      <c r="C682" s="498" t="s">
        <v>410</v>
      </c>
      <c r="D682" s="499">
        <v>45566</v>
      </c>
      <c r="F682" s="498" t="s">
        <v>545</v>
      </c>
      <c r="H682" s="498" t="s">
        <v>279</v>
      </c>
      <c r="K682" s="505">
        <v>32284.400000000001</v>
      </c>
      <c r="L682" s="505"/>
      <c r="T682" s="504" t="s">
        <v>4867</v>
      </c>
      <c r="U682" s="502">
        <v>0.71736111111111112</v>
      </c>
      <c r="V682" s="502">
        <v>0.8979166666666667</v>
      </c>
    </row>
    <row r="683" spans="1:23 16384:16384" s="504" customFormat="1" x14ac:dyDescent="0.25">
      <c r="A683" s="497" t="s">
        <v>4864</v>
      </c>
      <c r="B683" s="504" t="s">
        <v>1720</v>
      </c>
      <c r="C683" s="498" t="s">
        <v>4218</v>
      </c>
      <c r="D683" s="499">
        <v>45566</v>
      </c>
      <c r="F683" s="498" t="s">
        <v>545</v>
      </c>
      <c r="H683" s="498" t="s">
        <v>277</v>
      </c>
      <c r="K683" s="505">
        <v>25016</v>
      </c>
      <c r="L683" s="505"/>
      <c r="T683" s="504" t="s">
        <v>4550</v>
      </c>
      <c r="U683" s="502"/>
      <c r="V683" s="502">
        <v>0.91666666666666663</v>
      </c>
    </row>
    <row r="684" spans="1:23 16384:16384" s="504" customFormat="1" x14ac:dyDescent="0.25">
      <c r="A684" s="497" t="s">
        <v>4868</v>
      </c>
      <c r="B684" s="504" t="s">
        <v>614</v>
      </c>
      <c r="C684" s="498" t="s">
        <v>410</v>
      </c>
      <c r="D684" s="499">
        <v>45567</v>
      </c>
      <c r="F684" s="498" t="s">
        <v>113</v>
      </c>
      <c r="H684" s="498" t="s">
        <v>279</v>
      </c>
      <c r="K684" s="505">
        <v>44651.199999999997</v>
      </c>
      <c r="L684" s="505"/>
      <c r="T684" s="504" t="s">
        <v>2050</v>
      </c>
      <c r="U684" s="502">
        <v>0.37847222222222221</v>
      </c>
      <c r="V684" s="502">
        <v>0.5625</v>
      </c>
    </row>
    <row r="685" spans="1:23 16384:16384" s="504" customFormat="1" x14ac:dyDescent="0.25">
      <c r="A685" s="497" t="s">
        <v>4868</v>
      </c>
      <c r="B685" s="504" t="s">
        <v>1720</v>
      </c>
      <c r="C685" s="498" t="s">
        <v>13</v>
      </c>
      <c r="D685" s="499">
        <v>45567</v>
      </c>
      <c r="F685" s="498" t="s">
        <v>545</v>
      </c>
      <c r="H685" s="498" t="s">
        <v>277</v>
      </c>
      <c r="K685" s="505">
        <v>25016</v>
      </c>
      <c r="L685" s="505"/>
      <c r="T685" s="504" t="s">
        <v>4550</v>
      </c>
      <c r="U685" s="502">
        <v>0.42569444444444443</v>
      </c>
      <c r="V685" s="502">
        <v>0.54583333333333328</v>
      </c>
    </row>
    <row r="686" spans="1:23 16384:16384" s="504" customFormat="1" x14ac:dyDescent="0.25">
      <c r="A686" s="497" t="s">
        <v>4868</v>
      </c>
      <c r="B686" s="504" t="s">
        <v>1335</v>
      </c>
      <c r="C686" s="498" t="s">
        <v>410</v>
      </c>
      <c r="D686" s="499">
        <v>45567</v>
      </c>
      <c r="F686" s="498" t="s">
        <v>236</v>
      </c>
      <c r="H686" s="498" t="s">
        <v>279</v>
      </c>
      <c r="K686" s="505">
        <v>62540</v>
      </c>
      <c r="L686" s="505"/>
      <c r="M686" s="5"/>
      <c r="N686" s="5"/>
      <c r="O686" s="5"/>
      <c r="T686" s="504" t="s">
        <v>4867</v>
      </c>
      <c r="U686" s="502">
        <v>0.72222222222222221</v>
      </c>
      <c r="V686" s="502">
        <v>1.6666666666666666E-2</v>
      </c>
    </row>
    <row r="687" spans="1:23 16384:16384" s="504" customFormat="1" x14ac:dyDescent="0.25">
      <c r="A687" s="497" t="s">
        <v>4869</v>
      </c>
      <c r="B687" s="504" t="s">
        <v>1055</v>
      </c>
      <c r="C687" s="498" t="s">
        <v>410</v>
      </c>
      <c r="D687" s="499">
        <v>45568</v>
      </c>
      <c r="F687" s="498" t="s">
        <v>294</v>
      </c>
      <c r="H687" s="498" t="s">
        <v>279</v>
      </c>
      <c r="K687" s="505">
        <v>35880</v>
      </c>
      <c r="L687" s="505"/>
      <c r="T687" s="504" t="s">
        <v>4550</v>
      </c>
      <c r="U687" s="502">
        <v>0.5083333333333333</v>
      </c>
      <c r="V687" s="502">
        <v>0.6791666666666667</v>
      </c>
    </row>
    <row r="688" spans="1:23 16384:16384" s="504" customFormat="1" x14ac:dyDescent="0.25">
      <c r="A688" s="497" t="s">
        <v>4869</v>
      </c>
      <c r="B688" s="504" t="s">
        <v>4870</v>
      </c>
      <c r="C688" s="498" t="s">
        <v>13</v>
      </c>
      <c r="D688" s="499">
        <v>45568</v>
      </c>
      <c r="F688" s="498" t="s">
        <v>285</v>
      </c>
      <c r="H688" s="498" t="s">
        <v>279</v>
      </c>
      <c r="K688" s="505">
        <f>7110+39500</f>
        <v>46610</v>
      </c>
      <c r="L688" s="505"/>
      <c r="T688" s="504" t="s">
        <v>4365</v>
      </c>
      <c r="U688" s="502">
        <v>0.29930555555555555</v>
      </c>
      <c r="V688" s="502">
        <v>0.61458333333333337</v>
      </c>
    </row>
    <row r="689" spans="1:22" s="504" customFormat="1" x14ac:dyDescent="0.25">
      <c r="A689" s="497" t="s">
        <v>4875</v>
      </c>
      <c r="B689" s="504" t="s">
        <v>4877</v>
      </c>
      <c r="C689" s="498" t="s">
        <v>13</v>
      </c>
      <c r="D689" s="499">
        <v>45569</v>
      </c>
      <c r="F689" s="498" t="s">
        <v>1931</v>
      </c>
      <c r="H689" s="498" t="s">
        <v>279</v>
      </c>
      <c r="K689" s="505">
        <v>55224</v>
      </c>
      <c r="L689" s="505"/>
      <c r="T689" s="504" t="s">
        <v>2050</v>
      </c>
      <c r="U689" s="502">
        <v>0.31388888888888888</v>
      </c>
      <c r="V689" s="502">
        <v>0.64444444444444449</v>
      </c>
    </row>
    <row r="690" spans="1:22" s="504" customFormat="1" x14ac:dyDescent="0.25">
      <c r="A690" s="497" t="s">
        <v>4875</v>
      </c>
      <c r="B690" s="504" t="s">
        <v>875</v>
      </c>
      <c r="C690" s="498" t="s">
        <v>410</v>
      </c>
      <c r="D690" s="499">
        <v>45569</v>
      </c>
      <c r="F690" s="498" t="s">
        <v>2036</v>
      </c>
      <c r="H690" s="498" t="s">
        <v>279</v>
      </c>
      <c r="K690" s="505">
        <v>23500</v>
      </c>
      <c r="L690" s="505"/>
      <c r="T690" s="504" t="s">
        <v>4550</v>
      </c>
      <c r="U690" s="502">
        <v>0.54583333333333328</v>
      </c>
      <c r="V690" s="502">
        <v>0.67291666666666661</v>
      </c>
    </row>
    <row r="691" spans="1:22" s="504" customFormat="1" x14ac:dyDescent="0.25">
      <c r="A691" s="497" t="s">
        <v>4882</v>
      </c>
      <c r="B691" s="504" t="s">
        <v>614</v>
      </c>
      <c r="C691" s="498" t="s">
        <v>13</v>
      </c>
      <c r="D691" s="499">
        <v>45570</v>
      </c>
      <c r="F691" s="498" t="s">
        <v>4200</v>
      </c>
      <c r="H691" s="498" t="s">
        <v>279</v>
      </c>
      <c r="K691" s="505">
        <v>39459.199999999997</v>
      </c>
      <c r="L691" s="505"/>
      <c r="T691" s="504" t="s">
        <v>4617</v>
      </c>
      <c r="U691" s="502">
        <v>0.35555555555555557</v>
      </c>
      <c r="V691" s="502">
        <v>0.63472222222222219</v>
      </c>
    </row>
    <row r="692" spans="1:22" s="504" customFormat="1" ht="14.1" customHeight="1" x14ac:dyDescent="0.25">
      <c r="A692" s="497" t="s">
        <v>4882</v>
      </c>
      <c r="B692" s="504" t="s">
        <v>1720</v>
      </c>
      <c r="C692" s="498" t="s">
        <v>13</v>
      </c>
      <c r="D692" s="499">
        <v>45570</v>
      </c>
      <c r="F692" s="498" t="s">
        <v>545</v>
      </c>
      <c r="H692" s="498" t="s">
        <v>277</v>
      </c>
      <c r="K692" s="505">
        <v>25016</v>
      </c>
      <c r="L692" s="505"/>
      <c r="T692" s="504" t="s">
        <v>4617</v>
      </c>
      <c r="U692" s="502">
        <v>0.68263888888888891</v>
      </c>
      <c r="V692" s="502">
        <v>0.80069444444444438</v>
      </c>
    </row>
    <row r="693" spans="1:22" s="504" customFormat="1" x14ac:dyDescent="0.25">
      <c r="A693" s="497" t="s">
        <v>4882</v>
      </c>
      <c r="B693" s="504" t="s">
        <v>2527</v>
      </c>
      <c r="C693" s="498" t="s">
        <v>4218</v>
      </c>
      <c r="D693" s="499">
        <v>45570</v>
      </c>
      <c r="F693" s="498" t="s">
        <v>285</v>
      </c>
      <c r="H693" s="498" t="s">
        <v>279</v>
      </c>
      <c r="K693" s="505">
        <v>45428.75</v>
      </c>
      <c r="L693" s="505"/>
      <c r="T693" s="504" t="s">
        <v>4867</v>
      </c>
      <c r="U693" s="502">
        <v>0.54513888888888895</v>
      </c>
      <c r="V693" s="502">
        <v>0.79791666666666661</v>
      </c>
    </row>
    <row r="694" spans="1:22" s="504" customFormat="1" x14ac:dyDescent="0.25">
      <c r="A694" s="497" t="s">
        <v>4883</v>
      </c>
      <c r="B694" s="504" t="s">
        <v>614</v>
      </c>
      <c r="C694" s="498" t="s">
        <v>13</v>
      </c>
      <c r="D694" s="499">
        <v>45571</v>
      </c>
      <c r="F694" s="498" t="s">
        <v>285</v>
      </c>
      <c r="H694" s="498" t="s">
        <v>279</v>
      </c>
      <c r="K694" s="505">
        <v>51920</v>
      </c>
      <c r="L694" s="505"/>
      <c r="T694" s="504" t="s">
        <v>2050</v>
      </c>
      <c r="U694" s="502">
        <v>0.28888888888888892</v>
      </c>
      <c r="V694" s="502">
        <v>0.53333333333333333</v>
      </c>
    </row>
    <row r="695" spans="1:22" s="504" customFormat="1" x14ac:dyDescent="0.25">
      <c r="A695" s="497" t="s">
        <v>4884</v>
      </c>
      <c r="B695" s="504" t="s">
        <v>930</v>
      </c>
      <c r="C695" s="498" t="s">
        <v>4218</v>
      </c>
      <c r="D695" s="499">
        <v>45572</v>
      </c>
      <c r="F695" s="498" t="s">
        <v>294</v>
      </c>
      <c r="H695" s="498" t="s">
        <v>279</v>
      </c>
      <c r="K695" s="505">
        <v>33182</v>
      </c>
      <c r="L695" s="505"/>
      <c r="T695" s="504" t="s">
        <v>4139</v>
      </c>
      <c r="U695" s="502">
        <v>0.33194444444444443</v>
      </c>
      <c r="V695" s="502">
        <v>0.52430555555555558</v>
      </c>
    </row>
    <row r="696" spans="1:22" s="504" customFormat="1" x14ac:dyDescent="0.25">
      <c r="A696" s="497" t="s">
        <v>4903</v>
      </c>
      <c r="B696" s="504" t="s">
        <v>610</v>
      </c>
      <c r="C696" s="498" t="s">
        <v>4218</v>
      </c>
      <c r="D696" s="499">
        <v>45573</v>
      </c>
      <c r="F696" s="498" t="s">
        <v>106</v>
      </c>
      <c r="H696" s="498" t="s">
        <v>279</v>
      </c>
      <c r="K696" s="505">
        <v>29770</v>
      </c>
      <c r="L696" s="505"/>
      <c r="T696" s="504" t="s">
        <v>4867</v>
      </c>
      <c r="U696" s="502">
        <v>0.25972222222222224</v>
      </c>
      <c r="V696" s="502">
        <v>0.41388888888888886</v>
      </c>
    </row>
    <row r="697" spans="1:22" s="504" customFormat="1" x14ac:dyDescent="0.25">
      <c r="A697" s="497" t="s">
        <v>4903</v>
      </c>
      <c r="B697" s="504" t="s">
        <v>1335</v>
      </c>
      <c r="C697" s="498" t="s">
        <v>13</v>
      </c>
      <c r="D697" s="499">
        <v>45573</v>
      </c>
      <c r="F697" s="498" t="s">
        <v>236</v>
      </c>
      <c r="H697" s="498" t="s">
        <v>279</v>
      </c>
      <c r="K697" s="505">
        <v>62540</v>
      </c>
      <c r="L697" s="505"/>
      <c r="T697" s="504" t="s">
        <v>4365</v>
      </c>
      <c r="U697" s="502">
        <v>0.71805555555555556</v>
      </c>
      <c r="V697" s="502">
        <v>0</v>
      </c>
    </row>
    <row r="698" spans="1:22" s="504" customFormat="1" x14ac:dyDescent="0.25">
      <c r="A698" s="497" t="s">
        <v>4902</v>
      </c>
      <c r="B698" s="504" t="s">
        <v>3880</v>
      </c>
      <c r="C698" s="498" t="s">
        <v>4218</v>
      </c>
      <c r="D698" s="499">
        <v>45574</v>
      </c>
      <c r="F698" s="498" t="s">
        <v>545</v>
      </c>
      <c r="H698" s="498" t="s">
        <v>279</v>
      </c>
      <c r="K698" s="505">
        <v>32284.400000000001</v>
      </c>
      <c r="L698" s="505"/>
      <c r="T698" s="504" t="s">
        <v>4277</v>
      </c>
      <c r="U698" s="502">
        <v>0.55625000000000002</v>
      </c>
      <c r="V698" s="502">
        <v>0.72361111111111109</v>
      </c>
    </row>
    <row r="699" spans="1:22" s="33" customFormat="1" x14ac:dyDescent="0.25">
      <c r="A699" s="547" t="s">
        <v>4902</v>
      </c>
      <c r="B699" s="33" t="s">
        <v>875</v>
      </c>
      <c r="C699" s="306" t="s">
        <v>13</v>
      </c>
      <c r="D699" s="548">
        <v>45574</v>
      </c>
      <c r="F699" s="306" t="s">
        <v>2036</v>
      </c>
      <c r="H699" s="306" t="s">
        <v>279</v>
      </c>
      <c r="K699" s="312">
        <v>23500</v>
      </c>
      <c r="L699" s="312"/>
      <c r="T699" s="33" t="s">
        <v>4139</v>
      </c>
      <c r="U699" s="550">
        <v>0.64583333333333337</v>
      </c>
      <c r="V699" s="550">
        <v>0.77013888888888893</v>
      </c>
    </row>
    <row r="700" spans="1:22" s="504" customFormat="1" x14ac:dyDescent="0.25">
      <c r="A700" s="497" t="s">
        <v>4907</v>
      </c>
      <c r="B700" s="504" t="s">
        <v>1720</v>
      </c>
      <c r="C700" s="498" t="s">
        <v>13</v>
      </c>
      <c r="D700" s="499">
        <v>45575</v>
      </c>
      <c r="F700" s="498" t="s">
        <v>545</v>
      </c>
      <c r="H700" s="498" t="s">
        <v>279</v>
      </c>
      <c r="K700" s="505">
        <v>34456</v>
      </c>
      <c r="L700" s="505"/>
      <c r="T700" s="504" t="s">
        <v>4867</v>
      </c>
      <c r="U700" s="502">
        <v>0.50694444444444442</v>
      </c>
      <c r="V700" s="502">
        <v>0.71458333333333335</v>
      </c>
    </row>
    <row r="701" spans="1:22" s="16" customFormat="1" x14ac:dyDescent="0.25">
      <c r="A701" s="681" t="s">
        <v>4907</v>
      </c>
      <c r="B701" s="16" t="s">
        <v>614</v>
      </c>
      <c r="C701" s="355" t="s">
        <v>410</v>
      </c>
      <c r="D701" s="682">
        <v>45575</v>
      </c>
      <c r="F701" s="355" t="s">
        <v>236</v>
      </c>
      <c r="H701" s="355"/>
      <c r="K701" s="356"/>
      <c r="L701" s="356"/>
      <c r="T701" s="16" t="s">
        <v>4365</v>
      </c>
      <c r="U701" s="683">
        <v>0.6875</v>
      </c>
      <c r="V701" s="683"/>
    </row>
    <row r="702" spans="1:22" s="504" customFormat="1" x14ac:dyDescent="0.25">
      <c r="A702" s="497" t="s">
        <v>4907</v>
      </c>
      <c r="B702" s="504" t="s">
        <v>930</v>
      </c>
      <c r="C702" s="498" t="s">
        <v>4218</v>
      </c>
      <c r="D702" s="499">
        <v>45575</v>
      </c>
      <c r="F702" s="498" t="s">
        <v>294</v>
      </c>
      <c r="H702" s="498" t="s">
        <v>277</v>
      </c>
      <c r="K702" s="505">
        <v>24886</v>
      </c>
      <c r="L702" s="505"/>
      <c r="T702" s="504" t="s">
        <v>4867</v>
      </c>
      <c r="U702" s="502">
        <v>0.73958333333333337</v>
      </c>
      <c r="V702" s="502">
        <v>0.89166666666666672</v>
      </c>
    </row>
    <row r="703" spans="1:22" s="504" customFormat="1" ht="15.95" customHeight="1" x14ac:dyDescent="0.25">
      <c r="A703" s="497" t="s">
        <v>4908</v>
      </c>
      <c r="B703" s="504" t="s">
        <v>614</v>
      </c>
      <c r="C703" s="498" t="s">
        <v>13</v>
      </c>
      <c r="D703" s="499">
        <v>45576</v>
      </c>
      <c r="F703" s="498" t="s">
        <v>236</v>
      </c>
      <c r="H703" s="498" t="s">
        <v>279</v>
      </c>
      <c r="K703" s="505">
        <v>62304</v>
      </c>
      <c r="L703" s="505"/>
      <c r="T703" s="504" t="s">
        <v>4277</v>
      </c>
      <c r="U703" s="502">
        <v>0.23749999999999999</v>
      </c>
      <c r="V703" s="502">
        <v>0.4770833333333333</v>
      </c>
    </row>
    <row r="704" spans="1:22" s="504" customFormat="1" x14ac:dyDescent="0.25">
      <c r="A704" s="497" t="s">
        <v>4908</v>
      </c>
      <c r="B704" s="504" t="s">
        <v>2754</v>
      </c>
      <c r="C704" s="498" t="s">
        <v>4218</v>
      </c>
      <c r="D704" s="499">
        <v>45576</v>
      </c>
      <c r="F704" s="498" t="s">
        <v>143</v>
      </c>
      <c r="H704" s="498" t="s">
        <v>279</v>
      </c>
      <c r="K704" s="505">
        <v>37170</v>
      </c>
      <c r="L704" s="505"/>
      <c r="T704" s="504" t="s">
        <v>4550</v>
      </c>
      <c r="U704" s="502">
        <v>0.50694444444444442</v>
      </c>
      <c r="V704" s="502">
        <v>0.69097222222222221</v>
      </c>
    </row>
    <row r="705" spans="1:23" s="504" customFormat="1" x14ac:dyDescent="0.25">
      <c r="A705" s="497" t="s">
        <v>4908</v>
      </c>
      <c r="B705" s="504" t="s">
        <v>930</v>
      </c>
      <c r="C705" s="498" t="s">
        <v>13</v>
      </c>
      <c r="D705" s="499">
        <v>45576</v>
      </c>
      <c r="F705" s="498" t="s">
        <v>294</v>
      </c>
      <c r="H705" s="498" t="s">
        <v>279</v>
      </c>
      <c r="K705" s="505">
        <v>33182</v>
      </c>
      <c r="L705" s="505"/>
      <c r="T705" s="504" t="s">
        <v>4867</v>
      </c>
      <c r="U705" s="502">
        <v>0.29236111111111113</v>
      </c>
      <c r="V705" s="502">
        <v>0.97291666666666676</v>
      </c>
    </row>
    <row r="706" spans="1:23" s="504" customFormat="1" x14ac:dyDescent="0.25">
      <c r="A706" s="497" t="s">
        <v>4910</v>
      </c>
      <c r="B706" s="504" t="s">
        <v>4918</v>
      </c>
      <c r="C706" s="498" t="s">
        <v>410</v>
      </c>
      <c r="D706" s="499">
        <v>45577</v>
      </c>
      <c r="F706" s="498" t="s">
        <v>285</v>
      </c>
      <c r="H706" s="498" t="s">
        <v>279</v>
      </c>
      <c r="K706" s="505">
        <v>45428.75</v>
      </c>
      <c r="L706" s="505"/>
      <c r="T706" s="504" t="s">
        <v>4550</v>
      </c>
      <c r="U706" s="502">
        <v>0.29444444444444445</v>
      </c>
      <c r="V706" s="502">
        <v>0.54166666666666663</v>
      </c>
    </row>
    <row r="707" spans="1:23" s="504" customFormat="1" x14ac:dyDescent="0.25">
      <c r="A707" s="497" t="s">
        <v>4910</v>
      </c>
      <c r="B707" s="504" t="s">
        <v>607</v>
      </c>
      <c r="C707" s="498" t="s">
        <v>13</v>
      </c>
      <c r="D707" s="499">
        <v>45577</v>
      </c>
      <c r="F707" s="498" t="s">
        <v>207</v>
      </c>
      <c r="H707" s="498" t="s">
        <v>279</v>
      </c>
      <c r="K707" s="505">
        <v>36253.14</v>
      </c>
      <c r="L707" s="505"/>
      <c r="T707" s="504" t="s">
        <v>4617</v>
      </c>
      <c r="U707" s="502">
        <v>0.33333333333333331</v>
      </c>
      <c r="V707" s="502">
        <v>0.53402777777777777</v>
      </c>
    </row>
    <row r="708" spans="1:23" s="33" customFormat="1" x14ac:dyDescent="0.25">
      <c r="A708" s="547" t="s">
        <v>4910</v>
      </c>
      <c r="B708" s="33" t="s">
        <v>875</v>
      </c>
      <c r="C708" s="306" t="s">
        <v>4218</v>
      </c>
      <c r="D708" s="548">
        <v>45577</v>
      </c>
      <c r="F708" s="306" t="s">
        <v>2036</v>
      </c>
      <c r="H708" s="306" t="s">
        <v>279</v>
      </c>
      <c r="K708" s="312">
        <v>23500</v>
      </c>
      <c r="L708" s="312"/>
      <c r="T708" s="33" t="s">
        <v>4911</v>
      </c>
      <c r="U708" s="550">
        <v>0.32500000000000001</v>
      </c>
      <c r="V708" s="550">
        <v>0.4777777777777778</v>
      </c>
    </row>
    <row r="709" spans="1:23" s="120" customFormat="1" x14ac:dyDescent="0.25">
      <c r="A709" s="595" t="s">
        <v>4910</v>
      </c>
      <c r="B709" s="120" t="s">
        <v>3238</v>
      </c>
      <c r="C709" s="334" t="s">
        <v>4218</v>
      </c>
      <c r="D709" s="427">
        <v>45577</v>
      </c>
      <c r="F709" s="334" t="s">
        <v>861</v>
      </c>
      <c r="H709" s="334" t="s">
        <v>279</v>
      </c>
      <c r="K709" s="335"/>
      <c r="L709" s="335">
        <f>7410*1.18</f>
        <v>8743.7999999999993</v>
      </c>
      <c r="T709" s="120" t="s">
        <v>4911</v>
      </c>
      <c r="U709" s="597">
        <v>0.54652777777777783</v>
      </c>
      <c r="V709" s="597">
        <v>0.73541666666666661</v>
      </c>
    </row>
    <row r="710" spans="1:23" s="504" customFormat="1" x14ac:dyDescent="0.25">
      <c r="A710" s="497" t="s">
        <v>4910</v>
      </c>
      <c r="B710" s="504" t="s">
        <v>614</v>
      </c>
      <c r="C710" s="498" t="s">
        <v>13</v>
      </c>
      <c r="D710" s="499">
        <v>45577</v>
      </c>
      <c r="F710" s="498" t="s">
        <v>113</v>
      </c>
      <c r="H710" s="498" t="s">
        <v>279</v>
      </c>
      <c r="K710" s="505">
        <v>44651.199999999997</v>
      </c>
      <c r="L710" s="505"/>
      <c r="T710" s="504" t="s">
        <v>4617</v>
      </c>
      <c r="U710" s="502">
        <v>0.58750000000000002</v>
      </c>
      <c r="V710" s="502">
        <v>0.78541666666666676</v>
      </c>
    </row>
    <row r="711" spans="1:23" s="504" customFormat="1" x14ac:dyDescent="0.25">
      <c r="A711" s="497" t="s">
        <v>4910</v>
      </c>
      <c r="B711" s="504" t="s">
        <v>1720</v>
      </c>
      <c r="C711" s="498" t="s">
        <v>410</v>
      </c>
      <c r="D711" s="499">
        <v>45577</v>
      </c>
      <c r="F711" s="498" t="s">
        <v>545</v>
      </c>
      <c r="H711" s="498" t="s">
        <v>279</v>
      </c>
      <c r="K711" s="505">
        <v>34456</v>
      </c>
      <c r="L711" s="505"/>
      <c r="T711" s="504" t="s">
        <v>4853</v>
      </c>
      <c r="U711" s="502">
        <v>0.7284722222222223</v>
      </c>
      <c r="V711" s="502">
        <v>0.93680555555555556</v>
      </c>
    </row>
    <row r="712" spans="1:23" s="504" customFormat="1" x14ac:dyDescent="0.25">
      <c r="A712" s="497" t="s">
        <v>4912</v>
      </c>
      <c r="B712" s="504" t="s">
        <v>614</v>
      </c>
      <c r="C712" s="498" t="s">
        <v>13</v>
      </c>
      <c r="D712" s="499">
        <v>45578</v>
      </c>
      <c r="F712" s="498" t="s">
        <v>106</v>
      </c>
      <c r="H712" s="498" t="s">
        <v>279</v>
      </c>
      <c r="K712" s="505">
        <v>31152</v>
      </c>
      <c r="L712" s="505"/>
      <c r="T712" s="671" t="s">
        <v>4550</v>
      </c>
      <c r="U712" s="502">
        <v>0.25</v>
      </c>
      <c r="V712" s="502">
        <v>0.40416666666666662</v>
      </c>
    </row>
    <row r="713" spans="1:23" s="504" customFormat="1" x14ac:dyDescent="0.25">
      <c r="A713" s="497" t="s">
        <v>4912</v>
      </c>
      <c r="B713" s="504" t="s">
        <v>4834</v>
      </c>
      <c r="C713" s="498" t="s">
        <v>4218</v>
      </c>
      <c r="D713" s="499">
        <v>45578</v>
      </c>
      <c r="F713" s="498" t="s">
        <v>207</v>
      </c>
      <c r="H713" s="498" t="s">
        <v>279</v>
      </c>
      <c r="K713" s="505"/>
      <c r="L713" s="505">
        <v>9440</v>
      </c>
      <c r="T713" s="504" t="s">
        <v>4911</v>
      </c>
      <c r="U713" s="502">
        <v>0.27777777777777779</v>
      </c>
      <c r="V713" s="502">
        <v>0.47361111111111115</v>
      </c>
      <c r="W713" s="506">
        <f>+L709/1.18</f>
        <v>7410</v>
      </c>
    </row>
    <row r="714" spans="1:23" s="504" customFormat="1" x14ac:dyDescent="0.25">
      <c r="A714" s="497" t="s">
        <v>4912</v>
      </c>
      <c r="B714" s="504" t="s">
        <v>608</v>
      </c>
      <c r="C714" s="498" t="s">
        <v>410</v>
      </c>
      <c r="D714" s="499">
        <v>45578</v>
      </c>
      <c r="F714" s="498" t="s">
        <v>236</v>
      </c>
      <c r="H714" s="498" t="s">
        <v>277</v>
      </c>
      <c r="K714" s="505">
        <v>49173</v>
      </c>
      <c r="L714" s="505"/>
      <c r="T714" s="504" t="s">
        <v>4365</v>
      </c>
      <c r="U714" s="502">
        <v>0.37916666666666665</v>
      </c>
      <c r="V714" s="502">
        <v>0.65416666666666667</v>
      </c>
    </row>
    <row r="715" spans="1:23" s="504" customFormat="1" x14ac:dyDescent="0.25">
      <c r="A715" s="497" t="s">
        <v>4912</v>
      </c>
      <c r="B715" s="504" t="s">
        <v>614</v>
      </c>
      <c r="C715" s="498" t="s">
        <v>13</v>
      </c>
      <c r="D715" s="499">
        <v>45578</v>
      </c>
      <c r="F715" s="501" t="s">
        <v>545</v>
      </c>
      <c r="H715" s="498" t="s">
        <v>279</v>
      </c>
      <c r="K715" s="505">
        <v>37382.400000000001</v>
      </c>
      <c r="L715" s="505"/>
      <c r="T715" s="504" t="s">
        <v>4853</v>
      </c>
      <c r="U715" s="502">
        <v>0.71736111111111101</v>
      </c>
      <c r="V715" s="502">
        <v>0.88680555555555562</v>
      </c>
    </row>
    <row r="716" spans="1:23" s="504" customFormat="1" x14ac:dyDescent="0.25">
      <c r="A716" s="497" t="s">
        <v>4913</v>
      </c>
      <c r="B716" s="504" t="s">
        <v>614</v>
      </c>
      <c r="C716" s="498" t="s">
        <v>410</v>
      </c>
      <c r="D716" s="499">
        <v>45579</v>
      </c>
      <c r="F716" s="501" t="s">
        <v>545</v>
      </c>
      <c r="H716" s="498" t="s">
        <v>279</v>
      </c>
      <c r="K716" s="505">
        <v>37382.400000000001</v>
      </c>
      <c r="L716" s="505"/>
      <c r="T716" s="504" t="s">
        <v>4365</v>
      </c>
      <c r="U716" s="502">
        <v>0.28541666666666665</v>
      </c>
      <c r="V716" s="502">
        <v>0.45763888888888887</v>
      </c>
    </row>
    <row r="717" spans="1:23" s="504" customFormat="1" x14ac:dyDescent="0.25">
      <c r="A717" s="497" t="s">
        <v>4913</v>
      </c>
      <c r="B717" s="504" t="s">
        <v>608</v>
      </c>
      <c r="C717" s="498" t="s">
        <v>410</v>
      </c>
      <c r="D717" s="499">
        <v>45579</v>
      </c>
      <c r="F717" s="501" t="s">
        <v>236</v>
      </c>
      <c r="H717" s="498" t="s">
        <v>279</v>
      </c>
      <c r="K717" s="505">
        <v>58231</v>
      </c>
      <c r="L717" s="505"/>
      <c r="T717" s="504" t="s">
        <v>4940</v>
      </c>
      <c r="U717" s="502">
        <v>0.72013888888888899</v>
      </c>
      <c r="V717" s="502">
        <v>1.5277777777777777E-2</v>
      </c>
    </row>
    <row r="718" spans="1:23" s="33" customFormat="1" x14ac:dyDescent="0.25">
      <c r="A718" s="547" t="s">
        <v>4941</v>
      </c>
      <c r="B718" s="33" t="s">
        <v>875</v>
      </c>
      <c r="C718" s="306" t="s">
        <v>410</v>
      </c>
      <c r="D718" s="548">
        <v>45580</v>
      </c>
      <c r="F718" s="752" t="s">
        <v>2036</v>
      </c>
      <c r="H718" s="306" t="s">
        <v>279</v>
      </c>
      <c r="K718" s="312">
        <v>23500</v>
      </c>
      <c r="L718" s="312"/>
      <c r="T718" s="33" t="s">
        <v>4911</v>
      </c>
      <c r="U718" s="550">
        <v>0.52847222222222223</v>
      </c>
      <c r="V718" s="550">
        <v>0.6645833333333333</v>
      </c>
    </row>
    <row r="719" spans="1:23" s="504" customFormat="1" x14ac:dyDescent="0.25">
      <c r="A719" s="497" t="s">
        <v>4941</v>
      </c>
      <c r="B719" s="504" t="s">
        <v>614</v>
      </c>
      <c r="C719" s="498" t="s">
        <v>4218</v>
      </c>
      <c r="D719" s="499">
        <v>45580</v>
      </c>
      <c r="F719" s="501" t="s">
        <v>2253</v>
      </c>
      <c r="H719" s="498" t="s">
        <v>279</v>
      </c>
      <c r="K719" s="505">
        <v>62304</v>
      </c>
      <c r="L719" s="505"/>
      <c r="T719" s="504" t="s">
        <v>4097</v>
      </c>
      <c r="U719" s="502">
        <v>0.42222222222222222</v>
      </c>
      <c r="V719" s="502">
        <v>0.71388888888888891</v>
      </c>
    </row>
    <row r="720" spans="1:23" s="33" customFormat="1" x14ac:dyDescent="0.25">
      <c r="A720" s="547" t="s">
        <v>4959</v>
      </c>
      <c r="B720" s="33" t="s">
        <v>1335</v>
      </c>
      <c r="C720" s="306" t="s">
        <v>410</v>
      </c>
      <c r="D720" s="548">
        <v>45581</v>
      </c>
      <c r="F720" s="752" t="s">
        <v>236</v>
      </c>
      <c r="H720" s="306" t="s">
        <v>279</v>
      </c>
      <c r="K720" s="312">
        <v>62540</v>
      </c>
      <c r="L720" s="312"/>
      <c r="T720" s="33" t="s">
        <v>4396</v>
      </c>
      <c r="U720" s="550">
        <v>0.26250000000000001</v>
      </c>
      <c r="V720" s="550">
        <v>0.5493055555555556</v>
      </c>
    </row>
    <row r="721" spans="1:22" s="504" customFormat="1" x14ac:dyDescent="0.25">
      <c r="A721" s="497" t="s">
        <v>4959</v>
      </c>
      <c r="B721" s="504" t="s">
        <v>4960</v>
      </c>
      <c r="C721" s="498" t="s">
        <v>4218</v>
      </c>
      <c r="D721" s="499">
        <v>45581</v>
      </c>
      <c r="F721" s="498" t="s">
        <v>2437</v>
      </c>
      <c r="H721" s="498" t="s">
        <v>279</v>
      </c>
      <c r="K721" s="505">
        <v>25110</v>
      </c>
      <c r="L721" s="505"/>
      <c r="T721" s="504" t="s">
        <v>4867</v>
      </c>
      <c r="U721" s="502">
        <v>0.39097222222222222</v>
      </c>
      <c r="V721" s="502">
        <v>0.62152777777777779</v>
      </c>
    </row>
    <row r="722" spans="1:22" s="504" customFormat="1" x14ac:dyDescent="0.25">
      <c r="A722" s="497" t="s">
        <v>4959</v>
      </c>
      <c r="B722" s="504" t="s">
        <v>3880</v>
      </c>
      <c r="C722" s="498" t="s">
        <v>410</v>
      </c>
      <c r="D722" s="499">
        <v>45581</v>
      </c>
      <c r="F722" s="498" t="s">
        <v>545</v>
      </c>
      <c r="H722" s="498" t="s">
        <v>279</v>
      </c>
      <c r="K722" s="505">
        <v>32284.400000000001</v>
      </c>
      <c r="L722" s="505"/>
      <c r="T722" s="504" t="s">
        <v>4867</v>
      </c>
      <c r="U722" s="502">
        <v>0.6777777777777777</v>
      </c>
      <c r="V722" s="502">
        <v>0.8534722222222223</v>
      </c>
    </row>
    <row r="723" spans="1:22" s="504" customFormat="1" x14ac:dyDescent="0.25">
      <c r="A723" s="497" t="s">
        <v>4978</v>
      </c>
      <c r="B723" s="504" t="s">
        <v>4193</v>
      </c>
      <c r="C723" s="498" t="s">
        <v>13</v>
      </c>
      <c r="D723" s="499">
        <v>45582</v>
      </c>
      <c r="F723" s="498" t="s">
        <v>285</v>
      </c>
      <c r="H723" s="498" t="s">
        <v>279</v>
      </c>
      <c r="K723" s="505">
        <v>44840</v>
      </c>
      <c r="L723" s="505"/>
      <c r="T723" s="504" t="s">
        <v>4617</v>
      </c>
      <c r="U723" s="502">
        <v>0.42083333333333334</v>
      </c>
      <c r="V723" s="502">
        <v>0.65555555555555556</v>
      </c>
    </row>
    <row r="724" spans="1:22" s="504" customFormat="1" x14ac:dyDescent="0.25">
      <c r="A724" s="497" t="s">
        <v>4980</v>
      </c>
      <c r="B724" s="504" t="s">
        <v>4877</v>
      </c>
      <c r="C724" s="498" t="s">
        <v>13</v>
      </c>
      <c r="D724" s="499">
        <v>45583</v>
      </c>
      <c r="F724" s="498" t="s">
        <v>1931</v>
      </c>
      <c r="H724" s="498" t="s">
        <v>279</v>
      </c>
      <c r="K724" s="505">
        <v>55224</v>
      </c>
      <c r="L724" s="505"/>
      <c r="T724" s="504" t="s">
        <v>4911</v>
      </c>
      <c r="U724" s="502">
        <v>0.2951388888888889</v>
      </c>
      <c r="V724" s="502">
        <v>0.60416666666666663</v>
      </c>
    </row>
    <row r="725" spans="1:22" s="504" customFormat="1" x14ac:dyDescent="0.25">
      <c r="A725" s="497" t="s">
        <v>4980</v>
      </c>
      <c r="B725" s="504" t="s">
        <v>4981</v>
      </c>
      <c r="C725" s="498" t="s">
        <v>4218</v>
      </c>
      <c r="D725" s="499">
        <v>45583</v>
      </c>
      <c r="F725" s="498" t="s">
        <v>68</v>
      </c>
      <c r="H725" s="498" t="s">
        <v>279</v>
      </c>
      <c r="K725" s="505"/>
      <c r="L725" s="505">
        <v>11600</v>
      </c>
      <c r="T725" s="504" t="s">
        <v>4550</v>
      </c>
      <c r="U725" s="502">
        <v>0.54166666666666663</v>
      </c>
      <c r="V725" s="502">
        <v>0.76527777777777783</v>
      </c>
    </row>
    <row r="726" spans="1:22" s="504" customFormat="1" x14ac:dyDescent="0.25">
      <c r="A726" s="497">
        <v>19102024</v>
      </c>
      <c r="B726" s="504" t="s">
        <v>1055</v>
      </c>
      <c r="C726" s="498" t="s">
        <v>4218</v>
      </c>
      <c r="D726" s="499">
        <v>45584</v>
      </c>
      <c r="F726" s="498" t="s">
        <v>294</v>
      </c>
      <c r="H726" s="498" t="s">
        <v>279</v>
      </c>
      <c r="K726" s="505">
        <v>36820</v>
      </c>
      <c r="L726" s="505"/>
      <c r="T726" s="504" t="s">
        <v>4417</v>
      </c>
      <c r="U726" s="502">
        <v>0.40069444444444446</v>
      </c>
      <c r="V726" s="502">
        <v>0.55694444444444446</v>
      </c>
    </row>
    <row r="727" spans="1:22" s="504" customFormat="1" x14ac:dyDescent="0.25">
      <c r="A727" s="497">
        <v>19102024</v>
      </c>
      <c r="B727" s="504" t="s">
        <v>3880</v>
      </c>
      <c r="C727" s="498" t="s">
        <v>13</v>
      </c>
      <c r="D727" s="499">
        <v>45584</v>
      </c>
      <c r="F727" s="498" t="s">
        <v>545</v>
      </c>
      <c r="H727" s="498" t="s">
        <v>279</v>
      </c>
      <c r="K727" s="505">
        <v>32284.400000000001</v>
      </c>
      <c r="L727" s="505"/>
      <c r="T727" s="504" t="s">
        <v>4982</v>
      </c>
      <c r="U727" s="502">
        <v>0.39166666666666666</v>
      </c>
      <c r="V727" s="502">
        <v>0.59791666666666665</v>
      </c>
    </row>
    <row r="728" spans="1:22" s="504" customFormat="1" x14ac:dyDescent="0.25">
      <c r="A728" s="497">
        <v>21102024</v>
      </c>
      <c r="B728" s="504" t="s">
        <v>607</v>
      </c>
      <c r="C728" s="498" t="s">
        <v>4218</v>
      </c>
      <c r="D728" s="499">
        <v>45586</v>
      </c>
      <c r="F728" s="498" t="s">
        <v>207</v>
      </c>
      <c r="H728" s="498" t="s">
        <v>279</v>
      </c>
      <c r="K728" s="505">
        <v>36253.14</v>
      </c>
      <c r="L728" s="505"/>
      <c r="T728" s="504" t="s">
        <v>4071</v>
      </c>
      <c r="U728" s="502">
        <v>0.26597222222222222</v>
      </c>
      <c r="V728" s="502">
        <v>0.47152777777777777</v>
      </c>
    </row>
    <row r="729" spans="1:22" s="33" customFormat="1" x14ac:dyDescent="0.25">
      <c r="A729" s="547">
        <v>21102024</v>
      </c>
      <c r="B729" s="33" t="s">
        <v>614</v>
      </c>
      <c r="C729" s="306" t="s">
        <v>410</v>
      </c>
      <c r="D729" s="548">
        <v>45586</v>
      </c>
      <c r="F729" s="306" t="s">
        <v>872</v>
      </c>
      <c r="H729" s="306" t="s">
        <v>279</v>
      </c>
      <c r="K729" s="312">
        <v>44651.199999999997</v>
      </c>
      <c r="L729" s="312"/>
      <c r="T729" s="33" t="s">
        <v>4140</v>
      </c>
      <c r="U729" s="550">
        <v>0.33888888888888891</v>
      </c>
      <c r="V729" s="550">
        <v>0.58194444444444449</v>
      </c>
    </row>
    <row r="730" spans="1:22" s="504" customFormat="1" x14ac:dyDescent="0.25">
      <c r="A730" s="497">
        <v>21102024</v>
      </c>
      <c r="B730" s="504" t="s">
        <v>608</v>
      </c>
      <c r="C730" s="498" t="s">
        <v>4218</v>
      </c>
      <c r="D730" s="499">
        <v>45586</v>
      </c>
      <c r="F730" s="498" t="s">
        <v>236</v>
      </c>
      <c r="H730" s="498" t="s">
        <v>279</v>
      </c>
      <c r="K730" s="505">
        <v>58231</v>
      </c>
      <c r="L730" s="505"/>
      <c r="T730" s="504" t="s">
        <v>4417</v>
      </c>
      <c r="U730" s="502">
        <v>0.6479166666666667</v>
      </c>
      <c r="V730" s="502">
        <v>0.92777777777777781</v>
      </c>
    </row>
    <row r="731" spans="1:22" s="504" customFormat="1" x14ac:dyDescent="0.25">
      <c r="A731" s="497">
        <v>22102024</v>
      </c>
      <c r="B731" s="504" t="s">
        <v>4877</v>
      </c>
      <c r="C731" s="498" t="s">
        <v>4218</v>
      </c>
      <c r="D731" s="499">
        <v>45587</v>
      </c>
      <c r="F731" s="498" t="s">
        <v>1931</v>
      </c>
      <c r="H731" s="498" t="s">
        <v>279</v>
      </c>
      <c r="K731" s="505">
        <v>55224</v>
      </c>
      <c r="L731" s="505"/>
      <c r="T731" s="504" t="s">
        <v>4097</v>
      </c>
      <c r="U731" s="502">
        <v>0.29375000000000001</v>
      </c>
      <c r="V731" s="502">
        <v>0.61944444444444446</v>
      </c>
    </row>
    <row r="732" spans="1:22" s="504" customFormat="1" x14ac:dyDescent="0.25">
      <c r="A732" s="497">
        <v>22102024</v>
      </c>
      <c r="B732" s="504" t="s">
        <v>4877</v>
      </c>
      <c r="C732" s="498" t="s">
        <v>410</v>
      </c>
      <c r="D732" s="499">
        <v>45587</v>
      </c>
      <c r="F732" s="498" t="s">
        <v>1931</v>
      </c>
      <c r="H732" s="498" t="s">
        <v>279</v>
      </c>
      <c r="K732" s="505">
        <v>55224</v>
      </c>
      <c r="L732" s="505"/>
      <c r="T732" s="504" t="s">
        <v>4853</v>
      </c>
      <c r="U732" s="502">
        <v>0.29791666666666666</v>
      </c>
      <c r="V732" s="502">
        <v>0.62638888888888888</v>
      </c>
    </row>
    <row r="733" spans="1:22" s="33" customFormat="1" x14ac:dyDescent="0.25">
      <c r="A733" s="547">
        <v>22102024</v>
      </c>
      <c r="B733" s="33" t="s">
        <v>2497</v>
      </c>
      <c r="C733" s="306" t="s">
        <v>4218</v>
      </c>
      <c r="D733" s="548">
        <v>45587</v>
      </c>
      <c r="F733" s="306" t="s">
        <v>143</v>
      </c>
      <c r="H733" s="306" t="s">
        <v>279</v>
      </c>
      <c r="K733" s="312">
        <v>36750</v>
      </c>
      <c r="L733" s="312"/>
      <c r="T733" s="33" t="s">
        <v>4140</v>
      </c>
      <c r="U733" s="550">
        <v>0.80625000000000002</v>
      </c>
      <c r="V733" s="550">
        <v>1.8749999999999999E-2</v>
      </c>
    </row>
    <row r="734" spans="1:22" s="33" customFormat="1" x14ac:dyDescent="0.25">
      <c r="A734" s="547">
        <v>23102024</v>
      </c>
      <c r="B734" s="33" t="s">
        <v>875</v>
      </c>
      <c r="C734" s="306" t="s">
        <v>410</v>
      </c>
      <c r="D734" s="548">
        <v>45588</v>
      </c>
      <c r="F734" s="306" t="s">
        <v>2036</v>
      </c>
      <c r="H734" s="306" t="s">
        <v>279</v>
      </c>
      <c r="K734" s="312">
        <v>23500</v>
      </c>
      <c r="L734" s="312"/>
      <c r="T734" s="33" t="s">
        <v>4365</v>
      </c>
      <c r="U734" s="550">
        <v>0.38958333333333334</v>
      </c>
      <c r="V734" s="550">
        <v>0.51666666666666672</v>
      </c>
    </row>
    <row r="735" spans="1:22" s="504" customFormat="1" x14ac:dyDescent="0.25">
      <c r="A735" s="497">
        <v>23102024</v>
      </c>
      <c r="B735" s="504" t="s">
        <v>610</v>
      </c>
      <c r="C735" s="498" t="s">
        <v>13</v>
      </c>
      <c r="D735" s="499">
        <v>45588</v>
      </c>
      <c r="F735" s="498" t="s">
        <v>106</v>
      </c>
      <c r="H735" s="498" t="s">
        <v>279</v>
      </c>
      <c r="K735" s="505">
        <v>29770</v>
      </c>
      <c r="L735" s="505"/>
      <c r="T735" s="504" t="s">
        <v>4071</v>
      </c>
      <c r="U735" s="502">
        <v>0.39930555555555558</v>
      </c>
      <c r="V735" s="502">
        <v>0.5493055555555556</v>
      </c>
    </row>
    <row r="736" spans="1:22" s="504" customFormat="1" x14ac:dyDescent="0.25">
      <c r="A736" s="497">
        <v>23102024</v>
      </c>
      <c r="B736" s="504" t="s">
        <v>4834</v>
      </c>
      <c r="C736" s="498" t="s">
        <v>13</v>
      </c>
      <c r="D736" s="499">
        <v>45588</v>
      </c>
      <c r="F736" s="498" t="s">
        <v>207</v>
      </c>
      <c r="H736" s="498" t="s">
        <v>279</v>
      </c>
      <c r="K736" s="505"/>
      <c r="L736" s="505">
        <v>9440</v>
      </c>
      <c r="T736" s="504" t="s">
        <v>4365</v>
      </c>
      <c r="U736" s="502">
        <v>0.60486111111111118</v>
      </c>
      <c r="V736" s="502">
        <v>0.78333333333333333</v>
      </c>
    </row>
    <row r="737" spans="1:22" s="504" customFormat="1" x14ac:dyDescent="0.25">
      <c r="A737" s="497">
        <v>23102024</v>
      </c>
      <c r="B737" s="504" t="s">
        <v>1720</v>
      </c>
      <c r="C737" s="498" t="s">
        <v>410</v>
      </c>
      <c r="D737" s="499">
        <v>45588</v>
      </c>
      <c r="F737" s="498" t="s">
        <v>545</v>
      </c>
      <c r="H737" s="498" t="s">
        <v>279</v>
      </c>
      <c r="K737" s="505">
        <v>34456</v>
      </c>
      <c r="L737" s="505"/>
      <c r="T737" s="504" t="s">
        <v>4983</v>
      </c>
      <c r="U737" s="502">
        <v>0.78541666666666676</v>
      </c>
      <c r="V737" s="502">
        <v>0.94236111111111109</v>
      </c>
    </row>
    <row r="738" spans="1:22" s="33" customFormat="1" x14ac:dyDescent="0.25">
      <c r="A738" s="547">
        <v>24102024</v>
      </c>
      <c r="B738" s="33" t="s">
        <v>2469</v>
      </c>
      <c r="C738" s="306" t="s">
        <v>410</v>
      </c>
      <c r="D738" s="548">
        <v>45589</v>
      </c>
      <c r="F738" s="306" t="s">
        <v>294</v>
      </c>
      <c r="H738" s="306" t="s">
        <v>279</v>
      </c>
      <c r="K738" s="312">
        <v>35685</v>
      </c>
      <c r="L738" s="312"/>
      <c r="T738" s="33" t="s">
        <v>1644</v>
      </c>
      <c r="U738" s="550">
        <v>0.47083333333333338</v>
      </c>
      <c r="V738" s="550">
        <v>0.65833333333333333</v>
      </c>
    </row>
    <row r="739" spans="1:22" s="504" customFormat="1" x14ac:dyDescent="0.25">
      <c r="A739" s="497">
        <v>25102024</v>
      </c>
      <c r="B739" s="504" t="s">
        <v>608</v>
      </c>
      <c r="C739" s="498" t="s">
        <v>410</v>
      </c>
      <c r="D739" s="499">
        <v>45590</v>
      </c>
      <c r="F739" s="498" t="s">
        <v>236</v>
      </c>
      <c r="H739" s="498" t="s">
        <v>279</v>
      </c>
      <c r="K739" s="505">
        <v>49173</v>
      </c>
      <c r="L739" s="505"/>
      <c r="T739" s="504" t="s">
        <v>5004</v>
      </c>
      <c r="U739" s="502">
        <v>0.25972222222222224</v>
      </c>
      <c r="V739" s="502">
        <v>0.53680555555555554</v>
      </c>
    </row>
    <row r="740" spans="1:22" s="504" customFormat="1" x14ac:dyDescent="0.25">
      <c r="A740" s="497">
        <v>25102024</v>
      </c>
      <c r="B740" s="504" t="s">
        <v>572</v>
      </c>
      <c r="C740" s="498" t="s">
        <v>13</v>
      </c>
      <c r="D740" s="499">
        <v>45590</v>
      </c>
      <c r="F740" s="498" t="s">
        <v>207</v>
      </c>
      <c r="H740" s="498" t="s">
        <v>279</v>
      </c>
      <c r="K740" s="505"/>
      <c r="L740" s="505">
        <v>8968</v>
      </c>
      <c r="T740" s="504" t="s">
        <v>4345</v>
      </c>
      <c r="U740" s="502">
        <v>0.3666666666666667</v>
      </c>
      <c r="V740" s="502">
        <v>0.58888888888888891</v>
      </c>
    </row>
    <row r="741" spans="1:22" s="33" customFormat="1" x14ac:dyDescent="0.25">
      <c r="A741" s="547">
        <v>25102024</v>
      </c>
      <c r="B741" s="33" t="s">
        <v>875</v>
      </c>
      <c r="C741" s="306" t="s">
        <v>4218</v>
      </c>
      <c r="D741" s="548">
        <v>45590</v>
      </c>
      <c r="F741" s="306" t="s">
        <v>2036</v>
      </c>
      <c r="H741" s="306" t="s">
        <v>279</v>
      </c>
      <c r="K741" s="312">
        <v>23500</v>
      </c>
      <c r="L741" s="312"/>
      <c r="T741" s="33" t="s">
        <v>4345</v>
      </c>
      <c r="U741" s="550">
        <v>0.6333333333333333</v>
      </c>
      <c r="V741" s="550">
        <v>0.75</v>
      </c>
    </row>
    <row r="742" spans="1:22" s="33" customFormat="1" x14ac:dyDescent="0.25">
      <c r="A742" s="547">
        <v>25102024</v>
      </c>
      <c r="B742" s="33" t="s">
        <v>614</v>
      </c>
      <c r="C742" s="306" t="s">
        <v>13</v>
      </c>
      <c r="D742" s="548">
        <v>45590</v>
      </c>
      <c r="F742" s="306" t="s">
        <v>236</v>
      </c>
      <c r="H742" s="306" t="s">
        <v>279</v>
      </c>
      <c r="K742" s="312">
        <v>62304</v>
      </c>
      <c r="L742" s="312"/>
      <c r="T742" s="33" t="s">
        <v>4365</v>
      </c>
      <c r="U742" s="550">
        <v>0.81805555555555554</v>
      </c>
      <c r="V742" s="550">
        <v>8.5416666666666655E-2</v>
      </c>
    </row>
    <row r="743" spans="1:22" s="504" customFormat="1" x14ac:dyDescent="0.25">
      <c r="A743" s="497">
        <v>25102024</v>
      </c>
      <c r="B743" s="504" t="s">
        <v>608</v>
      </c>
      <c r="C743" s="498" t="s">
        <v>410</v>
      </c>
      <c r="D743" s="499">
        <v>45590</v>
      </c>
      <c r="F743" s="498" t="s">
        <v>236</v>
      </c>
      <c r="H743" s="498" t="s">
        <v>279</v>
      </c>
      <c r="K743" s="505">
        <v>58231</v>
      </c>
      <c r="L743" s="505"/>
      <c r="T743" s="504" t="s">
        <v>4022</v>
      </c>
      <c r="U743" s="502">
        <v>0.81736111111111109</v>
      </c>
      <c r="V743" s="502">
        <v>0.10416666666666667</v>
      </c>
    </row>
    <row r="744" spans="1:22" s="33" customFormat="1" x14ac:dyDescent="0.25">
      <c r="A744" s="547">
        <v>26102024</v>
      </c>
      <c r="B744" s="33" t="s">
        <v>614</v>
      </c>
      <c r="C744" s="306" t="s">
        <v>13</v>
      </c>
      <c r="D744" s="548">
        <v>45591</v>
      </c>
      <c r="F744" s="306" t="s">
        <v>861</v>
      </c>
      <c r="H744" s="306" t="s">
        <v>279</v>
      </c>
      <c r="K744" s="312">
        <v>39459.199999999997</v>
      </c>
      <c r="L744" s="312"/>
      <c r="T744" s="33" t="s">
        <v>4983</v>
      </c>
      <c r="U744" s="550">
        <v>0.4694444444444445</v>
      </c>
      <c r="V744" s="550">
        <v>0.67499999999999993</v>
      </c>
    </row>
    <row r="745" spans="1:22" s="504" customFormat="1" x14ac:dyDescent="0.25">
      <c r="A745" s="497">
        <v>26102024</v>
      </c>
      <c r="B745" s="504" t="s">
        <v>1720</v>
      </c>
      <c r="C745" s="498" t="s">
        <v>410</v>
      </c>
      <c r="D745" s="499">
        <v>45591</v>
      </c>
      <c r="F745" s="498" t="s">
        <v>545</v>
      </c>
      <c r="H745" s="498" t="s">
        <v>277</v>
      </c>
      <c r="K745" s="505">
        <v>25016</v>
      </c>
      <c r="L745" s="505"/>
      <c r="T745" s="504" t="s">
        <v>4983</v>
      </c>
      <c r="U745" s="502">
        <v>0.49305555555555558</v>
      </c>
      <c r="V745" s="502">
        <v>0.62430555555555556</v>
      </c>
    </row>
    <row r="746" spans="1:22" s="33" customFormat="1" x14ac:dyDescent="0.25">
      <c r="A746" s="547">
        <v>26102024</v>
      </c>
      <c r="B746" s="33" t="s">
        <v>2469</v>
      </c>
      <c r="C746" s="306" t="s">
        <v>4218</v>
      </c>
      <c r="D746" s="548">
        <v>45591</v>
      </c>
      <c r="F746" s="306" t="s">
        <v>294</v>
      </c>
      <c r="H746" s="306" t="s">
        <v>279</v>
      </c>
      <c r="K746" s="312">
        <v>35685</v>
      </c>
      <c r="L746" s="312"/>
      <c r="T746" s="33" t="s">
        <v>4345</v>
      </c>
      <c r="U746" s="550">
        <v>0.59444444444444444</v>
      </c>
      <c r="V746" s="550">
        <v>0.79583333333333339</v>
      </c>
    </row>
    <row r="747" spans="1:22" s="33" customFormat="1" x14ac:dyDescent="0.25">
      <c r="A747" s="547">
        <v>28102024</v>
      </c>
      <c r="B747" s="33" t="s">
        <v>614</v>
      </c>
      <c r="C747" s="306" t="s">
        <v>13</v>
      </c>
      <c r="D747" s="548">
        <v>45593</v>
      </c>
      <c r="F747" s="306" t="s">
        <v>4200</v>
      </c>
      <c r="H747" s="306" t="s">
        <v>279</v>
      </c>
      <c r="K747" s="312">
        <v>39459.199999999997</v>
      </c>
      <c r="L747" s="312"/>
      <c r="T747" s="33" t="s">
        <v>4365</v>
      </c>
      <c r="U747" s="550">
        <v>0.40486111111111112</v>
      </c>
      <c r="V747" s="550">
        <v>0.64930555555555558</v>
      </c>
    </row>
    <row r="748" spans="1:22" s="33" customFormat="1" x14ac:dyDescent="0.25">
      <c r="A748" s="547">
        <v>28102024</v>
      </c>
      <c r="B748" s="33" t="s">
        <v>875</v>
      </c>
      <c r="C748" s="306" t="s">
        <v>4218</v>
      </c>
      <c r="D748" s="548">
        <v>45593</v>
      </c>
      <c r="F748" s="306" t="s">
        <v>2036</v>
      </c>
      <c r="H748" s="306" t="s">
        <v>279</v>
      </c>
      <c r="K748" s="312">
        <v>23500</v>
      </c>
      <c r="L748" s="312"/>
      <c r="T748" s="33" t="s">
        <v>4022</v>
      </c>
      <c r="U748" s="550">
        <v>0.60902777777777783</v>
      </c>
      <c r="V748" s="550">
        <v>0.73333333333333339</v>
      </c>
    </row>
    <row r="749" spans="1:22" s="33" customFormat="1" x14ac:dyDescent="0.25">
      <c r="A749" s="547">
        <v>28102024</v>
      </c>
      <c r="B749" s="33" t="s">
        <v>608</v>
      </c>
      <c r="C749" s="306" t="s">
        <v>410</v>
      </c>
      <c r="D749" s="548">
        <v>45593</v>
      </c>
      <c r="F749" s="306" t="s">
        <v>236</v>
      </c>
      <c r="H749" s="306" t="s">
        <v>277</v>
      </c>
      <c r="K749" s="312">
        <v>49173</v>
      </c>
      <c r="L749" s="312"/>
      <c r="T749" s="33" t="s">
        <v>4853</v>
      </c>
      <c r="U749" s="550">
        <v>0.68888888888888899</v>
      </c>
      <c r="V749" s="550">
        <v>0.93680555555555556</v>
      </c>
    </row>
    <row r="750" spans="1:22" s="33" customFormat="1" x14ac:dyDescent="0.25">
      <c r="A750" s="547">
        <v>28102024</v>
      </c>
      <c r="B750" s="33" t="s">
        <v>614</v>
      </c>
      <c r="C750" s="306" t="s">
        <v>13</v>
      </c>
      <c r="D750" s="548">
        <v>45593</v>
      </c>
      <c r="F750" s="306" t="s">
        <v>143</v>
      </c>
      <c r="H750" s="306" t="s">
        <v>279</v>
      </c>
      <c r="K750" s="312">
        <v>43612.800000000003</v>
      </c>
      <c r="L750" s="312"/>
      <c r="T750" s="33" t="s">
        <v>4022</v>
      </c>
      <c r="U750" s="550">
        <v>0.9375</v>
      </c>
      <c r="V750" s="550">
        <v>0.12361111111111112</v>
      </c>
    </row>
    <row r="751" spans="1:22" s="504" customFormat="1" x14ac:dyDescent="0.25">
      <c r="A751" s="497">
        <v>29102024</v>
      </c>
      <c r="B751" s="504" t="s">
        <v>5016</v>
      </c>
      <c r="C751" s="498" t="s">
        <v>13</v>
      </c>
      <c r="D751" s="499">
        <v>45594</v>
      </c>
      <c r="F751" s="498" t="s">
        <v>207</v>
      </c>
      <c r="H751" s="498" t="s">
        <v>279</v>
      </c>
      <c r="K751" s="505"/>
      <c r="L751" s="505">
        <v>10150</v>
      </c>
      <c r="T751" s="504" t="s">
        <v>1506</v>
      </c>
      <c r="U751" s="502">
        <v>0.27708333333333335</v>
      </c>
      <c r="V751" s="502">
        <v>0.51180555555555551</v>
      </c>
    </row>
    <row r="752" spans="1:22" s="504" customFormat="1" x14ac:dyDescent="0.25">
      <c r="A752" s="497">
        <v>29102024</v>
      </c>
      <c r="B752" s="504" t="s">
        <v>5015</v>
      </c>
      <c r="C752" s="498" t="s">
        <v>4218</v>
      </c>
      <c r="D752" s="499">
        <v>45594</v>
      </c>
      <c r="F752" s="498" t="s">
        <v>207</v>
      </c>
      <c r="H752" s="498" t="s">
        <v>279</v>
      </c>
      <c r="K752" s="505">
        <v>35872</v>
      </c>
      <c r="L752" s="505"/>
      <c r="T752" s="504" t="s">
        <v>4550</v>
      </c>
      <c r="U752" s="502">
        <v>0.33263888888888887</v>
      </c>
      <c r="V752" s="502">
        <v>0.52986111111111112</v>
      </c>
    </row>
    <row r="753" spans="1:22" s="33" customFormat="1" x14ac:dyDescent="0.25">
      <c r="A753" s="547">
        <v>29102024</v>
      </c>
      <c r="B753" s="33" t="s">
        <v>608</v>
      </c>
      <c r="C753" s="306" t="s">
        <v>13</v>
      </c>
      <c r="D753" s="548">
        <v>45594</v>
      </c>
      <c r="F753" s="306" t="s">
        <v>236</v>
      </c>
      <c r="H753" s="306" t="s">
        <v>279</v>
      </c>
      <c r="K753" s="312">
        <v>58231</v>
      </c>
      <c r="L753" s="312"/>
      <c r="T753" s="33" t="s">
        <v>5020</v>
      </c>
      <c r="U753" s="550">
        <v>0.67083333333333339</v>
      </c>
      <c r="V753" s="550">
        <v>0.96944444444444444</v>
      </c>
    </row>
    <row r="754" spans="1:22" s="504" customFormat="1" x14ac:dyDescent="0.25">
      <c r="A754" s="497">
        <v>30102024</v>
      </c>
      <c r="B754" s="504" t="s">
        <v>1720</v>
      </c>
      <c r="C754" s="498" t="s">
        <v>410</v>
      </c>
      <c r="D754" s="499">
        <v>45595</v>
      </c>
      <c r="F754" s="498" t="s">
        <v>545</v>
      </c>
      <c r="H754" s="498" t="s">
        <v>279</v>
      </c>
      <c r="K754" s="505">
        <v>34456</v>
      </c>
      <c r="L754" s="505"/>
      <c r="T754" s="504" t="s">
        <v>4277</v>
      </c>
      <c r="U754" s="502">
        <v>0.33680555555555558</v>
      </c>
      <c r="V754" s="502">
        <v>0.52708333333333335</v>
      </c>
    </row>
    <row r="755" spans="1:22" s="33" customFormat="1" x14ac:dyDescent="0.25">
      <c r="A755" s="547">
        <v>30102024</v>
      </c>
      <c r="B755" s="33" t="s">
        <v>614</v>
      </c>
      <c r="C755" s="306" t="s">
        <v>13</v>
      </c>
      <c r="D755" s="548">
        <v>45595</v>
      </c>
      <c r="F755" s="306" t="s">
        <v>113</v>
      </c>
      <c r="H755" s="306" t="s">
        <v>279</v>
      </c>
      <c r="K755" s="312">
        <v>44651.199999999997</v>
      </c>
      <c r="L755" s="312"/>
      <c r="T755" s="33" t="s">
        <v>5021</v>
      </c>
      <c r="U755" s="550">
        <v>0.3430555555555555</v>
      </c>
      <c r="V755" s="550">
        <v>0.55138888888888882</v>
      </c>
    </row>
    <row r="756" spans="1:22" s="33" customFormat="1" x14ac:dyDescent="0.25">
      <c r="A756" s="547">
        <v>30102024</v>
      </c>
      <c r="B756" s="33" t="s">
        <v>875</v>
      </c>
      <c r="C756" s="306" t="s">
        <v>4218</v>
      </c>
      <c r="D756" s="548">
        <v>45595</v>
      </c>
      <c r="F756" s="306" t="s">
        <v>2036</v>
      </c>
      <c r="H756" s="306" t="s">
        <v>279</v>
      </c>
      <c r="K756" s="312">
        <v>23500</v>
      </c>
      <c r="L756" s="312"/>
      <c r="T756" s="33" t="s">
        <v>4550</v>
      </c>
      <c r="U756" s="550">
        <v>0.5493055555555556</v>
      </c>
      <c r="V756" s="550">
        <v>0.68958333333333333</v>
      </c>
    </row>
    <row r="757" spans="1:22" s="283" customFormat="1" x14ac:dyDescent="0.25">
      <c r="A757" s="547">
        <v>30102024</v>
      </c>
      <c r="B757" s="33" t="s">
        <v>1720</v>
      </c>
      <c r="C757" s="306" t="s">
        <v>410</v>
      </c>
      <c r="D757" s="548">
        <v>45595</v>
      </c>
      <c r="E757" s="33"/>
      <c r="F757" s="306" t="s">
        <v>545</v>
      </c>
      <c r="G757" s="33"/>
      <c r="H757" s="306" t="s">
        <v>279</v>
      </c>
      <c r="I757" s="33"/>
      <c r="J757" s="33"/>
      <c r="K757" s="312">
        <v>34456</v>
      </c>
      <c r="L757" s="312"/>
      <c r="M757" s="33"/>
      <c r="N757" s="33"/>
      <c r="O757" s="33"/>
      <c r="P757" s="33"/>
      <c r="Q757" s="33"/>
      <c r="R757" s="33"/>
      <c r="S757" s="33"/>
      <c r="T757" s="33" t="s">
        <v>4277</v>
      </c>
      <c r="U757" s="550">
        <v>0.6069444444444444</v>
      </c>
      <c r="V757" s="550">
        <v>0.7597222222222223</v>
      </c>
    </row>
    <row r="758" spans="1:22" s="504" customFormat="1" x14ac:dyDescent="0.25">
      <c r="A758" s="497">
        <v>31102024</v>
      </c>
      <c r="B758" s="636" t="s">
        <v>4981</v>
      </c>
      <c r="C758" s="498" t="s">
        <v>4218</v>
      </c>
      <c r="D758" s="499">
        <v>45596</v>
      </c>
      <c r="F758" s="501" t="s">
        <v>207</v>
      </c>
      <c r="H758" s="498" t="s">
        <v>279</v>
      </c>
      <c r="K758" s="505"/>
      <c r="L758" s="505">
        <v>9590</v>
      </c>
      <c r="T758" s="504" t="s">
        <v>4097</v>
      </c>
      <c r="U758" s="502">
        <v>0.24305555555555555</v>
      </c>
      <c r="V758" s="502">
        <v>0.48819444444444443</v>
      </c>
    </row>
    <row r="759" spans="1:22" s="33" customFormat="1" x14ac:dyDescent="0.25">
      <c r="A759" s="547">
        <v>31102024</v>
      </c>
      <c r="B759" s="33" t="s">
        <v>1720</v>
      </c>
      <c r="C759" s="306" t="s">
        <v>13</v>
      </c>
      <c r="D759" s="548">
        <v>45596</v>
      </c>
      <c r="F759" s="306" t="s">
        <v>545</v>
      </c>
      <c r="H759" s="306" t="s">
        <v>279</v>
      </c>
      <c r="K759" s="312">
        <v>34456</v>
      </c>
      <c r="L759" s="312"/>
      <c r="T759" s="33" t="s">
        <v>5026</v>
      </c>
      <c r="U759" s="550">
        <v>0.29375000000000001</v>
      </c>
      <c r="V759" s="550">
        <v>0.45416666666666666</v>
      </c>
    </row>
    <row r="760" spans="1:22" s="33" customFormat="1" x14ac:dyDescent="0.25">
      <c r="A760" s="547">
        <v>31102024</v>
      </c>
      <c r="B760" s="33" t="s">
        <v>1055</v>
      </c>
      <c r="C760" s="306" t="s">
        <v>410</v>
      </c>
      <c r="D760" s="548">
        <v>45596</v>
      </c>
      <c r="F760" s="306" t="s">
        <v>294</v>
      </c>
      <c r="H760" s="306" t="s">
        <v>279</v>
      </c>
      <c r="K760" s="312">
        <v>45060</v>
      </c>
      <c r="L760" s="312"/>
      <c r="T760" s="33" t="s">
        <v>4417</v>
      </c>
      <c r="U760" s="550">
        <v>0.37083333333333335</v>
      </c>
      <c r="V760" s="550">
        <v>0.79166666666666663</v>
      </c>
    </row>
    <row r="761" spans="1:22" s="33" customFormat="1" x14ac:dyDescent="0.25">
      <c r="A761" s="547">
        <v>31102024</v>
      </c>
      <c r="B761" s="33" t="s">
        <v>5031</v>
      </c>
      <c r="C761" s="306" t="s">
        <v>13</v>
      </c>
      <c r="D761" s="548">
        <v>45596</v>
      </c>
      <c r="F761" s="306" t="s">
        <v>236</v>
      </c>
      <c r="H761" s="306" t="s">
        <v>279</v>
      </c>
      <c r="K761" s="312">
        <v>62540</v>
      </c>
      <c r="L761" s="312"/>
      <c r="T761" s="33" t="s">
        <v>5004</v>
      </c>
      <c r="U761" s="550">
        <v>0.50902777777777775</v>
      </c>
      <c r="V761" s="550">
        <v>0.79861111111111116</v>
      </c>
    </row>
    <row r="762" spans="1:22" s="33" customFormat="1" x14ac:dyDescent="0.25">
      <c r="A762" s="547">
        <v>31102024</v>
      </c>
      <c r="B762" s="33" t="s">
        <v>1720</v>
      </c>
      <c r="C762" s="306" t="s">
        <v>4218</v>
      </c>
      <c r="D762" s="548">
        <v>45596</v>
      </c>
      <c r="F762" s="306" t="s">
        <v>545</v>
      </c>
      <c r="H762" s="306" t="s">
        <v>277</v>
      </c>
      <c r="K762" s="312">
        <v>25016</v>
      </c>
      <c r="L762" s="312"/>
      <c r="T762" s="33" t="s">
        <v>4140</v>
      </c>
      <c r="U762" s="550">
        <v>0.66041666666666665</v>
      </c>
      <c r="V762" s="550">
        <v>0.86805555555555547</v>
      </c>
    </row>
    <row r="763" spans="1:22" x14ac:dyDescent="0.25">
      <c r="A763" s="483"/>
      <c r="D763" s="233"/>
      <c r="K763" s="313"/>
      <c r="L763" s="313"/>
      <c r="U763" s="360"/>
      <c r="V763" s="360"/>
    </row>
    <row r="764" spans="1:22" x14ac:dyDescent="0.25">
      <c r="A764" s="483"/>
      <c r="D764" s="233"/>
      <c r="K764" s="313"/>
      <c r="L764" s="313"/>
      <c r="U764" s="368"/>
      <c r="V764" s="360"/>
    </row>
    <row r="765" spans="1:22" x14ac:dyDescent="0.25">
      <c r="A765" s="483"/>
      <c r="D765" s="233"/>
      <c r="K765" s="313"/>
      <c r="L765" s="313"/>
      <c r="U765"/>
      <c r="V765" s="360"/>
    </row>
    <row r="766" spans="1:22" x14ac:dyDescent="0.25">
      <c r="K766" s="313"/>
      <c r="L766" s="313"/>
    </row>
    <row r="767" spans="1:22" x14ac:dyDescent="0.25">
      <c r="K767" s="505">
        <f>SUBTOTAL(9,K681:K766)</f>
        <v>2915432.38</v>
      </c>
      <c r="L767" s="505">
        <f>SUBTOTAL(9,L681:L766)</f>
        <v>81123.8</v>
      </c>
    </row>
    <row r="768" spans="1:22" ht="14.1" customHeight="1" x14ac:dyDescent="0.25">
      <c r="A768" s="483"/>
      <c r="C768" s="233"/>
      <c r="D768"/>
      <c r="E768" s="28"/>
      <c r="H768"/>
      <c r="I768" s="313"/>
      <c r="J768" s="88"/>
      <c r="K768" s="32"/>
      <c r="L768" s="313"/>
      <c r="U768" s="360"/>
      <c r="V768" s="360"/>
    </row>
    <row r="769" spans="1:22" ht="15.75" thickBot="1" x14ac:dyDescent="0.3">
      <c r="A769" s="483"/>
      <c r="C769" s="233"/>
      <c r="D769"/>
      <c r="E769" s="28"/>
      <c r="H769"/>
      <c r="I769" s="313"/>
      <c r="J769" s="88"/>
      <c r="K769" s="32"/>
      <c r="L769" s="313"/>
      <c r="U769" s="360"/>
      <c r="V769" s="360"/>
    </row>
    <row r="770" spans="1:22" s="504" customFormat="1" x14ac:dyDescent="0.25">
      <c r="A770" s="497" t="s">
        <v>5027</v>
      </c>
      <c r="B770" s="504" t="s">
        <v>614</v>
      </c>
      <c r="C770" s="498" t="s">
        <v>13</v>
      </c>
      <c r="D770" s="499">
        <v>45597</v>
      </c>
      <c r="E770" s="498"/>
      <c r="F770" s="498" t="s">
        <v>2008</v>
      </c>
      <c r="H770" s="504" t="s">
        <v>279</v>
      </c>
      <c r="I770" s="505"/>
      <c r="J770" s="506"/>
      <c r="K770" s="734">
        <v>55035.199999999997</v>
      </c>
      <c r="L770" s="505"/>
      <c r="T770" s="504" t="s">
        <v>2050</v>
      </c>
      <c r="U770" s="502">
        <v>0.42777777777777781</v>
      </c>
      <c r="V770" s="502">
        <v>0.67569444444444438</v>
      </c>
    </row>
    <row r="771" spans="1:22" s="504" customFormat="1" x14ac:dyDescent="0.25">
      <c r="A771" s="497" t="s">
        <v>5029</v>
      </c>
      <c r="B771" s="504" t="s">
        <v>875</v>
      </c>
      <c r="C771" s="498" t="s">
        <v>13</v>
      </c>
      <c r="D771" s="499">
        <v>45599</v>
      </c>
      <c r="E771" s="498"/>
      <c r="F771" s="498" t="s">
        <v>2036</v>
      </c>
      <c r="H771" s="504" t="s">
        <v>279</v>
      </c>
      <c r="I771" s="505"/>
      <c r="J771" s="506"/>
      <c r="K771" s="735">
        <v>23500</v>
      </c>
      <c r="L771" s="505"/>
      <c r="T771" s="504" t="s">
        <v>5028</v>
      </c>
      <c r="U771" s="502">
        <v>0.34583333333333338</v>
      </c>
      <c r="V771" s="502">
        <v>0.49027777777777781</v>
      </c>
    </row>
    <row r="772" spans="1:22" s="33" customFormat="1" x14ac:dyDescent="0.25">
      <c r="A772" s="547" t="s">
        <v>5029</v>
      </c>
      <c r="B772" s="33" t="s">
        <v>2651</v>
      </c>
      <c r="C772" s="306" t="s">
        <v>13</v>
      </c>
      <c r="D772" s="548">
        <v>45599</v>
      </c>
      <c r="E772" s="306"/>
      <c r="F772" s="306" t="s">
        <v>2253</v>
      </c>
      <c r="H772" s="33" t="s">
        <v>279</v>
      </c>
      <c r="I772" s="312"/>
      <c r="J772" s="279"/>
      <c r="K772" s="736">
        <v>56333</v>
      </c>
      <c r="L772" s="312"/>
      <c r="T772" s="33" t="s">
        <v>5030</v>
      </c>
      <c r="U772" s="550">
        <v>0.58611111111111114</v>
      </c>
      <c r="V772" s="550">
        <v>0.93472222222222223</v>
      </c>
    </row>
    <row r="773" spans="1:22" s="504" customFormat="1" x14ac:dyDescent="0.25">
      <c r="A773" s="497" t="s">
        <v>5029</v>
      </c>
      <c r="B773" s="504" t="s">
        <v>930</v>
      </c>
      <c r="C773" s="499" t="s">
        <v>4218</v>
      </c>
      <c r="D773" s="499">
        <v>45599</v>
      </c>
      <c r="E773" s="498"/>
      <c r="F773" s="498" t="s">
        <v>294</v>
      </c>
      <c r="H773" s="504" t="s">
        <v>279</v>
      </c>
      <c r="I773" s="505"/>
      <c r="J773" s="506"/>
      <c r="K773" s="735">
        <v>33182</v>
      </c>
      <c r="L773" s="505"/>
      <c r="T773" s="504" t="s">
        <v>5004</v>
      </c>
      <c r="U773" s="502">
        <v>0.68541666666666667</v>
      </c>
      <c r="V773" s="502">
        <v>0.86041666666666661</v>
      </c>
    </row>
    <row r="774" spans="1:22" s="504" customFormat="1" x14ac:dyDescent="0.25">
      <c r="A774" s="497" t="s">
        <v>5055</v>
      </c>
      <c r="B774" s="504" t="s">
        <v>614</v>
      </c>
      <c r="C774" s="499" t="s">
        <v>13</v>
      </c>
      <c r="D774" s="499">
        <v>45601</v>
      </c>
      <c r="E774" s="498"/>
      <c r="F774" s="498" t="s">
        <v>68</v>
      </c>
      <c r="H774" s="504" t="s">
        <v>279</v>
      </c>
      <c r="I774" s="505"/>
      <c r="J774" s="506"/>
      <c r="K774" s="735">
        <v>49843.199999999997</v>
      </c>
      <c r="L774" s="505"/>
      <c r="T774" s="504" t="s">
        <v>1644</v>
      </c>
      <c r="U774" s="502">
        <v>0.25208333333333333</v>
      </c>
      <c r="V774" s="502">
        <v>0.50972222222222219</v>
      </c>
    </row>
    <row r="775" spans="1:22" s="504" customFormat="1" x14ac:dyDescent="0.25">
      <c r="A775" s="497" t="s">
        <v>5055</v>
      </c>
      <c r="B775" s="504" t="s">
        <v>607</v>
      </c>
      <c r="C775" s="499" t="s">
        <v>4218</v>
      </c>
      <c r="D775" s="499">
        <v>45601</v>
      </c>
      <c r="E775" s="498"/>
      <c r="F775" s="498" t="s">
        <v>207</v>
      </c>
      <c r="H775" s="504" t="s">
        <v>279</v>
      </c>
      <c r="I775" s="505"/>
      <c r="J775" s="506"/>
      <c r="K775" s="735">
        <v>36253.14</v>
      </c>
      <c r="L775" s="505"/>
      <c r="T775" s="504" t="s">
        <v>4550</v>
      </c>
      <c r="U775" s="502">
        <v>0.26041666666666669</v>
      </c>
      <c r="V775" s="502">
        <v>0.46319444444444446</v>
      </c>
    </row>
    <row r="776" spans="1:22" s="504" customFormat="1" x14ac:dyDescent="0.25">
      <c r="A776" s="497" t="s">
        <v>5055</v>
      </c>
      <c r="B776" s="504" t="s">
        <v>875</v>
      </c>
      <c r="C776" s="499" t="s">
        <v>4218</v>
      </c>
      <c r="D776" s="499">
        <v>45601</v>
      </c>
      <c r="E776" s="498"/>
      <c r="F776" s="498" t="s">
        <v>2036</v>
      </c>
      <c r="H776" s="504" t="s">
        <v>279</v>
      </c>
      <c r="I776" s="505"/>
      <c r="J776" s="506"/>
      <c r="K776" s="735">
        <v>23500</v>
      </c>
      <c r="L776" s="505"/>
      <c r="T776" s="504" t="s">
        <v>4550</v>
      </c>
      <c r="U776" s="502">
        <v>0.5395833333333333</v>
      </c>
      <c r="V776" s="502">
        <v>0.66180555555555554</v>
      </c>
    </row>
    <row r="777" spans="1:22" s="504" customFormat="1" x14ac:dyDescent="0.25">
      <c r="A777" s="497" t="s">
        <v>5055</v>
      </c>
      <c r="B777" s="504" t="s">
        <v>614</v>
      </c>
      <c r="C777" s="499" t="s">
        <v>13</v>
      </c>
      <c r="D777" s="499">
        <v>45601</v>
      </c>
      <c r="E777" s="498"/>
      <c r="F777" s="498" t="s">
        <v>113</v>
      </c>
      <c r="H777" s="504" t="s">
        <v>279</v>
      </c>
      <c r="I777" s="505"/>
      <c r="J777" s="506"/>
      <c r="K777" s="735">
        <v>44651.199999999997</v>
      </c>
      <c r="L777" s="505"/>
      <c r="T777" s="504" t="s">
        <v>1644</v>
      </c>
      <c r="U777" s="502">
        <v>0.54513888888888895</v>
      </c>
      <c r="V777" s="502">
        <v>0.76388888888888884</v>
      </c>
    </row>
    <row r="778" spans="1:22" s="504" customFormat="1" x14ac:dyDescent="0.25">
      <c r="A778" s="497" t="s">
        <v>5066</v>
      </c>
      <c r="B778" s="504" t="s">
        <v>614</v>
      </c>
      <c r="C778" s="499" t="s">
        <v>13</v>
      </c>
      <c r="D778" s="499">
        <v>45602</v>
      </c>
      <c r="E778" s="498"/>
      <c r="F778" s="498" t="s">
        <v>317</v>
      </c>
      <c r="H778" s="504" t="s">
        <v>279</v>
      </c>
      <c r="I778" s="505"/>
      <c r="J778" s="506"/>
      <c r="K778" s="735">
        <v>53996.800000000003</v>
      </c>
      <c r="L778" s="505"/>
      <c r="T778" s="504" t="s">
        <v>4396</v>
      </c>
      <c r="U778" s="502">
        <v>0.74652777777777779</v>
      </c>
      <c r="V778" s="502">
        <v>0.55486111111111114</v>
      </c>
    </row>
    <row r="779" spans="1:22" s="504" customFormat="1" x14ac:dyDescent="0.25">
      <c r="A779" s="497" t="s">
        <v>5066</v>
      </c>
      <c r="B779" s="504" t="s">
        <v>1720</v>
      </c>
      <c r="C779" s="499" t="s">
        <v>410</v>
      </c>
      <c r="D779" s="499">
        <v>45602</v>
      </c>
      <c r="E779" s="498"/>
      <c r="F779" s="498" t="s">
        <v>545</v>
      </c>
      <c r="H779" s="504" t="s">
        <v>277</v>
      </c>
      <c r="I779" s="505"/>
      <c r="J779" s="506"/>
      <c r="K779" s="735">
        <v>25016</v>
      </c>
      <c r="L779" s="505"/>
      <c r="T779" s="504" t="s">
        <v>4983</v>
      </c>
      <c r="U779" s="502">
        <v>0.48472222222222222</v>
      </c>
      <c r="V779" s="502">
        <v>0.63472222222222219</v>
      </c>
    </row>
    <row r="780" spans="1:22" s="504" customFormat="1" x14ac:dyDescent="0.25">
      <c r="A780" s="497" t="s">
        <v>5066</v>
      </c>
      <c r="B780" s="504" t="s">
        <v>5074</v>
      </c>
      <c r="C780" s="499" t="s">
        <v>13</v>
      </c>
      <c r="D780" s="499">
        <v>45602</v>
      </c>
      <c r="E780" s="498"/>
      <c r="F780" s="498" t="s">
        <v>2008</v>
      </c>
      <c r="H780" s="504" t="s">
        <v>279</v>
      </c>
      <c r="I780" s="505"/>
      <c r="J780" s="506"/>
      <c r="K780" s="735">
        <f>9832.2+39069.8</f>
        <v>48902</v>
      </c>
      <c r="L780" s="505"/>
      <c r="T780" s="504" t="s">
        <v>4983</v>
      </c>
      <c r="U780" s="502">
        <v>0.65763888888888888</v>
      </c>
      <c r="V780" s="502">
        <v>0.90347222222222223</v>
      </c>
    </row>
    <row r="781" spans="1:22" s="504" customFormat="1" x14ac:dyDescent="0.25">
      <c r="A781" s="497" t="s">
        <v>5077</v>
      </c>
      <c r="B781" s="504" t="s">
        <v>614</v>
      </c>
      <c r="C781" s="499" t="s">
        <v>13</v>
      </c>
      <c r="D781" s="499">
        <v>45603</v>
      </c>
      <c r="E781" s="498"/>
      <c r="F781" s="498" t="s">
        <v>106</v>
      </c>
      <c r="H781" s="504" t="s">
        <v>279</v>
      </c>
      <c r="I781" s="505"/>
      <c r="J781" s="506"/>
      <c r="K781" s="735">
        <v>31152</v>
      </c>
      <c r="L781" s="505"/>
      <c r="T781" s="504" t="s">
        <v>1644</v>
      </c>
      <c r="U781" s="502">
        <v>0.45416666666666666</v>
      </c>
      <c r="V781" s="502">
        <v>0.5805555555555556</v>
      </c>
    </row>
    <row r="782" spans="1:22" s="504" customFormat="1" x14ac:dyDescent="0.25">
      <c r="A782" s="497" t="s">
        <v>5077</v>
      </c>
      <c r="B782" s="504" t="s">
        <v>614</v>
      </c>
      <c r="C782" s="499" t="s">
        <v>13</v>
      </c>
      <c r="D782" s="499">
        <v>45603</v>
      </c>
      <c r="E782" s="498"/>
      <c r="F782" s="498" t="s">
        <v>207</v>
      </c>
      <c r="H782" s="504" t="s">
        <v>279</v>
      </c>
      <c r="I782" s="505"/>
      <c r="J782" s="506"/>
      <c r="K782" s="735">
        <v>41536</v>
      </c>
      <c r="L782" s="505"/>
      <c r="T782" s="504" t="s">
        <v>1644</v>
      </c>
      <c r="U782" s="502">
        <v>0.67847222222222225</v>
      </c>
      <c r="V782" s="502">
        <v>0.74930555555555556</v>
      </c>
    </row>
    <row r="783" spans="1:22" s="504" customFormat="1" x14ac:dyDescent="0.25">
      <c r="A783" s="497" t="s">
        <v>5077</v>
      </c>
      <c r="B783" s="504" t="s">
        <v>2912</v>
      </c>
      <c r="C783" s="499" t="s">
        <v>4218</v>
      </c>
      <c r="D783" s="499">
        <v>45603</v>
      </c>
      <c r="E783" s="498"/>
      <c r="F783" s="498" t="s">
        <v>4200</v>
      </c>
      <c r="H783" s="504" t="s">
        <v>279</v>
      </c>
      <c r="I783" s="505"/>
      <c r="J783" s="506"/>
      <c r="K783" s="735">
        <v>40710</v>
      </c>
      <c r="L783" s="505"/>
      <c r="T783" s="504" t="s">
        <v>5078</v>
      </c>
      <c r="U783" s="502">
        <v>0.50138888888888888</v>
      </c>
      <c r="V783" s="502">
        <v>0.76388888888888884</v>
      </c>
    </row>
    <row r="784" spans="1:22" s="504" customFormat="1" x14ac:dyDescent="0.25">
      <c r="A784" s="497" t="s">
        <v>5077</v>
      </c>
      <c r="B784" s="504" t="s">
        <v>1720</v>
      </c>
      <c r="C784" s="499" t="s">
        <v>809</v>
      </c>
      <c r="D784" s="499">
        <v>45603</v>
      </c>
      <c r="E784" s="498"/>
      <c r="F784" s="498" t="s">
        <v>545</v>
      </c>
      <c r="H784" s="504" t="s">
        <v>277</v>
      </c>
      <c r="I784" s="505"/>
      <c r="J784" s="506"/>
      <c r="K784" s="735">
        <v>25016</v>
      </c>
      <c r="L784" s="505"/>
      <c r="T784" s="504" t="s">
        <v>3206</v>
      </c>
      <c r="U784" s="502">
        <v>0.67499999999999993</v>
      </c>
      <c r="V784" s="502">
        <v>0.73611111111111116</v>
      </c>
    </row>
    <row r="785" spans="1:22" s="504" customFormat="1" ht="15.75" thickBot="1" x14ac:dyDescent="0.3">
      <c r="A785" s="497" t="s">
        <v>5077</v>
      </c>
      <c r="B785" s="504" t="s">
        <v>1720</v>
      </c>
      <c r="C785" s="499" t="s">
        <v>13</v>
      </c>
      <c r="D785" s="499">
        <v>45603</v>
      </c>
      <c r="E785" s="498"/>
      <c r="F785" s="498" t="s">
        <v>545</v>
      </c>
      <c r="H785" s="504" t="s">
        <v>277</v>
      </c>
      <c r="I785" s="505"/>
      <c r="J785" s="506"/>
      <c r="K785" s="735">
        <v>25016</v>
      </c>
      <c r="L785" s="505"/>
      <c r="T785" s="504" t="s">
        <v>4396</v>
      </c>
      <c r="U785" s="502">
        <v>0.82152777777777775</v>
      </c>
      <c r="V785" s="502">
        <v>0.94444444444444453</v>
      </c>
    </row>
    <row r="786" spans="1:22" s="504" customFormat="1" x14ac:dyDescent="0.25">
      <c r="A786" s="497" t="s">
        <v>5082</v>
      </c>
      <c r="B786" s="504" t="s">
        <v>5016</v>
      </c>
      <c r="C786" s="499" t="s">
        <v>13</v>
      </c>
      <c r="D786" s="499">
        <v>45604</v>
      </c>
      <c r="E786" s="498"/>
      <c r="F786" s="498" t="s">
        <v>207</v>
      </c>
      <c r="H786" s="504" t="s">
        <v>279</v>
      </c>
      <c r="I786" s="505"/>
      <c r="J786" s="506"/>
      <c r="K786" s="735"/>
      <c r="L786" s="739">
        <v>10150</v>
      </c>
      <c r="T786" s="504" t="s">
        <v>4140</v>
      </c>
      <c r="U786" s="502">
        <v>0.24513888888888888</v>
      </c>
      <c r="V786" s="502">
        <v>0.47916666666666669</v>
      </c>
    </row>
    <row r="787" spans="1:22" s="33" customFormat="1" ht="15.75" thickBot="1" x14ac:dyDescent="0.3">
      <c r="A787" s="547" t="s">
        <v>5082</v>
      </c>
      <c r="B787" s="33" t="s">
        <v>3238</v>
      </c>
      <c r="C787" s="548" t="s">
        <v>809</v>
      </c>
      <c r="D787" s="548">
        <v>45604</v>
      </c>
      <c r="E787" s="306"/>
      <c r="F787" s="306" t="s">
        <v>285</v>
      </c>
      <c r="H787" s="33" t="s">
        <v>279</v>
      </c>
      <c r="I787" s="312"/>
      <c r="J787" s="279"/>
      <c r="K787" s="736"/>
      <c r="L787" s="770">
        <f>9750*1.18</f>
        <v>11505</v>
      </c>
      <c r="T787" s="33" t="s">
        <v>3206</v>
      </c>
      <c r="U787" s="550">
        <v>0.35000000000000003</v>
      </c>
      <c r="V787" s="550">
        <v>0.65555555555555556</v>
      </c>
    </row>
    <row r="788" spans="1:22" s="504" customFormat="1" x14ac:dyDescent="0.25">
      <c r="A788" s="497" t="s">
        <v>5082</v>
      </c>
      <c r="B788" s="504" t="s">
        <v>614</v>
      </c>
      <c r="C788" s="499" t="s">
        <v>13</v>
      </c>
      <c r="D788" s="499">
        <v>45604</v>
      </c>
      <c r="E788" s="498"/>
      <c r="F788" s="498" t="s">
        <v>113</v>
      </c>
      <c r="H788" s="504" t="s">
        <v>279</v>
      </c>
      <c r="I788" s="505"/>
      <c r="J788" s="506"/>
      <c r="K788" s="735">
        <v>44651.199999999997</v>
      </c>
      <c r="L788" s="505"/>
      <c r="T788" s="504" t="s">
        <v>4140</v>
      </c>
      <c r="U788" s="502">
        <v>0.50972222222222219</v>
      </c>
      <c r="V788" s="502">
        <v>0.71666666666666667</v>
      </c>
    </row>
    <row r="789" spans="1:22" s="504" customFormat="1" x14ac:dyDescent="0.25">
      <c r="A789" s="497" t="s">
        <v>5082</v>
      </c>
      <c r="B789" s="504" t="s">
        <v>3880</v>
      </c>
      <c r="C789" s="499" t="s">
        <v>4218</v>
      </c>
      <c r="D789" s="499">
        <v>45604</v>
      </c>
      <c r="E789" s="498"/>
      <c r="F789" s="498" t="s">
        <v>545</v>
      </c>
      <c r="H789" s="504" t="s">
        <v>279</v>
      </c>
      <c r="I789" s="505"/>
      <c r="J789" s="506"/>
      <c r="K789" s="735">
        <v>32284.400000000001</v>
      </c>
      <c r="L789" s="505"/>
      <c r="T789" s="504" t="s">
        <v>2050</v>
      </c>
      <c r="U789" s="502">
        <v>0.44375000000000003</v>
      </c>
      <c r="V789" s="502">
        <v>0.61041666666666672</v>
      </c>
    </row>
    <row r="790" spans="1:22" s="504" customFormat="1" x14ac:dyDescent="0.25">
      <c r="A790" s="497" t="s">
        <v>5082</v>
      </c>
      <c r="B790" s="504" t="s">
        <v>1720</v>
      </c>
      <c r="C790" s="499" t="s">
        <v>4218</v>
      </c>
      <c r="D790" s="499">
        <v>45604</v>
      </c>
      <c r="E790" s="498"/>
      <c r="F790" s="498" t="s">
        <v>545</v>
      </c>
      <c r="H790" s="504" t="s">
        <v>279</v>
      </c>
      <c r="I790" s="505"/>
      <c r="J790" s="506"/>
      <c r="K790" s="735">
        <v>34456</v>
      </c>
      <c r="L790" s="505"/>
      <c r="T790" s="504" t="s">
        <v>2050</v>
      </c>
      <c r="U790" s="502">
        <v>0.65902777777777777</v>
      </c>
      <c r="V790" s="502">
        <v>0.8305555555555556</v>
      </c>
    </row>
    <row r="791" spans="1:22" s="504" customFormat="1" x14ac:dyDescent="0.25">
      <c r="A791" s="497" t="s">
        <v>5082</v>
      </c>
      <c r="B791" s="504" t="s">
        <v>3812</v>
      </c>
      <c r="C791" s="499" t="s">
        <v>13</v>
      </c>
      <c r="D791" s="499">
        <v>45604</v>
      </c>
      <c r="E791" s="498"/>
      <c r="F791" s="498" t="s">
        <v>143</v>
      </c>
      <c r="H791" s="504" t="s">
        <v>279</v>
      </c>
      <c r="I791" s="505"/>
      <c r="J791" s="506"/>
      <c r="K791" s="735">
        <v>37170</v>
      </c>
      <c r="L791" s="505"/>
      <c r="T791" s="504" t="s">
        <v>5004</v>
      </c>
      <c r="U791" s="502">
        <v>0.88611111111111107</v>
      </c>
      <c r="V791" s="502">
        <v>0.1111111111111111</v>
      </c>
    </row>
    <row r="792" spans="1:22" s="33" customFormat="1" x14ac:dyDescent="0.25">
      <c r="A792" s="547" t="s">
        <v>5082</v>
      </c>
      <c r="B792" s="33" t="s">
        <v>2129</v>
      </c>
      <c r="C792" s="548" t="s">
        <v>410</v>
      </c>
      <c r="D792" s="548">
        <v>45604</v>
      </c>
      <c r="E792" s="306"/>
      <c r="F792" s="306" t="s">
        <v>236</v>
      </c>
      <c r="H792" s="33" t="s">
        <v>279</v>
      </c>
      <c r="I792" s="312"/>
      <c r="J792" s="279"/>
      <c r="K792" s="736">
        <v>62540</v>
      </c>
      <c r="L792" s="312"/>
      <c r="T792" s="33" t="s">
        <v>5026</v>
      </c>
      <c r="U792" s="550">
        <v>0.90486111111111101</v>
      </c>
      <c r="V792" s="550">
        <v>0.17152777777777775</v>
      </c>
    </row>
    <row r="793" spans="1:22" s="504" customFormat="1" x14ac:dyDescent="0.25">
      <c r="A793" s="497" t="s">
        <v>5089</v>
      </c>
      <c r="B793" s="504" t="s">
        <v>5092</v>
      </c>
      <c r="C793" s="499" t="s">
        <v>13</v>
      </c>
      <c r="D793" s="499">
        <v>45605</v>
      </c>
      <c r="E793" s="498"/>
      <c r="F793" s="498" t="s">
        <v>106</v>
      </c>
      <c r="H793" s="504" t="s">
        <v>279</v>
      </c>
      <c r="I793" s="505"/>
      <c r="J793" s="506"/>
      <c r="K793" s="735">
        <v>29770</v>
      </c>
      <c r="L793" s="505"/>
      <c r="T793" s="504" t="s">
        <v>4140</v>
      </c>
      <c r="U793" s="502">
        <v>0.26319444444444445</v>
      </c>
      <c r="V793" s="502">
        <v>0.44722222222222219</v>
      </c>
    </row>
    <row r="794" spans="1:22" s="504" customFormat="1" x14ac:dyDescent="0.25">
      <c r="A794" s="497" t="s">
        <v>5089</v>
      </c>
      <c r="B794" s="504" t="s">
        <v>5093</v>
      </c>
      <c r="C794" s="499" t="s">
        <v>410</v>
      </c>
      <c r="D794" s="499">
        <v>45605</v>
      </c>
      <c r="E794" s="498"/>
      <c r="F794" s="498" t="s">
        <v>861</v>
      </c>
      <c r="H794" s="504" t="s">
        <v>279</v>
      </c>
      <c r="I794" s="505"/>
      <c r="J794" s="506"/>
      <c r="K794" s="735">
        <v>34200</v>
      </c>
      <c r="L794" s="505"/>
      <c r="T794" s="504" t="s">
        <v>2050</v>
      </c>
      <c r="U794" s="502">
        <v>0.3430555555555555</v>
      </c>
      <c r="V794" s="502">
        <v>0.56111111111111112</v>
      </c>
    </row>
    <row r="795" spans="1:22" s="504" customFormat="1" x14ac:dyDescent="0.25">
      <c r="A795" s="497" t="s">
        <v>5089</v>
      </c>
      <c r="B795" s="504" t="s">
        <v>2527</v>
      </c>
      <c r="C795" s="499" t="s">
        <v>13</v>
      </c>
      <c r="D795" s="499">
        <v>45605</v>
      </c>
      <c r="E795" s="498"/>
      <c r="F795" s="498" t="s">
        <v>285</v>
      </c>
      <c r="H795" s="504" t="s">
        <v>279</v>
      </c>
      <c r="I795" s="505"/>
      <c r="J795" s="506"/>
      <c r="K795" s="735">
        <v>45428.75</v>
      </c>
      <c r="L795" s="505"/>
      <c r="T795" s="504" t="s">
        <v>5088</v>
      </c>
      <c r="U795" s="502">
        <v>0.55972222222222223</v>
      </c>
      <c r="V795" s="502">
        <v>0.81041666666666667</v>
      </c>
    </row>
    <row r="796" spans="1:22" s="33" customFormat="1" x14ac:dyDescent="0.25">
      <c r="A796" s="547" t="s">
        <v>5089</v>
      </c>
      <c r="B796" s="33" t="s">
        <v>2174</v>
      </c>
      <c r="C796" s="548" t="s">
        <v>410</v>
      </c>
      <c r="D796" s="548">
        <v>45605</v>
      </c>
      <c r="E796" s="306"/>
      <c r="F796" s="306" t="s">
        <v>294</v>
      </c>
      <c r="H796" s="33" t="s">
        <v>279</v>
      </c>
      <c r="I796" s="312"/>
      <c r="J796" s="279"/>
      <c r="K796" s="736">
        <v>35685</v>
      </c>
      <c r="L796" s="312"/>
      <c r="T796" s="33" t="s">
        <v>2050</v>
      </c>
      <c r="U796" s="550">
        <v>0.59791666666666665</v>
      </c>
      <c r="V796" s="550">
        <v>0.81388888888888899</v>
      </c>
    </row>
    <row r="797" spans="1:22" s="504" customFormat="1" x14ac:dyDescent="0.25">
      <c r="A797" s="497" t="s">
        <v>5090</v>
      </c>
      <c r="B797" s="504" t="s">
        <v>614</v>
      </c>
      <c r="C797" s="499" t="s">
        <v>410</v>
      </c>
      <c r="D797" s="499">
        <v>45606</v>
      </c>
      <c r="E797" s="498"/>
      <c r="F797" s="498" t="s">
        <v>143</v>
      </c>
      <c r="H797" s="504" t="s">
        <v>279</v>
      </c>
      <c r="I797" s="505"/>
      <c r="J797" s="506"/>
      <c r="K797" s="735">
        <v>43612.800000000003</v>
      </c>
      <c r="L797" s="505"/>
      <c r="T797" s="504" t="s">
        <v>5078</v>
      </c>
      <c r="U797" s="502">
        <v>0.25555555555555559</v>
      </c>
      <c r="V797" s="502">
        <v>0.45</v>
      </c>
    </row>
    <row r="798" spans="1:22" s="33" customFormat="1" x14ac:dyDescent="0.25">
      <c r="A798" s="547" t="s">
        <v>5090</v>
      </c>
      <c r="B798" s="33" t="s">
        <v>611</v>
      </c>
      <c r="C798" s="548" t="s">
        <v>4218</v>
      </c>
      <c r="D798" s="548">
        <v>45606</v>
      </c>
      <c r="E798" s="306"/>
      <c r="F798" s="306" t="s">
        <v>143</v>
      </c>
      <c r="H798" s="33" t="s">
        <v>279</v>
      </c>
      <c r="I798" s="312"/>
      <c r="J798" s="279"/>
      <c r="K798" s="736">
        <v>36700</v>
      </c>
      <c r="L798" s="312"/>
      <c r="T798" s="33" t="s">
        <v>4345</v>
      </c>
      <c r="U798" s="550">
        <v>0.41875000000000001</v>
      </c>
      <c r="V798" s="550">
        <v>0.62222222222222223</v>
      </c>
    </row>
    <row r="799" spans="1:22" s="504" customFormat="1" x14ac:dyDescent="0.25">
      <c r="A799" s="497" t="s">
        <v>5090</v>
      </c>
      <c r="B799" s="504" t="s">
        <v>1720</v>
      </c>
      <c r="C799" s="499" t="s">
        <v>410</v>
      </c>
      <c r="D799" s="499">
        <v>45606</v>
      </c>
      <c r="E799" s="498"/>
      <c r="F799" s="498" t="s">
        <v>545</v>
      </c>
      <c r="H799" s="504" t="s">
        <v>277</v>
      </c>
      <c r="I799" s="505"/>
      <c r="J799" s="506"/>
      <c r="K799" s="735">
        <v>25016</v>
      </c>
      <c r="L799" s="505"/>
      <c r="T799" s="504" t="s">
        <v>4345</v>
      </c>
      <c r="U799" s="502">
        <v>0.64861111111111114</v>
      </c>
      <c r="V799" s="502">
        <v>0.76944444444444438</v>
      </c>
    </row>
    <row r="800" spans="1:22" s="504" customFormat="1" ht="15.75" thickBot="1" x14ac:dyDescent="0.3">
      <c r="A800" s="497" t="s">
        <v>5090</v>
      </c>
      <c r="B800" s="504" t="s">
        <v>614</v>
      </c>
      <c r="C800" s="499" t="s">
        <v>13</v>
      </c>
      <c r="D800" s="499">
        <v>45606</v>
      </c>
      <c r="E800" s="498"/>
      <c r="F800" s="498" t="s">
        <v>143</v>
      </c>
      <c r="H800" s="504" t="s">
        <v>279</v>
      </c>
      <c r="I800" s="505"/>
      <c r="J800" s="506"/>
      <c r="K800" s="738">
        <v>43612.800000000003</v>
      </c>
      <c r="L800" s="505"/>
      <c r="T800" s="504" t="s">
        <v>4911</v>
      </c>
      <c r="U800" s="502">
        <v>0.84791666666666676</v>
      </c>
      <c r="V800" s="502">
        <v>5.347222222222222E-2</v>
      </c>
    </row>
    <row r="801" spans="1:22" s="504" customFormat="1" x14ac:dyDescent="0.25">
      <c r="A801" s="497" t="s">
        <v>5091</v>
      </c>
      <c r="B801" s="504" t="s">
        <v>614</v>
      </c>
      <c r="C801" s="499" t="s">
        <v>13</v>
      </c>
      <c r="D801" s="499">
        <v>45607</v>
      </c>
      <c r="E801" s="498"/>
      <c r="F801" s="498" t="s">
        <v>68</v>
      </c>
      <c r="H801" s="504" t="s">
        <v>279</v>
      </c>
      <c r="I801" s="505"/>
      <c r="J801" s="506"/>
      <c r="K801" s="734">
        <v>49843.199999999997</v>
      </c>
      <c r="L801" s="505"/>
      <c r="T801" s="504" t="s">
        <v>5021</v>
      </c>
      <c r="U801" s="502">
        <v>0.27847222222222223</v>
      </c>
      <c r="V801" s="502">
        <v>0.54513888888888895</v>
      </c>
    </row>
    <row r="802" spans="1:22" s="504" customFormat="1" x14ac:dyDescent="0.25">
      <c r="A802" s="497" t="s">
        <v>5091</v>
      </c>
      <c r="B802" s="504" t="s">
        <v>614</v>
      </c>
      <c r="C802" s="499" t="s">
        <v>410</v>
      </c>
      <c r="D802" s="499">
        <v>45607</v>
      </c>
      <c r="E802" s="498"/>
      <c r="F802" s="498" t="s">
        <v>68</v>
      </c>
      <c r="H802" s="504" t="s">
        <v>279</v>
      </c>
      <c r="I802" s="505"/>
      <c r="J802" s="506"/>
      <c r="K802" s="735">
        <v>49843.199999999997</v>
      </c>
      <c r="L802" s="505"/>
      <c r="T802" s="504" t="s">
        <v>5078</v>
      </c>
      <c r="U802" s="502">
        <v>0.74236111111111114</v>
      </c>
      <c r="V802" s="502">
        <v>0.99375000000000002</v>
      </c>
    </row>
    <row r="803" spans="1:22" s="504" customFormat="1" x14ac:dyDescent="0.25">
      <c r="A803" s="497" t="s">
        <v>5091</v>
      </c>
      <c r="B803" s="504" t="s">
        <v>930</v>
      </c>
      <c r="C803" s="499" t="s">
        <v>4218</v>
      </c>
      <c r="D803" s="499">
        <v>45607</v>
      </c>
      <c r="E803" s="498"/>
      <c r="F803" s="498" t="s">
        <v>294</v>
      </c>
      <c r="H803" s="504" t="s">
        <v>277</v>
      </c>
      <c r="I803" s="505"/>
      <c r="J803" s="506"/>
      <c r="K803" s="741">
        <v>24886</v>
      </c>
      <c r="L803" s="505"/>
      <c r="T803" s="504" t="s">
        <v>4550</v>
      </c>
      <c r="U803" s="502">
        <v>0.77569444444444446</v>
      </c>
      <c r="V803" s="502">
        <v>0.93611111111111101</v>
      </c>
    </row>
    <row r="804" spans="1:22" s="504" customFormat="1" x14ac:dyDescent="0.25">
      <c r="A804" s="497" t="s">
        <v>5096</v>
      </c>
      <c r="B804" s="504" t="s">
        <v>4877</v>
      </c>
      <c r="C804" s="499" t="s">
        <v>4218</v>
      </c>
      <c r="D804" s="499">
        <v>45608</v>
      </c>
      <c r="E804" s="498"/>
      <c r="F804" s="498" t="s">
        <v>1931</v>
      </c>
      <c r="H804" s="504" t="s">
        <v>279</v>
      </c>
      <c r="I804" s="505"/>
      <c r="J804" s="506"/>
      <c r="K804" s="735">
        <v>55224</v>
      </c>
      <c r="L804" s="505"/>
      <c r="T804" s="504" t="s">
        <v>2050</v>
      </c>
      <c r="U804" s="502">
        <v>0.34513888888888888</v>
      </c>
      <c r="V804" s="502">
        <v>0.67152777777777772</v>
      </c>
    </row>
    <row r="805" spans="1:22" s="504" customFormat="1" x14ac:dyDescent="0.25">
      <c r="A805" s="497" t="s">
        <v>5096</v>
      </c>
      <c r="B805" s="504" t="s">
        <v>1720</v>
      </c>
      <c r="C805" s="499" t="s">
        <v>13</v>
      </c>
      <c r="D805" s="499">
        <v>45608</v>
      </c>
      <c r="E805" s="498"/>
      <c r="F805" s="498" t="s">
        <v>545</v>
      </c>
      <c r="H805" s="504" t="s">
        <v>277</v>
      </c>
      <c r="I805" s="505"/>
      <c r="J805" s="506"/>
      <c r="K805" s="735">
        <v>25016</v>
      </c>
      <c r="L805" s="505"/>
      <c r="T805" s="504" t="s">
        <v>5098</v>
      </c>
      <c r="U805" s="502">
        <v>0.59236111111111112</v>
      </c>
      <c r="V805" s="502">
        <v>0.70347222222222228</v>
      </c>
    </row>
    <row r="806" spans="1:22" s="504" customFormat="1" x14ac:dyDescent="0.25">
      <c r="A806" s="497" t="s">
        <v>5096</v>
      </c>
      <c r="B806" s="504" t="s">
        <v>608</v>
      </c>
      <c r="C806" s="499" t="s">
        <v>13</v>
      </c>
      <c r="D806" s="499">
        <v>45608</v>
      </c>
      <c r="E806" s="498"/>
      <c r="F806" s="498" t="s">
        <v>236</v>
      </c>
      <c r="H806" s="504" t="s">
        <v>279</v>
      </c>
      <c r="I806" s="505"/>
      <c r="J806" s="506"/>
      <c r="K806" s="735">
        <v>58231</v>
      </c>
      <c r="L806" s="505"/>
      <c r="T806" s="504" t="s">
        <v>4396</v>
      </c>
      <c r="U806" s="502">
        <v>0.94722222222222219</v>
      </c>
      <c r="V806" s="502">
        <v>0.22361111111111112</v>
      </c>
    </row>
    <row r="807" spans="1:22" s="504" customFormat="1" x14ac:dyDescent="0.25">
      <c r="A807" s="497" t="s">
        <v>5097</v>
      </c>
      <c r="B807" s="504" t="s">
        <v>614</v>
      </c>
      <c r="C807" s="499" t="s">
        <v>4218</v>
      </c>
      <c r="D807" s="499">
        <v>45609</v>
      </c>
      <c r="E807" s="498"/>
      <c r="F807" s="498" t="s">
        <v>113</v>
      </c>
      <c r="H807" s="504" t="s">
        <v>279</v>
      </c>
      <c r="I807" s="505"/>
      <c r="J807" s="506"/>
      <c r="K807" s="735">
        <v>44651.199999999997</v>
      </c>
      <c r="L807" s="505"/>
      <c r="T807" s="504" t="s">
        <v>4983</v>
      </c>
      <c r="U807" s="502">
        <v>0.36319444444444443</v>
      </c>
      <c r="V807" s="502">
        <v>0.57152777777777775</v>
      </c>
    </row>
    <row r="808" spans="1:22" s="504" customFormat="1" x14ac:dyDescent="0.25">
      <c r="A808" s="497" t="s">
        <v>5097</v>
      </c>
      <c r="B808" s="504" t="s">
        <v>614</v>
      </c>
      <c r="C808" s="499" t="s">
        <v>410</v>
      </c>
      <c r="D808" s="499">
        <v>45609</v>
      </c>
      <c r="E808" s="498"/>
      <c r="F808" s="498" t="s">
        <v>2008</v>
      </c>
      <c r="H808" s="504" t="s">
        <v>279</v>
      </c>
      <c r="I808" s="505"/>
      <c r="J808" s="506"/>
      <c r="K808" s="735">
        <v>55035.199999999997</v>
      </c>
      <c r="L808" s="505"/>
      <c r="T808" s="504" t="s">
        <v>4581</v>
      </c>
      <c r="U808" s="502">
        <v>0.26805555555555555</v>
      </c>
      <c r="V808" s="502">
        <v>0.49305555555555558</v>
      </c>
    </row>
    <row r="809" spans="1:22" s="504" customFormat="1" x14ac:dyDescent="0.25">
      <c r="A809" s="497" t="s">
        <v>5097</v>
      </c>
      <c r="B809" s="504" t="s">
        <v>2439</v>
      </c>
      <c r="C809" s="499" t="s">
        <v>13</v>
      </c>
      <c r="D809" s="499">
        <v>45609</v>
      </c>
      <c r="E809" s="498"/>
      <c r="F809" s="498" t="s">
        <v>796</v>
      </c>
      <c r="H809" s="504" t="s">
        <v>279</v>
      </c>
      <c r="I809" s="505"/>
      <c r="J809" s="506"/>
      <c r="K809" s="735">
        <v>27612</v>
      </c>
      <c r="L809" s="505"/>
      <c r="T809" s="504" t="s">
        <v>4139</v>
      </c>
      <c r="U809" s="502">
        <v>0.27847222222222223</v>
      </c>
      <c r="V809" s="502">
        <v>0.51944444444444449</v>
      </c>
    </row>
    <row r="810" spans="1:22" s="504" customFormat="1" ht="15.75" thickBot="1" x14ac:dyDescent="0.3">
      <c r="A810" s="497" t="s">
        <v>5097</v>
      </c>
      <c r="B810" s="504" t="s">
        <v>1720</v>
      </c>
      <c r="C810" s="499" t="s">
        <v>410</v>
      </c>
      <c r="D810" s="499">
        <v>45609</v>
      </c>
      <c r="E810" s="498"/>
      <c r="F810" s="498" t="s">
        <v>545</v>
      </c>
      <c r="H810" s="504" t="s">
        <v>277</v>
      </c>
      <c r="I810" s="505"/>
      <c r="J810" s="506"/>
      <c r="K810" s="735">
        <v>25016</v>
      </c>
      <c r="L810" s="505"/>
      <c r="T810" s="504" t="s">
        <v>4581</v>
      </c>
      <c r="U810" s="502">
        <v>0.52708333333333335</v>
      </c>
      <c r="V810" s="502">
        <v>0.65694444444444444</v>
      </c>
    </row>
    <row r="811" spans="1:22" s="504" customFormat="1" ht="15.75" thickBot="1" x14ac:dyDescent="0.3">
      <c r="A811" s="497" t="s">
        <v>5097</v>
      </c>
      <c r="B811" s="504" t="s">
        <v>572</v>
      </c>
      <c r="C811" s="499" t="s">
        <v>13</v>
      </c>
      <c r="D811" s="499">
        <v>45609</v>
      </c>
      <c r="E811" s="498"/>
      <c r="F811" s="498" t="s">
        <v>207</v>
      </c>
      <c r="H811" s="504" t="s">
        <v>279</v>
      </c>
      <c r="I811" s="505"/>
      <c r="J811" s="506"/>
      <c r="K811" s="735"/>
      <c r="L811" s="742">
        <v>8968</v>
      </c>
      <c r="T811" s="504" t="s">
        <v>2050</v>
      </c>
      <c r="U811" s="502">
        <v>0.59444444444444444</v>
      </c>
      <c r="V811" s="502">
        <v>0.79722222222222228</v>
      </c>
    </row>
    <row r="812" spans="1:22" s="504" customFormat="1" x14ac:dyDescent="0.25">
      <c r="A812" s="497" t="s">
        <v>5123</v>
      </c>
      <c r="B812" s="504" t="s">
        <v>1720</v>
      </c>
      <c r="C812" s="499" t="s">
        <v>4218</v>
      </c>
      <c r="D812" s="499">
        <v>45610</v>
      </c>
      <c r="E812" s="498"/>
      <c r="F812" s="498" t="s">
        <v>545</v>
      </c>
      <c r="H812" s="504" t="s">
        <v>277</v>
      </c>
      <c r="I812" s="505"/>
      <c r="J812" s="506"/>
      <c r="K812" s="735">
        <v>25016</v>
      </c>
      <c r="L812" s="505"/>
      <c r="T812" s="504" t="s">
        <v>5026</v>
      </c>
      <c r="U812" s="502">
        <v>0.27708333333333335</v>
      </c>
      <c r="V812" s="502">
        <v>0.42499999999999999</v>
      </c>
    </row>
    <row r="813" spans="1:22" s="33" customFormat="1" x14ac:dyDescent="0.25">
      <c r="A813" s="547" t="s">
        <v>5123</v>
      </c>
      <c r="B813" s="33" t="s">
        <v>2651</v>
      </c>
      <c r="C813" s="548" t="s">
        <v>410</v>
      </c>
      <c r="D813" s="548">
        <v>45610</v>
      </c>
      <c r="E813" s="306"/>
      <c r="F813" s="306" t="s">
        <v>2253</v>
      </c>
      <c r="H813" s="33" t="s">
        <v>279</v>
      </c>
      <c r="I813" s="312"/>
      <c r="J813" s="279"/>
      <c r="K813" s="736">
        <v>56333</v>
      </c>
      <c r="L813" s="312"/>
      <c r="T813" s="33" t="s">
        <v>4581</v>
      </c>
      <c r="U813" s="550">
        <v>0.30277777777777776</v>
      </c>
      <c r="V813" s="550">
        <v>0.62152777777777779</v>
      </c>
    </row>
    <row r="814" spans="1:22" s="504" customFormat="1" x14ac:dyDescent="0.25">
      <c r="A814" s="497" t="s">
        <v>5123</v>
      </c>
      <c r="B814" s="504" t="s">
        <v>3880</v>
      </c>
      <c r="C814" s="499" t="s">
        <v>4218</v>
      </c>
      <c r="D814" s="499">
        <v>45610</v>
      </c>
      <c r="E814" s="498"/>
      <c r="F814" s="498" t="s">
        <v>545</v>
      </c>
      <c r="H814" s="504" t="s">
        <v>279</v>
      </c>
      <c r="I814" s="505"/>
      <c r="J814" s="506"/>
      <c r="K814" s="735">
        <v>32284.400000000001</v>
      </c>
      <c r="L814" s="505"/>
      <c r="T814" s="504" t="s">
        <v>5119</v>
      </c>
      <c r="U814" s="502">
        <v>0.71736111111111112</v>
      </c>
      <c r="V814" s="502">
        <v>0.90763888888888888</v>
      </c>
    </row>
    <row r="815" spans="1:22" s="504" customFormat="1" x14ac:dyDescent="0.25">
      <c r="A815" s="497" t="s">
        <v>5130</v>
      </c>
      <c r="B815" s="504" t="s">
        <v>1720</v>
      </c>
      <c r="C815" s="499" t="s">
        <v>410</v>
      </c>
      <c r="D815" s="499">
        <v>45611</v>
      </c>
      <c r="E815" s="498"/>
      <c r="F815" s="498" t="s">
        <v>545</v>
      </c>
      <c r="H815" s="504" t="s">
        <v>279</v>
      </c>
      <c r="I815" s="505"/>
      <c r="J815" s="506"/>
      <c r="K815" s="735">
        <v>34456</v>
      </c>
      <c r="L815" s="505"/>
      <c r="T815" s="504" t="s">
        <v>5004</v>
      </c>
      <c r="U815" s="502">
        <v>0.30208333333333331</v>
      </c>
      <c r="V815" s="502">
        <v>0.50416666666666665</v>
      </c>
    </row>
    <row r="816" spans="1:22" s="33" customFormat="1" x14ac:dyDescent="0.25">
      <c r="A816" s="547" t="s">
        <v>5130</v>
      </c>
      <c r="B816" s="33" t="s">
        <v>875</v>
      </c>
      <c r="C816" s="548" t="s">
        <v>13</v>
      </c>
      <c r="D816" s="548">
        <v>45611</v>
      </c>
      <c r="E816" s="306"/>
      <c r="F816" s="306" t="s">
        <v>2036</v>
      </c>
      <c r="H816" s="33" t="s">
        <v>279</v>
      </c>
      <c r="I816" s="312"/>
      <c r="J816" s="279"/>
      <c r="K816" s="736">
        <v>23500</v>
      </c>
      <c r="L816" s="312"/>
      <c r="T816" s="33" t="s">
        <v>5131</v>
      </c>
      <c r="U816" s="550">
        <v>0.37569444444444444</v>
      </c>
      <c r="V816" s="550">
        <v>0.51458333333333328</v>
      </c>
    </row>
    <row r="817" spans="1:22" s="33" customFormat="1" x14ac:dyDescent="0.25">
      <c r="A817" s="547" t="s">
        <v>5130</v>
      </c>
      <c r="B817" s="33" t="s">
        <v>875</v>
      </c>
      <c r="C817" s="548" t="s">
        <v>4218</v>
      </c>
      <c r="D817" s="548">
        <v>45611</v>
      </c>
      <c r="E817" s="306"/>
      <c r="F817" s="306" t="s">
        <v>2036</v>
      </c>
      <c r="H817" s="33" t="s">
        <v>279</v>
      </c>
      <c r="I817" s="312"/>
      <c r="J817" s="279"/>
      <c r="K817" s="736">
        <v>23500</v>
      </c>
      <c r="L817" s="312"/>
      <c r="T817" s="33" t="s">
        <v>4911</v>
      </c>
      <c r="U817" s="550">
        <v>0.41666666666666669</v>
      </c>
      <c r="V817" s="550">
        <v>0.62291666666666667</v>
      </c>
    </row>
    <row r="818" spans="1:22" s="504" customFormat="1" x14ac:dyDescent="0.25">
      <c r="A818" s="497" t="s">
        <v>5130</v>
      </c>
      <c r="B818" s="504" t="s">
        <v>1720</v>
      </c>
      <c r="C818" s="499" t="s">
        <v>410</v>
      </c>
      <c r="D818" s="499">
        <v>45611</v>
      </c>
      <c r="E818" s="498"/>
      <c r="F818" s="498" t="s">
        <v>545</v>
      </c>
      <c r="H818" s="504" t="s">
        <v>277</v>
      </c>
      <c r="I818" s="505"/>
      <c r="J818" s="506"/>
      <c r="K818" s="735">
        <v>25016</v>
      </c>
      <c r="L818" s="505"/>
      <c r="T818" s="504" t="s">
        <v>5004</v>
      </c>
      <c r="U818" s="502">
        <v>0.55972222222222223</v>
      </c>
      <c r="V818" s="502">
        <v>0.67708333333333337</v>
      </c>
    </row>
    <row r="819" spans="1:22" s="504" customFormat="1" x14ac:dyDescent="0.25">
      <c r="A819" s="497" t="s">
        <v>5130</v>
      </c>
      <c r="B819" s="504" t="s">
        <v>1720</v>
      </c>
      <c r="C819" s="499" t="s">
        <v>13</v>
      </c>
      <c r="D819" s="499">
        <v>45611</v>
      </c>
      <c r="E819" s="498"/>
      <c r="F819" s="498" t="s">
        <v>545</v>
      </c>
      <c r="H819" s="504" t="s">
        <v>279</v>
      </c>
      <c r="I819" s="505"/>
      <c r="J819" s="506"/>
      <c r="K819" s="735">
        <v>34456</v>
      </c>
      <c r="L819" s="505"/>
      <c r="T819" s="504" t="s">
        <v>5131</v>
      </c>
      <c r="U819" s="502">
        <v>0.63888888888888895</v>
      </c>
      <c r="V819" s="502">
        <v>0.83333333333333337</v>
      </c>
    </row>
    <row r="820" spans="1:22" s="504" customFormat="1" x14ac:dyDescent="0.25">
      <c r="A820" s="497" t="s">
        <v>5135</v>
      </c>
      <c r="B820" s="504" t="s">
        <v>5134</v>
      </c>
      <c r="C820" s="499" t="s">
        <v>13</v>
      </c>
      <c r="D820" s="499">
        <v>45612</v>
      </c>
      <c r="E820" s="498"/>
      <c r="F820" s="498" t="s">
        <v>106</v>
      </c>
      <c r="H820" s="504" t="s">
        <v>279</v>
      </c>
      <c r="I820" s="505"/>
      <c r="J820" s="506"/>
      <c r="K820" s="735">
        <v>26200</v>
      </c>
      <c r="L820" s="505"/>
      <c r="T820" s="504" t="s">
        <v>4345</v>
      </c>
      <c r="U820" s="502">
        <v>0.24166666666666667</v>
      </c>
      <c r="V820" s="502">
        <v>0.43402777777777773</v>
      </c>
    </row>
    <row r="821" spans="1:22" s="33" customFormat="1" ht="15" customHeight="1" x14ac:dyDescent="0.25">
      <c r="A821" s="547" t="s">
        <v>5135</v>
      </c>
      <c r="B821" s="33" t="s">
        <v>5093</v>
      </c>
      <c r="C821" s="548" t="s">
        <v>4218</v>
      </c>
      <c r="D821" s="548">
        <v>45612</v>
      </c>
      <c r="E821" s="306"/>
      <c r="F821" s="306" t="s">
        <v>861</v>
      </c>
      <c r="H821" s="33" t="s">
        <v>279</v>
      </c>
      <c r="I821" s="312"/>
      <c r="J821" s="279"/>
      <c r="K821" s="736">
        <v>34500</v>
      </c>
      <c r="L821" s="312"/>
      <c r="T821" s="33" t="s">
        <v>5119</v>
      </c>
      <c r="U821" s="550">
        <v>0.29444444444444445</v>
      </c>
      <c r="V821" s="550">
        <v>0.50486111111111109</v>
      </c>
    </row>
    <row r="822" spans="1:22" s="33" customFormat="1" x14ac:dyDescent="0.25">
      <c r="A822" s="547" t="s">
        <v>5135</v>
      </c>
      <c r="B822" s="33" t="s">
        <v>875</v>
      </c>
      <c r="C822" s="548" t="s">
        <v>410</v>
      </c>
      <c r="D822" s="548">
        <v>45612</v>
      </c>
      <c r="E822" s="306"/>
      <c r="F822" s="306" t="s">
        <v>4562</v>
      </c>
      <c r="H822" s="33" t="s">
        <v>279</v>
      </c>
      <c r="I822" s="312"/>
      <c r="J822" s="279"/>
      <c r="K822" s="736">
        <v>27612</v>
      </c>
      <c r="L822" s="312"/>
      <c r="T822" s="33" t="s">
        <v>4581</v>
      </c>
      <c r="U822" s="550">
        <v>0.38750000000000001</v>
      </c>
      <c r="V822" s="550">
        <v>0.52847222222222223</v>
      </c>
    </row>
    <row r="823" spans="1:22" s="33" customFormat="1" x14ac:dyDescent="0.25">
      <c r="A823" s="547" t="s">
        <v>5135</v>
      </c>
      <c r="B823" s="33" t="s">
        <v>614</v>
      </c>
      <c r="C823" s="548" t="s">
        <v>13</v>
      </c>
      <c r="D823" s="548">
        <v>45612</v>
      </c>
      <c r="E823" s="306"/>
      <c r="F823" s="306" t="s">
        <v>317</v>
      </c>
      <c r="H823" s="33" t="s">
        <v>279</v>
      </c>
      <c r="I823" s="312"/>
      <c r="J823" s="279"/>
      <c r="K823" s="736">
        <v>53996.800000000003</v>
      </c>
      <c r="L823" s="312"/>
      <c r="T823" s="33" t="s">
        <v>4345</v>
      </c>
      <c r="U823" s="550">
        <v>0.4777777777777778</v>
      </c>
      <c r="V823" s="550">
        <v>0.76666666666666661</v>
      </c>
    </row>
    <row r="824" spans="1:22" s="33" customFormat="1" x14ac:dyDescent="0.25">
      <c r="A824" s="547" t="s">
        <v>5135</v>
      </c>
      <c r="B824" s="33" t="s">
        <v>614</v>
      </c>
      <c r="C824" s="548" t="s">
        <v>4218</v>
      </c>
      <c r="D824" s="548">
        <v>45612</v>
      </c>
      <c r="E824" s="306"/>
      <c r="F824" s="306" t="s">
        <v>545</v>
      </c>
      <c r="H824" s="33" t="s">
        <v>279</v>
      </c>
      <c r="I824" s="312"/>
      <c r="J824" s="279"/>
      <c r="K824" s="736">
        <v>37382.400000000001</v>
      </c>
      <c r="L824" s="312"/>
      <c r="T824" s="33" t="s">
        <v>5119</v>
      </c>
      <c r="U824" s="550">
        <v>0.54861111111111105</v>
      </c>
      <c r="V824" s="550">
        <v>0.72499999999999998</v>
      </c>
    </row>
    <row r="825" spans="1:22" s="33" customFormat="1" x14ac:dyDescent="0.25">
      <c r="A825" s="547" t="s">
        <v>5135</v>
      </c>
      <c r="B825" s="33" t="s">
        <v>875</v>
      </c>
      <c r="C825" s="548" t="s">
        <v>410</v>
      </c>
      <c r="D825" s="548">
        <v>45612</v>
      </c>
      <c r="E825" s="306"/>
      <c r="F825" s="306" t="s">
        <v>2036</v>
      </c>
      <c r="H825" s="33" t="s">
        <v>279</v>
      </c>
      <c r="I825" s="312"/>
      <c r="J825" s="279"/>
      <c r="K825" s="736">
        <v>23500</v>
      </c>
      <c r="L825" s="312"/>
      <c r="T825" s="33" t="s">
        <v>4581</v>
      </c>
      <c r="U825" s="550">
        <v>0.6020833333333333</v>
      </c>
      <c r="V825" s="550">
        <v>0.72916666666666663</v>
      </c>
    </row>
    <row r="826" spans="1:22" s="504" customFormat="1" x14ac:dyDescent="0.25">
      <c r="A826" s="497" t="s">
        <v>5135</v>
      </c>
      <c r="B826" s="504" t="s">
        <v>1720</v>
      </c>
      <c r="C826" s="499" t="s">
        <v>4218</v>
      </c>
      <c r="D826" s="499">
        <v>45612</v>
      </c>
      <c r="E826" s="498"/>
      <c r="F826" s="498" t="s">
        <v>545</v>
      </c>
      <c r="H826" s="504" t="s">
        <v>277</v>
      </c>
      <c r="I826" s="505"/>
      <c r="J826" s="506"/>
      <c r="K826" s="735">
        <v>25016</v>
      </c>
      <c r="L826" s="505"/>
      <c r="T826" s="504" t="s">
        <v>5004</v>
      </c>
      <c r="U826" s="502">
        <v>0.7729166666666667</v>
      </c>
      <c r="V826" s="502">
        <v>0.89236111111111116</v>
      </c>
    </row>
    <row r="827" spans="1:22" s="33" customFormat="1" ht="15.75" thickBot="1" x14ac:dyDescent="0.3">
      <c r="A827" s="547" t="s">
        <v>5136</v>
      </c>
      <c r="B827" s="33" t="s">
        <v>614</v>
      </c>
      <c r="C827" s="548" t="s">
        <v>410</v>
      </c>
      <c r="D827" s="548">
        <v>45613</v>
      </c>
      <c r="E827" s="306"/>
      <c r="F827" s="306" t="s">
        <v>1931</v>
      </c>
      <c r="H827" s="33" t="s">
        <v>279</v>
      </c>
      <c r="I827" s="312"/>
      <c r="J827" s="279"/>
      <c r="K827" s="750">
        <v>62304</v>
      </c>
      <c r="L827" s="312"/>
      <c r="T827" s="33" t="s">
        <v>4139</v>
      </c>
      <c r="U827" s="550">
        <v>0.37708333333333338</v>
      </c>
      <c r="V827" s="550">
        <v>0.76250000000000007</v>
      </c>
    </row>
    <row r="828" spans="1:22" s="504" customFormat="1" x14ac:dyDescent="0.25">
      <c r="A828" s="497">
        <v>18112024</v>
      </c>
      <c r="B828" s="504" t="s">
        <v>607</v>
      </c>
      <c r="C828" s="499" t="s">
        <v>13</v>
      </c>
      <c r="D828" s="499">
        <v>45614</v>
      </c>
      <c r="E828" s="498"/>
      <c r="F828" s="498" t="s">
        <v>207</v>
      </c>
      <c r="H828" s="504" t="s">
        <v>279</v>
      </c>
      <c r="I828" s="505"/>
      <c r="J828" s="506"/>
      <c r="K828" s="734">
        <v>36253.14</v>
      </c>
      <c r="L828" s="505"/>
      <c r="T828" s="504" t="s">
        <v>4617</v>
      </c>
      <c r="U828" s="502">
        <v>0.24791666666666667</v>
      </c>
      <c r="V828" s="502">
        <v>0.45416666666666666</v>
      </c>
    </row>
    <row r="829" spans="1:22" s="33" customFormat="1" x14ac:dyDescent="0.25">
      <c r="A829" s="547">
        <v>18112024</v>
      </c>
      <c r="B829" s="33" t="s">
        <v>614</v>
      </c>
      <c r="C829" s="548" t="s">
        <v>410</v>
      </c>
      <c r="D829" s="548">
        <v>45614</v>
      </c>
      <c r="E829" s="306"/>
      <c r="F829" s="306" t="s">
        <v>4200</v>
      </c>
      <c r="H829" s="33" t="s">
        <v>279</v>
      </c>
      <c r="I829" s="312"/>
      <c r="J829" s="279"/>
      <c r="K829" s="736">
        <v>44651.199999999997</v>
      </c>
      <c r="L829" s="312"/>
      <c r="T829" s="33" t="s">
        <v>4022</v>
      </c>
      <c r="U829" s="550">
        <v>0.38611111111111113</v>
      </c>
      <c r="V829" s="550">
        <v>0.70972222222222225</v>
      </c>
    </row>
    <row r="830" spans="1:22" s="504" customFormat="1" x14ac:dyDescent="0.25">
      <c r="A830" s="497">
        <v>18112024</v>
      </c>
      <c r="B830" s="504" t="s">
        <v>1720</v>
      </c>
      <c r="C830" s="499" t="s">
        <v>4218</v>
      </c>
      <c r="D830" s="499">
        <v>45614</v>
      </c>
      <c r="E830" s="498"/>
      <c r="F830" s="498" t="s">
        <v>545</v>
      </c>
      <c r="H830" s="504" t="s">
        <v>279</v>
      </c>
      <c r="I830" s="505"/>
      <c r="J830" s="506"/>
      <c r="K830" s="735">
        <v>34456</v>
      </c>
      <c r="L830" s="505"/>
      <c r="T830" s="504" t="s">
        <v>2050</v>
      </c>
      <c r="U830" s="502">
        <v>0.41041666666666665</v>
      </c>
      <c r="V830" s="502">
        <v>0.5805555555555556</v>
      </c>
    </row>
    <row r="831" spans="1:22" s="504" customFormat="1" ht="15.75" thickBot="1" x14ac:dyDescent="0.3">
      <c r="A831" s="497">
        <v>18112024</v>
      </c>
      <c r="B831" s="504" t="s">
        <v>614</v>
      </c>
      <c r="C831" s="499" t="s">
        <v>13</v>
      </c>
      <c r="D831" s="499">
        <v>45614</v>
      </c>
      <c r="E831" s="498"/>
      <c r="F831" s="498" t="s">
        <v>2029</v>
      </c>
      <c r="H831" s="504" t="s">
        <v>279</v>
      </c>
      <c r="I831" s="505"/>
      <c r="J831" s="506"/>
      <c r="K831" s="735">
        <v>31152</v>
      </c>
      <c r="L831" s="505"/>
      <c r="T831" s="504" t="s">
        <v>4617</v>
      </c>
      <c r="U831" s="502">
        <v>0.51736111111111105</v>
      </c>
      <c r="V831" s="502">
        <v>0.69652777777777775</v>
      </c>
    </row>
    <row r="832" spans="1:22" s="33" customFormat="1" x14ac:dyDescent="0.25">
      <c r="A832" s="547">
        <v>19112024</v>
      </c>
      <c r="B832" s="33" t="s">
        <v>3238</v>
      </c>
      <c r="C832" s="548" t="s">
        <v>13</v>
      </c>
      <c r="D832" s="548">
        <v>45615</v>
      </c>
      <c r="E832" s="306"/>
      <c r="F832" s="306" t="s">
        <v>2029</v>
      </c>
      <c r="H832" s="33" t="s">
        <v>279</v>
      </c>
      <c r="I832" s="312"/>
      <c r="J832" s="279"/>
      <c r="K832" s="736"/>
      <c r="L832" s="751">
        <f>5460*1.18</f>
        <v>6442.7999999999993</v>
      </c>
      <c r="T832" s="33" t="s">
        <v>4853</v>
      </c>
      <c r="U832" s="550">
        <v>0.33958333333333335</v>
      </c>
      <c r="V832" s="550">
        <v>0.51597222222222217</v>
      </c>
    </row>
    <row r="833" spans="1:22" s="504" customFormat="1" x14ac:dyDescent="0.25">
      <c r="A833" s="497">
        <v>20112024</v>
      </c>
      <c r="B833" s="504" t="s">
        <v>607</v>
      </c>
      <c r="C833" s="499" t="s">
        <v>13</v>
      </c>
      <c r="D833" s="499">
        <v>45616</v>
      </c>
      <c r="E833" s="498"/>
      <c r="F833" s="498" t="s">
        <v>207</v>
      </c>
      <c r="H833" s="504" t="s">
        <v>279</v>
      </c>
      <c r="I833" s="505"/>
      <c r="J833" s="506"/>
      <c r="K833" s="735">
        <v>36253.14</v>
      </c>
      <c r="L833" s="743"/>
      <c r="T833" s="504" t="s">
        <v>4617</v>
      </c>
      <c r="U833" s="502">
        <v>0.26180555555555557</v>
      </c>
      <c r="V833" s="502">
        <v>0.47986111111111113</v>
      </c>
    </row>
    <row r="834" spans="1:22" s="504" customFormat="1" x14ac:dyDescent="0.25">
      <c r="A834" s="497">
        <v>20112024</v>
      </c>
      <c r="B834" s="504" t="s">
        <v>608</v>
      </c>
      <c r="C834" s="499" t="s">
        <v>410</v>
      </c>
      <c r="D834" s="499">
        <v>45616</v>
      </c>
      <c r="E834" s="498"/>
      <c r="F834" s="498" t="s">
        <v>4476</v>
      </c>
      <c r="H834" s="504" t="s">
        <v>279</v>
      </c>
      <c r="I834" s="505"/>
      <c r="J834" s="506"/>
      <c r="K834" s="735">
        <v>62032</v>
      </c>
      <c r="L834" s="743"/>
      <c r="T834" s="504" t="s">
        <v>5131</v>
      </c>
      <c r="U834" s="502">
        <v>0.30138888888888887</v>
      </c>
      <c r="V834" s="502">
        <v>0.66805555555555562</v>
      </c>
    </row>
    <row r="835" spans="1:22" s="504" customFormat="1" x14ac:dyDescent="0.25">
      <c r="A835" s="497">
        <v>20112024</v>
      </c>
      <c r="B835" s="504" t="s">
        <v>608</v>
      </c>
      <c r="C835" s="499" t="s">
        <v>410</v>
      </c>
      <c r="D835" s="499">
        <v>45616</v>
      </c>
      <c r="E835" s="498"/>
      <c r="F835" s="498" t="s">
        <v>236</v>
      </c>
      <c r="H835" s="504" t="s">
        <v>5224</v>
      </c>
      <c r="I835" s="505"/>
      <c r="J835" s="506"/>
      <c r="K835" s="735">
        <v>49173</v>
      </c>
      <c r="L835" s="743"/>
      <c r="T835" s="504" t="s">
        <v>5131</v>
      </c>
      <c r="U835" s="502">
        <v>0.73611111111111116</v>
      </c>
      <c r="V835" s="502">
        <v>0.8833333333333333</v>
      </c>
    </row>
    <row r="836" spans="1:22" s="504" customFormat="1" x14ac:dyDescent="0.25">
      <c r="A836" s="497">
        <v>20112024</v>
      </c>
      <c r="B836" s="504" t="s">
        <v>1055</v>
      </c>
      <c r="C836" s="499" t="s">
        <v>13</v>
      </c>
      <c r="D836" s="499">
        <v>45616</v>
      </c>
      <c r="E836" s="498"/>
      <c r="F836" s="498" t="s">
        <v>236</v>
      </c>
      <c r="H836" s="504" t="s">
        <v>5224</v>
      </c>
      <c r="I836" s="505"/>
      <c r="J836" s="506"/>
      <c r="K836" s="735">
        <v>49173</v>
      </c>
      <c r="L836" s="743"/>
      <c r="T836" s="504" t="s">
        <v>4867</v>
      </c>
      <c r="U836" s="502">
        <v>0.73611111111111116</v>
      </c>
      <c r="V836" s="502">
        <v>0.99305555555555547</v>
      </c>
    </row>
    <row r="837" spans="1:22" s="504" customFormat="1" x14ac:dyDescent="0.25">
      <c r="A837" s="497">
        <v>21112024</v>
      </c>
      <c r="B837" s="504" t="s">
        <v>1720</v>
      </c>
      <c r="C837" s="499" t="s">
        <v>4218</v>
      </c>
      <c r="D837" s="499">
        <v>45617</v>
      </c>
      <c r="E837" s="498"/>
      <c r="F837" s="498" t="s">
        <v>545</v>
      </c>
      <c r="H837" s="504" t="s">
        <v>277</v>
      </c>
      <c r="I837" s="505"/>
      <c r="J837" s="506"/>
      <c r="K837" s="735">
        <v>25016</v>
      </c>
      <c r="L837" s="743"/>
      <c r="T837" s="504" t="s">
        <v>4911</v>
      </c>
      <c r="U837" s="502">
        <v>0.27708333333333335</v>
      </c>
      <c r="V837" s="502">
        <v>0.43055555555555558</v>
      </c>
    </row>
    <row r="838" spans="1:22" s="504" customFormat="1" x14ac:dyDescent="0.25">
      <c r="A838" s="497">
        <v>21112024</v>
      </c>
      <c r="B838" s="504" t="s">
        <v>2651</v>
      </c>
      <c r="C838" s="499" t="s">
        <v>13</v>
      </c>
      <c r="D838" s="499">
        <v>45617</v>
      </c>
      <c r="E838" s="498"/>
      <c r="F838" s="498" t="s">
        <v>2253</v>
      </c>
      <c r="H838" s="504" t="s">
        <v>279</v>
      </c>
      <c r="I838" s="505"/>
      <c r="J838" s="506"/>
      <c r="K838" s="735">
        <v>56333</v>
      </c>
      <c r="L838" s="743"/>
      <c r="T838" s="504" t="s">
        <v>4509</v>
      </c>
      <c r="U838" s="502">
        <v>0.26250000000000001</v>
      </c>
      <c r="V838" s="502">
        <v>0.64444444444444449</v>
      </c>
    </row>
    <row r="839" spans="1:22" s="504" customFormat="1" x14ac:dyDescent="0.25">
      <c r="A839" s="497">
        <v>21112024</v>
      </c>
      <c r="B839" s="504" t="s">
        <v>610</v>
      </c>
      <c r="C839" s="499" t="s">
        <v>4218</v>
      </c>
      <c r="D839" s="499">
        <v>45617</v>
      </c>
      <c r="E839" s="498"/>
      <c r="F839" s="498" t="s">
        <v>106</v>
      </c>
      <c r="H839" s="504" t="s">
        <v>279</v>
      </c>
      <c r="I839" s="505"/>
      <c r="J839" s="506"/>
      <c r="K839" s="735">
        <v>29770</v>
      </c>
      <c r="L839" s="743"/>
      <c r="T839" s="504" t="s">
        <v>4911</v>
      </c>
      <c r="U839" s="502">
        <v>0.47083333333333338</v>
      </c>
      <c r="V839" s="502">
        <v>14.45</v>
      </c>
    </row>
    <row r="840" spans="1:22" s="504" customFormat="1" ht="15.75" thickBot="1" x14ac:dyDescent="0.3">
      <c r="A840" s="497">
        <v>22112024</v>
      </c>
      <c r="B840" s="504" t="s">
        <v>5160</v>
      </c>
      <c r="C840" s="499" t="s">
        <v>13</v>
      </c>
      <c r="D840" s="499">
        <v>45618</v>
      </c>
      <c r="E840" s="498"/>
      <c r="F840" s="498" t="s">
        <v>207</v>
      </c>
      <c r="H840" s="504" t="s">
        <v>279</v>
      </c>
      <c r="I840" s="505"/>
      <c r="J840" s="506"/>
      <c r="K840" s="735"/>
      <c r="L840" s="744">
        <v>10620</v>
      </c>
      <c r="T840" s="504" t="s">
        <v>4867</v>
      </c>
      <c r="U840" s="502">
        <v>0.2590277777777778</v>
      </c>
      <c r="V840" s="502">
        <v>0.47638888888888892</v>
      </c>
    </row>
    <row r="841" spans="1:22" s="33" customFormat="1" x14ac:dyDescent="0.25">
      <c r="A841" s="547">
        <v>22112024</v>
      </c>
      <c r="B841" s="33" t="s">
        <v>3007</v>
      </c>
      <c r="C841" s="548" t="s">
        <v>4218</v>
      </c>
      <c r="D841" s="548">
        <v>45618</v>
      </c>
      <c r="E841" s="306"/>
      <c r="F841" s="306" t="s">
        <v>106</v>
      </c>
      <c r="H841" s="33" t="s">
        <v>279</v>
      </c>
      <c r="I841" s="312"/>
      <c r="J841" s="279"/>
      <c r="K841" s="736">
        <v>27150</v>
      </c>
      <c r="L841" s="312"/>
      <c r="T841" s="33" t="s">
        <v>5078</v>
      </c>
      <c r="U841" s="550">
        <v>0.27361111111111108</v>
      </c>
      <c r="V841" s="550">
        <v>0.43472222222222223</v>
      </c>
    </row>
    <row r="842" spans="1:22" s="33" customFormat="1" x14ac:dyDescent="0.25">
      <c r="A842" s="547">
        <v>23112024</v>
      </c>
      <c r="B842" s="33" t="s">
        <v>614</v>
      </c>
      <c r="C842" s="548" t="s">
        <v>13</v>
      </c>
      <c r="D842" s="548">
        <v>45619</v>
      </c>
      <c r="E842" s="306"/>
      <c r="F842" s="306" t="s">
        <v>317</v>
      </c>
      <c r="H842" s="33" t="s">
        <v>279</v>
      </c>
      <c r="I842" s="312"/>
      <c r="J842" s="279"/>
      <c r="K842" s="736">
        <v>53996.800000000003</v>
      </c>
      <c r="L842" s="312"/>
      <c r="T842" s="33" t="s">
        <v>4911</v>
      </c>
      <c r="U842" s="550">
        <v>0.32222222222222224</v>
      </c>
      <c r="V842" s="550">
        <v>0.66666666666666663</v>
      </c>
    </row>
    <row r="843" spans="1:22" s="33" customFormat="1" x14ac:dyDescent="0.25">
      <c r="A843" s="547">
        <v>23112024</v>
      </c>
      <c r="B843" s="33" t="s">
        <v>614</v>
      </c>
      <c r="C843" s="548" t="s">
        <v>4218</v>
      </c>
      <c r="D843" s="548">
        <v>45619</v>
      </c>
      <c r="E843" s="306"/>
      <c r="F843" s="306" t="s">
        <v>5174</v>
      </c>
      <c r="H843" s="33" t="s">
        <v>279</v>
      </c>
      <c r="I843" s="312"/>
      <c r="J843" s="279"/>
      <c r="K843" s="736">
        <v>44651.199999999997</v>
      </c>
      <c r="L843" s="312"/>
      <c r="T843" s="33" t="s">
        <v>5021</v>
      </c>
      <c r="U843" s="550">
        <v>0.4694444444444445</v>
      </c>
      <c r="V843" s="550">
        <v>0.62361111111111112</v>
      </c>
    </row>
    <row r="844" spans="1:22" s="504" customFormat="1" x14ac:dyDescent="0.25">
      <c r="A844" s="497">
        <v>23112024</v>
      </c>
      <c r="B844" s="504" t="s">
        <v>930</v>
      </c>
      <c r="C844" s="499" t="s">
        <v>4218</v>
      </c>
      <c r="D844" s="499">
        <v>45619</v>
      </c>
      <c r="E844" s="498"/>
      <c r="F844" s="498" t="s">
        <v>294</v>
      </c>
      <c r="H844" s="504" t="s">
        <v>279</v>
      </c>
      <c r="I844" s="505"/>
      <c r="J844" s="506"/>
      <c r="K844" s="735">
        <v>33182</v>
      </c>
      <c r="L844" s="505"/>
      <c r="T844" s="504" t="s">
        <v>5021</v>
      </c>
      <c r="U844" s="502">
        <v>0.4694444444444445</v>
      </c>
      <c r="V844" s="502">
        <v>0.6777777777777777</v>
      </c>
    </row>
    <row r="845" spans="1:22" s="504" customFormat="1" x14ac:dyDescent="0.25">
      <c r="A845" s="497">
        <v>23112024</v>
      </c>
      <c r="B845" s="504" t="s">
        <v>1720</v>
      </c>
      <c r="C845" s="499" t="s">
        <v>13</v>
      </c>
      <c r="D845" s="499">
        <v>45619</v>
      </c>
      <c r="E845" s="498"/>
      <c r="F845" s="498" t="s">
        <v>545</v>
      </c>
      <c r="H845" s="504" t="s">
        <v>277</v>
      </c>
      <c r="I845" s="505"/>
      <c r="J845" s="506"/>
      <c r="K845" s="735">
        <v>25016</v>
      </c>
      <c r="L845" s="505"/>
      <c r="T845" s="504" t="s">
        <v>4911</v>
      </c>
      <c r="U845" s="502">
        <v>0.69374999999999998</v>
      </c>
      <c r="V845" s="502">
        <v>0.8125</v>
      </c>
    </row>
    <row r="846" spans="1:22" s="5" customFormat="1" x14ac:dyDescent="0.25">
      <c r="A846" s="495">
        <v>24112024</v>
      </c>
      <c r="B846" s="5" t="s">
        <v>582</v>
      </c>
      <c r="C846" s="494" t="s">
        <v>4218</v>
      </c>
      <c r="D846" s="494">
        <v>45620</v>
      </c>
      <c r="E846" s="127"/>
      <c r="F846" s="127" t="s">
        <v>285</v>
      </c>
      <c r="H846" s="5" t="s">
        <v>279</v>
      </c>
      <c r="I846" s="296"/>
      <c r="J846" s="89"/>
      <c r="K846" s="737">
        <v>44870</v>
      </c>
      <c r="L846" s="296"/>
      <c r="T846" s="5" t="s">
        <v>4509</v>
      </c>
      <c r="U846" s="496">
        <v>0.28194444444444444</v>
      </c>
      <c r="V846" s="496">
        <v>0.52777777777777779</v>
      </c>
    </row>
    <row r="847" spans="1:22" s="504" customFormat="1" ht="15.75" thickBot="1" x14ac:dyDescent="0.3">
      <c r="A847" s="497">
        <v>24112024</v>
      </c>
      <c r="B847" s="504" t="s">
        <v>930</v>
      </c>
      <c r="C847" s="499" t="s">
        <v>13</v>
      </c>
      <c r="D847" s="499">
        <v>45620</v>
      </c>
      <c r="E847" s="498"/>
      <c r="F847" s="498" t="s">
        <v>295</v>
      </c>
      <c r="H847" s="504" t="s">
        <v>277</v>
      </c>
      <c r="I847" s="505"/>
      <c r="J847" s="506"/>
      <c r="K847" s="738">
        <v>29000</v>
      </c>
      <c r="L847" s="505"/>
      <c r="T847" s="504" t="s">
        <v>5078</v>
      </c>
      <c r="U847" s="502">
        <v>0.64097222222222217</v>
      </c>
      <c r="V847" s="502">
        <v>0.85555555555555562</v>
      </c>
    </row>
    <row r="848" spans="1:22" s="33" customFormat="1" ht="15.75" thickBot="1" x14ac:dyDescent="0.3">
      <c r="A848" s="547">
        <v>25112024</v>
      </c>
      <c r="B848" s="33" t="s">
        <v>614</v>
      </c>
      <c r="C848" s="548" t="s">
        <v>4218</v>
      </c>
      <c r="D848" s="548">
        <v>45621</v>
      </c>
      <c r="E848" s="306"/>
      <c r="F848" s="306" t="s">
        <v>3413</v>
      </c>
      <c r="H848" s="33" t="s">
        <v>279</v>
      </c>
      <c r="I848" s="312"/>
      <c r="J848" s="279"/>
      <c r="K848" s="279">
        <v>31152</v>
      </c>
      <c r="L848" s="312"/>
      <c r="T848" s="33" t="s">
        <v>4911</v>
      </c>
      <c r="U848" s="550">
        <v>0.54236111111111118</v>
      </c>
      <c r="V848" s="550">
        <v>0.78263888888888899</v>
      </c>
    </row>
    <row r="849" spans="1:22" s="504" customFormat="1" x14ac:dyDescent="0.25">
      <c r="A849" s="497">
        <v>26112024</v>
      </c>
      <c r="B849" s="504" t="s">
        <v>572</v>
      </c>
      <c r="C849" s="499" t="s">
        <v>4218</v>
      </c>
      <c r="D849" s="499">
        <v>45622</v>
      </c>
      <c r="E849" s="498"/>
      <c r="F849" s="498" t="s">
        <v>207</v>
      </c>
      <c r="H849" s="504" t="s">
        <v>279</v>
      </c>
      <c r="I849" s="505"/>
      <c r="J849" s="506"/>
      <c r="K849" s="506"/>
      <c r="L849" s="739">
        <v>8968</v>
      </c>
      <c r="T849" s="504" t="s">
        <v>5021</v>
      </c>
      <c r="U849" s="502">
        <v>0.24930555555555556</v>
      </c>
      <c r="V849" s="502">
        <v>0.49583333333333335</v>
      </c>
    </row>
    <row r="850" spans="1:22" s="33" customFormat="1" x14ac:dyDescent="0.25">
      <c r="A850" s="547">
        <v>26112024</v>
      </c>
      <c r="B850" s="33" t="s">
        <v>2285</v>
      </c>
      <c r="C850" s="548" t="s">
        <v>13</v>
      </c>
      <c r="D850" s="548">
        <v>45622</v>
      </c>
      <c r="E850" s="306"/>
      <c r="F850" s="306" t="s">
        <v>1931</v>
      </c>
      <c r="H850" s="33" t="s">
        <v>279</v>
      </c>
      <c r="I850" s="312"/>
      <c r="J850" s="279"/>
      <c r="K850" s="279">
        <v>55224</v>
      </c>
      <c r="L850" s="749"/>
      <c r="T850" s="33" t="s">
        <v>4417</v>
      </c>
      <c r="U850" s="550">
        <v>0.46388888888888885</v>
      </c>
      <c r="V850" s="550">
        <v>0.79999999999999993</v>
      </c>
    </row>
    <row r="851" spans="1:22" s="504" customFormat="1" x14ac:dyDescent="0.25">
      <c r="A851" s="497">
        <v>26112024</v>
      </c>
      <c r="B851" s="504" t="s">
        <v>1720</v>
      </c>
      <c r="C851" s="499" t="s">
        <v>4218</v>
      </c>
      <c r="D851" s="499">
        <v>45622</v>
      </c>
      <c r="E851" s="498"/>
      <c r="F851" s="498" t="s">
        <v>545</v>
      </c>
      <c r="H851" s="504" t="s">
        <v>277</v>
      </c>
      <c r="I851" s="505"/>
      <c r="J851" s="506"/>
      <c r="K851" s="506">
        <v>25016</v>
      </c>
      <c r="L851" s="743"/>
      <c r="T851" s="504" t="s">
        <v>5078</v>
      </c>
      <c r="U851" s="502">
        <v>0.64374999999999993</v>
      </c>
      <c r="V851" s="502">
        <v>0.80208333333333337</v>
      </c>
    </row>
    <row r="852" spans="1:22" s="504" customFormat="1" x14ac:dyDescent="0.25">
      <c r="A852" s="497">
        <v>27112024</v>
      </c>
      <c r="B852" s="504" t="s">
        <v>1720</v>
      </c>
      <c r="C852" s="499" t="s">
        <v>13</v>
      </c>
      <c r="D852" s="499">
        <v>45623</v>
      </c>
      <c r="E852" s="498"/>
      <c r="F852" s="498" t="s">
        <v>545</v>
      </c>
      <c r="H852" s="504" t="s">
        <v>277</v>
      </c>
      <c r="I852" s="505"/>
      <c r="J852" s="506"/>
      <c r="K852" s="506">
        <v>25016</v>
      </c>
      <c r="L852" s="743"/>
      <c r="T852" s="504" t="s">
        <v>4911</v>
      </c>
      <c r="U852" s="502">
        <v>0.33958333333333335</v>
      </c>
      <c r="V852" s="502">
        <v>0.49374999999999997</v>
      </c>
    </row>
    <row r="853" spans="1:22" s="33" customFormat="1" x14ac:dyDescent="0.25">
      <c r="A853" s="547">
        <v>27112024</v>
      </c>
      <c r="B853" s="33" t="s">
        <v>3238</v>
      </c>
      <c r="C853" s="548" t="s">
        <v>4218</v>
      </c>
      <c r="D853" s="548">
        <v>45623</v>
      </c>
      <c r="E853" s="306"/>
      <c r="F853" s="306" t="s">
        <v>872</v>
      </c>
      <c r="H853" s="33" t="s">
        <v>5224</v>
      </c>
      <c r="I853" s="312"/>
      <c r="J853" s="279"/>
      <c r="K853" s="279"/>
      <c r="L853" s="749">
        <v>9894.2999999999993</v>
      </c>
      <c r="T853" s="33" t="s">
        <v>4509</v>
      </c>
      <c r="U853" s="550">
        <v>0.52013888888888882</v>
      </c>
      <c r="V853" s="550">
        <v>0.71527777777777779</v>
      </c>
    </row>
    <row r="854" spans="1:22" s="33" customFormat="1" x14ac:dyDescent="0.25">
      <c r="A854" s="547">
        <v>27112024</v>
      </c>
      <c r="B854" s="33" t="s">
        <v>3238</v>
      </c>
      <c r="C854" s="548" t="s">
        <v>13</v>
      </c>
      <c r="D854" s="548">
        <v>45623</v>
      </c>
      <c r="E854" s="306"/>
      <c r="F854" s="306" t="s">
        <v>294</v>
      </c>
      <c r="H854" s="33" t="s">
        <v>279</v>
      </c>
      <c r="I854" s="312"/>
      <c r="J854" s="279"/>
      <c r="K854" s="279"/>
      <c r="L854" s="749">
        <f>7800*1.18</f>
        <v>9204</v>
      </c>
      <c r="T854" s="33" t="s">
        <v>4911</v>
      </c>
      <c r="U854" s="550">
        <v>0.53680555555555554</v>
      </c>
      <c r="V854" s="550">
        <v>0.74930555555555556</v>
      </c>
    </row>
    <row r="855" spans="1:22" s="504" customFormat="1" x14ac:dyDescent="0.25">
      <c r="A855" s="497">
        <v>27112024</v>
      </c>
      <c r="B855" s="504" t="s">
        <v>1720</v>
      </c>
      <c r="C855" s="499" t="s">
        <v>809</v>
      </c>
      <c r="D855" s="499">
        <v>45623</v>
      </c>
      <c r="E855" s="498"/>
      <c r="F855" s="498" t="s">
        <v>545</v>
      </c>
      <c r="H855" s="504" t="s">
        <v>277</v>
      </c>
      <c r="I855" s="505"/>
      <c r="J855" s="506"/>
      <c r="K855" s="506">
        <v>25016</v>
      </c>
      <c r="L855" s="743"/>
      <c r="T855" s="504" t="s">
        <v>4824</v>
      </c>
      <c r="U855" s="502">
        <v>0.70972222222222225</v>
      </c>
      <c r="V855" s="502">
        <v>0.77430555555555547</v>
      </c>
    </row>
    <row r="856" spans="1:22" s="33" customFormat="1" ht="14.1" customHeight="1" x14ac:dyDescent="0.25">
      <c r="A856" s="547">
        <v>28112024</v>
      </c>
      <c r="B856" s="33" t="s">
        <v>2129</v>
      </c>
      <c r="C856" s="548" t="s">
        <v>13</v>
      </c>
      <c r="D856" s="548">
        <v>45624</v>
      </c>
      <c r="E856" s="306"/>
      <c r="F856" s="306" t="s">
        <v>236</v>
      </c>
      <c r="H856" s="33" t="s">
        <v>279</v>
      </c>
      <c r="I856" s="312"/>
      <c r="J856" s="279"/>
      <c r="K856" s="279">
        <v>62540</v>
      </c>
      <c r="L856" s="749"/>
      <c r="T856" s="33" t="s">
        <v>5004</v>
      </c>
      <c r="U856" s="550">
        <v>0.37986111111111115</v>
      </c>
      <c r="V856" s="550" t="s">
        <v>5237</v>
      </c>
    </row>
    <row r="857" spans="1:22" s="33" customFormat="1" x14ac:dyDescent="0.25">
      <c r="A857" s="547">
        <v>28112024</v>
      </c>
      <c r="B857" s="33" t="s">
        <v>1133</v>
      </c>
      <c r="C857" s="548" t="s">
        <v>4218</v>
      </c>
      <c r="D857" s="548">
        <v>45624</v>
      </c>
      <c r="E857" s="306"/>
      <c r="F857" s="306" t="s">
        <v>294</v>
      </c>
      <c r="H857" s="33" t="s">
        <v>279</v>
      </c>
      <c r="I857" s="312"/>
      <c r="J857" s="279"/>
      <c r="K857" s="279">
        <v>33182</v>
      </c>
      <c r="L857" s="749"/>
      <c r="T857" s="33" t="s">
        <v>4509</v>
      </c>
      <c r="U857" s="550">
        <v>0.58750000000000002</v>
      </c>
      <c r="V857" s="550">
        <v>0.77638888888888891</v>
      </c>
    </row>
    <row r="858" spans="1:22" s="504" customFormat="1" x14ac:dyDescent="0.25">
      <c r="A858" s="497">
        <v>28112024</v>
      </c>
      <c r="B858" s="504" t="s">
        <v>1720</v>
      </c>
      <c r="C858" s="499" t="s">
        <v>13</v>
      </c>
      <c r="D858" s="499">
        <v>45624</v>
      </c>
      <c r="E858" s="498"/>
      <c r="F858" s="498" t="s">
        <v>545</v>
      </c>
      <c r="H858" s="504" t="s">
        <v>279</v>
      </c>
      <c r="I858" s="505"/>
      <c r="J858" s="506"/>
      <c r="K858" s="506">
        <v>34456</v>
      </c>
      <c r="L858" s="743"/>
      <c r="T858" s="504" t="s">
        <v>3765</v>
      </c>
      <c r="U858" s="502">
        <v>0.71805555555555556</v>
      </c>
      <c r="V858" s="502">
        <v>0.9</v>
      </c>
    </row>
    <row r="859" spans="1:22" s="33" customFormat="1" x14ac:dyDescent="0.25">
      <c r="A859" s="547">
        <v>29112024</v>
      </c>
      <c r="B859" s="33" t="s">
        <v>1133</v>
      </c>
      <c r="C859" s="548" t="s">
        <v>4218</v>
      </c>
      <c r="D859" s="548">
        <v>45625</v>
      </c>
      <c r="E859" s="306"/>
      <c r="F859" s="306" t="s">
        <v>294</v>
      </c>
      <c r="H859" s="33" t="s">
        <v>279</v>
      </c>
      <c r="I859" s="312"/>
      <c r="J859" s="279"/>
      <c r="K859" s="279">
        <v>33182</v>
      </c>
      <c r="L859" s="749"/>
      <c r="T859" s="33" t="s">
        <v>2050</v>
      </c>
      <c r="U859" s="550">
        <v>0.31180555555555556</v>
      </c>
      <c r="V859" s="550">
        <v>0.51527777777777783</v>
      </c>
    </row>
    <row r="860" spans="1:22" s="33" customFormat="1" x14ac:dyDescent="0.25">
      <c r="A860" s="547">
        <v>29112024</v>
      </c>
      <c r="B860" s="33" t="s">
        <v>1720</v>
      </c>
      <c r="C860" s="548" t="s">
        <v>13</v>
      </c>
      <c r="D860" s="548">
        <v>45625</v>
      </c>
      <c r="E860" s="306"/>
      <c r="F860" s="306" t="s">
        <v>545</v>
      </c>
      <c r="H860" s="33" t="s">
        <v>277</v>
      </c>
      <c r="I860" s="312"/>
      <c r="J860" s="279"/>
      <c r="K860" s="279">
        <v>25016</v>
      </c>
      <c r="L860" s="749"/>
      <c r="T860" s="33" t="s">
        <v>5020</v>
      </c>
      <c r="U860" s="550">
        <v>0.3298611111111111</v>
      </c>
      <c r="V860" s="550">
        <v>0.47569444444444442</v>
      </c>
    </row>
    <row r="861" spans="1:22" s="5" customFormat="1" ht="15.75" thickBot="1" x14ac:dyDescent="0.3">
      <c r="A861" s="495">
        <v>29112024</v>
      </c>
      <c r="B861" s="5" t="s">
        <v>582</v>
      </c>
      <c r="C861" s="494" t="s">
        <v>13</v>
      </c>
      <c r="D861" s="494">
        <v>45625</v>
      </c>
      <c r="E861" s="127"/>
      <c r="F861" s="127" t="s">
        <v>207</v>
      </c>
      <c r="H861" s="5" t="s">
        <v>279</v>
      </c>
      <c r="I861" s="296"/>
      <c r="J861" s="89"/>
      <c r="K861" s="89"/>
      <c r="L861" s="740">
        <v>11500</v>
      </c>
      <c r="T861" s="5" t="s">
        <v>5020</v>
      </c>
      <c r="U861" s="496">
        <v>0.50624999999999998</v>
      </c>
      <c r="V861" s="496">
        <v>0.71388888888888891</v>
      </c>
    </row>
    <row r="862" spans="1:22" s="33" customFormat="1" x14ac:dyDescent="0.25">
      <c r="A862" s="547">
        <v>30112024</v>
      </c>
      <c r="B862" s="33" t="s">
        <v>1720</v>
      </c>
      <c r="C862" s="548" t="s">
        <v>809</v>
      </c>
      <c r="D862" s="548">
        <v>45626</v>
      </c>
      <c r="E862" s="306"/>
      <c r="F862" s="306" t="s">
        <v>545</v>
      </c>
      <c r="H862" s="33" t="s">
        <v>277</v>
      </c>
      <c r="I862" s="312"/>
      <c r="J862" s="279"/>
      <c r="K862" s="279">
        <v>25016</v>
      </c>
      <c r="L862" s="312"/>
      <c r="T862" s="33" t="s">
        <v>4824</v>
      </c>
      <c r="U862" s="550">
        <v>0.4513888888888889</v>
      </c>
      <c r="V862" s="550">
        <v>0.50972222222222219</v>
      </c>
    </row>
    <row r="863" spans="1:22" s="33" customFormat="1" x14ac:dyDescent="0.25">
      <c r="A863" s="547">
        <v>30112024</v>
      </c>
      <c r="B863" s="33" t="s">
        <v>608</v>
      </c>
      <c r="C863" s="548" t="s">
        <v>13</v>
      </c>
      <c r="D863" s="548">
        <v>45626</v>
      </c>
      <c r="E863" s="306"/>
      <c r="F863" s="306" t="s">
        <v>236</v>
      </c>
      <c r="H863" s="33" t="s">
        <v>279</v>
      </c>
      <c r="I863" s="312"/>
      <c r="J863" s="279"/>
      <c r="K863" s="279">
        <v>58231</v>
      </c>
      <c r="L863" s="312"/>
      <c r="T863" s="33" t="s">
        <v>5098</v>
      </c>
      <c r="U863" s="550">
        <v>0.26944444444444443</v>
      </c>
      <c r="V863" s="550">
        <v>0.57361111111111118</v>
      </c>
    </row>
    <row r="864" spans="1:22" s="33" customFormat="1" x14ac:dyDescent="0.25">
      <c r="A864" s="547">
        <v>30112024</v>
      </c>
      <c r="B864" s="33" t="s">
        <v>614</v>
      </c>
      <c r="C864" s="548" t="s">
        <v>809</v>
      </c>
      <c r="D864" s="548">
        <v>45626</v>
      </c>
      <c r="E864" s="306"/>
      <c r="F864" s="306" t="s">
        <v>2036</v>
      </c>
      <c r="H864" s="33" t="s">
        <v>279</v>
      </c>
      <c r="I864" s="312"/>
      <c r="J864" s="279"/>
      <c r="K864" s="279">
        <v>23500</v>
      </c>
      <c r="L864" s="312"/>
      <c r="T864" s="33" t="s">
        <v>4824</v>
      </c>
      <c r="U864" s="550">
        <v>0.56805555555555554</v>
      </c>
      <c r="V864" s="550">
        <v>0.71250000000000002</v>
      </c>
    </row>
    <row r="865" spans="1:22" s="33" customFormat="1" x14ac:dyDescent="0.25">
      <c r="A865" s="547">
        <v>30112024</v>
      </c>
      <c r="B865" s="33" t="s">
        <v>2285</v>
      </c>
      <c r="C865" s="548" t="s">
        <v>13</v>
      </c>
      <c r="D865" s="548">
        <v>45626</v>
      </c>
      <c r="E865" s="306"/>
      <c r="F865" s="306" t="s">
        <v>1931</v>
      </c>
      <c r="H865" s="33" t="s">
        <v>279</v>
      </c>
      <c r="I865" s="312"/>
      <c r="J865" s="279"/>
      <c r="K865" s="279">
        <v>55224</v>
      </c>
      <c r="L865" s="312"/>
      <c r="T865" s="33" t="s">
        <v>4853</v>
      </c>
      <c r="U865" s="550">
        <v>0.62152777777777779</v>
      </c>
      <c r="V865" s="550">
        <v>0.91041666666666676</v>
      </c>
    </row>
    <row r="866" spans="1:22" x14ac:dyDescent="0.25">
      <c r="A866" s="483"/>
      <c r="C866" s="233"/>
      <c r="D866" s="233"/>
      <c r="E866" s="28"/>
      <c r="H866"/>
      <c r="I866" s="313"/>
      <c r="J866" s="88"/>
      <c r="K866" s="88"/>
      <c r="L866" s="313"/>
      <c r="U866" s="360"/>
      <c r="V866" s="360"/>
    </row>
    <row r="867" spans="1:22" x14ac:dyDescent="0.25">
      <c r="A867" s="483"/>
      <c r="C867" s="233"/>
      <c r="D867" s="233"/>
      <c r="E867" s="28"/>
      <c r="H867"/>
      <c r="I867" s="313"/>
      <c r="J867" s="88"/>
      <c r="K867" s="88"/>
      <c r="L867" s="313"/>
      <c r="U867" s="360"/>
      <c r="V867" s="360"/>
    </row>
    <row r="868" spans="1:22" x14ac:dyDescent="0.25">
      <c r="A868" s="483"/>
      <c r="C868" s="233"/>
      <c r="D868" s="233"/>
      <c r="E868" s="28"/>
      <c r="H868"/>
      <c r="I868" s="313"/>
      <c r="J868" s="88"/>
      <c r="K868" s="32"/>
      <c r="L868" s="313"/>
      <c r="U868" s="360"/>
      <c r="V868" s="360"/>
    </row>
    <row r="869" spans="1:22" x14ac:dyDescent="0.25">
      <c r="A869" s="483"/>
      <c r="C869" s="233"/>
      <c r="D869" s="233"/>
      <c r="E869" s="28"/>
      <c r="H869"/>
      <c r="I869" s="313"/>
      <c r="J869" s="88"/>
      <c r="K869" s="733">
        <f>SUM(K770:K868)</f>
        <v>3303099.37</v>
      </c>
      <c r="L869" s="701">
        <f>SUM(L770:L868)</f>
        <v>87252.1</v>
      </c>
      <c r="U869" s="360"/>
      <c r="V869" s="360"/>
    </row>
    <row r="870" spans="1:22" x14ac:dyDescent="0.25">
      <c r="A870" s="483"/>
      <c r="C870" s="233"/>
      <c r="D870" s="233"/>
      <c r="E870" s="28"/>
      <c r="H870"/>
      <c r="I870" s="313"/>
      <c r="J870" s="88"/>
      <c r="K870" s="32"/>
      <c r="L870" s="313"/>
      <c r="U870" s="360"/>
      <c r="V870" s="360"/>
    </row>
    <row r="871" spans="1:22" s="504" customFormat="1" x14ac:dyDescent="0.25">
      <c r="A871" s="497">
        <v>1122024</v>
      </c>
      <c r="B871" s="504" t="s">
        <v>3238</v>
      </c>
      <c r="C871" s="499" t="s">
        <v>13</v>
      </c>
      <c r="D871" s="499">
        <v>45627</v>
      </c>
      <c r="E871" s="498"/>
      <c r="F871" s="498" t="s">
        <v>2437</v>
      </c>
      <c r="H871" s="504" t="s">
        <v>279</v>
      </c>
      <c r="I871" s="505"/>
      <c r="J871" s="506"/>
      <c r="K871" s="506"/>
      <c r="L871" s="505">
        <f>4875*1.18</f>
        <v>5752.5</v>
      </c>
      <c r="T871" s="504" t="s">
        <v>5020</v>
      </c>
      <c r="U871" s="502">
        <v>0.30624999999999997</v>
      </c>
      <c r="V871" s="502">
        <v>0.51041666666666663</v>
      </c>
    </row>
    <row r="872" spans="1:22" s="504" customFormat="1" x14ac:dyDescent="0.25">
      <c r="A872" s="497">
        <v>1122024</v>
      </c>
      <c r="B872" s="504" t="s">
        <v>5239</v>
      </c>
      <c r="C872" s="499" t="s">
        <v>410</v>
      </c>
      <c r="D872" s="499">
        <v>45627</v>
      </c>
      <c r="E872" s="498"/>
      <c r="F872" s="498" t="s">
        <v>207</v>
      </c>
      <c r="H872" s="504" t="s">
        <v>279</v>
      </c>
      <c r="I872" s="505"/>
      <c r="J872" s="506"/>
      <c r="K872" s="506">
        <v>35872</v>
      </c>
      <c r="L872" s="505"/>
      <c r="T872" s="504" t="s">
        <v>2050</v>
      </c>
      <c r="U872" s="502">
        <v>0.39097222222222222</v>
      </c>
      <c r="V872" s="502">
        <v>0.60347222222222219</v>
      </c>
    </row>
    <row r="873" spans="1:22" s="504" customFormat="1" x14ac:dyDescent="0.25">
      <c r="A873" s="497">
        <v>1122024</v>
      </c>
      <c r="B873" s="504" t="s">
        <v>2129</v>
      </c>
      <c r="C873" s="499" t="s">
        <v>410</v>
      </c>
      <c r="D873" s="499">
        <v>45627</v>
      </c>
      <c r="E873" s="498"/>
      <c r="F873" s="498" t="s">
        <v>236</v>
      </c>
      <c r="H873" s="504" t="s">
        <v>279</v>
      </c>
      <c r="I873" s="505"/>
      <c r="J873" s="506"/>
      <c r="K873" s="506">
        <v>62540</v>
      </c>
      <c r="L873" s="505"/>
      <c r="T873" s="504" t="s">
        <v>5098</v>
      </c>
      <c r="U873" s="502">
        <v>0.63402777777777775</v>
      </c>
      <c r="V873" s="502">
        <v>0.92152777777777783</v>
      </c>
    </row>
    <row r="874" spans="1:22" s="504" customFormat="1" x14ac:dyDescent="0.25">
      <c r="A874" s="497">
        <v>2122024</v>
      </c>
      <c r="B874" s="504" t="s">
        <v>3238</v>
      </c>
      <c r="C874" s="499" t="s">
        <v>410</v>
      </c>
      <c r="D874" s="499">
        <v>45628</v>
      </c>
      <c r="E874" s="498"/>
      <c r="F874" s="498" t="s">
        <v>285</v>
      </c>
      <c r="H874" s="504" t="s">
        <v>279</v>
      </c>
      <c r="I874" s="505"/>
      <c r="J874" s="506"/>
      <c r="K874" s="506"/>
      <c r="L874" s="505">
        <f>9750*1.18</f>
        <v>11505</v>
      </c>
      <c r="T874" s="504" t="s">
        <v>5004</v>
      </c>
      <c r="U874" s="502">
        <v>0.29305555555555557</v>
      </c>
      <c r="V874" s="502">
        <v>0.52013888888888882</v>
      </c>
    </row>
    <row r="875" spans="1:22" s="671" customFormat="1" x14ac:dyDescent="0.25">
      <c r="A875" s="747">
        <v>3122024</v>
      </c>
      <c r="B875" s="671" t="s">
        <v>5257</v>
      </c>
      <c r="C875" s="785" t="s">
        <v>4218</v>
      </c>
      <c r="D875" s="785">
        <v>45629</v>
      </c>
      <c r="E875" s="573"/>
      <c r="F875" s="573" t="s">
        <v>5256</v>
      </c>
      <c r="H875" s="671" t="s">
        <v>279</v>
      </c>
      <c r="I875" s="786"/>
      <c r="J875" s="787"/>
      <c r="K875" s="787">
        <v>81145</v>
      </c>
      <c r="L875" s="786"/>
      <c r="T875" s="671" t="s">
        <v>2050</v>
      </c>
      <c r="U875" s="788">
        <v>0.36736111111111108</v>
      </c>
      <c r="V875" s="788">
        <v>0.65</v>
      </c>
    </row>
    <row r="876" spans="1:22" s="504" customFormat="1" ht="12.95" customHeight="1" x14ac:dyDescent="0.25">
      <c r="A876" s="497">
        <v>3122024</v>
      </c>
      <c r="B876" s="504" t="s">
        <v>614</v>
      </c>
      <c r="C876" s="499" t="s">
        <v>4218</v>
      </c>
      <c r="D876" s="499">
        <v>45629</v>
      </c>
      <c r="E876" s="498"/>
      <c r="F876" s="498" t="s">
        <v>236</v>
      </c>
      <c r="H876" s="504" t="s">
        <v>279</v>
      </c>
      <c r="I876" s="505"/>
      <c r="J876" s="506"/>
      <c r="K876" s="506">
        <v>62304</v>
      </c>
      <c r="L876" s="505"/>
      <c r="T876" s="504" t="s">
        <v>2050</v>
      </c>
      <c r="U876" s="502">
        <v>0.79513888888888884</v>
      </c>
      <c r="V876" s="502">
        <v>0.88958333333333339</v>
      </c>
    </row>
    <row r="877" spans="1:22" s="504" customFormat="1" x14ac:dyDescent="0.25">
      <c r="A877" s="497">
        <v>3122024</v>
      </c>
      <c r="B877" s="504" t="s">
        <v>608</v>
      </c>
      <c r="C877" s="499" t="s">
        <v>410</v>
      </c>
      <c r="D877" s="499">
        <v>45629</v>
      </c>
      <c r="E877" s="498"/>
      <c r="F877" s="498" t="s">
        <v>236</v>
      </c>
      <c r="H877" s="504" t="s">
        <v>279</v>
      </c>
      <c r="I877" s="505"/>
      <c r="J877" s="506"/>
      <c r="K877" s="506">
        <v>58231</v>
      </c>
      <c r="L877" s="505"/>
      <c r="T877" s="504" t="s">
        <v>4509</v>
      </c>
      <c r="U877" s="502">
        <v>0.5854166666666667</v>
      </c>
      <c r="V877" s="502">
        <v>0.96388888888888891</v>
      </c>
    </row>
    <row r="878" spans="1:22" s="504" customFormat="1" x14ac:dyDescent="0.25">
      <c r="A878" s="497">
        <v>4122024</v>
      </c>
      <c r="B878" s="504" t="s">
        <v>1720</v>
      </c>
      <c r="C878" s="499" t="s">
        <v>410</v>
      </c>
      <c r="D878" s="499">
        <v>45630</v>
      </c>
      <c r="E878" s="498"/>
      <c r="F878" s="498" t="s">
        <v>545</v>
      </c>
      <c r="H878" s="504" t="s">
        <v>277</v>
      </c>
      <c r="I878" s="505"/>
      <c r="J878" s="506"/>
      <c r="K878" s="506">
        <v>25016</v>
      </c>
      <c r="L878" s="505"/>
      <c r="T878" s="504" t="s">
        <v>4140</v>
      </c>
      <c r="U878" s="502">
        <v>0.36527777777777781</v>
      </c>
      <c r="V878" s="502">
        <v>0.48194444444444445</v>
      </c>
    </row>
    <row r="879" spans="1:22" s="504" customFormat="1" x14ac:dyDescent="0.25">
      <c r="A879" s="497">
        <v>4122024</v>
      </c>
      <c r="B879" s="504" t="s">
        <v>1720</v>
      </c>
      <c r="C879" s="499" t="s">
        <v>4218</v>
      </c>
      <c r="D879" s="499">
        <v>45630</v>
      </c>
      <c r="E879" s="498"/>
      <c r="F879" s="498" t="s">
        <v>545</v>
      </c>
      <c r="H879" s="504" t="s">
        <v>279</v>
      </c>
      <c r="I879" s="505"/>
      <c r="J879" s="506"/>
      <c r="K879" s="506">
        <v>34456</v>
      </c>
      <c r="L879" s="505"/>
      <c r="T879" s="504" t="s">
        <v>4867</v>
      </c>
      <c r="U879" s="502">
        <v>0.43611111111111112</v>
      </c>
      <c r="V879" s="502">
        <v>0.66111111111111109</v>
      </c>
    </row>
    <row r="880" spans="1:22" s="504" customFormat="1" x14ac:dyDescent="0.25">
      <c r="A880" s="497">
        <v>4122024</v>
      </c>
      <c r="B880" s="504" t="s">
        <v>930</v>
      </c>
      <c r="C880" s="499" t="s">
        <v>410</v>
      </c>
      <c r="D880" s="499">
        <v>45630</v>
      </c>
      <c r="E880" s="498"/>
      <c r="F880" s="498" t="s">
        <v>295</v>
      </c>
      <c r="H880" s="504" t="s">
        <v>277</v>
      </c>
      <c r="I880" s="505"/>
      <c r="J880" s="506"/>
      <c r="K880" s="506">
        <v>29000</v>
      </c>
      <c r="L880" s="505"/>
      <c r="T880" s="504" t="s">
        <v>4867</v>
      </c>
      <c r="U880" s="502">
        <v>0.67638888888888893</v>
      </c>
      <c r="V880" s="502">
        <v>0.95486111111111116</v>
      </c>
    </row>
    <row r="881" spans="1:22" s="504" customFormat="1" x14ac:dyDescent="0.25">
      <c r="A881" s="497">
        <v>5122024</v>
      </c>
      <c r="B881" s="504" t="s">
        <v>2227</v>
      </c>
      <c r="C881" s="499" t="s">
        <v>4218</v>
      </c>
      <c r="D881" s="499">
        <v>45631</v>
      </c>
      <c r="E881" s="498"/>
      <c r="F881" s="498" t="s">
        <v>106</v>
      </c>
      <c r="H881" s="504" t="s">
        <v>279</v>
      </c>
      <c r="I881" s="505"/>
      <c r="J881" s="506"/>
      <c r="K881" s="506">
        <v>27150</v>
      </c>
      <c r="L881" s="505"/>
      <c r="T881" s="504" t="s">
        <v>5078</v>
      </c>
      <c r="U881" s="502">
        <v>0.28888888888888892</v>
      </c>
      <c r="V881" s="502">
        <v>0.44513888888888892</v>
      </c>
    </row>
    <row r="882" spans="1:22" s="504" customFormat="1" x14ac:dyDescent="0.25">
      <c r="A882" s="497">
        <v>5122024</v>
      </c>
      <c r="B882" s="504" t="s">
        <v>614</v>
      </c>
      <c r="C882" s="499" t="s">
        <v>410</v>
      </c>
      <c r="D882" s="499">
        <v>45631</v>
      </c>
      <c r="E882" s="498"/>
      <c r="F882" s="498" t="s">
        <v>113</v>
      </c>
      <c r="H882" s="504" t="s">
        <v>279</v>
      </c>
      <c r="I882" s="505"/>
      <c r="J882" s="506"/>
      <c r="K882" s="506">
        <v>44651.199999999997</v>
      </c>
      <c r="L882" s="505"/>
      <c r="T882" s="504" t="s">
        <v>4140</v>
      </c>
      <c r="U882" s="502">
        <v>0.50555555555555554</v>
      </c>
      <c r="V882" s="502">
        <v>0.71666666666666667</v>
      </c>
    </row>
    <row r="883" spans="1:22" s="504" customFormat="1" x14ac:dyDescent="0.25">
      <c r="A883" s="497">
        <v>5122024</v>
      </c>
      <c r="B883" s="504" t="s">
        <v>614</v>
      </c>
      <c r="C883" s="499" t="s">
        <v>4218</v>
      </c>
      <c r="D883" s="499">
        <v>45631</v>
      </c>
      <c r="E883" s="498"/>
      <c r="F883" s="498" t="s">
        <v>3924</v>
      </c>
      <c r="H883" s="504" t="s">
        <v>279</v>
      </c>
      <c r="I883" s="505"/>
      <c r="J883" s="506"/>
      <c r="K883" s="506">
        <v>26998.400000000001</v>
      </c>
      <c r="L883" s="505"/>
      <c r="T883" s="504" t="s">
        <v>2050</v>
      </c>
      <c r="U883" s="502">
        <v>0.62569444444444444</v>
      </c>
      <c r="V883" s="502">
        <v>0.76666666666666661</v>
      </c>
    </row>
    <row r="884" spans="1:22" s="504" customFormat="1" x14ac:dyDescent="0.25">
      <c r="A884" s="497">
        <v>6122024</v>
      </c>
      <c r="B884" s="504" t="s">
        <v>1720</v>
      </c>
      <c r="C884" s="499" t="s">
        <v>410</v>
      </c>
      <c r="D884" s="499">
        <v>45632</v>
      </c>
      <c r="E884" s="498"/>
      <c r="F884" s="498" t="s">
        <v>545</v>
      </c>
      <c r="H884" s="504" t="s">
        <v>279</v>
      </c>
      <c r="I884" s="505"/>
      <c r="J884" s="506"/>
      <c r="K884" s="506">
        <v>34456</v>
      </c>
      <c r="L884" s="505"/>
      <c r="T884" s="504" t="s">
        <v>4911</v>
      </c>
      <c r="U884" s="502">
        <v>0.31527777777777777</v>
      </c>
      <c r="V884" s="502">
        <v>0.52430555555555558</v>
      </c>
    </row>
    <row r="885" spans="1:22" s="504" customFormat="1" x14ac:dyDescent="0.25">
      <c r="A885" s="497">
        <v>6122024</v>
      </c>
      <c r="B885" s="504" t="s">
        <v>2439</v>
      </c>
      <c r="C885" s="499" t="s">
        <v>4218</v>
      </c>
      <c r="D885" s="499">
        <v>45632</v>
      </c>
      <c r="E885" s="498"/>
      <c r="F885" s="498" t="s">
        <v>3676</v>
      </c>
      <c r="H885" s="504" t="s">
        <v>279</v>
      </c>
      <c r="I885" s="505"/>
      <c r="J885" s="506"/>
      <c r="K885" s="506">
        <v>27966</v>
      </c>
      <c r="L885" s="505"/>
      <c r="T885" s="504" t="s">
        <v>5078</v>
      </c>
      <c r="U885" s="502">
        <v>0.43611111111111112</v>
      </c>
      <c r="V885" s="502">
        <v>0.69513888888888886</v>
      </c>
    </row>
    <row r="886" spans="1:22" s="504" customFormat="1" x14ac:dyDescent="0.25">
      <c r="A886" s="497">
        <v>7122024</v>
      </c>
      <c r="B886" s="504" t="s">
        <v>610</v>
      </c>
      <c r="C886" s="499" t="s">
        <v>410</v>
      </c>
      <c r="D886" s="499">
        <v>45633</v>
      </c>
      <c r="E886" s="498"/>
      <c r="F886" s="498" t="s">
        <v>106</v>
      </c>
      <c r="H886" s="504" t="s">
        <v>279</v>
      </c>
      <c r="I886" s="505"/>
      <c r="J886" s="506"/>
      <c r="K886" s="506">
        <v>29770</v>
      </c>
      <c r="L886" s="505"/>
      <c r="T886" s="504" t="s">
        <v>4509</v>
      </c>
      <c r="U886" s="502">
        <v>0.25416666666666665</v>
      </c>
      <c r="V886" s="502">
        <v>0.40902777777777777</v>
      </c>
    </row>
    <row r="887" spans="1:22" s="504" customFormat="1" x14ac:dyDescent="0.25">
      <c r="A887" s="497">
        <v>7122024</v>
      </c>
      <c r="B887" s="504" t="s">
        <v>1720</v>
      </c>
      <c r="C887" s="499" t="s">
        <v>410</v>
      </c>
      <c r="D887" s="499">
        <v>45633</v>
      </c>
      <c r="E887" s="498"/>
      <c r="F887" s="498" t="s">
        <v>545</v>
      </c>
      <c r="H887" s="504" t="s">
        <v>277</v>
      </c>
      <c r="I887" s="505"/>
      <c r="J887" s="506"/>
      <c r="K887" s="506">
        <v>25016</v>
      </c>
      <c r="L887" s="505"/>
      <c r="T887" s="504" t="s">
        <v>4509</v>
      </c>
      <c r="U887" s="502">
        <v>0.4375</v>
      </c>
      <c r="V887" s="502">
        <v>0.61111111111111105</v>
      </c>
    </row>
    <row r="888" spans="1:22" s="504" customFormat="1" x14ac:dyDescent="0.25">
      <c r="A888" s="497">
        <v>7122024</v>
      </c>
      <c r="B888" s="504" t="s">
        <v>5302</v>
      </c>
      <c r="C888" s="499" t="s">
        <v>13</v>
      </c>
      <c r="D888" s="499">
        <v>45633</v>
      </c>
      <c r="E888" s="498"/>
      <c r="F888" s="498" t="s">
        <v>68</v>
      </c>
      <c r="H888" s="504" t="s">
        <v>279</v>
      </c>
      <c r="I888" s="505"/>
      <c r="J888" s="506"/>
      <c r="K888" s="506">
        <v>43046.400000000001</v>
      </c>
      <c r="L888" s="505"/>
      <c r="T888" s="504" t="s">
        <v>4138</v>
      </c>
      <c r="U888" s="502">
        <v>0.66388888888888886</v>
      </c>
      <c r="V888" s="502">
        <v>0.9902777777777777</v>
      </c>
    </row>
    <row r="889" spans="1:22" s="504" customFormat="1" x14ac:dyDescent="0.25">
      <c r="A889" s="497">
        <v>8122024</v>
      </c>
      <c r="B889" s="504" t="s">
        <v>1720</v>
      </c>
      <c r="C889" s="499" t="s">
        <v>410</v>
      </c>
      <c r="D889" s="499">
        <v>45634</v>
      </c>
      <c r="E889" s="498"/>
      <c r="F889" s="498" t="s">
        <v>545</v>
      </c>
      <c r="H889" s="504" t="s">
        <v>279</v>
      </c>
      <c r="I889" s="505"/>
      <c r="J889" s="506"/>
      <c r="K889" s="506">
        <v>34456</v>
      </c>
      <c r="L889" s="505"/>
      <c r="T889" s="504" t="s">
        <v>2050</v>
      </c>
      <c r="U889" s="502">
        <v>0.29305555555555557</v>
      </c>
      <c r="V889" s="502">
        <v>0.45763888888888887</v>
      </c>
    </row>
    <row r="890" spans="1:22" s="504" customFormat="1" x14ac:dyDescent="0.25">
      <c r="A890" s="497">
        <v>8122024</v>
      </c>
      <c r="B890" s="504" t="s">
        <v>1720</v>
      </c>
      <c r="C890" s="499" t="s">
        <v>410</v>
      </c>
      <c r="D890" s="499">
        <v>45634</v>
      </c>
      <c r="E890" s="498"/>
      <c r="F890" s="498" t="s">
        <v>545</v>
      </c>
      <c r="H890" s="504" t="s">
        <v>277</v>
      </c>
      <c r="I890" s="505"/>
      <c r="J890" s="506"/>
      <c r="K890" s="506">
        <v>25016</v>
      </c>
      <c r="L890" s="505"/>
      <c r="T890" s="504" t="s">
        <v>4983</v>
      </c>
      <c r="U890" s="502">
        <v>0.54097222222222219</v>
      </c>
      <c r="V890" s="502">
        <v>0.65763888888888888</v>
      </c>
    </row>
    <row r="891" spans="1:22" s="13" customFormat="1" x14ac:dyDescent="0.25">
      <c r="A891" s="747">
        <v>9122024</v>
      </c>
      <c r="B891" s="671" t="s">
        <v>930</v>
      </c>
      <c r="C891" s="587" t="s">
        <v>4218</v>
      </c>
      <c r="D891" s="587">
        <v>45635</v>
      </c>
      <c r="E891" s="241"/>
      <c r="F891" s="241" t="s">
        <v>294</v>
      </c>
      <c r="H891" s="671"/>
      <c r="I891" s="322"/>
      <c r="J891" s="180"/>
      <c r="K891" s="180"/>
      <c r="L891" s="322"/>
      <c r="T891" s="671" t="s">
        <v>4417</v>
      </c>
      <c r="U891" s="482">
        <v>0.46388888888888885</v>
      </c>
      <c r="V891" s="482">
        <v>0.63402777777777775</v>
      </c>
    </row>
    <row r="892" spans="1:22" s="504" customFormat="1" x14ac:dyDescent="0.25">
      <c r="A892" s="497">
        <v>9122024</v>
      </c>
      <c r="B892" s="504" t="s">
        <v>930</v>
      </c>
      <c r="C892" s="499" t="s">
        <v>410</v>
      </c>
      <c r="D892" s="499">
        <v>45635</v>
      </c>
      <c r="E892" s="498"/>
      <c r="F892" s="498" t="s">
        <v>294</v>
      </c>
      <c r="H892" s="504" t="s">
        <v>279</v>
      </c>
      <c r="I892" s="505"/>
      <c r="J892" s="506"/>
      <c r="K892" s="506">
        <v>33182</v>
      </c>
      <c r="L892" s="505"/>
      <c r="T892" s="504" t="s">
        <v>5078</v>
      </c>
      <c r="U892" s="502">
        <v>0.48541666666666666</v>
      </c>
      <c r="V892" s="502">
        <v>0.7055555555555556</v>
      </c>
    </row>
    <row r="893" spans="1:22" s="504" customFormat="1" x14ac:dyDescent="0.25">
      <c r="A893" s="497">
        <v>10122024</v>
      </c>
      <c r="B893" s="504" t="s">
        <v>614</v>
      </c>
      <c r="C893" s="499" t="s">
        <v>4218</v>
      </c>
      <c r="D893" s="499">
        <v>45636</v>
      </c>
      <c r="E893" s="498"/>
      <c r="F893" s="498" t="s">
        <v>3924</v>
      </c>
      <c r="H893" s="504" t="s">
        <v>279</v>
      </c>
      <c r="I893" s="505"/>
      <c r="J893" s="506"/>
      <c r="K893" s="506">
        <v>26998.400000000001</v>
      </c>
      <c r="L893" s="505"/>
      <c r="T893" s="504" t="s">
        <v>5004</v>
      </c>
      <c r="U893" s="502">
        <v>0.47569444444444442</v>
      </c>
      <c r="V893" s="502">
        <v>0.62708333333333333</v>
      </c>
    </row>
    <row r="894" spans="1:22" s="504" customFormat="1" x14ac:dyDescent="0.25">
      <c r="A894" s="497">
        <v>10122024</v>
      </c>
      <c r="B894" s="504" t="s">
        <v>1164</v>
      </c>
      <c r="C894" s="499" t="s">
        <v>13</v>
      </c>
      <c r="D894" s="499">
        <v>45636</v>
      </c>
      <c r="E894" s="498"/>
      <c r="F894" s="498" t="s">
        <v>106</v>
      </c>
      <c r="H894" s="504" t="s">
        <v>279</v>
      </c>
      <c r="I894" s="505"/>
      <c r="J894" s="506"/>
      <c r="K894" s="506">
        <v>27150</v>
      </c>
      <c r="L894" s="505"/>
      <c r="T894" s="504" t="s">
        <v>5026</v>
      </c>
      <c r="U894" s="502">
        <v>0.52152777777777781</v>
      </c>
      <c r="V894" s="502">
        <v>0.70000000000000007</v>
      </c>
    </row>
    <row r="895" spans="1:22" s="504" customFormat="1" x14ac:dyDescent="0.25">
      <c r="A895" s="497">
        <v>10122024</v>
      </c>
      <c r="B895" s="504" t="s">
        <v>572</v>
      </c>
      <c r="C895" s="499" t="s">
        <v>410</v>
      </c>
      <c r="D895" s="499">
        <v>45636</v>
      </c>
      <c r="E895" s="498"/>
      <c r="F895" s="498" t="s">
        <v>207</v>
      </c>
      <c r="H895" s="504" t="s">
        <v>279</v>
      </c>
      <c r="I895" s="505"/>
      <c r="J895" s="506"/>
      <c r="K895" s="505"/>
      <c r="L895" s="506">
        <v>8968</v>
      </c>
      <c r="T895" s="504" t="s">
        <v>4911</v>
      </c>
      <c r="U895" s="502">
        <v>0.5756944444444444</v>
      </c>
      <c r="V895" s="502">
        <v>0.77777777777777779</v>
      </c>
    </row>
    <row r="896" spans="1:22" s="504" customFormat="1" x14ac:dyDescent="0.25">
      <c r="A896" s="497">
        <v>10122024</v>
      </c>
      <c r="B896" s="504" t="s">
        <v>1720</v>
      </c>
      <c r="C896" s="499" t="s">
        <v>4218</v>
      </c>
      <c r="D896" s="499">
        <v>45636</v>
      </c>
      <c r="E896" s="498"/>
      <c r="F896" s="498" t="s">
        <v>545</v>
      </c>
      <c r="H896" s="504" t="s">
        <v>277</v>
      </c>
      <c r="I896" s="505"/>
      <c r="J896" s="506"/>
      <c r="K896" s="506">
        <v>25016</v>
      </c>
      <c r="L896" s="505"/>
      <c r="T896" s="504" t="s">
        <v>5004</v>
      </c>
      <c r="U896" s="502">
        <v>0.67986111111111114</v>
      </c>
      <c r="V896" s="502">
        <v>0.85138888888888886</v>
      </c>
    </row>
    <row r="897" spans="1:22" s="504" customFormat="1" x14ac:dyDescent="0.25">
      <c r="A897" s="497">
        <v>11122024</v>
      </c>
      <c r="B897" s="504" t="s">
        <v>614</v>
      </c>
      <c r="C897" s="499" t="s">
        <v>410</v>
      </c>
      <c r="D897" s="499">
        <v>45637</v>
      </c>
      <c r="E897" s="498"/>
      <c r="F897" s="498" t="s">
        <v>1931</v>
      </c>
      <c r="H897" s="504" t="s">
        <v>279</v>
      </c>
      <c r="I897" s="505"/>
      <c r="J897" s="506"/>
      <c r="K897" s="506">
        <v>62304</v>
      </c>
      <c r="L897" s="505"/>
      <c r="T897" s="504" t="s">
        <v>4417</v>
      </c>
      <c r="U897" s="502">
        <v>0.62083333333333335</v>
      </c>
      <c r="V897" s="502">
        <v>0.90069444444444446</v>
      </c>
    </row>
    <row r="898" spans="1:22" s="504" customFormat="1" x14ac:dyDescent="0.25">
      <c r="A898" s="497">
        <v>12122024</v>
      </c>
      <c r="B898" s="504" t="s">
        <v>5325</v>
      </c>
      <c r="C898" s="499" t="s">
        <v>4218</v>
      </c>
      <c r="D898" s="499">
        <v>45638</v>
      </c>
      <c r="E898" s="498"/>
      <c r="F898" s="498" t="s">
        <v>4200</v>
      </c>
      <c r="H898" s="504" t="s">
        <v>279</v>
      </c>
      <c r="I898" s="505"/>
      <c r="J898" s="506"/>
      <c r="K898" s="506">
        <v>41100</v>
      </c>
      <c r="L898" s="505"/>
      <c r="T898" s="504" t="s">
        <v>2050</v>
      </c>
      <c r="U898" s="502">
        <v>0.36041666666666666</v>
      </c>
      <c r="V898" s="502">
        <v>0.64861111111111114</v>
      </c>
    </row>
    <row r="899" spans="1:22" s="504" customFormat="1" x14ac:dyDescent="0.25">
      <c r="A899" s="497">
        <v>12122024</v>
      </c>
      <c r="B899" s="504" t="s">
        <v>5093</v>
      </c>
      <c r="C899" s="499" t="s">
        <v>410</v>
      </c>
      <c r="D899" s="499">
        <v>45638</v>
      </c>
      <c r="E899" s="498"/>
      <c r="F899" s="498" t="s">
        <v>5326</v>
      </c>
      <c r="H899" s="504" t="s">
        <v>279</v>
      </c>
      <c r="I899" s="505"/>
      <c r="J899" s="506"/>
      <c r="K899" s="506">
        <v>34500</v>
      </c>
      <c r="L899" s="505"/>
      <c r="T899" s="504" t="s">
        <v>4140</v>
      </c>
      <c r="U899" s="502">
        <v>0.52222222222222225</v>
      </c>
      <c r="V899" s="502">
        <v>0.74583333333333324</v>
      </c>
    </row>
    <row r="900" spans="1:22" s="504" customFormat="1" x14ac:dyDescent="0.25">
      <c r="A900" s="497">
        <v>12122024</v>
      </c>
      <c r="B900" s="504" t="s">
        <v>2285</v>
      </c>
      <c r="C900" s="499" t="s">
        <v>13</v>
      </c>
      <c r="D900" s="499">
        <v>45638</v>
      </c>
      <c r="E900" s="498"/>
      <c r="F900" s="498" t="s">
        <v>1931</v>
      </c>
      <c r="H900" s="504" t="s">
        <v>279</v>
      </c>
      <c r="I900" s="505"/>
      <c r="J900" s="506"/>
      <c r="K900" s="506">
        <v>55224</v>
      </c>
      <c r="L900" s="505"/>
      <c r="T900" s="504" t="s">
        <v>5004</v>
      </c>
      <c r="U900" s="502">
        <v>0.6777777777777777</v>
      </c>
      <c r="V900" s="502">
        <v>0.99791666666666667</v>
      </c>
    </row>
    <row r="901" spans="1:22" s="504" customFormat="1" x14ac:dyDescent="0.25">
      <c r="A901" s="497">
        <v>13122024</v>
      </c>
      <c r="B901" s="504" t="s">
        <v>607</v>
      </c>
      <c r="C901" s="499" t="s">
        <v>410</v>
      </c>
      <c r="D901" s="499">
        <v>45639</v>
      </c>
      <c r="E901" s="498"/>
      <c r="F901" s="498" t="s">
        <v>207</v>
      </c>
      <c r="H901" s="504" t="s">
        <v>279</v>
      </c>
      <c r="I901" s="505"/>
      <c r="J901" s="506"/>
      <c r="K901" s="506">
        <v>36253.14</v>
      </c>
      <c r="L901" s="505"/>
      <c r="T901" s="504" t="s">
        <v>4140</v>
      </c>
      <c r="U901" s="502">
        <v>0.25833333333333336</v>
      </c>
      <c r="V901" s="502">
        <v>0.45555555555555555</v>
      </c>
    </row>
    <row r="902" spans="1:22" s="504" customFormat="1" x14ac:dyDescent="0.25">
      <c r="A902" s="497">
        <v>14122024</v>
      </c>
      <c r="B902" s="504" t="s">
        <v>1720</v>
      </c>
      <c r="C902" s="499" t="s">
        <v>410</v>
      </c>
      <c r="D902" s="499">
        <v>45640</v>
      </c>
      <c r="E902" s="498"/>
      <c r="F902" s="498" t="s">
        <v>5330</v>
      </c>
      <c r="H902" s="504" t="s">
        <v>277</v>
      </c>
      <c r="I902" s="505"/>
      <c r="J902" s="506"/>
      <c r="K902" s="506">
        <v>25016</v>
      </c>
      <c r="L902" s="505"/>
      <c r="T902" s="504" t="s">
        <v>4417</v>
      </c>
      <c r="U902" s="502">
        <v>0.39999999999999997</v>
      </c>
      <c r="V902" s="502">
        <v>0.54583333333333328</v>
      </c>
    </row>
    <row r="903" spans="1:22" s="33" customFormat="1" x14ac:dyDescent="0.25">
      <c r="A903" s="547">
        <v>14122024</v>
      </c>
      <c r="B903" s="33" t="s">
        <v>875</v>
      </c>
      <c r="C903" s="548" t="s">
        <v>4218</v>
      </c>
      <c r="D903" s="548">
        <v>45640</v>
      </c>
      <c r="E903" s="306"/>
      <c r="F903" s="306" t="s">
        <v>2036</v>
      </c>
      <c r="H903" s="33" t="s">
        <v>279</v>
      </c>
      <c r="I903" s="312"/>
      <c r="J903" s="279"/>
      <c r="K903" s="279">
        <v>23500</v>
      </c>
      <c r="L903" s="312"/>
      <c r="T903" s="33" t="s">
        <v>4417</v>
      </c>
      <c r="U903" s="550">
        <v>0.57986111111111105</v>
      </c>
      <c r="V903" s="550">
        <v>0.7055555555555556</v>
      </c>
    </row>
    <row r="904" spans="1:22" s="504" customFormat="1" x14ac:dyDescent="0.25">
      <c r="A904" s="497">
        <v>15122024</v>
      </c>
      <c r="B904" s="504" t="s">
        <v>1720</v>
      </c>
      <c r="C904" s="499" t="s">
        <v>4218</v>
      </c>
      <c r="D904" s="499">
        <v>45641</v>
      </c>
      <c r="E904" s="498"/>
      <c r="F904" s="498" t="s">
        <v>545</v>
      </c>
      <c r="H904" s="504" t="s">
        <v>277</v>
      </c>
      <c r="I904" s="505"/>
      <c r="J904" s="506"/>
      <c r="K904" s="506">
        <v>25016</v>
      </c>
      <c r="L904" s="505"/>
      <c r="T904" s="504" t="s">
        <v>5026</v>
      </c>
      <c r="U904" s="502">
        <v>0.46736111111111112</v>
      </c>
      <c r="V904" s="502">
        <v>0.60902777777777783</v>
      </c>
    </row>
    <row r="905" spans="1:22" s="504" customFormat="1" x14ac:dyDescent="0.25">
      <c r="A905" s="497">
        <v>16122024</v>
      </c>
      <c r="B905" s="504" t="s">
        <v>610</v>
      </c>
      <c r="C905" s="499" t="s">
        <v>4218</v>
      </c>
      <c r="D905" s="499">
        <v>45642</v>
      </c>
      <c r="E905" s="498"/>
      <c r="F905" s="498" t="s">
        <v>106</v>
      </c>
      <c r="H905" s="504" t="s">
        <v>279</v>
      </c>
      <c r="I905" s="505"/>
      <c r="J905" s="506"/>
      <c r="K905" s="506">
        <v>29770</v>
      </c>
      <c r="L905" s="505"/>
      <c r="T905" s="504" t="s">
        <v>4983</v>
      </c>
      <c r="U905" s="502">
        <v>0.56388888888888888</v>
      </c>
      <c r="V905" s="502">
        <v>0.7090277777777777</v>
      </c>
    </row>
    <row r="906" spans="1:22" s="33" customFormat="1" x14ac:dyDescent="0.25">
      <c r="A906" s="547">
        <v>16122024</v>
      </c>
      <c r="B906" s="33" t="s">
        <v>614</v>
      </c>
      <c r="C906" s="548" t="s">
        <v>410</v>
      </c>
      <c r="D906" s="548">
        <v>45642</v>
      </c>
      <c r="E906" s="306"/>
      <c r="F906" s="306" t="s">
        <v>106</v>
      </c>
      <c r="H906" s="33" t="s">
        <v>279</v>
      </c>
      <c r="I906" s="312"/>
      <c r="J906" s="279"/>
      <c r="K906" s="279">
        <v>31152</v>
      </c>
      <c r="L906" s="312"/>
      <c r="T906" s="33" t="s">
        <v>4139</v>
      </c>
      <c r="U906" s="550">
        <v>0.47291666666666665</v>
      </c>
      <c r="V906" s="550">
        <v>0.65694444444444444</v>
      </c>
    </row>
    <row r="907" spans="1:22" s="504" customFormat="1" x14ac:dyDescent="0.25">
      <c r="A907" s="497">
        <v>16122024</v>
      </c>
      <c r="B907" s="504" t="s">
        <v>930</v>
      </c>
      <c r="C907" s="499" t="s">
        <v>410</v>
      </c>
      <c r="D907" s="499">
        <v>45642</v>
      </c>
      <c r="E907" s="498"/>
      <c r="F907" s="498" t="s">
        <v>294</v>
      </c>
      <c r="H907" s="504" t="s">
        <v>279</v>
      </c>
      <c r="I907" s="505"/>
      <c r="J907" s="506"/>
      <c r="K907" s="506">
        <v>33182</v>
      </c>
      <c r="L907" s="505"/>
      <c r="T907" s="504" t="s">
        <v>4139</v>
      </c>
      <c r="U907" s="502">
        <v>0.69236111111111109</v>
      </c>
      <c r="V907" s="502">
        <v>0.87847222222222221</v>
      </c>
    </row>
    <row r="908" spans="1:22" s="33" customFormat="1" x14ac:dyDescent="0.25">
      <c r="A908" s="547">
        <v>16122024</v>
      </c>
      <c r="B908" s="33" t="s">
        <v>614</v>
      </c>
      <c r="C908" s="548" t="s">
        <v>4218</v>
      </c>
      <c r="D908" s="548">
        <v>45642</v>
      </c>
      <c r="E908" s="306"/>
      <c r="F908" s="306" t="s">
        <v>68</v>
      </c>
      <c r="H908" s="33" t="s">
        <v>279</v>
      </c>
      <c r="I908" s="312"/>
      <c r="J908" s="279"/>
      <c r="K908" s="279">
        <v>49843.199999999997</v>
      </c>
      <c r="L908" s="312"/>
      <c r="T908" s="33" t="s">
        <v>4417</v>
      </c>
      <c r="U908" s="550">
        <v>0.78472222222222221</v>
      </c>
      <c r="V908" s="550">
        <v>2.361111111111111E-2</v>
      </c>
    </row>
    <row r="909" spans="1:22" s="33" customFormat="1" x14ac:dyDescent="0.25">
      <c r="A909" s="547">
        <v>17122024</v>
      </c>
      <c r="B909" s="33" t="s">
        <v>614</v>
      </c>
      <c r="C909" s="548" t="s">
        <v>410</v>
      </c>
      <c r="D909" s="548">
        <v>45643</v>
      </c>
      <c r="E909" s="306"/>
      <c r="F909" s="306" t="s">
        <v>294</v>
      </c>
      <c r="H909" s="33" t="s">
        <v>279</v>
      </c>
      <c r="I909" s="312"/>
      <c r="J909" s="279"/>
      <c r="K909" s="279">
        <v>44651.199999999997</v>
      </c>
      <c r="L909" s="312"/>
      <c r="T909" s="33" t="s">
        <v>5026</v>
      </c>
      <c r="U909" s="550">
        <v>0.4604166666666667</v>
      </c>
      <c r="V909" s="550">
        <v>0.67013888888888884</v>
      </c>
    </row>
    <row r="910" spans="1:22" s="504" customFormat="1" x14ac:dyDescent="0.25">
      <c r="A910" s="497">
        <v>17122024</v>
      </c>
      <c r="B910" s="504" t="s">
        <v>5360</v>
      </c>
      <c r="C910" s="499" t="s">
        <v>4218</v>
      </c>
      <c r="D910" s="499">
        <v>45643</v>
      </c>
      <c r="E910" s="498"/>
      <c r="F910" s="498" t="s">
        <v>294</v>
      </c>
      <c r="H910" s="504" t="s">
        <v>279</v>
      </c>
      <c r="I910" s="505"/>
      <c r="J910" s="506"/>
      <c r="K910" s="506">
        <v>35685</v>
      </c>
      <c r="L910" s="505"/>
      <c r="T910" s="504" t="s">
        <v>2050</v>
      </c>
      <c r="U910" s="502">
        <v>0.67152777777777783</v>
      </c>
      <c r="V910" s="502">
        <v>0.87152777777777779</v>
      </c>
    </row>
    <row r="911" spans="1:22" s="504" customFormat="1" x14ac:dyDescent="0.25">
      <c r="A911" s="497">
        <v>18122024</v>
      </c>
      <c r="B911" s="504" t="s">
        <v>5371</v>
      </c>
      <c r="C911" s="499" t="s">
        <v>4218</v>
      </c>
      <c r="D911" s="499">
        <v>45644</v>
      </c>
      <c r="E911" s="498"/>
      <c r="F911" s="498" t="s">
        <v>207</v>
      </c>
      <c r="H911" s="504" t="s">
        <v>279</v>
      </c>
      <c r="I911" s="505"/>
      <c r="J911" s="506"/>
      <c r="K911" s="506">
        <v>35872</v>
      </c>
      <c r="L911" s="505"/>
      <c r="T911" s="504" t="s">
        <v>4983</v>
      </c>
      <c r="U911" s="502">
        <v>0.29236111111111113</v>
      </c>
      <c r="V911" s="502">
        <v>0.49722222222222223</v>
      </c>
    </row>
    <row r="912" spans="1:22" s="33" customFormat="1" x14ac:dyDescent="0.25">
      <c r="A912" s="547">
        <v>18122024</v>
      </c>
      <c r="B912" s="33" t="s">
        <v>2285</v>
      </c>
      <c r="C912" s="548" t="s">
        <v>410</v>
      </c>
      <c r="D912" s="548">
        <v>45644</v>
      </c>
      <c r="E912" s="306"/>
      <c r="F912" s="306" t="s">
        <v>1931</v>
      </c>
      <c r="H912" s="33" t="s">
        <v>279</v>
      </c>
      <c r="I912" s="312"/>
      <c r="J912" s="279"/>
      <c r="K912" s="279">
        <v>55224</v>
      </c>
      <c r="L912" s="312"/>
      <c r="T912" s="33" t="s">
        <v>4617</v>
      </c>
      <c r="U912" s="550">
        <v>0.65625</v>
      </c>
      <c r="V912" s="550">
        <v>0.98055555555555562</v>
      </c>
    </row>
    <row r="913" spans="1:22" s="504" customFormat="1" x14ac:dyDescent="0.25">
      <c r="A913" s="497">
        <v>19122024</v>
      </c>
      <c r="B913" s="504" t="s">
        <v>4021</v>
      </c>
      <c r="C913" s="499" t="s">
        <v>4218</v>
      </c>
      <c r="D913" s="499">
        <v>45645</v>
      </c>
      <c r="E913" s="498"/>
      <c r="F913" s="498" t="s">
        <v>425</v>
      </c>
      <c r="H913" s="504" t="s">
        <v>279</v>
      </c>
      <c r="I913" s="505"/>
      <c r="J913" s="506"/>
      <c r="K913" s="506">
        <v>31390</v>
      </c>
      <c r="L913" s="505"/>
      <c r="T913" s="504" t="s">
        <v>4138</v>
      </c>
      <c r="U913" s="502">
        <v>0.25972222222222224</v>
      </c>
      <c r="V913" s="502">
        <v>0.46736111111111112</v>
      </c>
    </row>
    <row r="914" spans="1:22" s="504" customFormat="1" x14ac:dyDescent="0.25">
      <c r="A914" s="497">
        <v>20122024</v>
      </c>
      <c r="B914" s="504" t="s">
        <v>1720</v>
      </c>
      <c r="C914" s="499" t="s">
        <v>809</v>
      </c>
      <c r="D914" s="499">
        <v>45646</v>
      </c>
      <c r="E914" s="498"/>
      <c r="F914" s="498" t="s">
        <v>545</v>
      </c>
      <c r="H914" s="504" t="s">
        <v>277</v>
      </c>
      <c r="I914" s="505"/>
      <c r="J914" s="506"/>
      <c r="K914" s="506">
        <v>25016</v>
      </c>
      <c r="L914" s="505"/>
      <c r="T914" s="504" t="s">
        <v>5392</v>
      </c>
      <c r="U914" s="502">
        <v>0.70347222222222228</v>
      </c>
      <c r="V914" s="502">
        <v>0.76249999999999996</v>
      </c>
    </row>
    <row r="915" spans="1:22" s="33" customFormat="1" x14ac:dyDescent="0.25">
      <c r="A915" s="547">
        <v>20122024</v>
      </c>
      <c r="B915" s="33" t="s">
        <v>614</v>
      </c>
      <c r="C915" s="548" t="s">
        <v>410</v>
      </c>
      <c r="D915" s="548">
        <v>45646</v>
      </c>
      <c r="E915" s="306"/>
      <c r="F915" s="306" t="s">
        <v>143</v>
      </c>
      <c r="H915" s="33" t="s">
        <v>279</v>
      </c>
      <c r="I915" s="312"/>
      <c r="J915" s="279"/>
      <c r="K915" s="279">
        <v>43612.800000000003</v>
      </c>
      <c r="L915" s="312"/>
      <c r="T915" s="33" t="s">
        <v>4853</v>
      </c>
      <c r="U915" s="550">
        <v>0.87708333333333333</v>
      </c>
      <c r="V915" s="550">
        <v>7.9166666666666663E-2</v>
      </c>
    </row>
    <row r="916" spans="1:22" s="33" customFormat="1" x14ac:dyDescent="0.25">
      <c r="A916" s="547">
        <v>21122024</v>
      </c>
      <c r="B916" s="33" t="s">
        <v>614</v>
      </c>
      <c r="C916" s="548" t="s">
        <v>4218</v>
      </c>
      <c r="D916" s="548">
        <v>45647</v>
      </c>
      <c r="E916" s="306"/>
      <c r="F916" s="306" t="s">
        <v>113</v>
      </c>
      <c r="H916" s="33" t="s">
        <v>279</v>
      </c>
      <c r="I916" s="312"/>
      <c r="J916" s="279"/>
      <c r="K916" s="279">
        <v>44651.199999999997</v>
      </c>
      <c r="L916" s="312"/>
      <c r="T916" s="33" t="s">
        <v>5020</v>
      </c>
      <c r="U916" s="550">
        <v>0.34444444444444444</v>
      </c>
      <c r="V916" s="550">
        <v>0.5444444444444444</v>
      </c>
    </row>
    <row r="917" spans="1:22" s="504" customFormat="1" x14ac:dyDescent="0.25">
      <c r="A917" s="497">
        <v>21122024</v>
      </c>
      <c r="B917" s="504" t="s">
        <v>4724</v>
      </c>
      <c r="C917" s="499" t="s">
        <v>410</v>
      </c>
      <c r="D917" s="499">
        <v>45647</v>
      </c>
      <c r="E917" s="498"/>
      <c r="F917" s="498" t="s">
        <v>285</v>
      </c>
      <c r="H917" s="504" t="s">
        <v>279</v>
      </c>
      <c r="I917" s="505"/>
      <c r="J917" s="506"/>
      <c r="K917" s="506">
        <v>45428.75</v>
      </c>
      <c r="L917" s="505"/>
      <c r="T917" s="504" t="s">
        <v>5393</v>
      </c>
      <c r="U917" s="502">
        <v>0.50972222222222219</v>
      </c>
      <c r="V917" s="502">
        <v>0.74791666666666667</v>
      </c>
    </row>
    <row r="918" spans="1:22" s="33" customFormat="1" ht="14.1" customHeight="1" x14ac:dyDescent="0.25">
      <c r="A918" s="547">
        <v>21122024</v>
      </c>
      <c r="B918" s="33" t="s">
        <v>875</v>
      </c>
      <c r="C918" s="548" t="s">
        <v>13</v>
      </c>
      <c r="D918" s="548">
        <v>45647</v>
      </c>
      <c r="E918" s="306"/>
      <c r="F918" s="306" t="s">
        <v>2036</v>
      </c>
      <c r="H918" s="33" t="s">
        <v>279</v>
      </c>
      <c r="I918" s="312"/>
      <c r="J918" s="279"/>
      <c r="K918" s="279">
        <v>23500</v>
      </c>
      <c r="L918" s="312"/>
      <c r="T918" s="33" t="s">
        <v>4139</v>
      </c>
      <c r="U918" s="550">
        <v>0.56944444444444442</v>
      </c>
      <c r="V918" s="550">
        <v>0.70208333333333339</v>
      </c>
    </row>
    <row r="919" spans="1:22" s="504" customFormat="1" x14ac:dyDescent="0.25">
      <c r="A919" s="497">
        <v>21122024</v>
      </c>
      <c r="B919" s="504" t="s">
        <v>1720</v>
      </c>
      <c r="C919" s="499" t="s">
        <v>13</v>
      </c>
      <c r="D919" s="499">
        <v>45647</v>
      </c>
      <c r="E919" s="498"/>
      <c r="F919" s="498" t="s">
        <v>545</v>
      </c>
      <c r="H919" s="504" t="s">
        <v>277</v>
      </c>
      <c r="I919" s="505"/>
      <c r="J919" s="506"/>
      <c r="K919" s="506">
        <v>25016</v>
      </c>
      <c r="L919" s="505"/>
      <c r="T919" s="504" t="s">
        <v>4139</v>
      </c>
      <c r="U919" s="502">
        <v>0.74305555555555547</v>
      </c>
      <c r="V919" s="502">
        <v>0.89236111111111116</v>
      </c>
    </row>
    <row r="920" spans="1:22" s="33" customFormat="1" x14ac:dyDescent="0.25">
      <c r="A920" s="547">
        <v>22122024</v>
      </c>
      <c r="B920" s="33" t="s">
        <v>614</v>
      </c>
      <c r="C920" s="548" t="s">
        <v>4218</v>
      </c>
      <c r="D920" s="548">
        <v>45648</v>
      </c>
      <c r="E920" s="306"/>
      <c r="F920" s="306" t="s">
        <v>2029</v>
      </c>
      <c r="H920" s="33" t="s">
        <v>279</v>
      </c>
      <c r="I920" s="312"/>
      <c r="J920" s="279"/>
      <c r="K920" s="279">
        <v>31152</v>
      </c>
      <c r="L920" s="312"/>
      <c r="T920" s="33" t="s">
        <v>2050</v>
      </c>
      <c r="U920" s="550">
        <v>0.31944444444444448</v>
      </c>
      <c r="V920" s="550">
        <v>0.54305555555555551</v>
      </c>
    </row>
    <row r="921" spans="1:22" s="504" customFormat="1" x14ac:dyDescent="0.25">
      <c r="A921" s="497">
        <v>23122024</v>
      </c>
      <c r="B921" s="504" t="s">
        <v>5395</v>
      </c>
      <c r="C921" s="499" t="s">
        <v>410</v>
      </c>
      <c r="D921" s="499">
        <v>45649</v>
      </c>
      <c r="E921" s="498"/>
      <c r="F921" s="498" t="s">
        <v>106</v>
      </c>
      <c r="H921" s="504" t="s">
        <v>279</v>
      </c>
      <c r="I921" s="505"/>
      <c r="J921" s="506"/>
      <c r="K921" s="506"/>
      <c r="L921" s="505">
        <f>6000*1.18</f>
        <v>7080</v>
      </c>
      <c r="T921" s="504" t="s">
        <v>4345</v>
      </c>
      <c r="U921" s="502">
        <v>0.44375000000000003</v>
      </c>
      <c r="V921" s="502">
        <v>0.55763888888888891</v>
      </c>
    </row>
    <row r="922" spans="1:22" s="504" customFormat="1" x14ac:dyDescent="0.25">
      <c r="A922" s="497">
        <v>24122024</v>
      </c>
      <c r="B922" s="504" t="s">
        <v>3276</v>
      </c>
      <c r="C922" s="499" t="s">
        <v>410</v>
      </c>
      <c r="D922" s="499">
        <v>45650</v>
      </c>
      <c r="E922" s="498"/>
      <c r="F922" s="498" t="s">
        <v>872</v>
      </c>
      <c r="H922" s="504" t="s">
        <v>279</v>
      </c>
      <c r="I922" s="505"/>
      <c r="J922" s="506"/>
      <c r="K922" s="506">
        <v>39800</v>
      </c>
      <c r="L922" s="505"/>
      <c r="T922" s="504" t="s">
        <v>4983</v>
      </c>
      <c r="U922" s="502">
        <v>0.3430555555555555</v>
      </c>
      <c r="V922" s="502">
        <v>0.54513888888888895</v>
      </c>
    </row>
    <row r="923" spans="1:22" s="504" customFormat="1" x14ac:dyDescent="0.25">
      <c r="A923" s="497">
        <v>24122024</v>
      </c>
      <c r="B923" s="504" t="s">
        <v>4021</v>
      </c>
      <c r="C923" s="499" t="s">
        <v>4218</v>
      </c>
      <c r="D923" s="499">
        <v>45650</v>
      </c>
      <c r="E923" s="498"/>
      <c r="F923" s="498" t="s">
        <v>425</v>
      </c>
      <c r="H923" s="504" t="s">
        <v>279</v>
      </c>
      <c r="I923" s="505"/>
      <c r="J923" s="506"/>
      <c r="K923" s="506">
        <v>33040</v>
      </c>
      <c r="L923" s="505"/>
      <c r="T923" s="504" t="s">
        <v>2050</v>
      </c>
      <c r="U923" s="502">
        <v>0.53541666666666665</v>
      </c>
      <c r="V923" s="502">
        <v>0.72569444444444453</v>
      </c>
    </row>
    <row r="924" spans="1:22" s="33" customFormat="1" x14ac:dyDescent="0.25">
      <c r="A924" s="547">
        <v>25122024</v>
      </c>
      <c r="B924" s="33" t="s">
        <v>1720</v>
      </c>
      <c r="C924" s="548" t="s">
        <v>410</v>
      </c>
      <c r="D924" s="548">
        <v>45651</v>
      </c>
      <c r="E924" s="306"/>
      <c r="F924" s="306" t="s">
        <v>545</v>
      </c>
      <c r="H924" s="33" t="s">
        <v>279</v>
      </c>
      <c r="I924" s="312"/>
      <c r="J924" s="279"/>
      <c r="K924" s="279">
        <v>34456</v>
      </c>
      <c r="L924" s="312"/>
      <c r="T924" s="33" t="s">
        <v>2050</v>
      </c>
      <c r="U924" s="550">
        <v>0.43611111111111112</v>
      </c>
      <c r="V924" s="550">
        <v>0.59236111111111112</v>
      </c>
    </row>
    <row r="925" spans="1:22" s="504" customFormat="1" x14ac:dyDescent="0.25">
      <c r="A925" s="497">
        <v>25122024</v>
      </c>
      <c r="B925" s="504" t="s">
        <v>930</v>
      </c>
      <c r="C925" s="499" t="s">
        <v>410</v>
      </c>
      <c r="D925" s="499">
        <v>45651</v>
      </c>
      <c r="E925" s="498"/>
      <c r="F925" s="498" t="s">
        <v>294</v>
      </c>
      <c r="H925" s="504" t="s">
        <v>277</v>
      </c>
      <c r="I925" s="505"/>
      <c r="J925" s="506"/>
      <c r="K925" s="506">
        <v>24886</v>
      </c>
      <c r="L925" s="505"/>
      <c r="T925" s="504" t="s">
        <v>4853</v>
      </c>
      <c r="U925" s="502">
        <v>0.6875</v>
      </c>
      <c r="V925" s="502">
        <v>0.84722222222222221</v>
      </c>
    </row>
    <row r="926" spans="1:22" s="504" customFormat="1" x14ac:dyDescent="0.25">
      <c r="A926" s="497">
        <v>25122024</v>
      </c>
      <c r="B926" s="504" t="s">
        <v>930</v>
      </c>
      <c r="C926" s="499" t="s">
        <v>4218</v>
      </c>
      <c r="D926" s="499">
        <v>45651</v>
      </c>
      <c r="E926" s="498"/>
      <c r="F926" s="498" t="s">
        <v>294</v>
      </c>
      <c r="H926" s="504" t="s">
        <v>277</v>
      </c>
      <c r="I926" s="505"/>
      <c r="J926" s="506"/>
      <c r="K926" s="506">
        <v>24886</v>
      </c>
      <c r="L926" s="505"/>
      <c r="T926" s="504" t="s">
        <v>2050</v>
      </c>
      <c r="U926" s="502">
        <v>0.6791666666666667</v>
      </c>
      <c r="V926" s="502">
        <v>0.83194444444444438</v>
      </c>
    </row>
    <row r="927" spans="1:22" s="504" customFormat="1" x14ac:dyDescent="0.25">
      <c r="A927" s="497">
        <v>26122024</v>
      </c>
      <c r="B927" s="504" t="s">
        <v>118</v>
      </c>
      <c r="C927" s="499" t="s">
        <v>4218</v>
      </c>
      <c r="D927" s="499">
        <v>45652</v>
      </c>
      <c r="E927" s="498"/>
      <c r="F927" s="498" t="s">
        <v>143</v>
      </c>
      <c r="H927" s="504" t="s">
        <v>279</v>
      </c>
      <c r="I927" s="505"/>
      <c r="J927" s="506"/>
      <c r="K927" s="506">
        <v>36700</v>
      </c>
      <c r="L927" s="505"/>
      <c r="T927" s="504" t="s">
        <v>5078</v>
      </c>
      <c r="U927" s="502">
        <v>0.25486111111111109</v>
      </c>
      <c r="V927" s="502">
        <v>0.46319444444444446</v>
      </c>
    </row>
    <row r="928" spans="1:22" s="504" customFormat="1" x14ac:dyDescent="0.25">
      <c r="A928" s="497">
        <v>26122024</v>
      </c>
      <c r="B928" s="504" t="s">
        <v>118</v>
      </c>
      <c r="C928" s="499" t="s">
        <v>410</v>
      </c>
      <c r="D928" s="499">
        <v>45652</v>
      </c>
      <c r="E928" s="498"/>
      <c r="F928" s="498" t="s">
        <v>143</v>
      </c>
      <c r="H928" s="504" t="s">
        <v>279</v>
      </c>
      <c r="I928" s="505"/>
      <c r="J928" s="506"/>
      <c r="K928" s="506">
        <v>36700</v>
      </c>
      <c r="L928" s="505"/>
      <c r="T928" s="504" t="s">
        <v>4297</v>
      </c>
      <c r="U928" s="502">
        <v>0.26805555555555555</v>
      </c>
      <c r="V928" s="502">
        <v>0.50902777777777775</v>
      </c>
    </row>
    <row r="929" spans="1:22" s="33" customFormat="1" x14ac:dyDescent="0.25">
      <c r="A929" s="547">
        <v>26122024</v>
      </c>
      <c r="B929" s="33" t="s">
        <v>1720</v>
      </c>
      <c r="C929" s="548" t="s">
        <v>13</v>
      </c>
      <c r="D929" s="548">
        <v>45652</v>
      </c>
      <c r="E929" s="306"/>
      <c r="F929" s="306" t="s">
        <v>545</v>
      </c>
      <c r="H929" s="33" t="s">
        <v>279</v>
      </c>
      <c r="I929" s="312"/>
      <c r="J929" s="279"/>
      <c r="K929" s="279">
        <v>34456</v>
      </c>
      <c r="L929" s="312"/>
      <c r="T929" s="33" t="s">
        <v>1644</v>
      </c>
      <c r="U929" s="550">
        <v>0.45763888888888887</v>
      </c>
      <c r="V929" s="550">
        <v>0.64097222222222217</v>
      </c>
    </row>
    <row r="930" spans="1:22" s="504" customFormat="1" x14ac:dyDescent="0.25">
      <c r="A930" s="497">
        <v>26122024</v>
      </c>
      <c r="B930" s="504" t="s">
        <v>610</v>
      </c>
      <c r="C930" s="499" t="s">
        <v>4218</v>
      </c>
      <c r="D930" s="499">
        <v>45652</v>
      </c>
      <c r="E930" s="498"/>
      <c r="F930" s="498" t="s">
        <v>106</v>
      </c>
      <c r="H930" s="504" t="s">
        <v>279</v>
      </c>
      <c r="I930" s="505"/>
      <c r="J930" s="506"/>
      <c r="K930" s="506">
        <v>29770</v>
      </c>
      <c r="L930" s="505"/>
      <c r="T930" s="504" t="s">
        <v>5078</v>
      </c>
      <c r="U930" s="502">
        <v>0.56041666666666667</v>
      </c>
      <c r="V930" s="502">
        <v>0.74097222222222225</v>
      </c>
    </row>
    <row r="931" spans="1:22" s="33" customFormat="1" x14ac:dyDescent="0.25">
      <c r="A931" s="547">
        <v>26122024</v>
      </c>
      <c r="B931" s="33" t="s">
        <v>1720</v>
      </c>
      <c r="C931" s="548" t="s">
        <v>410</v>
      </c>
      <c r="D931" s="548">
        <v>45652</v>
      </c>
      <c r="E931" s="306"/>
      <c r="F931" s="306" t="s">
        <v>545</v>
      </c>
      <c r="H931" s="33" t="s">
        <v>277</v>
      </c>
      <c r="I931" s="312"/>
      <c r="J931" s="279"/>
      <c r="K931" s="279">
        <v>25016</v>
      </c>
      <c r="L931" s="312"/>
      <c r="T931" s="33" t="s">
        <v>1644</v>
      </c>
      <c r="U931" s="550">
        <v>0.66875000000000007</v>
      </c>
      <c r="V931" s="550">
        <v>0.7270833333333333</v>
      </c>
    </row>
    <row r="932" spans="1:22" s="33" customFormat="1" x14ac:dyDescent="0.25">
      <c r="A932" s="547">
        <v>26122024</v>
      </c>
      <c r="B932" s="33" t="s">
        <v>4193</v>
      </c>
      <c r="C932" s="548" t="s">
        <v>410</v>
      </c>
      <c r="D932" s="548">
        <v>45652</v>
      </c>
      <c r="E932" s="306"/>
      <c r="F932" s="306" t="s">
        <v>236</v>
      </c>
      <c r="H932" s="33" t="s">
        <v>279</v>
      </c>
      <c r="I932" s="312"/>
      <c r="J932" s="279"/>
      <c r="K932" s="279">
        <v>53800</v>
      </c>
      <c r="L932" s="312"/>
      <c r="T932" s="33" t="s">
        <v>4983</v>
      </c>
      <c r="U932" s="550">
        <v>0.93958333333333333</v>
      </c>
      <c r="V932" s="550">
        <v>0.20625000000000002</v>
      </c>
    </row>
    <row r="933" spans="1:22" s="504" customFormat="1" x14ac:dyDescent="0.25">
      <c r="A933" s="497">
        <v>27122024</v>
      </c>
      <c r="B933" s="504" t="s">
        <v>3383</v>
      </c>
      <c r="C933" s="499" t="s">
        <v>4218</v>
      </c>
      <c r="D933" s="499">
        <v>45653</v>
      </c>
      <c r="E933" s="498"/>
      <c r="F933" s="498" t="s">
        <v>5326</v>
      </c>
      <c r="H933" s="504" t="s">
        <v>279</v>
      </c>
      <c r="I933" s="505"/>
      <c r="J933" s="506"/>
      <c r="K933" s="506">
        <v>34500</v>
      </c>
      <c r="L933" s="505"/>
      <c r="T933" s="504" t="s">
        <v>4509</v>
      </c>
      <c r="U933" s="502">
        <v>0.44097222222222227</v>
      </c>
      <c r="V933" s="502">
        <v>0.73125000000000007</v>
      </c>
    </row>
    <row r="934" spans="1:22" s="33" customFormat="1" ht="14.1" customHeight="1" x14ac:dyDescent="0.25">
      <c r="A934" s="547">
        <v>28122024</v>
      </c>
      <c r="B934" s="33" t="s">
        <v>1720</v>
      </c>
      <c r="C934" s="548" t="s">
        <v>410</v>
      </c>
      <c r="D934" s="548">
        <v>45654</v>
      </c>
      <c r="E934" s="306"/>
      <c r="F934" s="306" t="s">
        <v>545</v>
      </c>
      <c r="H934" s="33" t="s">
        <v>279</v>
      </c>
      <c r="I934" s="312"/>
      <c r="J934" s="279"/>
      <c r="K934" s="279">
        <v>34456</v>
      </c>
      <c r="L934" s="312"/>
      <c r="T934" s="33" t="s">
        <v>4417</v>
      </c>
      <c r="U934" s="550">
        <v>0.27083333333333331</v>
      </c>
      <c r="V934" s="550">
        <v>0.4375</v>
      </c>
    </row>
    <row r="935" spans="1:22" s="504" customFormat="1" x14ac:dyDescent="0.25">
      <c r="A935" s="497">
        <v>28122024</v>
      </c>
      <c r="B935" s="504" t="s">
        <v>608</v>
      </c>
      <c r="C935" s="499" t="s">
        <v>4218</v>
      </c>
      <c r="D935" s="499">
        <v>45654</v>
      </c>
      <c r="E935" s="498"/>
      <c r="F935" s="498" t="s">
        <v>236</v>
      </c>
      <c r="H935" s="504" t="s">
        <v>279</v>
      </c>
      <c r="I935" s="505"/>
      <c r="J935" s="506"/>
      <c r="K935" s="506">
        <v>58231</v>
      </c>
      <c r="L935" s="505"/>
      <c r="T935" s="504" t="s">
        <v>4139</v>
      </c>
      <c r="U935" s="502">
        <v>0.26458333333333334</v>
      </c>
      <c r="V935" s="502">
        <v>0.55069444444444449</v>
      </c>
    </row>
    <row r="936" spans="1:22" s="919" customFormat="1" x14ac:dyDescent="0.25">
      <c r="A936" s="918">
        <v>28122024</v>
      </c>
      <c r="B936" s="919" t="s">
        <v>5360</v>
      </c>
      <c r="C936" s="920" t="s">
        <v>13</v>
      </c>
      <c r="D936" s="920">
        <v>45654</v>
      </c>
      <c r="E936" s="921" t="s">
        <v>5798</v>
      </c>
      <c r="F936" s="921" t="s">
        <v>294</v>
      </c>
      <c r="H936" s="919" t="s">
        <v>279</v>
      </c>
      <c r="I936" s="922"/>
      <c r="J936" s="923"/>
      <c r="K936" s="923">
        <v>35685</v>
      </c>
      <c r="L936" s="922"/>
      <c r="T936" s="919" t="s">
        <v>5021</v>
      </c>
      <c r="U936" s="924">
        <v>0.50347222222222221</v>
      </c>
      <c r="V936" s="924">
        <v>0.69027777777777777</v>
      </c>
    </row>
    <row r="937" spans="1:22" s="504" customFormat="1" x14ac:dyDescent="0.25">
      <c r="A937" s="497">
        <v>28122024</v>
      </c>
      <c r="B937" s="504" t="s">
        <v>3276</v>
      </c>
      <c r="C937" s="499" t="s">
        <v>410</v>
      </c>
      <c r="D937" s="499">
        <v>45654</v>
      </c>
      <c r="E937" s="498"/>
      <c r="F937" s="498" t="s">
        <v>872</v>
      </c>
      <c r="H937" s="504" t="s">
        <v>279</v>
      </c>
      <c r="I937" s="505"/>
      <c r="J937" s="506"/>
      <c r="K937" s="506">
        <v>39800</v>
      </c>
      <c r="L937" s="505"/>
      <c r="T937" s="504" t="s">
        <v>4417</v>
      </c>
      <c r="U937" s="502">
        <v>0.46736111111111112</v>
      </c>
      <c r="V937" s="502">
        <v>0.70972222222222225</v>
      </c>
    </row>
    <row r="938" spans="1:22" s="504" customFormat="1" x14ac:dyDescent="0.25">
      <c r="A938" s="497">
        <v>29122024</v>
      </c>
      <c r="B938" s="504" t="s">
        <v>611</v>
      </c>
      <c r="C938" s="499" t="s">
        <v>410</v>
      </c>
      <c r="D938" s="499">
        <v>45655</v>
      </c>
      <c r="E938" s="498"/>
      <c r="F938" s="498" t="s">
        <v>143</v>
      </c>
      <c r="H938" s="504" t="s">
        <v>279</v>
      </c>
      <c r="I938" s="505"/>
      <c r="J938" s="506"/>
      <c r="K938" s="506">
        <v>36700</v>
      </c>
      <c r="L938" s="505"/>
      <c r="T938" s="504" t="s">
        <v>4983</v>
      </c>
      <c r="U938" s="502">
        <v>0.29375000000000001</v>
      </c>
      <c r="V938" s="502">
        <v>0.50416666666666665</v>
      </c>
    </row>
    <row r="939" spans="1:22" s="33" customFormat="1" x14ac:dyDescent="0.25">
      <c r="A939" s="547">
        <v>29122024</v>
      </c>
      <c r="B939" s="33" t="s">
        <v>614</v>
      </c>
      <c r="C939" s="548" t="s">
        <v>4218</v>
      </c>
      <c r="D939" s="548">
        <v>45655</v>
      </c>
      <c r="E939" s="306"/>
      <c r="F939" s="306" t="s">
        <v>2008</v>
      </c>
      <c r="H939" s="33" t="s">
        <v>279</v>
      </c>
      <c r="I939" s="312"/>
      <c r="J939" s="279"/>
      <c r="K939" s="279">
        <v>55035.199999999997</v>
      </c>
      <c r="L939" s="312"/>
      <c r="T939" s="33" t="s">
        <v>5393</v>
      </c>
      <c r="U939" s="550">
        <v>0.3666666666666667</v>
      </c>
      <c r="V939" s="550">
        <v>0.61458333333333337</v>
      </c>
    </row>
    <row r="940" spans="1:22" s="504" customFormat="1" x14ac:dyDescent="0.25">
      <c r="A940" s="497">
        <v>29122024</v>
      </c>
      <c r="B940" s="504" t="s">
        <v>5239</v>
      </c>
      <c r="C940" s="499" t="s">
        <v>13</v>
      </c>
      <c r="D940" s="499">
        <v>45655</v>
      </c>
      <c r="E940" s="498"/>
      <c r="F940" s="498" t="s">
        <v>207</v>
      </c>
      <c r="H940" s="504" t="s">
        <v>279</v>
      </c>
      <c r="I940" s="505"/>
      <c r="J940" s="506"/>
      <c r="K940" s="506">
        <v>35872</v>
      </c>
      <c r="L940" s="505"/>
      <c r="T940" s="504" t="s">
        <v>4139</v>
      </c>
      <c r="U940" s="502">
        <v>0.55347222222222225</v>
      </c>
      <c r="V940" s="502">
        <v>0.77083333333333337</v>
      </c>
    </row>
    <row r="941" spans="1:22" s="33" customFormat="1" x14ac:dyDescent="0.25">
      <c r="A941" s="547">
        <v>29122024</v>
      </c>
      <c r="B941" s="33" t="s">
        <v>1720</v>
      </c>
      <c r="C941" s="548" t="s">
        <v>410</v>
      </c>
      <c r="D941" s="548">
        <v>45655</v>
      </c>
      <c r="E941" s="306"/>
      <c r="F941" s="306" t="s">
        <v>545</v>
      </c>
      <c r="H941" s="33" t="s">
        <v>277</v>
      </c>
      <c r="I941" s="312"/>
      <c r="J941" s="279"/>
      <c r="K941" s="279">
        <v>25016</v>
      </c>
      <c r="L941" s="312"/>
      <c r="T941" s="33" t="s">
        <v>2050</v>
      </c>
      <c r="U941" s="550">
        <v>0.71597222222222223</v>
      </c>
      <c r="V941" s="550">
        <v>0.85486111111111107</v>
      </c>
    </row>
    <row r="942" spans="1:22" s="33" customFormat="1" x14ac:dyDescent="0.25">
      <c r="A942" s="547">
        <v>30122024</v>
      </c>
      <c r="B942" s="33" t="s">
        <v>614</v>
      </c>
      <c r="C942" s="548" t="s">
        <v>4218</v>
      </c>
      <c r="D942" s="548">
        <v>45656</v>
      </c>
      <c r="E942" s="306"/>
      <c r="F942" s="306" t="s">
        <v>2036</v>
      </c>
      <c r="H942" s="33" t="s">
        <v>279</v>
      </c>
      <c r="I942" s="312"/>
      <c r="J942" s="279"/>
      <c r="K942" s="279">
        <v>31152</v>
      </c>
      <c r="L942" s="312"/>
      <c r="T942" s="33" t="s">
        <v>5020</v>
      </c>
      <c r="U942" s="550">
        <v>0.3833333333333333</v>
      </c>
      <c r="V942" s="550">
        <v>0.5131944444444444</v>
      </c>
    </row>
    <row r="943" spans="1:22" s="33" customFormat="1" x14ac:dyDescent="0.25">
      <c r="A943" s="547">
        <v>30122024</v>
      </c>
      <c r="B943" s="33" t="s">
        <v>1720</v>
      </c>
      <c r="C943" s="548" t="s">
        <v>13</v>
      </c>
      <c r="D943" s="548">
        <v>45656</v>
      </c>
      <c r="E943" s="306"/>
      <c r="F943" s="306" t="s">
        <v>545</v>
      </c>
      <c r="H943" s="33" t="s">
        <v>277</v>
      </c>
      <c r="I943" s="312"/>
      <c r="J943" s="279"/>
      <c r="K943" s="279">
        <v>25016</v>
      </c>
      <c r="L943" s="312"/>
      <c r="T943" s="33" t="s">
        <v>5131</v>
      </c>
      <c r="U943" s="550">
        <v>0.66111111111111109</v>
      </c>
      <c r="V943" s="550">
        <v>0.84444444444444444</v>
      </c>
    </row>
    <row r="944" spans="1:22" s="33" customFormat="1" x14ac:dyDescent="0.25">
      <c r="A944" s="547">
        <v>31122024</v>
      </c>
      <c r="B944" s="33" t="s">
        <v>608</v>
      </c>
      <c r="C944" s="548" t="s">
        <v>4218</v>
      </c>
      <c r="D944" s="548">
        <v>45657</v>
      </c>
      <c r="E944" s="306"/>
      <c r="F944" s="306" t="s">
        <v>236</v>
      </c>
      <c r="H944" s="33" t="s">
        <v>279</v>
      </c>
      <c r="I944" s="312"/>
      <c r="J944" s="279"/>
      <c r="K944" s="279">
        <v>58231</v>
      </c>
      <c r="L944" s="312"/>
      <c r="T944" s="33" t="s">
        <v>5131</v>
      </c>
      <c r="U944" s="550">
        <v>0.60902777777777783</v>
      </c>
      <c r="V944" s="550">
        <v>0.875</v>
      </c>
    </row>
    <row r="945" spans="1:22" s="33" customFormat="1" x14ac:dyDescent="0.25">
      <c r="A945" s="547">
        <v>31122024</v>
      </c>
      <c r="B945" s="33" t="s">
        <v>608</v>
      </c>
      <c r="C945" s="548" t="s">
        <v>410</v>
      </c>
      <c r="D945" s="548">
        <v>45657</v>
      </c>
      <c r="E945" s="306"/>
      <c r="F945" s="306" t="s">
        <v>236</v>
      </c>
      <c r="H945" s="33" t="s">
        <v>279</v>
      </c>
      <c r="I945" s="312"/>
      <c r="J945" s="279"/>
      <c r="K945" s="279">
        <v>58231</v>
      </c>
      <c r="L945" s="312"/>
      <c r="T945" s="33" t="s">
        <v>4983</v>
      </c>
      <c r="U945" s="550">
        <v>0.61249999999999993</v>
      </c>
      <c r="V945" s="550">
        <v>0.88055555555555554</v>
      </c>
    </row>
    <row r="946" spans="1:22" x14ac:dyDescent="0.25">
      <c r="A946" s="483"/>
      <c r="C946" s="233"/>
      <c r="D946" s="233"/>
      <c r="E946" s="28"/>
      <c r="G946" s="32"/>
      <c r="H946"/>
      <c r="I946" s="313"/>
      <c r="J946" s="88"/>
      <c r="K946" s="88"/>
      <c r="L946" s="313"/>
      <c r="U946" s="360"/>
      <c r="V946" s="360"/>
    </row>
    <row r="947" spans="1:22" x14ac:dyDescent="0.25">
      <c r="A947" s="483"/>
      <c r="C947" s="233"/>
      <c r="D947" s="233"/>
      <c r="E947" s="28"/>
      <c r="H947"/>
      <c r="I947" s="313"/>
      <c r="J947" s="88"/>
      <c r="K947" s="88"/>
      <c r="L947" s="313"/>
      <c r="U947" s="360"/>
      <c r="V947" s="360"/>
    </row>
    <row r="948" spans="1:22" x14ac:dyDescent="0.25">
      <c r="A948" s="483"/>
      <c r="C948" s="233"/>
      <c r="D948" s="233"/>
      <c r="E948" s="28"/>
      <c r="H948"/>
      <c r="I948" s="313"/>
      <c r="J948" s="88"/>
      <c r="K948" s="88"/>
      <c r="L948" s="313"/>
      <c r="U948" s="360"/>
      <c r="V948" s="360"/>
    </row>
    <row r="949" spans="1:22" x14ac:dyDescent="0.25">
      <c r="A949" s="483"/>
      <c r="C949" s="233"/>
      <c r="D949" s="233"/>
      <c r="E949" s="28"/>
      <c r="H949"/>
      <c r="I949" s="313"/>
      <c r="J949" s="88"/>
      <c r="K949" s="88"/>
      <c r="L949" s="313"/>
      <c r="U949" s="360"/>
      <c r="V949" s="360"/>
    </row>
    <row r="950" spans="1:22" x14ac:dyDescent="0.25">
      <c r="A950" s="483"/>
      <c r="C950" s="233"/>
      <c r="D950" s="233"/>
      <c r="E950" s="28"/>
      <c r="H950"/>
      <c r="I950" s="313"/>
      <c r="J950" s="88"/>
      <c r="K950" s="88"/>
      <c r="L950" s="313"/>
      <c r="U950" s="360"/>
      <c r="V950" s="360"/>
    </row>
    <row r="951" spans="1:22" x14ac:dyDescent="0.25">
      <c r="A951" s="483"/>
      <c r="C951" s="233"/>
      <c r="D951" s="233"/>
      <c r="E951" s="28"/>
      <c r="H951"/>
      <c r="I951" s="313"/>
      <c r="J951" s="88"/>
      <c r="K951" s="88"/>
      <c r="L951" s="313"/>
      <c r="T951" s="32"/>
      <c r="U951" s="360"/>
      <c r="V951" s="360"/>
    </row>
    <row r="952" spans="1:22" x14ac:dyDescent="0.25">
      <c r="A952" s="483"/>
      <c r="C952" s="233"/>
      <c r="D952" s="233"/>
      <c r="E952" s="28"/>
      <c r="H952"/>
      <c r="I952" s="313"/>
      <c r="J952" s="88"/>
      <c r="K952" s="89">
        <f>SUM(K871:K951)</f>
        <v>2608930.89</v>
      </c>
      <c r="L952" s="89">
        <f>SUM(L871:L951)</f>
        <v>33305.5</v>
      </c>
      <c r="T952" s="32"/>
      <c r="U952" s="360"/>
      <c r="V952" s="360"/>
    </row>
    <row r="953" spans="1:22" x14ac:dyDescent="0.25">
      <c r="A953" s="483"/>
      <c r="C953" s="233"/>
      <c r="D953" s="233"/>
      <c r="E953" s="28"/>
      <c r="H953"/>
      <c r="I953" s="313"/>
      <c r="J953" s="88"/>
      <c r="K953" s="88"/>
      <c r="L953" s="313"/>
      <c r="U953" s="360"/>
      <c r="V953" s="360"/>
    </row>
    <row r="954" spans="1:22" x14ac:dyDescent="0.25">
      <c r="A954" s="483"/>
      <c r="C954" s="233"/>
      <c r="D954" s="233"/>
      <c r="E954" s="28"/>
      <c r="H954"/>
      <c r="I954" s="313"/>
      <c r="J954" s="88"/>
      <c r="K954" s="88"/>
      <c r="L954" s="313"/>
      <c r="T954" s="32"/>
      <c r="U954" s="360"/>
      <c r="V954" s="360"/>
    </row>
    <row r="955" spans="1:22" x14ac:dyDescent="0.25">
      <c r="D955" s="233"/>
    </row>
    <row r="958" spans="1:22" x14ac:dyDescent="0.25">
      <c r="K958" s="32"/>
    </row>
    <row r="959" spans="1:22" x14ac:dyDescent="0.25">
      <c r="B959" s="1615" t="s">
        <v>2740</v>
      </c>
      <c r="C959" s="498"/>
      <c r="D959" s="247" t="s">
        <v>2746</v>
      </c>
      <c r="K959" s="32"/>
    </row>
    <row r="960" spans="1:22" x14ac:dyDescent="0.25">
      <c r="B960" s="1615"/>
      <c r="C960" s="127"/>
      <c r="D960" s="247" t="s">
        <v>2741</v>
      </c>
    </row>
    <row r="961" spans="2:4" x14ac:dyDescent="0.25">
      <c r="B961" s="1615"/>
      <c r="C961" s="306"/>
      <c r="D961" s="247" t="s">
        <v>2742</v>
      </c>
    </row>
    <row r="962" spans="2:4" x14ac:dyDescent="0.25">
      <c r="B962" s="1615"/>
      <c r="C962" s="174"/>
      <c r="D962" s="247" t="s">
        <v>2743</v>
      </c>
    </row>
    <row r="963" spans="2:4" x14ac:dyDescent="0.25">
      <c r="B963" s="1615"/>
      <c r="C963" s="388"/>
      <c r="D963" s="247" t="s">
        <v>2809</v>
      </c>
    </row>
    <row r="964" spans="2:4" x14ac:dyDescent="0.25">
      <c r="B964" s="1615"/>
      <c r="C964" s="552"/>
      <c r="D964" s="247" t="s">
        <v>2747</v>
      </c>
    </row>
    <row r="965" spans="2:4" x14ac:dyDescent="0.25">
      <c r="B965" s="1615"/>
      <c r="C965" s="410"/>
      <c r="D965" s="247" t="s">
        <v>2748</v>
      </c>
    </row>
    <row r="966" spans="2:4" x14ac:dyDescent="0.25">
      <c r="B966" s="1615"/>
      <c r="C966" s="309"/>
      <c r="D966" s="247" t="s">
        <v>2749</v>
      </c>
    </row>
    <row r="967" spans="2:4" x14ac:dyDescent="0.25">
      <c r="B967" s="1615"/>
      <c r="C967" s="241" t="s">
        <v>2744</v>
      </c>
      <c r="D967" s="684" t="s">
        <v>2745</v>
      </c>
    </row>
  </sheetData>
  <autoFilter ref="A1:Z967" xr:uid="{00000000-0009-0000-0000-000059000000}">
    <filterColumn colId="22" showButton="0"/>
    <filterColumn colId="23" showButton="0"/>
    <filterColumn colId="24" showButton="0"/>
  </autoFilter>
  <mergeCells count="3">
    <mergeCell ref="W1:Z1"/>
    <mergeCell ref="L111:L112"/>
    <mergeCell ref="B959:B96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6369" r:id="rId4" name="Button 1">
              <controlPr defaultSize="0" print="0" autoFill="0" autoPict="0" macro="[0]!RETORNAR">
                <anchor moveWithCells="1" sizeWithCells="1">
                  <from>
                    <xdr:col>1</xdr:col>
                    <xdr:colOff>390525</xdr:colOff>
                    <xdr:row>954</xdr:row>
                    <xdr:rowOff>123825</xdr:rowOff>
                  </from>
                  <to>
                    <xdr:col>1</xdr:col>
                    <xdr:colOff>2200275</xdr:colOff>
                    <xdr:row>959</xdr:row>
                    <xdr:rowOff>104775</xdr:rowOff>
                  </to>
                </anchor>
              </controlPr>
            </control>
          </mc:Choice>
        </mc:AlternateContent>
      </controls>
    </mc:Choice>
  </mc:AlternateConten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Hoja54" filterMode="1"/>
  <dimension ref="A1:AA764"/>
  <sheetViews>
    <sheetView zoomScale="90" zoomScaleNormal="90" workbookViewId="0">
      <selection activeCell="D727" sqref="D727"/>
    </sheetView>
  </sheetViews>
  <sheetFormatPr baseColWidth="10" defaultColWidth="10.85546875" defaultRowHeight="15" x14ac:dyDescent="0.25"/>
  <cols>
    <col min="1" max="1" width="9.5703125" customWidth="1"/>
    <col min="2" max="2" width="38.42578125" customWidth="1"/>
    <col min="3" max="3" width="12.140625" customWidth="1"/>
    <col min="4" max="4" width="14.5703125" style="247" customWidth="1"/>
    <col min="5" max="5" width="15" customWidth="1"/>
    <col min="6" max="6" width="11.140625" style="28" customWidth="1"/>
    <col min="7" max="7" width="10.5703125" customWidth="1"/>
    <col min="8" max="8" width="17.28515625" style="28" bestFit="1" customWidth="1"/>
    <col min="9" max="9" width="12.7109375" customWidth="1"/>
    <col min="10" max="10" width="12.42578125" customWidth="1"/>
    <col min="11" max="11" width="16.5703125" style="61" customWidth="1"/>
    <col min="12" max="12" width="15.42578125" style="32" customWidth="1"/>
    <col min="13" max="13" width="13.42578125" bestFit="1" customWidth="1"/>
    <col min="14" max="14" width="14.5703125" customWidth="1"/>
    <col min="15" max="15" width="6.85546875" customWidth="1"/>
    <col min="16" max="16" width="2" customWidth="1"/>
    <col min="17" max="17" width="1.28515625" customWidth="1"/>
    <col min="18" max="18" width="2" customWidth="1"/>
    <col min="19" max="19" width="1.7109375" customWidth="1"/>
    <col min="20" max="20" width="21.85546875" customWidth="1"/>
    <col min="21" max="21" width="11.42578125" customWidth="1"/>
    <col min="22" max="22" width="15.42578125" bestFit="1" customWidth="1"/>
  </cols>
  <sheetData>
    <row r="1" spans="1:26" s="28" customFormat="1" x14ac:dyDescent="0.25">
      <c r="A1" s="28" t="s">
        <v>706</v>
      </c>
      <c r="B1" s="28" t="s">
        <v>0</v>
      </c>
      <c r="C1" s="28" t="s">
        <v>1</v>
      </c>
      <c r="D1" s="233" t="s">
        <v>2</v>
      </c>
      <c r="E1" s="251"/>
      <c r="F1" s="28" t="s">
        <v>3</v>
      </c>
      <c r="H1" s="28" t="s">
        <v>3516</v>
      </c>
      <c r="J1" s="28" t="s">
        <v>5</v>
      </c>
      <c r="K1" s="251" t="s">
        <v>6</v>
      </c>
      <c r="L1" s="251" t="s">
        <v>7</v>
      </c>
      <c r="M1" s="28" t="s">
        <v>8</v>
      </c>
      <c r="N1" s="28" t="s">
        <v>9</v>
      </c>
      <c r="O1" s="28" t="s">
        <v>10</v>
      </c>
      <c r="T1" s="28" t="s">
        <v>649</v>
      </c>
      <c r="U1" s="177" t="s">
        <v>1728</v>
      </c>
      <c r="V1" s="177" t="s">
        <v>650</v>
      </c>
      <c r="W1" s="1492" t="s">
        <v>11</v>
      </c>
      <c r="X1" s="1492"/>
      <c r="Y1" s="1492"/>
      <c r="Z1" s="1492"/>
    </row>
    <row r="2" spans="1:26" hidden="1" x14ac:dyDescent="0.25">
      <c r="A2" s="95" t="s">
        <v>1718</v>
      </c>
      <c r="B2" t="s">
        <v>596</v>
      </c>
      <c r="C2" t="s">
        <v>13</v>
      </c>
      <c r="D2" s="122">
        <v>44927</v>
      </c>
      <c r="F2" s="28" t="s">
        <v>742</v>
      </c>
      <c r="H2" s="28" t="s">
        <v>279</v>
      </c>
      <c r="K2" s="251">
        <v>59472</v>
      </c>
      <c r="T2" t="s">
        <v>1506</v>
      </c>
      <c r="U2" s="14">
        <v>0.51250000000000007</v>
      </c>
      <c r="V2" s="14">
        <v>0.88680555555555562</v>
      </c>
      <c r="X2" t="s">
        <v>2043</v>
      </c>
      <c r="Y2" t="s">
        <v>2044</v>
      </c>
    </row>
    <row r="3" spans="1:26" hidden="1" x14ac:dyDescent="0.25">
      <c r="A3" s="95" t="s">
        <v>1719</v>
      </c>
      <c r="B3" t="s">
        <v>1577</v>
      </c>
      <c r="C3" t="s">
        <v>13</v>
      </c>
      <c r="D3" s="122">
        <v>44928</v>
      </c>
      <c r="F3" s="28" t="s">
        <v>294</v>
      </c>
      <c r="H3" s="28" t="s">
        <v>279</v>
      </c>
      <c r="K3" s="61">
        <v>39600</v>
      </c>
      <c r="T3" t="s">
        <v>922</v>
      </c>
      <c r="U3" s="14">
        <v>0.25972222222222224</v>
      </c>
      <c r="V3" s="14">
        <v>0.51111111111111118</v>
      </c>
    </row>
    <row r="4" spans="1:26" ht="15" hidden="1" customHeight="1" x14ac:dyDescent="0.25">
      <c r="A4" s="95" t="s">
        <v>1719</v>
      </c>
      <c r="B4" t="s">
        <v>1720</v>
      </c>
      <c r="C4" t="s">
        <v>410</v>
      </c>
      <c r="D4" s="122">
        <v>44928</v>
      </c>
      <c r="F4" s="28" t="s">
        <v>545</v>
      </c>
      <c r="H4" s="28" t="s">
        <v>279</v>
      </c>
      <c r="J4" s="32"/>
      <c r="K4" s="61">
        <v>34456</v>
      </c>
      <c r="T4" t="s">
        <v>1506</v>
      </c>
      <c r="U4" s="14">
        <v>0.48958333333333331</v>
      </c>
      <c r="V4" s="14">
        <v>0.67222222222222217</v>
      </c>
    </row>
    <row r="5" spans="1:26" ht="15" hidden="1" customHeight="1" x14ac:dyDescent="0.25">
      <c r="A5" s="95" t="s">
        <v>1725</v>
      </c>
      <c r="B5" t="s">
        <v>607</v>
      </c>
      <c r="C5" t="s">
        <v>410</v>
      </c>
      <c r="D5" s="122">
        <v>44929</v>
      </c>
      <c r="F5" s="28" t="s">
        <v>595</v>
      </c>
      <c r="H5" s="28" t="s">
        <v>279</v>
      </c>
      <c r="K5" s="61">
        <v>36253.14</v>
      </c>
      <c r="T5" t="s">
        <v>929</v>
      </c>
      <c r="U5" s="14">
        <v>0.57986111111111105</v>
      </c>
      <c r="V5" s="14">
        <v>0.77430555555555547</v>
      </c>
    </row>
    <row r="6" spans="1:26" hidden="1" x14ac:dyDescent="0.25">
      <c r="A6" s="95" t="s">
        <v>1725</v>
      </c>
      <c r="B6" t="s">
        <v>1720</v>
      </c>
      <c r="C6" t="s">
        <v>13</v>
      </c>
      <c r="D6" s="122">
        <v>44929</v>
      </c>
      <c r="F6" s="28" t="s">
        <v>545</v>
      </c>
      <c r="H6" s="28" t="s">
        <v>279</v>
      </c>
      <c r="J6" s="32"/>
      <c r="K6" s="61">
        <v>34456</v>
      </c>
      <c r="T6" t="s">
        <v>1029</v>
      </c>
      <c r="U6" s="14">
        <v>0.71597222222222223</v>
      </c>
      <c r="V6" s="14">
        <v>0.8833333333333333</v>
      </c>
    </row>
    <row r="7" spans="1:26" ht="15" hidden="1" customHeight="1" x14ac:dyDescent="0.25">
      <c r="A7" s="95" t="s">
        <v>1738</v>
      </c>
      <c r="B7" t="s">
        <v>1727</v>
      </c>
      <c r="C7" t="s">
        <v>410</v>
      </c>
      <c r="D7" s="122">
        <v>44930</v>
      </c>
      <c r="F7" s="28" t="s">
        <v>673</v>
      </c>
      <c r="H7" s="28" t="s">
        <v>279</v>
      </c>
      <c r="J7" s="32"/>
      <c r="K7" s="61">
        <v>37760</v>
      </c>
      <c r="T7" t="s">
        <v>1729</v>
      </c>
      <c r="U7" s="14">
        <v>0.44027777777777777</v>
      </c>
      <c r="V7" s="14">
        <v>0.4993055555555555</v>
      </c>
    </row>
    <row r="8" spans="1:26" hidden="1" x14ac:dyDescent="0.25">
      <c r="A8" s="95" t="s">
        <v>1738</v>
      </c>
      <c r="B8" t="s">
        <v>762</v>
      </c>
      <c r="C8" t="s">
        <v>13</v>
      </c>
      <c r="D8" s="122">
        <v>44930</v>
      </c>
      <c r="F8" s="28" t="s">
        <v>1399</v>
      </c>
      <c r="H8" s="28" t="s">
        <v>279</v>
      </c>
      <c r="J8" s="32"/>
      <c r="K8" s="61">
        <v>41100</v>
      </c>
      <c r="T8" t="s">
        <v>1506</v>
      </c>
      <c r="U8" s="14">
        <v>0.51527777777777783</v>
      </c>
      <c r="V8" s="14">
        <v>0.76597222222222217</v>
      </c>
    </row>
    <row r="9" spans="1:26" ht="15" hidden="1" customHeight="1" x14ac:dyDescent="0.25">
      <c r="A9" s="95" t="s">
        <v>1738</v>
      </c>
      <c r="B9" t="s">
        <v>607</v>
      </c>
      <c r="C9" t="s">
        <v>410</v>
      </c>
      <c r="D9" s="122">
        <v>44930</v>
      </c>
      <c r="F9" s="28" t="s">
        <v>595</v>
      </c>
      <c r="H9" s="28" t="s">
        <v>279</v>
      </c>
      <c r="J9" s="32"/>
      <c r="K9" s="61">
        <v>36253.14</v>
      </c>
      <c r="T9" t="s">
        <v>1729</v>
      </c>
      <c r="U9" s="14">
        <v>0.44027777777777777</v>
      </c>
      <c r="V9" s="14">
        <v>0.6743055555555556</v>
      </c>
    </row>
    <row r="10" spans="1:26" ht="15" hidden="1" customHeight="1" x14ac:dyDescent="0.25">
      <c r="A10" s="95" t="s">
        <v>1741</v>
      </c>
      <c r="B10" t="s">
        <v>1055</v>
      </c>
      <c r="C10" t="s">
        <v>410</v>
      </c>
      <c r="D10" s="122">
        <v>44931</v>
      </c>
      <c r="F10" s="28" t="s">
        <v>573</v>
      </c>
      <c r="H10" s="28" t="s">
        <v>279</v>
      </c>
      <c r="J10" s="32"/>
      <c r="K10" s="61">
        <v>41536</v>
      </c>
      <c r="T10" t="s">
        <v>1506</v>
      </c>
      <c r="U10" s="14">
        <v>0.42152777777777778</v>
      </c>
      <c r="V10" s="14">
        <v>0.62777777777777777</v>
      </c>
    </row>
    <row r="11" spans="1:26" ht="15" hidden="1" customHeight="1" x14ac:dyDescent="0.25">
      <c r="A11" s="95" t="s">
        <v>1739</v>
      </c>
      <c r="B11" t="s">
        <v>607</v>
      </c>
      <c r="C11" t="s">
        <v>410</v>
      </c>
      <c r="D11" s="122">
        <v>44932</v>
      </c>
      <c r="F11" s="28" t="s">
        <v>595</v>
      </c>
      <c r="H11" s="28" t="s">
        <v>279</v>
      </c>
      <c r="J11" s="32"/>
      <c r="K11" s="61">
        <v>36253.14</v>
      </c>
      <c r="T11" t="s">
        <v>1042</v>
      </c>
      <c r="U11" s="14">
        <v>0.32708333333333334</v>
      </c>
      <c r="V11" s="14">
        <v>0.52638888888888891</v>
      </c>
    </row>
    <row r="12" spans="1:26" hidden="1" x14ac:dyDescent="0.25">
      <c r="A12" s="95" t="s">
        <v>1739</v>
      </c>
      <c r="B12" t="s">
        <v>1740</v>
      </c>
      <c r="C12" t="s">
        <v>13</v>
      </c>
      <c r="D12" s="122">
        <v>44932</v>
      </c>
      <c r="F12" s="28" t="s">
        <v>1347</v>
      </c>
      <c r="H12" s="28" t="s">
        <v>279</v>
      </c>
      <c r="J12" s="32"/>
      <c r="K12" s="61">
        <v>49100</v>
      </c>
      <c r="T12" t="s">
        <v>1029</v>
      </c>
      <c r="U12" s="14">
        <v>0.36041666666666666</v>
      </c>
      <c r="V12" s="14">
        <v>0.58611111111111114</v>
      </c>
    </row>
    <row r="13" spans="1:26" ht="15" hidden="1" customHeight="1" x14ac:dyDescent="0.25">
      <c r="A13" s="95" t="s">
        <v>1739</v>
      </c>
      <c r="B13" t="s">
        <v>1720</v>
      </c>
      <c r="C13" t="s">
        <v>410</v>
      </c>
      <c r="D13" s="122">
        <v>44932</v>
      </c>
      <c r="F13" s="28" t="s">
        <v>545</v>
      </c>
      <c r="H13" s="28" t="s">
        <v>277</v>
      </c>
      <c r="J13" s="32"/>
      <c r="K13" s="61">
        <v>25016</v>
      </c>
      <c r="T13" t="s">
        <v>1042</v>
      </c>
      <c r="U13" s="14">
        <v>0.56597222222222221</v>
      </c>
      <c r="V13" s="14">
        <v>0.7090277777777777</v>
      </c>
    </row>
    <row r="14" spans="1:26" ht="15" hidden="1" customHeight="1" x14ac:dyDescent="0.25">
      <c r="A14" s="95" t="s">
        <v>1742</v>
      </c>
      <c r="B14" t="s">
        <v>1743</v>
      </c>
      <c r="C14" t="s">
        <v>410</v>
      </c>
      <c r="D14" s="122">
        <v>44933</v>
      </c>
      <c r="F14" s="28" t="s">
        <v>1744</v>
      </c>
      <c r="H14" s="28" t="s">
        <v>279</v>
      </c>
      <c r="J14" s="32"/>
      <c r="K14" s="61">
        <f>41536+9444</f>
        <v>50980</v>
      </c>
      <c r="T14" t="s">
        <v>916</v>
      </c>
      <c r="U14" s="14">
        <v>0.42777777777777781</v>
      </c>
      <c r="V14" s="14">
        <v>0.68958333333333333</v>
      </c>
    </row>
    <row r="15" spans="1:26" hidden="1" x14ac:dyDescent="0.25">
      <c r="A15" s="95" t="s">
        <v>1742</v>
      </c>
      <c r="B15" t="s">
        <v>576</v>
      </c>
      <c r="C15" t="s">
        <v>13</v>
      </c>
      <c r="D15" s="122">
        <v>44933</v>
      </c>
      <c r="F15" s="135" t="s">
        <v>821</v>
      </c>
      <c r="G15" s="2"/>
      <c r="H15" s="28" t="s">
        <v>279</v>
      </c>
      <c r="J15" s="32"/>
      <c r="K15" s="251">
        <v>47200</v>
      </c>
      <c r="T15" t="s">
        <v>1506</v>
      </c>
      <c r="U15" s="14">
        <v>0.61041666666666672</v>
      </c>
      <c r="V15" s="14">
        <v>0.8618055555555556</v>
      </c>
    </row>
    <row r="16" spans="1:26" ht="15" hidden="1" customHeight="1" x14ac:dyDescent="0.25">
      <c r="A16" s="95" t="s">
        <v>1745</v>
      </c>
      <c r="B16" t="s">
        <v>596</v>
      </c>
      <c r="C16" t="s">
        <v>410</v>
      </c>
      <c r="D16" s="122">
        <v>44934</v>
      </c>
      <c r="F16" s="28" t="s">
        <v>742</v>
      </c>
      <c r="H16" s="28" t="s">
        <v>279</v>
      </c>
      <c r="J16" s="32"/>
      <c r="K16" s="251">
        <v>59472</v>
      </c>
      <c r="T16" t="s">
        <v>1029</v>
      </c>
      <c r="U16" s="14">
        <v>0.37708333333333338</v>
      </c>
      <c r="V16" s="14">
        <v>0.66319444444444442</v>
      </c>
    </row>
    <row r="17" spans="1:25" ht="15" hidden="1" customHeight="1" x14ac:dyDescent="0.25">
      <c r="A17" s="245" t="s">
        <v>1746</v>
      </c>
      <c r="B17" t="s">
        <v>762</v>
      </c>
      <c r="C17" t="s">
        <v>410</v>
      </c>
      <c r="D17" s="122">
        <v>44935</v>
      </c>
      <c r="F17" s="28" t="s">
        <v>294</v>
      </c>
      <c r="H17" s="28" t="s">
        <v>279</v>
      </c>
      <c r="J17" s="32"/>
      <c r="K17" s="61">
        <v>41100</v>
      </c>
      <c r="T17" t="s">
        <v>929</v>
      </c>
      <c r="U17" s="14">
        <v>0.41111111111111115</v>
      </c>
      <c r="V17" s="14">
        <v>0.57152777777777775</v>
      </c>
    </row>
    <row r="18" spans="1:25" ht="15" hidden="1" customHeight="1" x14ac:dyDescent="0.25">
      <c r="A18" s="245" t="s">
        <v>1746</v>
      </c>
      <c r="B18" t="s">
        <v>296</v>
      </c>
      <c r="C18" t="s">
        <v>809</v>
      </c>
      <c r="D18" s="122">
        <v>44935</v>
      </c>
      <c r="F18" s="28" t="s">
        <v>294</v>
      </c>
      <c r="H18" s="28" t="s">
        <v>277</v>
      </c>
      <c r="J18" s="32"/>
      <c r="K18" s="61">
        <v>28082</v>
      </c>
      <c r="T18" t="s">
        <v>894</v>
      </c>
      <c r="U18" s="14">
        <v>0.52500000000000002</v>
      </c>
      <c r="V18" s="14">
        <v>0.67291666666666661</v>
      </c>
    </row>
    <row r="19" spans="1:25" ht="15" hidden="1" customHeight="1" x14ac:dyDescent="0.25">
      <c r="A19" s="245" t="s">
        <v>1746</v>
      </c>
      <c r="B19" t="s">
        <v>296</v>
      </c>
      <c r="C19" t="s">
        <v>410</v>
      </c>
      <c r="D19" s="122">
        <v>44935</v>
      </c>
      <c r="F19" s="28" t="s">
        <v>294</v>
      </c>
      <c r="H19" s="28" t="s">
        <v>279</v>
      </c>
      <c r="J19" s="32"/>
      <c r="K19" s="61">
        <v>39648</v>
      </c>
      <c r="T19" t="s">
        <v>1029</v>
      </c>
      <c r="U19" s="14">
        <v>0.74861111111111101</v>
      </c>
      <c r="V19" s="14">
        <v>0.44027777777777777</v>
      </c>
    </row>
    <row r="20" spans="1:25" hidden="1" x14ac:dyDescent="0.25">
      <c r="A20" s="245" t="s">
        <v>1746</v>
      </c>
      <c r="B20" t="s">
        <v>596</v>
      </c>
      <c r="C20" t="s">
        <v>13</v>
      </c>
      <c r="D20" s="122">
        <v>44935</v>
      </c>
      <c r="F20" s="28" t="s">
        <v>742</v>
      </c>
      <c r="H20" s="28" t="s">
        <v>279</v>
      </c>
      <c r="J20" s="32"/>
      <c r="K20" s="251">
        <v>59472</v>
      </c>
      <c r="T20" t="s">
        <v>1644</v>
      </c>
      <c r="U20" s="14">
        <v>0.67499999999999993</v>
      </c>
      <c r="V20" s="14">
        <v>4.8611111111111112E-3</v>
      </c>
    </row>
    <row r="21" spans="1:25" ht="15" hidden="1" customHeight="1" x14ac:dyDescent="0.25">
      <c r="A21" s="246">
        <v>10012023</v>
      </c>
      <c r="B21" t="s">
        <v>596</v>
      </c>
      <c r="C21" t="s">
        <v>410</v>
      </c>
      <c r="D21" s="122">
        <v>44936</v>
      </c>
      <c r="F21" s="28" t="s">
        <v>742</v>
      </c>
      <c r="H21" s="28" t="s">
        <v>279</v>
      </c>
      <c r="J21" s="32"/>
      <c r="K21" s="251">
        <v>59472</v>
      </c>
      <c r="T21" t="s">
        <v>916</v>
      </c>
      <c r="U21" s="14">
        <v>0.63680555555555551</v>
      </c>
      <c r="V21" s="14">
        <v>0.45763888888888887</v>
      </c>
    </row>
    <row r="22" spans="1:25" hidden="1" x14ac:dyDescent="0.25">
      <c r="A22" s="246">
        <v>11012023</v>
      </c>
      <c r="B22" t="s">
        <v>607</v>
      </c>
      <c r="C22" t="s">
        <v>13</v>
      </c>
      <c r="D22" s="122">
        <v>44937</v>
      </c>
      <c r="F22" s="28" t="s">
        <v>595</v>
      </c>
      <c r="H22" s="28" t="s">
        <v>279</v>
      </c>
      <c r="J22" s="32"/>
      <c r="K22" s="61">
        <v>36253.14</v>
      </c>
      <c r="T22" t="s">
        <v>1712</v>
      </c>
      <c r="U22" s="14">
        <v>0.56874999999999998</v>
      </c>
      <c r="V22" s="14">
        <v>0.78888888888888886</v>
      </c>
    </row>
    <row r="23" spans="1:25" s="33" customFormat="1" hidden="1" x14ac:dyDescent="0.25">
      <c r="A23" s="287">
        <v>12012023</v>
      </c>
      <c r="B23" s="33" t="s">
        <v>1751</v>
      </c>
      <c r="C23" s="33" t="s">
        <v>13</v>
      </c>
      <c r="D23" s="278">
        <v>44938</v>
      </c>
      <c r="E23"/>
      <c r="F23" s="306" t="s">
        <v>1752</v>
      </c>
      <c r="H23" s="306" t="s">
        <v>279</v>
      </c>
      <c r="J23" s="279"/>
      <c r="K23" s="312">
        <v>59000</v>
      </c>
      <c r="L23" s="279"/>
      <c r="T23" s="33" t="s">
        <v>929</v>
      </c>
      <c r="U23" s="280">
        <v>0.50208333333333333</v>
      </c>
      <c r="V23" s="280">
        <v>0.91180555555555554</v>
      </c>
      <c r="X23" s="33" t="s">
        <v>2040</v>
      </c>
      <c r="Y23" s="33" t="s">
        <v>1938</v>
      </c>
    </row>
    <row r="24" spans="1:25" ht="15" hidden="1" customHeight="1" x14ac:dyDescent="0.25">
      <c r="A24" s="246">
        <v>13012023</v>
      </c>
      <c r="B24" t="s">
        <v>586</v>
      </c>
      <c r="C24" t="s">
        <v>809</v>
      </c>
      <c r="D24" s="122">
        <v>44939</v>
      </c>
      <c r="F24" s="28" t="s">
        <v>545</v>
      </c>
      <c r="H24" s="28" t="s">
        <v>277</v>
      </c>
      <c r="J24" s="32"/>
      <c r="K24" s="61">
        <v>20800</v>
      </c>
      <c r="T24" t="s">
        <v>894</v>
      </c>
      <c r="U24" s="14">
        <v>0.36041666666666666</v>
      </c>
      <c r="V24" s="14">
        <v>0.4145833333333333</v>
      </c>
    </row>
    <row r="25" spans="1:25" ht="15" hidden="1" customHeight="1" x14ac:dyDescent="0.25">
      <c r="A25" s="246">
        <v>13012023</v>
      </c>
      <c r="B25" t="s">
        <v>1720</v>
      </c>
      <c r="C25" t="s">
        <v>410</v>
      </c>
      <c r="D25" s="122">
        <v>44939</v>
      </c>
      <c r="F25" s="28" t="s">
        <v>545</v>
      </c>
      <c r="H25" s="28" t="s">
        <v>279</v>
      </c>
      <c r="J25" s="32"/>
      <c r="K25" s="61">
        <v>34456</v>
      </c>
      <c r="T25" t="s">
        <v>1656</v>
      </c>
      <c r="U25" s="14">
        <v>0.69236111111111109</v>
      </c>
      <c r="V25" s="14">
        <v>0.87569444444444444</v>
      </c>
    </row>
    <row r="26" spans="1:25" hidden="1" x14ac:dyDescent="0.25">
      <c r="A26" s="246">
        <v>13012023</v>
      </c>
      <c r="B26" t="s">
        <v>762</v>
      </c>
      <c r="C26" t="s">
        <v>13</v>
      </c>
      <c r="D26" s="122">
        <v>44939</v>
      </c>
      <c r="F26" s="28" t="s">
        <v>304</v>
      </c>
      <c r="H26" s="28" t="s">
        <v>279</v>
      </c>
      <c r="K26" s="61">
        <v>41100</v>
      </c>
      <c r="T26" t="s">
        <v>1712</v>
      </c>
      <c r="U26" s="14">
        <v>0.61597222222222225</v>
      </c>
      <c r="V26" s="14">
        <v>0.8652777777777777</v>
      </c>
    </row>
    <row r="27" spans="1:25" ht="15" hidden="1" customHeight="1" x14ac:dyDescent="0.25">
      <c r="A27" s="246">
        <v>14012023</v>
      </c>
      <c r="B27" t="s">
        <v>930</v>
      </c>
      <c r="C27" t="s">
        <v>809</v>
      </c>
      <c r="D27" s="122">
        <v>44940</v>
      </c>
      <c r="F27" s="28" t="s">
        <v>294</v>
      </c>
      <c r="H27" s="28" t="s">
        <v>277</v>
      </c>
      <c r="K27" s="61">
        <v>28082</v>
      </c>
      <c r="T27" t="s">
        <v>894</v>
      </c>
      <c r="U27" s="14">
        <v>0.59444444444444444</v>
      </c>
      <c r="V27" s="14">
        <v>0.74236111111111114</v>
      </c>
    </row>
    <row r="28" spans="1:25" ht="15" hidden="1" customHeight="1" x14ac:dyDescent="0.25">
      <c r="A28" s="246">
        <v>15012023</v>
      </c>
      <c r="B28" t="s">
        <v>1720</v>
      </c>
      <c r="C28" t="s">
        <v>809</v>
      </c>
      <c r="D28" s="122">
        <v>44941</v>
      </c>
      <c r="F28" s="28" t="s">
        <v>545</v>
      </c>
      <c r="H28" s="28" t="s">
        <v>277</v>
      </c>
      <c r="K28" s="61">
        <v>25016</v>
      </c>
      <c r="T28" t="s">
        <v>894</v>
      </c>
      <c r="U28" s="14">
        <v>0.65972222222222221</v>
      </c>
      <c r="V28" s="14">
        <v>0.71319444444444446</v>
      </c>
    </row>
    <row r="29" spans="1:25" hidden="1" x14ac:dyDescent="0.25">
      <c r="A29" s="246">
        <v>16012023</v>
      </c>
      <c r="B29" t="s">
        <v>607</v>
      </c>
      <c r="C29" t="s">
        <v>13</v>
      </c>
      <c r="D29" s="122">
        <v>44942</v>
      </c>
      <c r="F29" s="28" t="s">
        <v>595</v>
      </c>
      <c r="H29" s="28" t="s">
        <v>279</v>
      </c>
      <c r="K29" s="61">
        <v>36253.14</v>
      </c>
      <c r="T29" t="s">
        <v>1712</v>
      </c>
      <c r="U29" s="14">
        <v>0.54513888888888895</v>
      </c>
      <c r="V29" s="14">
        <v>0.7583333333333333</v>
      </c>
    </row>
    <row r="30" spans="1:25" ht="15" hidden="1" customHeight="1" x14ac:dyDescent="0.25">
      <c r="A30" s="246">
        <v>16012023</v>
      </c>
      <c r="B30" t="s">
        <v>930</v>
      </c>
      <c r="C30" t="s">
        <v>410</v>
      </c>
      <c r="D30" s="122">
        <v>44942</v>
      </c>
      <c r="F30" s="28" t="s">
        <v>294</v>
      </c>
      <c r="H30" s="28" t="s">
        <v>277</v>
      </c>
      <c r="K30" s="61">
        <v>28082</v>
      </c>
      <c r="T30" t="s">
        <v>1029</v>
      </c>
      <c r="U30" s="14">
        <v>0.55972222222222223</v>
      </c>
      <c r="V30" s="14">
        <v>0.72986111111111107</v>
      </c>
    </row>
    <row r="31" spans="1:25" hidden="1" x14ac:dyDescent="0.25">
      <c r="A31" s="246">
        <v>17012023</v>
      </c>
      <c r="B31" t="s">
        <v>1577</v>
      </c>
      <c r="C31" t="s">
        <v>13</v>
      </c>
      <c r="D31" s="122">
        <v>44943</v>
      </c>
      <c r="F31" s="28" t="s">
        <v>294</v>
      </c>
      <c r="H31" s="28" t="s">
        <v>279</v>
      </c>
      <c r="K31" s="61">
        <v>39600</v>
      </c>
      <c r="T31" t="s">
        <v>1712</v>
      </c>
      <c r="U31" s="14">
        <v>0.30763888888888891</v>
      </c>
      <c r="V31" s="14">
        <v>0.52500000000000002</v>
      </c>
    </row>
    <row r="32" spans="1:25" ht="15" hidden="1" customHeight="1" x14ac:dyDescent="0.25">
      <c r="A32" s="246">
        <v>17012023</v>
      </c>
      <c r="B32" t="s">
        <v>586</v>
      </c>
      <c r="C32" t="s">
        <v>410</v>
      </c>
      <c r="D32" s="122">
        <v>44943</v>
      </c>
      <c r="F32" s="28" t="s">
        <v>545</v>
      </c>
      <c r="H32" s="28" t="s">
        <v>279</v>
      </c>
      <c r="K32" s="61">
        <v>33560</v>
      </c>
      <c r="T32" t="s">
        <v>1656</v>
      </c>
      <c r="U32" s="14">
        <v>0.31805555555555554</v>
      </c>
      <c r="V32" s="14">
        <v>0.4909722222222222</v>
      </c>
    </row>
    <row r="33" spans="1:25" ht="15" hidden="1" customHeight="1" x14ac:dyDescent="0.25">
      <c r="A33" s="246">
        <v>17012023</v>
      </c>
      <c r="B33" t="s">
        <v>1720</v>
      </c>
      <c r="C33" t="s">
        <v>410</v>
      </c>
      <c r="D33" s="122">
        <v>44943</v>
      </c>
      <c r="F33" s="28" t="s">
        <v>545</v>
      </c>
      <c r="H33" s="28" t="s">
        <v>279</v>
      </c>
      <c r="K33" s="61">
        <v>34456</v>
      </c>
      <c r="T33" t="s">
        <v>1225</v>
      </c>
      <c r="U33" s="14">
        <v>0.70000000000000007</v>
      </c>
      <c r="V33" s="14">
        <v>0.88611111111111107</v>
      </c>
    </row>
    <row r="34" spans="1:25" ht="15" hidden="1" customHeight="1" x14ac:dyDescent="0.25">
      <c r="A34" s="246">
        <v>18012023</v>
      </c>
      <c r="B34" t="s">
        <v>1776</v>
      </c>
      <c r="C34" t="s">
        <v>809</v>
      </c>
      <c r="D34" s="122">
        <v>44944</v>
      </c>
      <c r="F34" s="28" t="s">
        <v>295</v>
      </c>
      <c r="H34" s="28" t="s">
        <v>277</v>
      </c>
      <c r="K34" s="61">
        <v>26523</v>
      </c>
      <c r="T34" t="s">
        <v>1777</v>
      </c>
      <c r="U34" s="14">
        <v>0.46875</v>
      </c>
      <c r="V34" s="14">
        <v>0.60972222222222217</v>
      </c>
    </row>
    <row r="35" spans="1:25" ht="15" hidden="1" customHeight="1" x14ac:dyDescent="0.25">
      <c r="A35" s="246">
        <v>18012023</v>
      </c>
      <c r="B35" t="s">
        <v>586</v>
      </c>
      <c r="C35" t="s">
        <v>410</v>
      </c>
      <c r="D35" s="122">
        <v>44944</v>
      </c>
      <c r="F35" s="28" t="s">
        <v>545</v>
      </c>
      <c r="H35" s="28" t="s">
        <v>279</v>
      </c>
      <c r="K35" s="61">
        <v>33560</v>
      </c>
      <c r="T35" t="s">
        <v>1656</v>
      </c>
      <c r="U35" s="14">
        <v>0.58402777777777781</v>
      </c>
      <c r="V35" s="14">
        <v>0.76111111111111107</v>
      </c>
    </row>
    <row r="36" spans="1:25" hidden="1" x14ac:dyDescent="0.25">
      <c r="A36" s="246">
        <v>18012023</v>
      </c>
      <c r="B36" t="s">
        <v>586</v>
      </c>
      <c r="C36" t="s">
        <v>13</v>
      </c>
      <c r="D36" s="122">
        <v>44944</v>
      </c>
      <c r="F36" s="28" t="s">
        <v>545</v>
      </c>
      <c r="H36" s="28" t="s">
        <v>279</v>
      </c>
      <c r="K36" s="61">
        <v>33560</v>
      </c>
      <c r="T36" t="s">
        <v>1712</v>
      </c>
      <c r="U36" s="14">
        <v>0.74791666666666667</v>
      </c>
      <c r="V36" s="14">
        <v>0.94652777777777775</v>
      </c>
    </row>
    <row r="37" spans="1:25" s="33" customFormat="1" ht="15" hidden="1" customHeight="1" x14ac:dyDescent="0.25">
      <c r="A37" s="287">
        <v>20012023</v>
      </c>
      <c r="B37" s="33" t="s">
        <v>1751</v>
      </c>
      <c r="C37" s="33" t="s">
        <v>410</v>
      </c>
      <c r="D37" s="278">
        <v>44946</v>
      </c>
      <c r="E37"/>
      <c r="F37" s="306" t="s">
        <v>1796</v>
      </c>
      <c r="H37" s="306" t="s">
        <v>279</v>
      </c>
      <c r="K37" s="312">
        <v>59000</v>
      </c>
      <c r="L37" s="279"/>
      <c r="T37" s="33" t="s">
        <v>1712</v>
      </c>
      <c r="U37" s="280">
        <v>0.60972222222222217</v>
      </c>
      <c r="V37" s="280">
        <v>0.90694444444444444</v>
      </c>
      <c r="X37" s="33" t="s">
        <v>2040</v>
      </c>
      <c r="Y37" s="33" t="s">
        <v>1939</v>
      </c>
    </row>
    <row r="38" spans="1:25" ht="15" hidden="1" customHeight="1" x14ac:dyDescent="0.25">
      <c r="A38" s="246">
        <v>21012023</v>
      </c>
      <c r="B38" t="s">
        <v>762</v>
      </c>
      <c r="C38" t="s">
        <v>410</v>
      </c>
      <c r="D38" s="122">
        <v>44947</v>
      </c>
      <c r="F38" s="28" t="s">
        <v>304</v>
      </c>
      <c r="H38" s="28" t="s">
        <v>279</v>
      </c>
      <c r="K38" s="313">
        <v>41100</v>
      </c>
      <c r="T38" t="s">
        <v>1712</v>
      </c>
      <c r="U38" s="14">
        <v>0.51180555555555551</v>
      </c>
      <c r="V38" s="14">
        <v>0.6972222222222223</v>
      </c>
    </row>
    <row r="39" spans="1:25" hidden="1" x14ac:dyDescent="0.25">
      <c r="A39" s="246">
        <v>21012023</v>
      </c>
      <c r="B39" t="s">
        <v>1720</v>
      </c>
      <c r="C39" t="s">
        <v>13</v>
      </c>
      <c r="D39" s="122">
        <v>44947</v>
      </c>
      <c r="F39" s="28" t="s">
        <v>545</v>
      </c>
      <c r="H39" s="28" t="s">
        <v>279</v>
      </c>
      <c r="K39" s="61">
        <v>34456</v>
      </c>
      <c r="T39" t="s">
        <v>916</v>
      </c>
      <c r="U39" s="14">
        <v>0.65069444444444446</v>
      </c>
      <c r="V39" s="14">
        <v>0.82291666666666663</v>
      </c>
    </row>
    <row r="40" spans="1:25" ht="15" hidden="1" customHeight="1" x14ac:dyDescent="0.25">
      <c r="A40" s="246">
        <v>21012023</v>
      </c>
      <c r="B40" t="s">
        <v>1720</v>
      </c>
      <c r="C40" t="s">
        <v>410</v>
      </c>
      <c r="D40" s="122">
        <v>44947</v>
      </c>
      <c r="F40" s="28" t="s">
        <v>545</v>
      </c>
      <c r="H40" s="28" t="s">
        <v>279</v>
      </c>
      <c r="K40" s="61">
        <v>34456</v>
      </c>
      <c r="T40" t="s">
        <v>1029</v>
      </c>
      <c r="U40" s="14">
        <v>0.77569444444444446</v>
      </c>
      <c r="V40" s="14">
        <v>0.94097222222222221</v>
      </c>
    </row>
    <row r="41" spans="1:25" ht="15" hidden="1" customHeight="1" x14ac:dyDescent="0.25">
      <c r="A41" s="246">
        <v>21012023</v>
      </c>
      <c r="B41" t="s">
        <v>1720</v>
      </c>
      <c r="C41" t="s">
        <v>809</v>
      </c>
      <c r="D41" s="122">
        <v>44947</v>
      </c>
      <c r="F41" s="28" t="s">
        <v>545</v>
      </c>
      <c r="H41" s="28" t="s">
        <v>277</v>
      </c>
      <c r="K41" s="61">
        <v>25016</v>
      </c>
      <c r="T41" t="s">
        <v>1178</v>
      </c>
      <c r="U41" s="14">
        <v>0.68819444444444444</v>
      </c>
      <c r="V41" s="14">
        <v>0.74652777777777779</v>
      </c>
    </row>
    <row r="42" spans="1:25" ht="15" hidden="1" customHeight="1" x14ac:dyDescent="0.25">
      <c r="A42" s="246">
        <v>23012023</v>
      </c>
      <c r="B42" t="s">
        <v>1799</v>
      </c>
      <c r="C42" t="s">
        <v>410</v>
      </c>
      <c r="D42" s="122">
        <v>44949</v>
      </c>
      <c r="F42" s="28" t="s">
        <v>293</v>
      </c>
      <c r="H42" s="28" t="s">
        <v>279</v>
      </c>
      <c r="K42" s="313">
        <v>44746</v>
      </c>
      <c r="T42" t="s">
        <v>1656</v>
      </c>
      <c r="U42" s="14">
        <v>0.82152777777777775</v>
      </c>
    </row>
    <row r="43" spans="1:25" hidden="1" x14ac:dyDescent="0.25">
      <c r="A43" s="246">
        <v>24012023</v>
      </c>
      <c r="B43" t="s">
        <v>1800</v>
      </c>
      <c r="C43" t="s">
        <v>13</v>
      </c>
      <c r="D43" s="122">
        <v>44950</v>
      </c>
      <c r="F43" s="28" t="s">
        <v>1796</v>
      </c>
      <c r="H43" s="28" t="s">
        <v>279</v>
      </c>
      <c r="K43" s="313"/>
      <c r="L43" s="32">
        <v>14000</v>
      </c>
      <c r="M43" t="s">
        <v>1804</v>
      </c>
      <c r="T43" t="s">
        <v>893</v>
      </c>
      <c r="U43" s="14">
        <v>0.37222222222222223</v>
      </c>
      <c r="V43" s="14">
        <v>0.65416666666666667</v>
      </c>
    </row>
    <row r="44" spans="1:25" ht="15" hidden="1" customHeight="1" x14ac:dyDescent="0.25">
      <c r="A44" s="246">
        <v>24012023</v>
      </c>
      <c r="B44" t="s">
        <v>930</v>
      </c>
      <c r="C44" t="s">
        <v>809</v>
      </c>
      <c r="D44" s="122">
        <v>44950</v>
      </c>
      <c r="F44" s="28" t="s">
        <v>294</v>
      </c>
      <c r="H44" s="28" t="s">
        <v>277</v>
      </c>
      <c r="K44" s="61">
        <v>28082</v>
      </c>
      <c r="T44" t="s">
        <v>1178</v>
      </c>
      <c r="U44" s="14">
        <v>0.6166666666666667</v>
      </c>
      <c r="V44" s="14">
        <v>0.75347222222222221</v>
      </c>
    </row>
    <row r="45" spans="1:25" ht="15" hidden="1" customHeight="1" x14ac:dyDescent="0.25">
      <c r="A45" s="246">
        <v>25012023</v>
      </c>
      <c r="B45" t="s">
        <v>1842</v>
      </c>
      <c r="C45" t="s">
        <v>410</v>
      </c>
      <c r="D45" s="122">
        <v>44951</v>
      </c>
      <c r="F45" s="28" t="s">
        <v>1807</v>
      </c>
      <c r="H45" s="28" t="s">
        <v>435</v>
      </c>
      <c r="K45" s="313"/>
      <c r="L45" s="88">
        <v>10384</v>
      </c>
      <c r="T45" t="s">
        <v>916</v>
      </c>
      <c r="U45" s="14">
        <v>0.28680555555555554</v>
      </c>
      <c r="V45" s="14">
        <v>0.48125000000000001</v>
      </c>
    </row>
    <row r="46" spans="1:25" s="33" customFormat="1" hidden="1" x14ac:dyDescent="0.25">
      <c r="A46" s="287">
        <v>25012023</v>
      </c>
      <c r="B46" s="33" t="s">
        <v>586</v>
      </c>
      <c r="C46" s="33" t="s">
        <v>13</v>
      </c>
      <c r="D46" s="278">
        <v>44951</v>
      </c>
      <c r="E46"/>
      <c r="F46" s="306" t="s">
        <v>545</v>
      </c>
      <c r="H46" s="306" t="s">
        <v>279</v>
      </c>
      <c r="K46" s="312">
        <v>33560</v>
      </c>
      <c r="L46" s="279"/>
      <c r="T46" s="33" t="s">
        <v>922</v>
      </c>
      <c r="U46" s="280">
        <v>0.31111111111111112</v>
      </c>
      <c r="V46" s="280">
        <v>0.52222222222222225</v>
      </c>
      <c r="X46" s="33" t="s">
        <v>2040</v>
      </c>
      <c r="Y46" s="33" t="s">
        <v>1870</v>
      </c>
    </row>
    <row r="47" spans="1:25" s="21" customFormat="1" ht="15" hidden="1" customHeight="1" x14ac:dyDescent="0.25">
      <c r="A47" s="252">
        <v>25012023</v>
      </c>
      <c r="B47" s="21" t="s">
        <v>930</v>
      </c>
      <c r="C47" t="s">
        <v>410</v>
      </c>
      <c r="D47" s="123">
        <v>44951</v>
      </c>
      <c r="F47" s="177" t="s">
        <v>295</v>
      </c>
      <c r="H47" s="177" t="s">
        <v>277</v>
      </c>
      <c r="K47" s="314">
        <v>26523</v>
      </c>
      <c r="L47" s="181"/>
      <c r="T47" t="s">
        <v>916</v>
      </c>
      <c r="U47" s="157">
        <v>0.60277777777777775</v>
      </c>
    </row>
    <row r="48" spans="1:25" s="33" customFormat="1" hidden="1" x14ac:dyDescent="0.25">
      <c r="A48" s="287">
        <v>25012023</v>
      </c>
      <c r="B48" s="33" t="s">
        <v>1080</v>
      </c>
      <c r="C48" s="33" t="s">
        <v>13</v>
      </c>
      <c r="D48" s="278">
        <v>44951</v>
      </c>
      <c r="E48"/>
      <c r="F48" s="306" t="s">
        <v>304</v>
      </c>
      <c r="H48" s="306" t="s">
        <v>279</v>
      </c>
      <c r="K48" s="312">
        <v>39600</v>
      </c>
      <c r="L48" s="279"/>
      <c r="T48" s="33" t="s">
        <v>922</v>
      </c>
      <c r="U48" s="280">
        <v>0.63194444444444442</v>
      </c>
      <c r="V48" s="280">
        <v>0.92152777777777783</v>
      </c>
      <c r="X48" s="33" t="s">
        <v>2040</v>
      </c>
      <c r="Y48" s="33" t="s">
        <v>1936</v>
      </c>
    </row>
    <row r="49" spans="1:25" s="33" customFormat="1" hidden="1" x14ac:dyDescent="0.25">
      <c r="A49" s="287">
        <v>26012023</v>
      </c>
      <c r="B49" s="33" t="s">
        <v>1809</v>
      </c>
      <c r="C49" s="33" t="s">
        <v>13</v>
      </c>
      <c r="D49" s="278">
        <v>44952</v>
      </c>
      <c r="E49"/>
      <c r="F49" s="306" t="s">
        <v>1810</v>
      </c>
      <c r="H49" s="306" t="s">
        <v>279</v>
      </c>
      <c r="K49" s="312"/>
      <c r="L49" s="279">
        <v>7080</v>
      </c>
      <c r="T49" s="33" t="s">
        <v>1644</v>
      </c>
      <c r="U49" s="280">
        <v>0.47569444444444442</v>
      </c>
      <c r="V49" s="280">
        <v>0.67986111111111114</v>
      </c>
      <c r="X49" s="33" t="s">
        <v>2040</v>
      </c>
      <c r="Y49" s="33" t="s">
        <v>2041</v>
      </c>
    </row>
    <row r="50" spans="1:25" s="33" customFormat="1" ht="15" hidden="1" customHeight="1" x14ac:dyDescent="0.25">
      <c r="A50" s="287">
        <v>26012023</v>
      </c>
      <c r="B50" s="33" t="s">
        <v>1080</v>
      </c>
      <c r="C50" s="33" t="s">
        <v>410</v>
      </c>
      <c r="D50" s="278">
        <v>44952</v>
      </c>
      <c r="E50"/>
      <c r="F50" s="306" t="s">
        <v>1817</v>
      </c>
      <c r="H50" s="306" t="s">
        <v>279</v>
      </c>
      <c r="K50" s="312">
        <f>39600+10384</f>
        <v>49984</v>
      </c>
      <c r="L50" s="279"/>
      <c r="T50" s="33" t="s">
        <v>916</v>
      </c>
      <c r="U50" s="280">
        <v>0.4694444444444445</v>
      </c>
      <c r="V50" s="280">
        <v>0.72152777777777777</v>
      </c>
      <c r="X50" s="33" t="s">
        <v>2040</v>
      </c>
      <c r="Y50" s="33" t="s">
        <v>1937</v>
      </c>
    </row>
    <row r="51" spans="1:25" hidden="1" x14ac:dyDescent="0.25">
      <c r="A51" s="246">
        <v>26012023</v>
      </c>
      <c r="B51" t="s">
        <v>1720</v>
      </c>
      <c r="C51" t="s">
        <v>13</v>
      </c>
      <c r="D51" s="122">
        <v>44952</v>
      </c>
      <c r="F51" s="28" t="s">
        <v>545</v>
      </c>
      <c r="H51" s="28" t="s">
        <v>279</v>
      </c>
      <c r="K51" s="313">
        <v>34456</v>
      </c>
      <c r="L51" s="88"/>
      <c r="T51" t="s">
        <v>1644</v>
      </c>
      <c r="U51" s="14">
        <v>0.76874999999999993</v>
      </c>
      <c r="V51" s="14">
        <v>0.93402777777777779</v>
      </c>
    </row>
    <row r="52" spans="1:25" ht="15" hidden="1" customHeight="1" x14ac:dyDescent="0.25">
      <c r="A52" s="246">
        <v>27012023</v>
      </c>
      <c r="B52" t="s">
        <v>24</v>
      </c>
      <c r="C52" t="s">
        <v>410</v>
      </c>
      <c r="D52" s="122">
        <v>44953</v>
      </c>
      <c r="F52" s="28" t="s">
        <v>425</v>
      </c>
      <c r="H52" s="28" t="s">
        <v>277</v>
      </c>
      <c r="K52" s="313"/>
      <c r="L52" s="88">
        <f>2.4*2000*1.18</f>
        <v>5664</v>
      </c>
      <c r="T52" t="s">
        <v>929</v>
      </c>
      <c r="U52" s="14">
        <v>0.39097222222222222</v>
      </c>
      <c r="V52" s="14">
        <v>0.54861111111111105</v>
      </c>
    </row>
    <row r="53" spans="1:25" ht="15" hidden="1" customHeight="1" x14ac:dyDescent="0.25">
      <c r="A53" s="246">
        <v>27012023</v>
      </c>
      <c r="B53" t="s">
        <v>930</v>
      </c>
      <c r="C53" t="s">
        <v>809</v>
      </c>
      <c r="D53" s="122">
        <v>44953</v>
      </c>
      <c r="F53" s="28" t="s">
        <v>294</v>
      </c>
      <c r="H53" s="28" t="s">
        <v>277</v>
      </c>
      <c r="K53" s="313">
        <v>28082</v>
      </c>
      <c r="L53" s="88"/>
      <c r="T53" t="s">
        <v>1178</v>
      </c>
      <c r="U53" s="14">
        <v>0.37291666666666662</v>
      </c>
      <c r="V53" s="14">
        <v>0.5229166666666667</v>
      </c>
    </row>
    <row r="54" spans="1:25" s="33" customFormat="1" hidden="1" x14ac:dyDescent="0.25">
      <c r="A54" s="287">
        <v>27012023</v>
      </c>
      <c r="B54" s="33" t="s">
        <v>596</v>
      </c>
      <c r="C54" s="33" t="s">
        <v>13</v>
      </c>
      <c r="D54" s="278">
        <v>44953</v>
      </c>
      <c r="E54"/>
      <c r="F54" s="306" t="s">
        <v>742</v>
      </c>
      <c r="H54" s="306" t="s">
        <v>279</v>
      </c>
      <c r="K54" s="312">
        <v>59472</v>
      </c>
      <c r="L54" s="279"/>
      <c r="T54" s="33" t="s">
        <v>922</v>
      </c>
      <c r="U54" s="280">
        <v>0.60833333333333328</v>
      </c>
      <c r="V54" s="280">
        <v>0.91875000000000007</v>
      </c>
      <c r="X54" s="33" t="s">
        <v>2040</v>
      </c>
    </row>
    <row r="55" spans="1:25" s="33" customFormat="1" hidden="1" x14ac:dyDescent="0.25">
      <c r="A55" s="287">
        <v>28012023</v>
      </c>
      <c r="B55" s="33" t="s">
        <v>1055</v>
      </c>
      <c r="C55" s="33" t="s">
        <v>13</v>
      </c>
      <c r="D55" s="278">
        <v>44954</v>
      </c>
      <c r="E55"/>
      <c r="F55" s="306" t="s">
        <v>573</v>
      </c>
      <c r="H55" s="306" t="s">
        <v>279</v>
      </c>
      <c r="K55" s="312">
        <v>41536</v>
      </c>
      <c r="L55" s="279"/>
      <c r="T55" s="33" t="s">
        <v>1644</v>
      </c>
      <c r="U55" s="280">
        <v>0.33680555555555558</v>
      </c>
      <c r="V55" s="280">
        <v>0.54027777777777775</v>
      </c>
      <c r="X55" s="33" t="s">
        <v>2040</v>
      </c>
      <c r="Y55" s="33" t="s">
        <v>1826</v>
      </c>
    </row>
    <row r="56" spans="1:25" ht="15" hidden="1" customHeight="1" x14ac:dyDescent="0.25">
      <c r="A56" s="246">
        <v>28012023</v>
      </c>
      <c r="B56" t="s">
        <v>583</v>
      </c>
      <c r="C56" t="s">
        <v>410</v>
      </c>
      <c r="D56" s="122">
        <v>44954</v>
      </c>
      <c r="F56" s="28" t="s">
        <v>573</v>
      </c>
      <c r="H56" s="28" t="s">
        <v>277</v>
      </c>
      <c r="K56" s="313">
        <v>28512</v>
      </c>
      <c r="L56" s="88"/>
      <c r="T56" t="s">
        <v>916</v>
      </c>
      <c r="U56" s="14">
        <v>0.50486111111111109</v>
      </c>
      <c r="V56" s="14">
        <v>0.65277777777777779</v>
      </c>
    </row>
    <row r="57" spans="1:25" ht="15" hidden="1" customHeight="1" x14ac:dyDescent="0.25">
      <c r="A57" s="246">
        <v>28012023</v>
      </c>
      <c r="B57" t="s">
        <v>1720</v>
      </c>
      <c r="C57" t="s">
        <v>809</v>
      </c>
      <c r="D57" s="122">
        <v>44954</v>
      </c>
      <c r="F57" s="28" t="s">
        <v>545</v>
      </c>
      <c r="H57" s="28" t="s">
        <v>277</v>
      </c>
      <c r="K57" s="313">
        <v>25016</v>
      </c>
      <c r="L57" s="88"/>
      <c r="T57" t="s">
        <v>1178</v>
      </c>
      <c r="U57" s="14">
        <v>0.46180555555555558</v>
      </c>
      <c r="V57" s="14">
        <v>0.51874999999999993</v>
      </c>
    </row>
    <row r="58" spans="1:25" hidden="1" x14ac:dyDescent="0.25">
      <c r="A58" s="246">
        <v>28012023</v>
      </c>
      <c r="B58" t="s">
        <v>930</v>
      </c>
      <c r="C58" t="s">
        <v>13</v>
      </c>
      <c r="D58" s="122">
        <v>44954</v>
      </c>
      <c r="F58" s="28" t="s">
        <v>294</v>
      </c>
      <c r="H58" s="28" t="s">
        <v>277</v>
      </c>
      <c r="K58" s="313">
        <v>28082</v>
      </c>
      <c r="L58" s="88"/>
      <c r="T58" t="s">
        <v>1644</v>
      </c>
      <c r="U58" s="14">
        <v>0.6</v>
      </c>
      <c r="V58" s="14">
        <v>0.77847222222222223</v>
      </c>
    </row>
    <row r="59" spans="1:25" ht="15" hidden="1" customHeight="1" x14ac:dyDescent="0.25">
      <c r="A59" s="246">
        <v>29012023</v>
      </c>
      <c r="B59" t="s">
        <v>1164</v>
      </c>
      <c r="C59" t="s">
        <v>410</v>
      </c>
      <c r="D59" s="122">
        <v>44955</v>
      </c>
      <c r="F59" s="28" t="s">
        <v>106</v>
      </c>
      <c r="H59" s="28" t="s">
        <v>279</v>
      </c>
      <c r="K59" s="313">
        <v>27770</v>
      </c>
      <c r="L59" s="88"/>
      <c r="T59" t="s">
        <v>795</v>
      </c>
      <c r="U59" s="14">
        <v>0.51874999999999993</v>
      </c>
      <c r="V59" s="14">
        <v>0.7090277777777777</v>
      </c>
    </row>
    <row r="60" spans="1:25" s="33" customFormat="1" ht="15" hidden="1" customHeight="1" x14ac:dyDescent="0.25">
      <c r="A60" s="287">
        <v>30012023</v>
      </c>
      <c r="B60" s="33" t="s">
        <v>1055</v>
      </c>
      <c r="C60" s="33" t="s">
        <v>809</v>
      </c>
      <c r="D60" s="278">
        <v>44956</v>
      </c>
      <c r="E60"/>
      <c r="F60" s="306" t="s">
        <v>1492</v>
      </c>
      <c r="H60" s="306" t="s">
        <v>279</v>
      </c>
      <c r="K60" s="312">
        <v>58730</v>
      </c>
      <c r="L60" s="279"/>
      <c r="T60" s="33" t="s">
        <v>1178</v>
      </c>
      <c r="U60" s="280">
        <v>0.28958333333333336</v>
      </c>
      <c r="V60" s="280">
        <v>0.49791666666666662</v>
      </c>
      <c r="X60" s="33" t="s">
        <v>2040</v>
      </c>
      <c r="Y60" s="33" t="s">
        <v>1827</v>
      </c>
    </row>
    <row r="61" spans="1:25" s="33" customFormat="1" ht="15" hidden="1" customHeight="1" x14ac:dyDescent="0.25">
      <c r="A61" s="287">
        <v>30012023</v>
      </c>
      <c r="B61" s="33" t="s">
        <v>1335</v>
      </c>
      <c r="C61" s="33" t="s">
        <v>809</v>
      </c>
      <c r="D61" s="278">
        <v>44956</v>
      </c>
      <c r="E61"/>
      <c r="F61" s="306" t="s">
        <v>742</v>
      </c>
      <c r="H61" s="306" t="s">
        <v>279</v>
      </c>
      <c r="K61" s="312">
        <v>62540</v>
      </c>
      <c r="L61" s="279"/>
      <c r="T61" s="33" t="s">
        <v>1178</v>
      </c>
      <c r="U61" s="280">
        <v>0.60972222222222217</v>
      </c>
      <c r="V61" s="280">
        <v>0.72986111111111107</v>
      </c>
      <c r="X61" s="33" t="s">
        <v>2040</v>
      </c>
      <c r="Y61" s="33" t="s">
        <v>1948</v>
      </c>
    </row>
    <row r="62" spans="1:25" s="196" customFormat="1" ht="15" hidden="1" customHeight="1" x14ac:dyDescent="0.25">
      <c r="A62" s="259">
        <v>30012023</v>
      </c>
      <c r="B62" s="196" t="s">
        <v>2051</v>
      </c>
      <c r="C62" s="196" t="s">
        <v>410</v>
      </c>
      <c r="D62" s="194">
        <v>44956</v>
      </c>
      <c r="E62"/>
      <c r="F62" s="307" t="s">
        <v>1258</v>
      </c>
      <c r="H62" s="307" t="s">
        <v>279</v>
      </c>
      <c r="K62" s="315">
        <v>48809.52</v>
      </c>
      <c r="L62" s="195"/>
      <c r="T62" s="196" t="s">
        <v>893</v>
      </c>
      <c r="U62" s="260">
        <v>0.50486111111111109</v>
      </c>
      <c r="V62" s="260">
        <v>0.77916666666666667</v>
      </c>
    </row>
    <row r="63" spans="1:25" hidden="1" x14ac:dyDescent="0.25">
      <c r="A63" s="95"/>
      <c r="D63" s="32"/>
      <c r="N63" s="6"/>
    </row>
    <row r="64" spans="1:25" ht="15.75" hidden="1" thickBot="1" x14ac:dyDescent="0.3">
      <c r="D64" s="122"/>
      <c r="K64" s="316">
        <f>SUM(K2:K63)</f>
        <v>2226511.2200000002</v>
      </c>
      <c r="L64" s="172">
        <f>SUM(L2:L63)</f>
        <v>37128</v>
      </c>
    </row>
    <row r="65" spans="1:25" hidden="1" x14ac:dyDescent="0.25">
      <c r="D65" s="122"/>
      <c r="N65" s="28"/>
    </row>
    <row r="66" spans="1:25" hidden="1" x14ac:dyDescent="0.25"/>
    <row r="67" spans="1:25" s="324" customFormat="1" hidden="1" x14ac:dyDescent="0.25">
      <c r="A67" s="323" t="s">
        <v>1814</v>
      </c>
      <c r="B67" s="324" t="s">
        <v>762</v>
      </c>
      <c r="C67" s="324" t="s">
        <v>410</v>
      </c>
      <c r="D67" s="325">
        <v>44958</v>
      </c>
      <c r="E67"/>
      <c r="F67" s="326" t="s">
        <v>872</v>
      </c>
      <c r="H67" s="326" t="s">
        <v>279</v>
      </c>
      <c r="K67" s="327">
        <v>39600</v>
      </c>
      <c r="L67" s="328"/>
      <c r="N67" s="326"/>
      <c r="T67" s="324" t="s">
        <v>1815</v>
      </c>
      <c r="U67" s="329">
        <v>0.50069444444444444</v>
      </c>
      <c r="V67" s="329">
        <v>0.71666666666666667</v>
      </c>
      <c r="X67" s="324" t="s">
        <v>2289</v>
      </c>
    </row>
    <row r="68" spans="1:25" s="33" customFormat="1" hidden="1" x14ac:dyDescent="0.25">
      <c r="A68" s="277" t="s">
        <v>1814</v>
      </c>
      <c r="B68" s="33" t="s">
        <v>930</v>
      </c>
      <c r="C68" s="33" t="s">
        <v>809</v>
      </c>
      <c r="D68" s="278">
        <v>44958</v>
      </c>
      <c r="E68"/>
      <c r="F68" s="306" t="s">
        <v>294</v>
      </c>
      <c r="G68" s="33">
        <f>2.7*1.25</f>
        <v>3.375</v>
      </c>
      <c r="H68" s="306" t="s">
        <v>277</v>
      </c>
      <c r="K68" s="312">
        <v>28082</v>
      </c>
      <c r="L68" s="279"/>
      <c r="T68" s="33" t="s">
        <v>1178</v>
      </c>
      <c r="U68" s="280">
        <v>0.58819444444444446</v>
      </c>
      <c r="V68" s="280">
        <v>0.77708333333333324</v>
      </c>
      <c r="X68" s="33" t="s">
        <v>2042</v>
      </c>
      <c r="Y68" s="33" t="s">
        <v>2004</v>
      </c>
    </row>
    <row r="69" spans="1:25" s="283" customFormat="1" hidden="1" x14ac:dyDescent="0.25">
      <c r="A69" s="282" t="s">
        <v>1813</v>
      </c>
      <c r="B69" s="283" t="s">
        <v>1812</v>
      </c>
      <c r="C69" s="283" t="s">
        <v>809</v>
      </c>
      <c r="D69" s="284">
        <v>44959</v>
      </c>
      <c r="E69" s="13"/>
      <c r="F69" s="308" t="s">
        <v>1931</v>
      </c>
      <c r="G69" s="283">
        <f>5*1.25</f>
        <v>6.25</v>
      </c>
      <c r="H69" s="308" t="s">
        <v>279</v>
      </c>
      <c r="K69" s="317">
        <v>59000</v>
      </c>
      <c r="L69" s="285"/>
      <c r="T69" s="283" t="s">
        <v>1178</v>
      </c>
      <c r="U69" s="286">
        <v>0.4201388888888889</v>
      </c>
      <c r="V69" s="286">
        <v>0.87847222222222221</v>
      </c>
      <c r="X69" s="283" t="s">
        <v>2040</v>
      </c>
    </row>
    <row r="70" spans="1:25" s="196" customFormat="1" hidden="1" x14ac:dyDescent="0.25">
      <c r="A70" s="259" t="s">
        <v>1813</v>
      </c>
      <c r="B70" s="196" t="s">
        <v>1800</v>
      </c>
      <c r="C70" s="196" t="s">
        <v>13</v>
      </c>
      <c r="D70" s="194">
        <v>44959</v>
      </c>
      <c r="E70"/>
      <c r="F70" s="307" t="s">
        <v>1931</v>
      </c>
      <c r="H70" s="307" t="s">
        <v>279</v>
      </c>
      <c r="J70" s="195"/>
      <c r="K70" s="315"/>
      <c r="L70" s="195">
        <v>14000</v>
      </c>
      <c r="T70" s="196" t="s">
        <v>1816</v>
      </c>
      <c r="U70" s="260">
        <v>0.4152777777777778</v>
      </c>
      <c r="V70" s="260">
        <v>0.64166666666666672</v>
      </c>
    </row>
    <row r="71" spans="1:25" s="196" customFormat="1" hidden="1" x14ac:dyDescent="0.25">
      <c r="A71" s="259" t="s">
        <v>1813</v>
      </c>
      <c r="B71" s="196" t="s">
        <v>607</v>
      </c>
      <c r="C71" s="196" t="s">
        <v>410</v>
      </c>
      <c r="D71" s="194">
        <v>44959</v>
      </c>
      <c r="E71"/>
      <c r="F71" s="307" t="s">
        <v>1930</v>
      </c>
      <c r="H71" s="307" t="s">
        <v>279</v>
      </c>
      <c r="K71" s="315">
        <v>36253.14</v>
      </c>
      <c r="L71" s="195"/>
      <c r="T71" s="196" t="s">
        <v>922</v>
      </c>
      <c r="U71" s="260">
        <v>0.4465277777777778</v>
      </c>
      <c r="V71" s="260">
        <v>0.64097222222222217</v>
      </c>
    </row>
    <row r="72" spans="1:25" s="324" customFormat="1" hidden="1" x14ac:dyDescent="0.25">
      <c r="A72" s="323" t="s">
        <v>1843</v>
      </c>
      <c r="B72" s="324" t="s">
        <v>762</v>
      </c>
      <c r="C72" s="324" t="s">
        <v>809</v>
      </c>
      <c r="D72" s="325">
        <v>44960</v>
      </c>
      <c r="E72"/>
      <c r="F72" s="326" t="s">
        <v>872</v>
      </c>
      <c r="H72" s="326" t="s">
        <v>279</v>
      </c>
      <c r="K72" s="327">
        <v>39600</v>
      </c>
      <c r="L72" s="328"/>
      <c r="T72" s="324" t="s">
        <v>1178</v>
      </c>
      <c r="U72" s="329">
        <v>0.32013888888888892</v>
      </c>
      <c r="V72" s="329">
        <v>0.5756944444444444</v>
      </c>
      <c r="X72" s="324" t="s">
        <v>2289</v>
      </c>
    </row>
    <row r="73" spans="1:25" s="196" customFormat="1" hidden="1" x14ac:dyDescent="0.25">
      <c r="A73" s="270" t="s">
        <v>1843</v>
      </c>
      <c r="B73" s="196" t="s">
        <v>596</v>
      </c>
      <c r="C73" s="196" t="s">
        <v>13</v>
      </c>
      <c r="D73" s="194">
        <v>44960</v>
      </c>
      <c r="E73"/>
      <c r="F73" s="307" t="s">
        <v>236</v>
      </c>
      <c r="H73" s="307" t="s">
        <v>279</v>
      </c>
      <c r="K73" s="315">
        <v>59472</v>
      </c>
      <c r="L73" s="195"/>
      <c r="T73" s="196" t="s">
        <v>916</v>
      </c>
      <c r="U73" s="260">
        <v>0.32777777777777778</v>
      </c>
      <c r="V73" s="260">
        <v>0.64374999999999993</v>
      </c>
    </row>
    <row r="74" spans="1:25" s="196" customFormat="1" hidden="1" x14ac:dyDescent="0.25">
      <c r="A74" s="270" t="s">
        <v>1843</v>
      </c>
      <c r="B74" s="196" t="s">
        <v>596</v>
      </c>
      <c r="C74" s="196" t="s">
        <v>13</v>
      </c>
      <c r="D74" s="194">
        <v>44960</v>
      </c>
      <c r="E74"/>
      <c r="F74" s="307" t="s">
        <v>236</v>
      </c>
      <c r="H74" s="307" t="s">
        <v>279</v>
      </c>
      <c r="K74" s="315">
        <v>59472</v>
      </c>
      <c r="L74" s="195"/>
      <c r="T74" s="196" t="s">
        <v>1816</v>
      </c>
      <c r="U74" s="260">
        <v>0.69166666666666676</v>
      </c>
      <c r="V74" s="260">
        <v>0.98541666666666661</v>
      </c>
    </row>
    <row r="75" spans="1:25" s="33" customFormat="1" hidden="1" x14ac:dyDescent="0.25">
      <c r="A75" s="277" t="s">
        <v>1844</v>
      </c>
      <c r="B75" s="33" t="s">
        <v>1845</v>
      </c>
      <c r="C75" s="33" t="s">
        <v>13</v>
      </c>
      <c r="D75" s="278">
        <v>44961</v>
      </c>
      <c r="E75"/>
      <c r="F75" s="306" t="s">
        <v>236</v>
      </c>
      <c r="H75" s="306" t="s">
        <v>279</v>
      </c>
      <c r="K75" s="312">
        <v>62540</v>
      </c>
      <c r="L75" s="279"/>
      <c r="T75" s="33" t="s">
        <v>922</v>
      </c>
      <c r="U75" s="280">
        <v>0.3034722222222222</v>
      </c>
      <c r="V75" s="280">
        <v>0.64861111111111114</v>
      </c>
      <c r="X75" s="33" t="s">
        <v>2042</v>
      </c>
      <c r="Y75" s="33" t="s">
        <v>1952</v>
      </c>
    </row>
    <row r="76" spans="1:25" s="264" customFormat="1" hidden="1" x14ac:dyDescent="0.25">
      <c r="A76" s="271" t="s">
        <v>1844</v>
      </c>
      <c r="B76" s="264" t="s">
        <v>1847</v>
      </c>
      <c r="C76" s="264" t="s">
        <v>809</v>
      </c>
      <c r="D76" s="265">
        <v>44961</v>
      </c>
      <c r="E76"/>
      <c r="F76" s="309" t="s">
        <v>545</v>
      </c>
      <c r="G76" s="264">
        <f>2.7*1.25</f>
        <v>3.375</v>
      </c>
      <c r="H76" s="309" t="s">
        <v>279</v>
      </c>
      <c r="K76" s="318">
        <v>33560</v>
      </c>
      <c r="L76" s="266"/>
      <c r="T76" s="264" t="s">
        <v>1178</v>
      </c>
      <c r="U76" s="267">
        <v>0.5541666666666667</v>
      </c>
      <c r="V76" s="267">
        <v>0.61319444444444449</v>
      </c>
    </row>
    <row r="77" spans="1:25" s="196" customFormat="1" hidden="1" x14ac:dyDescent="0.25">
      <c r="A77" s="270" t="s">
        <v>1846</v>
      </c>
      <c r="B77" s="196" t="s">
        <v>596</v>
      </c>
      <c r="C77" s="196" t="s">
        <v>13</v>
      </c>
      <c r="D77" s="194">
        <v>44962</v>
      </c>
      <c r="E77"/>
      <c r="F77" s="307" t="s">
        <v>236</v>
      </c>
      <c r="H77" s="307" t="s">
        <v>279</v>
      </c>
      <c r="K77" s="315">
        <v>59472</v>
      </c>
      <c r="L77" s="195"/>
      <c r="T77" s="196" t="s">
        <v>1816</v>
      </c>
      <c r="U77" s="260">
        <v>0.31111111111111112</v>
      </c>
      <c r="V77" s="260">
        <v>0.59861111111111109</v>
      </c>
    </row>
    <row r="78" spans="1:25" s="33" customFormat="1" hidden="1" x14ac:dyDescent="0.25">
      <c r="A78" s="277" t="s">
        <v>1846</v>
      </c>
      <c r="B78" s="33" t="s">
        <v>576</v>
      </c>
      <c r="C78" s="33" t="s">
        <v>13</v>
      </c>
      <c r="D78" s="278">
        <v>44962</v>
      </c>
      <c r="E78"/>
      <c r="F78" s="306" t="s">
        <v>285</v>
      </c>
      <c r="H78" s="306" t="s">
        <v>279</v>
      </c>
      <c r="K78" s="312">
        <v>47200</v>
      </c>
      <c r="L78" s="279"/>
      <c r="T78" s="33" t="s">
        <v>1644</v>
      </c>
      <c r="U78" s="280">
        <v>0.7104166666666667</v>
      </c>
      <c r="V78" s="280">
        <v>0.9458333333333333</v>
      </c>
      <c r="X78" s="33" t="s">
        <v>2042</v>
      </c>
      <c r="Y78" s="33" t="s">
        <v>1974</v>
      </c>
    </row>
    <row r="79" spans="1:25" s="196" customFormat="1" hidden="1" x14ac:dyDescent="0.25">
      <c r="A79" s="270" t="s">
        <v>1854</v>
      </c>
      <c r="B79" s="196" t="s">
        <v>1855</v>
      </c>
      <c r="C79" s="196" t="s">
        <v>13</v>
      </c>
      <c r="D79" s="194">
        <v>44963</v>
      </c>
      <c r="E79"/>
      <c r="F79" s="307" t="s">
        <v>1929</v>
      </c>
      <c r="H79" s="307" t="s">
        <v>279</v>
      </c>
      <c r="K79" s="315">
        <v>48474</v>
      </c>
      <c r="L79" s="195"/>
      <c r="T79" s="196" t="s">
        <v>989</v>
      </c>
      <c r="U79" s="260">
        <v>0.62777777777777777</v>
      </c>
    </row>
    <row r="80" spans="1:25" s="196" customFormat="1" hidden="1" x14ac:dyDescent="0.25">
      <c r="A80" s="270" t="s">
        <v>1854</v>
      </c>
      <c r="B80" s="196" t="s">
        <v>1856</v>
      </c>
      <c r="C80" s="196" t="s">
        <v>809</v>
      </c>
      <c r="D80" s="194">
        <v>44963</v>
      </c>
      <c r="E80"/>
      <c r="F80" s="307" t="s">
        <v>545</v>
      </c>
      <c r="G80" s="196">
        <f>2.7*1.25</f>
        <v>3.375</v>
      </c>
      <c r="H80" s="307" t="s">
        <v>279</v>
      </c>
      <c r="K80" s="315">
        <v>34456</v>
      </c>
      <c r="L80" s="195"/>
      <c r="T80" s="196" t="s">
        <v>894</v>
      </c>
      <c r="U80" s="260">
        <v>0.84027777777777779</v>
      </c>
      <c r="V80" s="260">
        <v>0.93055555555555547</v>
      </c>
    </row>
    <row r="81" spans="1:25" s="264" customFormat="1" hidden="1" x14ac:dyDescent="0.25">
      <c r="A81" s="271" t="s">
        <v>1863</v>
      </c>
      <c r="B81" s="264" t="s">
        <v>1847</v>
      </c>
      <c r="C81" s="264" t="s">
        <v>809</v>
      </c>
      <c r="D81" s="265">
        <v>44964</v>
      </c>
      <c r="E81"/>
      <c r="F81" s="309" t="s">
        <v>545</v>
      </c>
      <c r="G81" s="264">
        <f>2.7*1.25</f>
        <v>3.375</v>
      </c>
      <c r="H81" s="309" t="s">
        <v>279</v>
      </c>
      <c r="K81" s="318">
        <v>33560</v>
      </c>
      <c r="L81" s="266"/>
      <c r="T81" s="264" t="s">
        <v>894</v>
      </c>
      <c r="U81" s="267">
        <v>0.62013888888888891</v>
      </c>
      <c r="V81" s="267">
        <v>0.84930555555555554</v>
      </c>
    </row>
    <row r="82" spans="1:25" s="196" customFormat="1" hidden="1" x14ac:dyDescent="0.25">
      <c r="A82" s="270" t="s">
        <v>1864</v>
      </c>
      <c r="B82" s="196" t="s">
        <v>1862</v>
      </c>
      <c r="C82" s="196" t="s">
        <v>13</v>
      </c>
      <c r="D82" s="194">
        <v>44965</v>
      </c>
      <c r="E82"/>
      <c r="F82" s="307" t="s">
        <v>143</v>
      </c>
      <c r="H82" s="307" t="s">
        <v>279</v>
      </c>
      <c r="I82" s="196" t="s">
        <v>1865</v>
      </c>
      <c r="K82" s="315">
        <v>38940</v>
      </c>
      <c r="L82" s="195"/>
      <c r="T82" s="196" t="s">
        <v>1506</v>
      </c>
      <c r="U82" s="260">
        <v>0.31319444444444444</v>
      </c>
      <c r="V82" s="260">
        <v>0.51736111111111105</v>
      </c>
    </row>
    <row r="83" spans="1:25" s="408" customFormat="1" hidden="1" x14ac:dyDescent="0.25">
      <c r="A83" s="407" t="s">
        <v>1864</v>
      </c>
      <c r="B83" s="408" t="s">
        <v>930</v>
      </c>
      <c r="C83" s="408" t="s">
        <v>13</v>
      </c>
      <c r="D83" s="409">
        <v>44965</v>
      </c>
      <c r="E83"/>
      <c r="F83" s="410" t="s">
        <v>294</v>
      </c>
      <c r="H83" s="410" t="s">
        <v>279</v>
      </c>
      <c r="K83" s="411">
        <v>41096</v>
      </c>
      <c r="L83" s="412"/>
      <c r="T83" s="408" t="s">
        <v>922</v>
      </c>
      <c r="U83" s="413">
        <v>0.89513888888888893</v>
      </c>
      <c r="V83" s="413">
        <v>7.0833333333333331E-2</v>
      </c>
      <c r="X83" s="408" t="s">
        <v>2617</v>
      </c>
    </row>
    <row r="84" spans="1:25" s="33" customFormat="1" hidden="1" x14ac:dyDescent="0.25">
      <c r="A84" s="277" t="s">
        <v>1864</v>
      </c>
      <c r="B84" s="33" t="s">
        <v>930</v>
      </c>
      <c r="C84" s="33" t="s">
        <v>410</v>
      </c>
      <c r="D84" s="278">
        <v>44965</v>
      </c>
      <c r="E84"/>
      <c r="F84" s="306" t="s">
        <v>295</v>
      </c>
      <c r="H84" s="306" t="s">
        <v>277</v>
      </c>
      <c r="K84" s="312">
        <v>26523</v>
      </c>
      <c r="L84" s="279"/>
      <c r="T84" s="33" t="s">
        <v>929</v>
      </c>
      <c r="U84" s="280">
        <v>0.9458333333333333</v>
      </c>
      <c r="V84" s="280">
        <v>0.50347222222222221</v>
      </c>
      <c r="X84" s="33" t="s">
        <v>2042</v>
      </c>
      <c r="Y84" s="33" t="s">
        <v>2004</v>
      </c>
    </row>
    <row r="85" spans="1:25" s="196" customFormat="1" hidden="1" x14ac:dyDescent="0.25">
      <c r="A85" s="270" t="s">
        <v>1869</v>
      </c>
      <c r="B85" s="196" t="s">
        <v>1055</v>
      </c>
      <c r="C85" s="196" t="s">
        <v>410</v>
      </c>
      <c r="D85" s="269">
        <v>44966</v>
      </c>
      <c r="E85"/>
      <c r="F85" s="307" t="s">
        <v>573</v>
      </c>
      <c r="H85" s="307" t="s">
        <v>279</v>
      </c>
      <c r="K85" s="315">
        <v>41536</v>
      </c>
      <c r="L85" s="195"/>
      <c r="T85" s="196" t="s">
        <v>1506</v>
      </c>
      <c r="U85" s="260">
        <v>0.56041666666666667</v>
      </c>
      <c r="V85" s="260">
        <v>0.75486111111111109</v>
      </c>
    </row>
    <row r="86" spans="1:25" s="196" customFormat="1" hidden="1" x14ac:dyDescent="0.25">
      <c r="A86" s="262">
        <v>10022023</v>
      </c>
      <c r="B86" s="196" t="s">
        <v>1856</v>
      </c>
      <c r="C86" s="196" t="s">
        <v>410</v>
      </c>
      <c r="D86" s="269">
        <v>44967</v>
      </c>
      <c r="E86"/>
      <c r="F86" s="307" t="s">
        <v>545</v>
      </c>
      <c r="H86" s="307" t="s">
        <v>277</v>
      </c>
      <c r="K86" s="315">
        <v>25016</v>
      </c>
      <c r="L86" s="195"/>
      <c r="T86" s="196" t="s">
        <v>916</v>
      </c>
      <c r="U86" s="260">
        <v>0.62083333333333335</v>
      </c>
      <c r="V86" s="260">
        <v>0.74375000000000002</v>
      </c>
    </row>
    <row r="87" spans="1:25" s="196" customFormat="1" hidden="1" x14ac:dyDescent="0.25">
      <c r="A87" s="262">
        <v>11022023</v>
      </c>
      <c r="B87" s="196" t="s">
        <v>610</v>
      </c>
      <c r="C87" s="196" t="s">
        <v>410</v>
      </c>
      <c r="D87" s="269">
        <v>44968</v>
      </c>
      <c r="E87"/>
      <c r="F87" s="307" t="s">
        <v>106</v>
      </c>
      <c r="H87" s="307" t="s">
        <v>279</v>
      </c>
      <c r="K87" s="315">
        <v>29770</v>
      </c>
      <c r="L87" s="195"/>
      <c r="T87" s="196" t="s">
        <v>1506</v>
      </c>
      <c r="U87" s="260">
        <v>0.45763888888888887</v>
      </c>
      <c r="V87" s="260">
        <v>0.63541666666666663</v>
      </c>
    </row>
    <row r="88" spans="1:25" s="324" customFormat="1" hidden="1" x14ac:dyDescent="0.25">
      <c r="A88" s="330">
        <v>11022023</v>
      </c>
      <c r="B88" s="323" t="s">
        <v>762</v>
      </c>
      <c r="C88" s="324" t="s">
        <v>809</v>
      </c>
      <c r="D88" s="331">
        <v>44968</v>
      </c>
      <c r="E88"/>
      <c r="F88" s="326" t="s">
        <v>294</v>
      </c>
      <c r="G88" s="324">
        <f>2.7*1.25</f>
        <v>3.375</v>
      </c>
      <c r="H88" s="326" t="s">
        <v>279</v>
      </c>
      <c r="K88" s="327">
        <v>39600</v>
      </c>
      <c r="L88" s="328"/>
      <c r="T88" s="324" t="s">
        <v>1894</v>
      </c>
      <c r="U88" s="329">
        <v>0.65972222222222221</v>
      </c>
      <c r="V88" s="329">
        <v>0.85486111111111107</v>
      </c>
      <c r="X88" s="324" t="s">
        <v>2289</v>
      </c>
    </row>
    <row r="89" spans="1:25" s="196" customFormat="1" hidden="1" x14ac:dyDescent="0.25">
      <c r="A89" s="262">
        <v>13022023</v>
      </c>
      <c r="B89" s="196" t="s">
        <v>1720</v>
      </c>
      <c r="C89" s="196" t="s">
        <v>410</v>
      </c>
      <c r="D89" s="269">
        <v>44970</v>
      </c>
      <c r="E89"/>
      <c r="F89" s="307" t="s">
        <v>545</v>
      </c>
      <c r="H89" s="307" t="s">
        <v>277</v>
      </c>
      <c r="K89" s="315">
        <v>25016</v>
      </c>
      <c r="L89" s="195"/>
      <c r="T89" s="196" t="s">
        <v>893</v>
      </c>
      <c r="U89" s="260">
        <v>0.54166666666666663</v>
      </c>
      <c r="V89" s="260">
        <v>0.72291666666666676</v>
      </c>
    </row>
    <row r="90" spans="1:25" s="196" customFormat="1" hidden="1" x14ac:dyDescent="0.25">
      <c r="A90" s="262">
        <v>14022023</v>
      </c>
      <c r="B90" s="196" t="s">
        <v>1720</v>
      </c>
      <c r="C90" s="196" t="s">
        <v>13</v>
      </c>
      <c r="D90" s="269">
        <v>44971</v>
      </c>
      <c r="E90"/>
      <c r="F90" s="307" t="s">
        <v>545</v>
      </c>
      <c r="H90" s="307" t="s">
        <v>277</v>
      </c>
      <c r="K90" s="315">
        <v>25016</v>
      </c>
      <c r="L90" s="195"/>
      <c r="T90" s="196" t="s">
        <v>916</v>
      </c>
      <c r="U90" s="260">
        <v>0.4597222222222222</v>
      </c>
      <c r="V90" s="260">
        <v>0.57430555555555551</v>
      </c>
    </row>
    <row r="91" spans="1:25" s="196" customFormat="1" hidden="1" x14ac:dyDescent="0.25">
      <c r="A91" s="262">
        <v>14022023</v>
      </c>
      <c r="B91" s="196" t="s">
        <v>1720</v>
      </c>
      <c r="C91" s="196" t="s">
        <v>410</v>
      </c>
      <c r="D91" s="269">
        <v>44971</v>
      </c>
      <c r="E91"/>
      <c r="F91" s="307" t="s">
        <v>545</v>
      </c>
      <c r="H91" s="307" t="s">
        <v>277</v>
      </c>
      <c r="K91" s="315">
        <v>25016</v>
      </c>
      <c r="L91" s="195"/>
      <c r="T91" s="196" t="s">
        <v>916</v>
      </c>
      <c r="U91" s="260">
        <v>0.58333333333333337</v>
      </c>
      <c r="V91" s="260">
        <v>0.91</v>
      </c>
    </row>
    <row r="92" spans="1:25" s="196" customFormat="1" hidden="1" x14ac:dyDescent="0.25">
      <c r="A92" s="262">
        <v>15022023</v>
      </c>
      <c r="B92" s="196" t="s">
        <v>1720</v>
      </c>
      <c r="C92" s="196" t="s">
        <v>410</v>
      </c>
      <c r="D92" s="269">
        <v>44972</v>
      </c>
      <c r="E92"/>
      <c r="F92" s="307" t="s">
        <v>545</v>
      </c>
      <c r="H92" s="307" t="s">
        <v>277</v>
      </c>
      <c r="K92" s="315">
        <v>25016</v>
      </c>
      <c r="L92" s="195"/>
      <c r="T92" s="196" t="s">
        <v>1506</v>
      </c>
      <c r="U92" s="260">
        <v>0.70277777777777783</v>
      </c>
      <c r="V92" s="260">
        <v>0.83124999999999993</v>
      </c>
    </row>
    <row r="93" spans="1:25" hidden="1" x14ac:dyDescent="0.25">
      <c r="A93" s="256">
        <v>16022023</v>
      </c>
      <c r="B93" t="s">
        <v>807</v>
      </c>
      <c r="C93" t="s">
        <v>410</v>
      </c>
      <c r="D93" s="255">
        <v>44973</v>
      </c>
      <c r="F93" s="28" t="s">
        <v>674</v>
      </c>
      <c r="H93" s="28" t="s">
        <v>1904</v>
      </c>
      <c r="T93" t="s">
        <v>1816</v>
      </c>
      <c r="U93" s="14">
        <v>0.62222222222222223</v>
      </c>
      <c r="V93" s="14">
        <v>0.68819444444444444</v>
      </c>
    </row>
    <row r="94" spans="1:25" s="33" customFormat="1" hidden="1" x14ac:dyDescent="0.25">
      <c r="A94" s="281">
        <v>17022023</v>
      </c>
      <c r="B94" s="33" t="s">
        <v>1609</v>
      </c>
      <c r="C94" s="33" t="s">
        <v>410</v>
      </c>
      <c r="D94" s="288">
        <v>44974</v>
      </c>
      <c r="E94"/>
      <c r="F94" s="306" t="s">
        <v>295</v>
      </c>
      <c r="H94" s="306" t="s">
        <v>277</v>
      </c>
      <c r="K94" s="312">
        <v>26523</v>
      </c>
      <c r="L94" s="279"/>
      <c r="T94" s="33" t="s">
        <v>1816</v>
      </c>
      <c r="U94" s="280">
        <v>0.65416666666666667</v>
      </c>
      <c r="V94" s="280">
        <v>0.89097222222222217</v>
      </c>
      <c r="X94" s="33" t="s">
        <v>2042</v>
      </c>
      <c r="Y94" s="33" t="s">
        <v>2004</v>
      </c>
    </row>
    <row r="95" spans="1:25" s="264" customFormat="1" hidden="1" x14ac:dyDescent="0.25">
      <c r="A95" s="263">
        <v>18022023</v>
      </c>
      <c r="B95" s="264" t="s">
        <v>586</v>
      </c>
      <c r="C95" s="264" t="s">
        <v>809</v>
      </c>
      <c r="D95" s="268">
        <v>44975</v>
      </c>
      <c r="E95"/>
      <c r="F95" s="309" t="s">
        <v>545</v>
      </c>
      <c r="G95" s="264">
        <f>2.7*1.25</f>
        <v>3.375</v>
      </c>
      <c r="H95" s="309" t="s">
        <v>277</v>
      </c>
      <c r="K95" s="318">
        <v>20800</v>
      </c>
      <c r="L95" s="266"/>
      <c r="T95" s="264" t="s">
        <v>1644</v>
      </c>
      <c r="U95" s="267">
        <v>0.56111111111111112</v>
      </c>
      <c r="V95" s="267">
        <v>0.61875000000000002</v>
      </c>
    </row>
    <row r="96" spans="1:25" s="291" customFormat="1" hidden="1" x14ac:dyDescent="0.25">
      <c r="A96" s="290">
        <v>19022023</v>
      </c>
      <c r="B96" s="291" t="s">
        <v>1907</v>
      </c>
      <c r="C96" s="291" t="s">
        <v>410</v>
      </c>
      <c r="D96" s="292">
        <v>44976</v>
      </c>
      <c r="E96" s="21"/>
      <c r="F96" s="310" t="s">
        <v>1908</v>
      </c>
      <c r="H96" s="310"/>
      <c r="K96" s="319"/>
      <c r="L96" s="293">
        <v>3550</v>
      </c>
      <c r="T96" s="291" t="s">
        <v>1042</v>
      </c>
      <c r="U96" s="294">
        <v>0.4694444444444445</v>
      </c>
      <c r="V96" s="294">
        <v>0.55069444444444449</v>
      </c>
      <c r="X96" s="291" t="s">
        <v>2042</v>
      </c>
      <c r="Y96" s="291" t="s">
        <v>2045</v>
      </c>
    </row>
    <row r="97" spans="1:25" s="291" customFormat="1" hidden="1" x14ac:dyDescent="0.25">
      <c r="A97" s="290">
        <v>20022023</v>
      </c>
      <c r="B97" s="291" t="s">
        <v>1907</v>
      </c>
      <c r="C97" s="291" t="s">
        <v>410</v>
      </c>
      <c r="D97" s="292">
        <v>44977</v>
      </c>
      <c r="E97" s="21"/>
      <c r="F97" s="310" t="s">
        <v>1906</v>
      </c>
      <c r="H97" s="310" t="s">
        <v>277</v>
      </c>
      <c r="K97" s="319"/>
      <c r="L97" s="293">
        <v>3550</v>
      </c>
      <c r="T97" s="291" t="s">
        <v>1656</v>
      </c>
      <c r="U97" s="294">
        <v>0.54722222222222217</v>
      </c>
      <c r="V97" s="294">
        <v>0.65416666666666667</v>
      </c>
      <c r="X97" s="291" t="s">
        <v>2042</v>
      </c>
      <c r="Y97" s="291" t="s">
        <v>2045</v>
      </c>
    </row>
    <row r="98" spans="1:25" s="196" customFormat="1" hidden="1" x14ac:dyDescent="0.25">
      <c r="A98" s="262">
        <v>20022023</v>
      </c>
      <c r="B98" s="196" t="s">
        <v>1720</v>
      </c>
      <c r="C98" s="196" t="s">
        <v>13</v>
      </c>
      <c r="D98" s="194">
        <v>44977</v>
      </c>
      <c r="E98"/>
      <c r="F98" s="307" t="s">
        <v>545</v>
      </c>
      <c r="H98" s="307" t="s">
        <v>279</v>
      </c>
      <c r="K98" s="315">
        <v>34456</v>
      </c>
      <c r="L98" s="195"/>
      <c r="T98" s="196" t="s">
        <v>1225</v>
      </c>
      <c r="U98" s="260">
        <v>0.52083333333333337</v>
      </c>
      <c r="V98" s="260">
        <v>0.70000000000000007</v>
      </c>
    </row>
    <row r="99" spans="1:25" s="401" customFormat="1" hidden="1" x14ac:dyDescent="0.25">
      <c r="A99" s="400">
        <v>20022023</v>
      </c>
      <c r="B99" s="401" t="s">
        <v>1909</v>
      </c>
      <c r="C99" s="401" t="s">
        <v>410</v>
      </c>
      <c r="D99" s="402">
        <v>44977</v>
      </c>
      <c r="E99" s="21"/>
      <c r="F99" s="403" t="s">
        <v>294</v>
      </c>
      <c r="H99" s="403" t="s">
        <v>279</v>
      </c>
      <c r="K99" s="404">
        <v>38550</v>
      </c>
      <c r="L99" s="405"/>
      <c r="T99" s="401" t="s">
        <v>1656</v>
      </c>
      <c r="U99" s="406">
        <v>0.7368055555555556</v>
      </c>
      <c r="V99" s="406">
        <v>0.98888888888888893</v>
      </c>
      <c r="X99" s="401" t="s">
        <v>2617</v>
      </c>
    </row>
    <row r="100" spans="1:25" s="264" customFormat="1" hidden="1" x14ac:dyDescent="0.25">
      <c r="A100" s="263">
        <v>20022023</v>
      </c>
      <c r="B100" s="264" t="s">
        <v>583</v>
      </c>
      <c r="C100" s="264" t="s">
        <v>13</v>
      </c>
      <c r="D100" s="265">
        <v>44977</v>
      </c>
      <c r="E100"/>
      <c r="F100" s="309" t="s">
        <v>294</v>
      </c>
      <c r="H100" s="309" t="s">
        <v>279</v>
      </c>
      <c r="K100" s="318">
        <v>36042.57</v>
      </c>
      <c r="L100" s="266"/>
      <c r="T100" s="264" t="s">
        <v>1225</v>
      </c>
      <c r="U100" s="267">
        <v>0.83472222222222225</v>
      </c>
      <c r="V100" s="267">
        <v>6.1111111111111116E-2</v>
      </c>
    </row>
    <row r="101" spans="1:25" s="33" customFormat="1" hidden="1" x14ac:dyDescent="0.25">
      <c r="A101" s="281">
        <v>21022023</v>
      </c>
      <c r="B101" s="33" t="s">
        <v>930</v>
      </c>
      <c r="C101" s="33" t="s">
        <v>410</v>
      </c>
      <c r="D101" s="278">
        <v>44978</v>
      </c>
      <c r="E101"/>
      <c r="F101" s="306" t="s">
        <v>294</v>
      </c>
      <c r="H101" s="306" t="s">
        <v>277</v>
      </c>
      <c r="K101" s="312">
        <v>28082</v>
      </c>
      <c r="L101" s="279"/>
      <c r="T101" s="33" t="s">
        <v>1042</v>
      </c>
      <c r="U101" s="280">
        <v>0.47430555555555554</v>
      </c>
      <c r="V101" s="280">
        <v>0.63958333333333328</v>
      </c>
      <c r="X101" s="33" t="s">
        <v>2042</v>
      </c>
      <c r="Y101" s="33" t="s">
        <v>2004</v>
      </c>
    </row>
    <row r="102" spans="1:25" s="196" customFormat="1" hidden="1" x14ac:dyDescent="0.25">
      <c r="A102" s="262">
        <v>21022023</v>
      </c>
      <c r="B102" s="196" t="s">
        <v>1720</v>
      </c>
      <c r="C102" s="196" t="s">
        <v>13</v>
      </c>
      <c r="D102" s="194">
        <v>44978</v>
      </c>
      <c r="E102"/>
      <c r="F102" s="307" t="s">
        <v>545</v>
      </c>
      <c r="H102" s="307" t="s">
        <v>277</v>
      </c>
      <c r="K102" s="315">
        <v>25016</v>
      </c>
      <c r="L102" s="195"/>
      <c r="T102" s="196" t="s">
        <v>1816</v>
      </c>
      <c r="U102" s="260">
        <v>0.60138888888888886</v>
      </c>
      <c r="V102" s="260">
        <v>0.7284722222222223</v>
      </c>
    </row>
    <row r="103" spans="1:25" hidden="1" x14ac:dyDescent="0.25">
      <c r="A103" s="256">
        <v>22022023</v>
      </c>
      <c r="B103" t="s">
        <v>874</v>
      </c>
      <c r="C103" t="s">
        <v>410</v>
      </c>
      <c r="D103" s="122">
        <v>44979</v>
      </c>
      <c r="F103" s="28" t="s">
        <v>1917</v>
      </c>
      <c r="H103" s="28" t="s">
        <v>1918</v>
      </c>
      <c r="T103" t="s">
        <v>989</v>
      </c>
      <c r="U103" s="14">
        <v>0.62291666666666667</v>
      </c>
      <c r="V103" s="14">
        <v>0.68055555555555547</v>
      </c>
    </row>
    <row r="104" spans="1:25" s="283" customFormat="1" hidden="1" x14ac:dyDescent="0.25">
      <c r="A104" s="289">
        <v>22022023</v>
      </c>
      <c r="B104" s="283" t="s">
        <v>586</v>
      </c>
      <c r="C104" s="283" t="s">
        <v>410</v>
      </c>
      <c r="D104" s="284">
        <v>44979</v>
      </c>
      <c r="E104" s="13"/>
      <c r="F104" s="308" t="s">
        <v>425</v>
      </c>
      <c r="H104" s="308" t="s">
        <v>279</v>
      </c>
      <c r="K104" s="317">
        <v>33560</v>
      </c>
      <c r="L104" s="285"/>
      <c r="T104" s="283" t="s">
        <v>989</v>
      </c>
      <c r="U104" s="286">
        <v>0.70486111111111116</v>
      </c>
      <c r="V104" s="286">
        <v>0.81180555555555556</v>
      </c>
    </row>
    <row r="105" spans="1:25" s="196" customFormat="1" hidden="1" x14ac:dyDescent="0.25">
      <c r="A105" s="262">
        <v>23022023</v>
      </c>
      <c r="B105" s="196" t="s">
        <v>1720</v>
      </c>
      <c r="C105" s="196" t="s">
        <v>13</v>
      </c>
      <c r="D105" s="194">
        <v>44980</v>
      </c>
      <c r="E105"/>
      <c r="F105" s="307" t="s">
        <v>545</v>
      </c>
      <c r="H105" s="307" t="s">
        <v>277</v>
      </c>
      <c r="K105" s="315">
        <v>25016</v>
      </c>
      <c r="L105" s="195"/>
      <c r="T105" s="196" t="s">
        <v>929</v>
      </c>
      <c r="U105" s="260">
        <v>0.90902777777777777</v>
      </c>
      <c r="V105" s="260">
        <v>0.59375</v>
      </c>
    </row>
    <row r="106" spans="1:25" s="196" customFormat="1" hidden="1" x14ac:dyDescent="0.25">
      <c r="A106" s="262">
        <v>23022023</v>
      </c>
      <c r="B106" s="196" t="s">
        <v>1720</v>
      </c>
      <c r="C106" s="196" t="s">
        <v>410</v>
      </c>
      <c r="D106" s="194">
        <v>44980</v>
      </c>
      <c r="E106"/>
      <c r="F106" s="307" t="s">
        <v>545</v>
      </c>
      <c r="H106" s="307" t="s">
        <v>277</v>
      </c>
      <c r="K106" s="315">
        <v>25016</v>
      </c>
      <c r="L106" s="195"/>
      <c r="T106" s="196" t="s">
        <v>1644</v>
      </c>
      <c r="U106" s="260">
        <v>0.50138888888888888</v>
      </c>
      <c r="V106" s="260">
        <v>0.6381944444444444</v>
      </c>
    </row>
    <row r="107" spans="1:25" s="324" customFormat="1" hidden="1" x14ac:dyDescent="0.25">
      <c r="A107" s="330">
        <v>24022023</v>
      </c>
      <c r="B107" s="324" t="s">
        <v>762</v>
      </c>
      <c r="C107" s="324" t="s">
        <v>410</v>
      </c>
      <c r="D107" s="325">
        <v>44981</v>
      </c>
      <c r="E107"/>
      <c r="F107" s="326" t="s">
        <v>872</v>
      </c>
      <c r="H107" s="326" t="s">
        <v>279</v>
      </c>
      <c r="K107" s="327">
        <v>39600</v>
      </c>
      <c r="L107" s="328"/>
      <c r="T107" s="324" t="s">
        <v>1029</v>
      </c>
      <c r="U107" s="329">
        <v>0.49722222222222223</v>
      </c>
      <c r="V107" s="329">
        <v>0.72083333333333333</v>
      </c>
      <c r="X107" s="324" t="s">
        <v>2289</v>
      </c>
    </row>
    <row r="108" spans="1:25" s="33" customFormat="1" hidden="1" x14ac:dyDescent="0.25">
      <c r="A108" s="281">
        <v>24022023</v>
      </c>
      <c r="B108" s="33" t="s">
        <v>576</v>
      </c>
      <c r="C108" s="33" t="s">
        <v>410</v>
      </c>
      <c r="D108" s="278">
        <v>44981</v>
      </c>
      <c r="E108"/>
      <c r="F108" s="306" t="s">
        <v>285</v>
      </c>
      <c r="H108" s="306" t="s">
        <v>279</v>
      </c>
      <c r="K108" s="312">
        <v>47200</v>
      </c>
      <c r="L108" s="279"/>
      <c r="T108" s="33" t="s">
        <v>1656</v>
      </c>
      <c r="U108" s="280">
        <v>0.59305555555555556</v>
      </c>
      <c r="V108" s="280">
        <v>0.84930555555555554</v>
      </c>
      <c r="X108" s="33" t="s">
        <v>2042</v>
      </c>
      <c r="Y108" s="33" t="s">
        <v>2122</v>
      </c>
    </row>
    <row r="109" spans="1:25" s="196" customFormat="1" hidden="1" x14ac:dyDescent="0.25">
      <c r="A109" s="262">
        <v>25022023</v>
      </c>
      <c r="B109" s="196" t="s">
        <v>1720</v>
      </c>
      <c r="C109" s="196" t="s">
        <v>13</v>
      </c>
      <c r="D109" s="194">
        <v>44982</v>
      </c>
      <c r="E109"/>
      <c r="F109" s="307" t="s">
        <v>545</v>
      </c>
      <c r="H109" s="307" t="s">
        <v>279</v>
      </c>
      <c r="K109" s="315">
        <v>34456</v>
      </c>
      <c r="L109" s="195"/>
      <c r="T109" s="196" t="s">
        <v>893</v>
      </c>
      <c r="U109" s="260">
        <v>0.55277777777777781</v>
      </c>
      <c r="V109" s="260">
        <v>0.75277777777777777</v>
      </c>
    </row>
    <row r="110" spans="1:25" s="33" customFormat="1" hidden="1" x14ac:dyDescent="0.25">
      <c r="A110" s="281">
        <v>25022023</v>
      </c>
      <c r="B110" s="33" t="s">
        <v>930</v>
      </c>
      <c r="C110" s="33" t="s">
        <v>410</v>
      </c>
      <c r="D110" s="278">
        <v>44982</v>
      </c>
      <c r="E110"/>
      <c r="F110" s="306" t="s">
        <v>294</v>
      </c>
      <c r="H110" s="306" t="s">
        <v>277</v>
      </c>
      <c r="K110" s="312">
        <v>28082</v>
      </c>
      <c r="L110" s="279"/>
      <c r="T110" s="33" t="s">
        <v>1932</v>
      </c>
      <c r="U110" s="280">
        <v>0.62847222222222221</v>
      </c>
      <c r="V110" s="280">
        <v>0.78125</v>
      </c>
      <c r="X110" s="33" t="s">
        <v>2042</v>
      </c>
      <c r="Y110" s="33" t="s">
        <v>2004</v>
      </c>
    </row>
    <row r="111" spans="1:25" s="324" customFormat="1" hidden="1" x14ac:dyDescent="0.25">
      <c r="A111" s="330">
        <v>26022023</v>
      </c>
      <c r="B111" s="324" t="s">
        <v>762</v>
      </c>
      <c r="C111" s="324" t="s">
        <v>13</v>
      </c>
      <c r="D111" s="325">
        <v>44983</v>
      </c>
      <c r="E111"/>
      <c r="F111" s="326" t="s">
        <v>872</v>
      </c>
      <c r="H111" s="326" t="s">
        <v>279</v>
      </c>
      <c r="K111" s="327">
        <v>41855.89</v>
      </c>
      <c r="L111" s="328"/>
      <c r="T111" s="324" t="s">
        <v>1029</v>
      </c>
      <c r="U111" s="329">
        <v>0.34861111111111115</v>
      </c>
      <c r="V111" s="329">
        <v>0.60347222222222219</v>
      </c>
      <c r="X111" s="324" t="s">
        <v>2289</v>
      </c>
    </row>
    <row r="112" spans="1:25" s="33" customFormat="1" hidden="1" x14ac:dyDescent="0.25">
      <c r="A112" s="281">
        <v>27022023</v>
      </c>
      <c r="B112" s="33" t="s">
        <v>596</v>
      </c>
      <c r="C112" s="33" t="s">
        <v>13</v>
      </c>
      <c r="D112" s="278">
        <v>44984</v>
      </c>
      <c r="E112"/>
      <c r="F112" s="306" t="s">
        <v>236</v>
      </c>
      <c r="H112" s="306" t="s">
        <v>279</v>
      </c>
      <c r="K112" s="312">
        <v>59472</v>
      </c>
      <c r="L112" s="279"/>
      <c r="T112" s="33" t="s">
        <v>916</v>
      </c>
      <c r="U112" s="280">
        <v>0.42430555555555555</v>
      </c>
      <c r="V112" s="280">
        <v>0.53333333333333333</v>
      </c>
      <c r="X112" s="33" t="s">
        <v>2042</v>
      </c>
      <c r="Y112" s="33" t="s">
        <v>1981</v>
      </c>
    </row>
    <row r="113" spans="1:27" ht="21" hidden="1" x14ac:dyDescent="0.35">
      <c r="A113" s="256"/>
      <c r="D113" s="122"/>
      <c r="G113" s="264"/>
      <c r="T113" s="305"/>
      <c r="U113" s="14"/>
      <c r="V113" s="14"/>
    </row>
    <row r="114" spans="1:27" ht="18" hidden="1" customHeight="1" x14ac:dyDescent="0.35">
      <c r="A114" s="256"/>
      <c r="D114" s="122"/>
      <c r="T114" s="305"/>
      <c r="U114" s="14"/>
      <c r="V114" s="14"/>
    </row>
    <row r="115" spans="1:27" ht="18" hidden="1" customHeight="1" x14ac:dyDescent="0.35">
      <c r="A115" s="256"/>
      <c r="D115" s="122"/>
      <c r="T115" s="305"/>
      <c r="U115" s="14"/>
      <c r="V115" s="32">
        <v>11328</v>
      </c>
      <c r="AA115">
        <f>2832*4</f>
        <v>11328</v>
      </c>
    </row>
    <row r="116" spans="1:27" ht="18" hidden="1" customHeight="1" x14ac:dyDescent="0.35">
      <c r="A116" s="256"/>
      <c r="D116" s="122"/>
      <c r="M116" s="14"/>
      <c r="T116" s="305"/>
      <c r="U116" s="14"/>
      <c r="V116" s="32">
        <f>225144*2%</f>
        <v>4502.88</v>
      </c>
      <c r="X116">
        <f>59472*25</f>
        <v>1486800</v>
      </c>
    </row>
    <row r="117" spans="1:27" ht="18" hidden="1" customHeight="1" x14ac:dyDescent="0.35">
      <c r="M117" s="14"/>
      <c r="T117" s="305">
        <f>+K126*0.05</f>
        <v>2973.6000000000004</v>
      </c>
      <c r="U117" s="149">
        <f>2832*100/K126</f>
        <v>4.7619047619047619</v>
      </c>
      <c r="V117">
        <f>165374*0.04</f>
        <v>6614.96</v>
      </c>
      <c r="X117">
        <f>+X116*0.045</f>
        <v>66906</v>
      </c>
      <c r="Z117">
        <f>6*2000*4</f>
        <v>48000</v>
      </c>
      <c r="AA117">
        <f>+Z117*0.05</f>
        <v>2400</v>
      </c>
    </row>
    <row r="118" spans="1:27" ht="21" hidden="1" x14ac:dyDescent="0.35">
      <c r="K118" s="61">
        <f>SUM(K67:K117)</f>
        <v>1527013.6</v>
      </c>
      <c r="L118" s="32">
        <f>SUM(L67:L117)</f>
        <v>21100</v>
      </c>
      <c r="T118" s="305"/>
      <c r="V118">
        <f>202430.71*0.08</f>
        <v>16194.4568</v>
      </c>
      <c r="Z118" s="149">
        <f>+Z117-K139</f>
        <v>-11472</v>
      </c>
    </row>
    <row r="119" spans="1:27" hidden="1" x14ac:dyDescent="0.25">
      <c r="V119">
        <f>125080*0.05</f>
        <v>6254</v>
      </c>
      <c r="Z119">
        <f>+Z118/1.18</f>
        <v>-9722.033898305086</v>
      </c>
      <c r="AA119">
        <f>2400*25</f>
        <v>60000</v>
      </c>
    </row>
    <row r="120" spans="1:27" hidden="1" x14ac:dyDescent="0.25"/>
    <row r="121" spans="1:27" s="196" customFormat="1" hidden="1" x14ac:dyDescent="0.25">
      <c r="A121" s="270" t="s">
        <v>1953</v>
      </c>
      <c r="B121" s="196" t="s">
        <v>607</v>
      </c>
      <c r="C121" s="196" t="s">
        <v>13</v>
      </c>
      <c r="D121" s="194">
        <v>44986</v>
      </c>
      <c r="E121"/>
      <c r="F121" s="307" t="s">
        <v>1930</v>
      </c>
      <c r="H121" s="307" t="s">
        <v>279</v>
      </c>
      <c r="K121" s="315">
        <v>36253.14</v>
      </c>
      <c r="L121" s="195"/>
      <c r="T121" s="196" t="s">
        <v>1225</v>
      </c>
      <c r="U121" s="260">
        <v>0.56111111111111112</v>
      </c>
      <c r="V121" s="260">
        <v>0.75486111111111109</v>
      </c>
    </row>
    <row r="122" spans="1:27" s="264" customFormat="1" hidden="1" x14ac:dyDescent="0.25">
      <c r="A122" s="271" t="s">
        <v>1953</v>
      </c>
      <c r="B122" s="264" t="s">
        <v>583</v>
      </c>
      <c r="C122" s="264" t="s">
        <v>1954</v>
      </c>
      <c r="D122" s="265">
        <v>44986</v>
      </c>
      <c r="E122"/>
      <c r="F122" s="309" t="s">
        <v>573</v>
      </c>
      <c r="H122" s="309" t="s">
        <v>277</v>
      </c>
      <c r="K122" s="318">
        <v>26925.71112</v>
      </c>
      <c r="L122" s="266"/>
      <c r="T122" s="264" t="s">
        <v>1950</v>
      </c>
      <c r="U122" s="267">
        <v>0.56944444444444442</v>
      </c>
      <c r="V122" s="267">
        <v>0.75347222222222221</v>
      </c>
    </row>
    <row r="123" spans="1:27" s="196" customFormat="1" hidden="1" x14ac:dyDescent="0.25">
      <c r="A123" s="270" t="s">
        <v>1955</v>
      </c>
      <c r="B123" s="196" t="s">
        <v>296</v>
      </c>
      <c r="C123" s="196" t="s">
        <v>13</v>
      </c>
      <c r="D123" s="194">
        <v>44987</v>
      </c>
      <c r="E123"/>
      <c r="F123" s="307" t="s">
        <v>294</v>
      </c>
      <c r="H123" s="307" t="s">
        <v>277</v>
      </c>
      <c r="K123" s="315">
        <v>28082</v>
      </c>
      <c r="L123" s="195"/>
      <c r="T123" s="196" t="s">
        <v>795</v>
      </c>
      <c r="U123" s="260">
        <v>0.29583333333333334</v>
      </c>
      <c r="V123" s="260">
        <v>0.44930555555555557</v>
      </c>
    </row>
    <row r="124" spans="1:27" s="196" customFormat="1" hidden="1" x14ac:dyDescent="0.25">
      <c r="A124" s="270" t="s">
        <v>1955</v>
      </c>
      <c r="B124" s="196" t="s">
        <v>1956</v>
      </c>
      <c r="C124" s="196" t="s">
        <v>1954</v>
      </c>
      <c r="D124" s="194">
        <v>44987</v>
      </c>
      <c r="E124"/>
      <c r="F124" s="307" t="s">
        <v>1744</v>
      </c>
      <c r="H124" s="307" t="s">
        <v>279</v>
      </c>
      <c r="K124" s="315">
        <f>10101.6+39600</f>
        <v>49701.599999999999</v>
      </c>
      <c r="L124" s="195"/>
      <c r="T124" s="196" t="s">
        <v>1950</v>
      </c>
      <c r="U124" s="260">
        <v>0.34513888888888888</v>
      </c>
      <c r="V124" s="260">
        <v>0.66527777777777775</v>
      </c>
    </row>
    <row r="125" spans="1:27" s="196" customFormat="1" hidden="1" x14ac:dyDescent="0.25">
      <c r="A125" s="270" t="s">
        <v>1955</v>
      </c>
      <c r="B125" s="196" t="s">
        <v>1956</v>
      </c>
      <c r="C125" s="196" t="s">
        <v>13</v>
      </c>
      <c r="D125" s="194">
        <v>44987</v>
      </c>
      <c r="E125"/>
      <c r="F125" s="307" t="s">
        <v>1744</v>
      </c>
      <c r="H125" s="307" t="s">
        <v>279</v>
      </c>
      <c r="K125" s="315">
        <f>10101.6+39600</f>
        <v>49701.599999999999</v>
      </c>
      <c r="L125" s="195"/>
      <c r="T125" s="196" t="s">
        <v>795</v>
      </c>
      <c r="U125" s="260">
        <v>0.52430555555555558</v>
      </c>
      <c r="V125" s="260">
        <v>0.82430555555555562</v>
      </c>
    </row>
    <row r="126" spans="1:27" s="196" customFormat="1" hidden="1" x14ac:dyDescent="0.25">
      <c r="A126" s="270" t="s">
        <v>1955</v>
      </c>
      <c r="B126" s="196" t="s">
        <v>596</v>
      </c>
      <c r="C126" s="196" t="s">
        <v>13</v>
      </c>
      <c r="D126" s="194">
        <v>44987</v>
      </c>
      <c r="E126"/>
      <c r="F126" s="307" t="s">
        <v>236</v>
      </c>
      <c r="H126" s="307" t="s">
        <v>279</v>
      </c>
      <c r="K126" s="315">
        <v>59472</v>
      </c>
      <c r="L126" s="195"/>
      <c r="T126" s="196" t="s">
        <v>1042</v>
      </c>
      <c r="U126" s="260">
        <v>0.86597222222222225</v>
      </c>
      <c r="V126" s="260">
        <v>0.24861111111111112</v>
      </c>
    </row>
    <row r="127" spans="1:27" s="264" customFormat="1" hidden="1" x14ac:dyDescent="0.25">
      <c r="A127" s="271" t="s">
        <v>1975</v>
      </c>
      <c r="B127" s="264" t="s">
        <v>586</v>
      </c>
      <c r="C127" s="264" t="s">
        <v>1954</v>
      </c>
      <c r="D127" s="265">
        <v>44988</v>
      </c>
      <c r="E127"/>
      <c r="F127" s="309" t="s">
        <v>545</v>
      </c>
      <c r="H127" s="309" t="s">
        <v>277</v>
      </c>
      <c r="K127" s="318">
        <v>20800</v>
      </c>
      <c r="L127" s="266"/>
      <c r="T127" s="264" t="s">
        <v>1950</v>
      </c>
      <c r="U127" s="267">
        <v>0.3576388888888889</v>
      </c>
      <c r="V127" s="267">
        <v>0.50763888888888886</v>
      </c>
    </row>
    <row r="128" spans="1:27" s="196" customFormat="1" hidden="1" x14ac:dyDescent="0.25">
      <c r="A128" s="270" t="s">
        <v>1975</v>
      </c>
      <c r="B128" s="196" t="s">
        <v>583</v>
      </c>
      <c r="C128" s="196" t="s">
        <v>13</v>
      </c>
      <c r="D128" s="194">
        <v>44988</v>
      </c>
      <c r="E128"/>
      <c r="F128" s="307" t="s">
        <v>1984</v>
      </c>
      <c r="H128" s="307" t="s">
        <v>279</v>
      </c>
      <c r="K128" s="315">
        <v>44000</v>
      </c>
      <c r="L128" s="195"/>
      <c r="T128" s="196" t="s">
        <v>1816</v>
      </c>
      <c r="U128" s="260">
        <v>0.37916666666666665</v>
      </c>
      <c r="V128" s="260">
        <v>0.59305555555555556</v>
      </c>
    </row>
    <row r="129" spans="1:24" s="196" customFormat="1" hidden="1" x14ac:dyDescent="0.25">
      <c r="A129" s="270" t="s">
        <v>1975</v>
      </c>
      <c r="B129" s="196" t="s">
        <v>1800</v>
      </c>
      <c r="C129" s="196" t="s">
        <v>13</v>
      </c>
      <c r="D129" s="194">
        <v>44988</v>
      </c>
      <c r="E129"/>
      <c r="F129" s="307" t="s">
        <v>1985</v>
      </c>
      <c r="H129" s="307" t="s">
        <v>279</v>
      </c>
      <c r="K129" s="315"/>
      <c r="L129" s="195">
        <v>14000</v>
      </c>
      <c r="T129" s="196" t="s">
        <v>1816</v>
      </c>
      <c r="U129" s="260">
        <v>0.64097222222222217</v>
      </c>
      <c r="V129" s="260">
        <v>0.80902777777777779</v>
      </c>
    </row>
    <row r="130" spans="1:24" s="33" customFormat="1" hidden="1" x14ac:dyDescent="0.25">
      <c r="A130" s="277" t="s">
        <v>1990</v>
      </c>
      <c r="B130" s="33" t="s">
        <v>762</v>
      </c>
      <c r="C130" s="33" t="s">
        <v>13</v>
      </c>
      <c r="D130" s="278">
        <v>44990</v>
      </c>
      <c r="E130"/>
      <c r="F130" s="306" t="s">
        <v>294</v>
      </c>
      <c r="H130" s="306" t="s">
        <v>279</v>
      </c>
      <c r="K130" s="312">
        <v>39600</v>
      </c>
      <c r="L130" s="279"/>
      <c r="T130" s="33" t="s">
        <v>1506</v>
      </c>
      <c r="U130" s="280">
        <v>0.35694444444444445</v>
      </c>
      <c r="V130" s="280">
        <v>0.57291666666666663</v>
      </c>
      <c r="X130" s="33" t="s">
        <v>2289</v>
      </c>
    </row>
    <row r="131" spans="1:24" s="297" customFormat="1" hidden="1" x14ac:dyDescent="0.25">
      <c r="A131" s="302" t="s">
        <v>1991</v>
      </c>
      <c r="B131" s="297" t="s">
        <v>586</v>
      </c>
      <c r="C131" s="297" t="s">
        <v>13</v>
      </c>
      <c r="D131" s="298">
        <v>44991</v>
      </c>
      <c r="E131" s="13"/>
      <c r="F131" s="311" t="s">
        <v>545</v>
      </c>
      <c r="H131" s="311" t="s">
        <v>279</v>
      </c>
      <c r="K131" s="320">
        <v>33560</v>
      </c>
      <c r="L131" s="299"/>
      <c r="T131" s="297" t="s">
        <v>795</v>
      </c>
      <c r="U131" s="300">
        <v>0.38541666666666669</v>
      </c>
      <c r="V131" s="300">
        <v>0.65555555555555556</v>
      </c>
    </row>
    <row r="132" spans="1:24" s="33" customFormat="1" hidden="1" x14ac:dyDescent="0.25">
      <c r="A132" s="277" t="s">
        <v>2009</v>
      </c>
      <c r="B132" s="33" t="s">
        <v>1996</v>
      </c>
      <c r="C132" s="33" t="s">
        <v>13</v>
      </c>
      <c r="D132" s="278">
        <v>44992</v>
      </c>
      <c r="E132"/>
      <c r="F132" s="306" t="s">
        <v>106</v>
      </c>
      <c r="H132" s="306" t="s">
        <v>279</v>
      </c>
      <c r="K132" s="312">
        <v>27770</v>
      </c>
      <c r="L132" s="279"/>
      <c r="T132" s="33" t="s">
        <v>1042</v>
      </c>
      <c r="U132" s="280">
        <v>0.44722222222222219</v>
      </c>
      <c r="V132" s="280">
        <v>0.65138888888888891</v>
      </c>
      <c r="X132" s="33" t="s">
        <v>2289</v>
      </c>
    </row>
    <row r="133" spans="1:24" s="196" customFormat="1" hidden="1" x14ac:dyDescent="0.25">
      <c r="A133" s="270" t="s">
        <v>2009</v>
      </c>
      <c r="B133" s="196" t="s">
        <v>1856</v>
      </c>
      <c r="C133" s="196" t="s">
        <v>13</v>
      </c>
      <c r="D133" s="194">
        <v>44992</v>
      </c>
      <c r="E133"/>
      <c r="F133" s="307" t="s">
        <v>545</v>
      </c>
      <c r="H133" s="307" t="s">
        <v>277</v>
      </c>
      <c r="K133" s="315">
        <v>25016</v>
      </c>
      <c r="L133" s="195"/>
      <c r="T133" s="196" t="s">
        <v>1042</v>
      </c>
      <c r="U133" s="260">
        <v>0.68333333333333324</v>
      </c>
      <c r="V133" s="260">
        <v>0.85763888888888884</v>
      </c>
    </row>
    <row r="134" spans="1:24" s="196" customFormat="1" hidden="1" x14ac:dyDescent="0.25">
      <c r="A134" s="270" t="s">
        <v>2010</v>
      </c>
      <c r="B134" s="196" t="s">
        <v>1997</v>
      </c>
      <c r="C134" s="196" t="s">
        <v>410</v>
      </c>
      <c r="D134" s="194">
        <v>44993</v>
      </c>
      <c r="E134"/>
      <c r="F134" s="307" t="s">
        <v>68</v>
      </c>
      <c r="H134" s="307" t="s">
        <v>279</v>
      </c>
      <c r="K134" s="315">
        <f>36816+9384</f>
        <v>46200</v>
      </c>
      <c r="L134" s="195"/>
      <c r="T134" s="196" t="s">
        <v>929</v>
      </c>
      <c r="U134" s="260">
        <v>0.3034722222222222</v>
      </c>
      <c r="V134" s="260">
        <v>0.57986111111111105</v>
      </c>
    </row>
    <row r="135" spans="1:24" s="120" customFormat="1" hidden="1" x14ac:dyDescent="0.25">
      <c r="A135" s="332" t="s">
        <v>2011</v>
      </c>
      <c r="B135" s="120" t="s">
        <v>2007</v>
      </c>
      <c r="C135" s="120" t="s">
        <v>13</v>
      </c>
      <c r="D135" s="333">
        <v>44994</v>
      </c>
      <c r="E135"/>
      <c r="F135" s="334" t="s">
        <v>2008</v>
      </c>
      <c r="H135" s="334" t="s">
        <v>279</v>
      </c>
      <c r="K135" s="150">
        <v>49350</v>
      </c>
      <c r="L135" s="150"/>
      <c r="T135" s="120" t="s">
        <v>1029</v>
      </c>
      <c r="U135" s="336">
        <v>0.28680555555555554</v>
      </c>
      <c r="V135" s="336">
        <v>0.62152777777777779</v>
      </c>
      <c r="X135" s="120" t="s">
        <v>2329</v>
      </c>
    </row>
    <row r="136" spans="1:24" s="196" customFormat="1" hidden="1" x14ac:dyDescent="0.25">
      <c r="A136" s="270" t="s">
        <v>2011</v>
      </c>
      <c r="B136" s="196" t="s">
        <v>607</v>
      </c>
      <c r="C136" s="196" t="s">
        <v>410</v>
      </c>
      <c r="D136" s="194">
        <v>44994</v>
      </c>
      <c r="E136"/>
      <c r="F136" s="307" t="s">
        <v>1930</v>
      </c>
      <c r="H136" s="307" t="s">
        <v>279</v>
      </c>
      <c r="K136" s="315">
        <v>36253.14</v>
      </c>
      <c r="L136" s="195"/>
      <c r="T136" s="196" t="s">
        <v>1644</v>
      </c>
      <c r="U136" s="260">
        <v>0.42499999999999999</v>
      </c>
      <c r="V136" s="260">
        <v>0.62638888888888888</v>
      </c>
    </row>
    <row r="137" spans="1:24" s="264" customFormat="1" hidden="1" x14ac:dyDescent="0.25">
      <c r="A137" s="271" t="s">
        <v>2011</v>
      </c>
      <c r="B137" s="264" t="s">
        <v>583</v>
      </c>
      <c r="C137" s="264" t="s">
        <v>1954</v>
      </c>
      <c r="D137" s="265">
        <v>44994</v>
      </c>
      <c r="E137"/>
      <c r="F137" s="309" t="s">
        <v>573</v>
      </c>
      <c r="H137" s="309" t="s">
        <v>277</v>
      </c>
      <c r="K137" s="318">
        <v>26400</v>
      </c>
      <c r="L137" s="266"/>
      <c r="T137" s="264" t="s">
        <v>894</v>
      </c>
      <c r="U137" s="267">
        <v>0.33680555555555558</v>
      </c>
      <c r="V137" s="267">
        <v>0.47013888888888888</v>
      </c>
    </row>
    <row r="138" spans="1:24" s="264" customFormat="1" hidden="1" x14ac:dyDescent="0.25">
      <c r="A138" s="271" t="s">
        <v>2011</v>
      </c>
      <c r="B138" s="264" t="s">
        <v>583</v>
      </c>
      <c r="C138" s="264" t="s">
        <v>1954</v>
      </c>
      <c r="D138" s="265">
        <v>44994</v>
      </c>
      <c r="E138"/>
      <c r="F138" s="309" t="s">
        <v>2015</v>
      </c>
      <c r="H138" s="309" t="s">
        <v>277</v>
      </c>
      <c r="K138" s="318">
        <v>23305</v>
      </c>
      <c r="L138" s="266"/>
      <c r="T138" s="264" t="s">
        <v>894</v>
      </c>
      <c r="U138" s="267">
        <v>0.60069444444444442</v>
      </c>
      <c r="V138" s="267">
        <v>0.72777777777777775</v>
      </c>
    </row>
    <row r="139" spans="1:24" s="196" customFormat="1" hidden="1" x14ac:dyDescent="0.25">
      <c r="A139" s="270" t="s">
        <v>2011</v>
      </c>
      <c r="B139" s="196" t="s">
        <v>596</v>
      </c>
      <c r="C139" s="196" t="s">
        <v>13</v>
      </c>
      <c r="D139" s="194">
        <v>44994</v>
      </c>
      <c r="E139"/>
      <c r="F139" s="307" t="s">
        <v>236</v>
      </c>
      <c r="H139" s="307" t="s">
        <v>279</v>
      </c>
      <c r="K139" s="315">
        <v>59472</v>
      </c>
      <c r="L139" s="195"/>
      <c r="T139" s="196" t="s">
        <v>916</v>
      </c>
      <c r="U139" s="260">
        <v>0.65902777777777777</v>
      </c>
      <c r="V139" s="260">
        <v>0.88611111111111107</v>
      </c>
    </row>
    <row r="140" spans="1:24" s="196" customFormat="1" hidden="1" x14ac:dyDescent="0.25">
      <c r="A140" s="262">
        <v>11032023</v>
      </c>
      <c r="B140" s="196" t="s">
        <v>1720</v>
      </c>
      <c r="C140" s="196" t="s">
        <v>1954</v>
      </c>
      <c r="D140" s="194">
        <v>44996</v>
      </c>
      <c r="E140"/>
      <c r="F140" s="307" t="s">
        <v>545</v>
      </c>
      <c r="H140" s="307" t="s">
        <v>277</v>
      </c>
      <c r="K140" s="315">
        <v>25016</v>
      </c>
      <c r="L140" s="195"/>
      <c r="T140" s="196" t="s">
        <v>894</v>
      </c>
      <c r="U140" s="260">
        <v>0.66249999999999998</v>
      </c>
      <c r="V140" s="260">
        <v>0.71875</v>
      </c>
    </row>
    <row r="141" spans="1:24" s="264" customFormat="1" hidden="1" x14ac:dyDescent="0.25">
      <c r="A141" s="263">
        <v>15032023</v>
      </c>
      <c r="B141" s="264" t="s">
        <v>583</v>
      </c>
      <c r="C141" s="264" t="s">
        <v>410</v>
      </c>
      <c r="D141" s="265">
        <v>45000</v>
      </c>
      <c r="E141"/>
      <c r="F141" s="309" t="s">
        <v>573</v>
      </c>
      <c r="H141" s="309" t="s">
        <v>277</v>
      </c>
      <c r="K141" s="318">
        <v>26400</v>
      </c>
      <c r="L141" s="266"/>
      <c r="T141" s="264" t="s">
        <v>1225</v>
      </c>
      <c r="U141" s="267">
        <v>0.36458333333333331</v>
      </c>
      <c r="V141" s="267">
        <v>0.52083333333333337</v>
      </c>
    </row>
    <row r="142" spans="1:24" s="196" customFormat="1" hidden="1" x14ac:dyDescent="0.25">
      <c r="A142" s="262">
        <v>16032023</v>
      </c>
      <c r="B142" s="196" t="s">
        <v>607</v>
      </c>
      <c r="C142" s="196" t="s">
        <v>410</v>
      </c>
      <c r="D142" s="194">
        <v>45001</v>
      </c>
      <c r="E142"/>
      <c r="F142" s="307" t="s">
        <v>1930</v>
      </c>
      <c r="H142" s="307" t="s">
        <v>279</v>
      </c>
      <c r="K142" s="315">
        <v>36253.14</v>
      </c>
      <c r="L142" s="195"/>
      <c r="T142" s="196" t="s">
        <v>916</v>
      </c>
      <c r="U142" s="260">
        <v>0.30694444444444441</v>
      </c>
      <c r="V142" s="260">
        <v>0.4909722222222222</v>
      </c>
    </row>
    <row r="143" spans="1:24" s="196" customFormat="1" hidden="1" x14ac:dyDescent="0.25">
      <c r="A143" s="262">
        <v>16032023</v>
      </c>
      <c r="B143" s="196" t="s">
        <v>614</v>
      </c>
      <c r="C143" s="196" t="s">
        <v>13</v>
      </c>
      <c r="D143" s="194">
        <v>45001</v>
      </c>
      <c r="E143"/>
      <c r="F143" s="307" t="s">
        <v>113</v>
      </c>
      <c r="H143" s="307" t="s">
        <v>279</v>
      </c>
      <c r="K143" s="315">
        <v>43535</v>
      </c>
      <c r="L143" s="195"/>
      <c r="T143" s="196" t="s">
        <v>1644</v>
      </c>
      <c r="U143" s="260">
        <v>0.31319444444444444</v>
      </c>
      <c r="V143" s="260">
        <v>0.53472222222222221</v>
      </c>
    </row>
    <row r="144" spans="1:24" s="33" customFormat="1" hidden="1" x14ac:dyDescent="0.25">
      <c r="A144" s="281">
        <v>16032023</v>
      </c>
      <c r="B144" s="33" t="s">
        <v>2027</v>
      </c>
      <c r="C144" s="33" t="s">
        <v>410</v>
      </c>
      <c r="D144" s="278">
        <v>45001</v>
      </c>
      <c r="E144"/>
      <c r="F144" s="306" t="s">
        <v>113</v>
      </c>
      <c r="H144" s="306" t="s">
        <v>279</v>
      </c>
      <c r="K144" s="312">
        <v>39578</v>
      </c>
      <c r="L144" s="279"/>
      <c r="T144" s="33" t="s">
        <v>916</v>
      </c>
      <c r="U144" s="280">
        <v>0.55555555555555558</v>
      </c>
      <c r="V144" s="280">
        <v>0.74583333333333324</v>
      </c>
      <c r="X144" s="33" t="s">
        <v>2289</v>
      </c>
    </row>
    <row r="145" spans="1:24" s="379" customFormat="1" hidden="1" x14ac:dyDescent="0.25">
      <c r="A145" s="378">
        <v>17032023</v>
      </c>
      <c r="B145" s="379" t="s">
        <v>2028</v>
      </c>
      <c r="C145" s="379" t="s">
        <v>693</v>
      </c>
      <c r="D145" s="380">
        <v>45002</v>
      </c>
      <c r="E145"/>
      <c r="F145" s="381" t="s">
        <v>2029</v>
      </c>
      <c r="H145" s="381" t="s">
        <v>279</v>
      </c>
      <c r="K145" s="382">
        <v>26432</v>
      </c>
      <c r="L145" s="383"/>
      <c r="T145" s="379" t="s">
        <v>1029</v>
      </c>
      <c r="U145" s="384">
        <v>0.35416666666666669</v>
      </c>
      <c r="V145" s="384">
        <v>0.5444444444444444</v>
      </c>
      <c r="X145" s="379" t="s">
        <v>2617</v>
      </c>
    </row>
    <row r="146" spans="1:24" s="196" customFormat="1" hidden="1" x14ac:dyDescent="0.25">
      <c r="A146" s="262">
        <v>18032023</v>
      </c>
      <c r="B146" s="196" t="s">
        <v>2035</v>
      </c>
      <c r="C146" s="196" t="s">
        <v>693</v>
      </c>
      <c r="D146" s="194">
        <v>45003</v>
      </c>
      <c r="E146"/>
      <c r="F146" s="307" t="s">
        <v>236</v>
      </c>
      <c r="H146" s="307" t="s">
        <v>279</v>
      </c>
      <c r="K146" s="315">
        <v>62540</v>
      </c>
      <c r="L146" s="195"/>
      <c r="T146" s="196" t="s">
        <v>893</v>
      </c>
      <c r="U146" s="260">
        <v>0.26805555555555555</v>
      </c>
      <c r="V146" s="260">
        <v>0.55902777777777779</v>
      </c>
    </row>
    <row r="147" spans="1:24" s="196" customFormat="1" hidden="1" x14ac:dyDescent="0.25">
      <c r="A147" s="262">
        <v>19032023</v>
      </c>
      <c r="B147" s="196" t="s">
        <v>614</v>
      </c>
      <c r="C147" s="196" t="s">
        <v>693</v>
      </c>
      <c r="D147" s="194">
        <v>45004</v>
      </c>
      <c r="E147"/>
      <c r="F147" s="307" t="s">
        <v>2036</v>
      </c>
      <c r="H147" s="307" t="s">
        <v>279</v>
      </c>
      <c r="K147" s="315">
        <v>30800</v>
      </c>
      <c r="L147" s="195"/>
      <c r="T147" s="196" t="s">
        <v>1644</v>
      </c>
      <c r="U147" s="260">
        <v>0.37847222222222227</v>
      </c>
      <c r="V147" s="260">
        <v>0.51388888888888895</v>
      </c>
    </row>
    <row r="148" spans="1:24" s="33" customFormat="1" hidden="1" x14ac:dyDescent="0.25">
      <c r="A148" s="281">
        <v>20032023</v>
      </c>
      <c r="B148" s="33" t="s">
        <v>1080</v>
      </c>
      <c r="C148" s="33" t="s">
        <v>693</v>
      </c>
      <c r="D148" s="278">
        <v>45005</v>
      </c>
      <c r="E148"/>
      <c r="F148" s="306" t="s">
        <v>872</v>
      </c>
      <c r="H148" s="306" t="s">
        <v>279</v>
      </c>
      <c r="K148" s="312">
        <v>39600</v>
      </c>
      <c r="L148" s="279"/>
      <c r="T148" s="33" t="s">
        <v>2037</v>
      </c>
      <c r="U148" s="280">
        <v>0.44722222222222219</v>
      </c>
      <c r="V148" s="280">
        <v>0.68055555555555547</v>
      </c>
      <c r="X148" s="33" t="s">
        <v>2289</v>
      </c>
    </row>
    <row r="149" spans="1:24" s="196" customFormat="1" hidden="1" x14ac:dyDescent="0.25">
      <c r="A149" s="262">
        <v>21032023</v>
      </c>
      <c r="B149" s="196" t="s">
        <v>607</v>
      </c>
      <c r="C149" s="196" t="s">
        <v>693</v>
      </c>
      <c r="D149" s="194">
        <v>45006</v>
      </c>
      <c r="E149"/>
      <c r="F149" s="307" t="s">
        <v>1930</v>
      </c>
      <c r="H149" s="307" t="s">
        <v>279</v>
      </c>
      <c r="K149" s="315">
        <v>36253.14</v>
      </c>
      <c r="L149" s="195"/>
      <c r="T149" s="196" t="s">
        <v>1029</v>
      </c>
      <c r="U149" s="260">
        <v>0.31736111111111115</v>
      </c>
      <c r="V149" s="260">
        <v>0.54583333333333328</v>
      </c>
    </row>
    <row r="150" spans="1:24" s="196" customFormat="1" hidden="1" x14ac:dyDescent="0.25">
      <c r="A150" s="262">
        <v>21032023</v>
      </c>
      <c r="B150" s="196" t="s">
        <v>296</v>
      </c>
      <c r="C150" s="196" t="s">
        <v>410</v>
      </c>
      <c r="D150" s="194">
        <v>45006</v>
      </c>
      <c r="E150"/>
      <c r="F150" s="307" t="s">
        <v>294</v>
      </c>
      <c r="H150" s="307" t="s">
        <v>277</v>
      </c>
      <c r="K150" s="315">
        <v>28082</v>
      </c>
      <c r="L150" s="195"/>
      <c r="T150" s="196" t="s">
        <v>893</v>
      </c>
      <c r="U150" s="260">
        <v>0.73749999999999993</v>
      </c>
      <c r="V150" s="260">
        <v>0.89513888888888893</v>
      </c>
    </row>
    <row r="151" spans="1:24" s="196" customFormat="1" hidden="1" x14ac:dyDescent="0.25">
      <c r="A151" s="262">
        <v>22032023</v>
      </c>
      <c r="B151" s="196" t="s">
        <v>608</v>
      </c>
      <c r="C151" s="196" t="s">
        <v>693</v>
      </c>
      <c r="D151" s="194">
        <v>45007</v>
      </c>
      <c r="E151"/>
      <c r="F151" s="307" t="s">
        <v>236</v>
      </c>
      <c r="H151" s="307" t="s">
        <v>279</v>
      </c>
      <c r="K151" s="315">
        <v>59472</v>
      </c>
      <c r="L151" s="195"/>
      <c r="T151" s="196" t="s">
        <v>2050</v>
      </c>
      <c r="U151" s="260">
        <v>0.42638888888888887</v>
      </c>
      <c r="V151" s="260">
        <v>0.71319444444444446</v>
      </c>
    </row>
    <row r="152" spans="1:24" s="196" customFormat="1" hidden="1" x14ac:dyDescent="0.25">
      <c r="A152" s="262">
        <v>22032023</v>
      </c>
      <c r="B152" s="196" t="s">
        <v>1856</v>
      </c>
      <c r="C152" s="196" t="s">
        <v>1954</v>
      </c>
      <c r="D152" s="194">
        <v>45007</v>
      </c>
      <c r="E152"/>
      <c r="F152" s="307" t="s">
        <v>545</v>
      </c>
      <c r="H152" s="307" t="s">
        <v>277</v>
      </c>
      <c r="K152" s="315">
        <v>25016</v>
      </c>
      <c r="L152" s="195"/>
      <c r="T152" s="196" t="s">
        <v>1894</v>
      </c>
      <c r="U152" s="260">
        <v>0.67986111111111114</v>
      </c>
      <c r="V152" s="260">
        <v>0.73958333333333337</v>
      </c>
    </row>
    <row r="153" spans="1:24" s="196" customFormat="1" hidden="1" x14ac:dyDescent="0.25">
      <c r="A153" s="262">
        <v>23032023</v>
      </c>
      <c r="B153" s="196" t="s">
        <v>607</v>
      </c>
      <c r="C153" s="196" t="s">
        <v>410</v>
      </c>
      <c r="D153" s="194">
        <v>45008</v>
      </c>
      <c r="E153"/>
      <c r="F153" s="307" t="s">
        <v>1930</v>
      </c>
      <c r="H153" s="307" t="s">
        <v>279</v>
      </c>
      <c r="K153" s="315">
        <v>36253.14</v>
      </c>
      <c r="L153" s="195"/>
      <c r="T153" s="196" t="s">
        <v>1816</v>
      </c>
      <c r="U153" s="260">
        <v>0.55069444444444449</v>
      </c>
      <c r="V153" s="260">
        <v>0.73819444444444438</v>
      </c>
    </row>
    <row r="154" spans="1:24" s="196" customFormat="1" hidden="1" x14ac:dyDescent="0.25">
      <c r="A154" s="262">
        <v>24032023</v>
      </c>
      <c r="B154" s="196" t="s">
        <v>583</v>
      </c>
      <c r="C154" s="196" t="s">
        <v>693</v>
      </c>
      <c r="D154" s="194">
        <v>45009</v>
      </c>
      <c r="E154"/>
      <c r="F154" s="307" t="s">
        <v>2095</v>
      </c>
      <c r="H154" s="307" t="s">
        <v>279</v>
      </c>
      <c r="K154" s="315">
        <v>55400</v>
      </c>
      <c r="L154" s="195"/>
      <c r="T154" s="196" t="s">
        <v>1506</v>
      </c>
      <c r="U154" s="260">
        <v>0.59930555555555554</v>
      </c>
      <c r="V154" s="260">
        <v>0.61388888888888882</v>
      </c>
    </row>
    <row r="155" spans="1:24" s="196" customFormat="1" hidden="1" x14ac:dyDescent="0.25">
      <c r="A155" s="262">
        <v>24032023</v>
      </c>
      <c r="B155" s="196" t="s">
        <v>1856</v>
      </c>
      <c r="C155" s="196" t="s">
        <v>410</v>
      </c>
      <c r="D155" s="194">
        <v>45009</v>
      </c>
      <c r="E155"/>
      <c r="F155" s="307" t="s">
        <v>545</v>
      </c>
      <c r="H155" s="307" t="s">
        <v>277</v>
      </c>
      <c r="K155" s="315">
        <v>25016</v>
      </c>
      <c r="L155" s="195"/>
      <c r="T155" s="196" t="s">
        <v>1042</v>
      </c>
      <c r="U155" s="260">
        <v>0.62222222222222223</v>
      </c>
      <c r="V155" s="260">
        <v>0.87638888888888899</v>
      </c>
    </row>
    <row r="156" spans="1:24" s="196" customFormat="1" hidden="1" x14ac:dyDescent="0.25">
      <c r="A156" s="262">
        <v>25032023</v>
      </c>
      <c r="B156" s="196" t="s">
        <v>930</v>
      </c>
      <c r="C156" s="196" t="s">
        <v>410</v>
      </c>
      <c r="D156" s="194">
        <v>45010</v>
      </c>
      <c r="E156"/>
      <c r="F156" s="307" t="s">
        <v>295</v>
      </c>
      <c r="H156" s="307" t="s">
        <v>277</v>
      </c>
      <c r="K156" s="315">
        <v>26523</v>
      </c>
      <c r="L156" s="195"/>
      <c r="T156" s="196" t="s">
        <v>922</v>
      </c>
      <c r="U156" s="260">
        <v>0.64097222222222217</v>
      </c>
      <c r="V156" s="260">
        <v>0.89166666666666661</v>
      </c>
    </row>
    <row r="157" spans="1:24" s="196" customFormat="1" hidden="1" x14ac:dyDescent="0.25">
      <c r="A157" s="262">
        <v>25032023</v>
      </c>
      <c r="B157" s="196" t="s">
        <v>2096</v>
      </c>
      <c r="C157" s="196" t="s">
        <v>1954</v>
      </c>
      <c r="D157" s="194">
        <v>45010</v>
      </c>
      <c r="E157"/>
      <c r="F157" s="307" t="s">
        <v>545</v>
      </c>
      <c r="H157" s="307" t="s">
        <v>277</v>
      </c>
      <c r="K157" s="315">
        <v>25016</v>
      </c>
      <c r="L157" s="195"/>
      <c r="T157" s="196" t="s">
        <v>1950</v>
      </c>
      <c r="U157" s="260">
        <v>0.69166666666666676</v>
      </c>
      <c r="V157" s="260">
        <v>0.57777777777777783</v>
      </c>
    </row>
    <row r="158" spans="1:24" s="196" customFormat="1" hidden="1" x14ac:dyDescent="0.25">
      <c r="A158" s="262">
        <v>26032023</v>
      </c>
      <c r="B158" s="196" t="s">
        <v>614</v>
      </c>
      <c r="C158" s="196" t="s">
        <v>693</v>
      </c>
      <c r="D158" s="194">
        <v>45011</v>
      </c>
      <c r="E158"/>
      <c r="F158" s="307" t="s">
        <v>2107</v>
      </c>
      <c r="H158" s="307" t="s">
        <v>279</v>
      </c>
      <c r="K158" s="315">
        <v>33750</v>
      </c>
      <c r="L158" s="195"/>
      <c r="T158" s="196" t="s">
        <v>2037</v>
      </c>
      <c r="U158" s="260">
        <v>0.4284722222222222</v>
      </c>
      <c r="V158" s="260">
        <v>0.58819444444444446</v>
      </c>
    </row>
    <row r="159" spans="1:24" s="196" customFormat="1" hidden="1" x14ac:dyDescent="0.25">
      <c r="A159" s="262">
        <v>26032023</v>
      </c>
      <c r="B159" s="196" t="s">
        <v>2096</v>
      </c>
      <c r="C159" s="196" t="s">
        <v>410</v>
      </c>
      <c r="D159" s="194">
        <v>45011</v>
      </c>
      <c r="E159"/>
      <c r="F159" s="307" t="s">
        <v>545</v>
      </c>
      <c r="H159" s="307" t="s">
        <v>277</v>
      </c>
      <c r="K159" s="315">
        <v>25016</v>
      </c>
      <c r="L159" s="195"/>
      <c r="T159" s="196" t="s">
        <v>1506</v>
      </c>
      <c r="U159" s="260">
        <v>0.64374999999999993</v>
      </c>
      <c r="V159" s="260">
        <v>0.8027777777777777</v>
      </c>
    </row>
    <row r="160" spans="1:24" s="196" customFormat="1" hidden="1" x14ac:dyDescent="0.25">
      <c r="A160" s="262">
        <v>26032023</v>
      </c>
      <c r="B160" s="196" t="s">
        <v>596</v>
      </c>
      <c r="C160" s="196" t="s">
        <v>693</v>
      </c>
      <c r="D160" s="194">
        <v>45011</v>
      </c>
      <c r="E160"/>
      <c r="F160" s="307" t="s">
        <v>236</v>
      </c>
      <c r="H160" s="307" t="s">
        <v>279</v>
      </c>
      <c r="K160" s="315">
        <v>59472</v>
      </c>
      <c r="L160" s="195"/>
      <c r="T160" s="196" t="s">
        <v>922</v>
      </c>
      <c r="U160" s="260">
        <v>0.69236111111111109</v>
      </c>
      <c r="V160" s="260">
        <v>1.4583333333333332E-2</v>
      </c>
    </row>
    <row r="161" spans="1:24" s="196" customFormat="1" hidden="1" x14ac:dyDescent="0.25">
      <c r="A161" s="262">
        <v>27032023</v>
      </c>
      <c r="B161" s="196" t="s">
        <v>1720</v>
      </c>
      <c r="C161" s="196" t="s">
        <v>1954</v>
      </c>
      <c r="D161" s="194">
        <v>45012</v>
      </c>
      <c r="E161"/>
      <c r="F161" s="307" t="s">
        <v>545</v>
      </c>
      <c r="H161" s="307" t="s">
        <v>277</v>
      </c>
      <c r="K161" s="315">
        <v>25016</v>
      </c>
      <c r="L161" s="195"/>
      <c r="T161" s="196" t="s">
        <v>1950</v>
      </c>
      <c r="U161" s="260">
        <v>0.69930555555555562</v>
      </c>
      <c r="V161" s="260">
        <v>0.4381944444444445</v>
      </c>
    </row>
    <row r="162" spans="1:24" s="196" customFormat="1" hidden="1" x14ac:dyDescent="0.25">
      <c r="A162" s="262">
        <v>28032023</v>
      </c>
      <c r="B162" s="196" t="s">
        <v>586</v>
      </c>
      <c r="C162" s="196" t="s">
        <v>410</v>
      </c>
      <c r="D162" s="194">
        <v>45013</v>
      </c>
      <c r="E162"/>
      <c r="F162" s="307" t="s">
        <v>545</v>
      </c>
      <c r="H162" s="307" t="s">
        <v>277</v>
      </c>
      <c r="K162" s="315">
        <v>20800</v>
      </c>
      <c r="L162" s="195"/>
      <c r="T162" s="196" t="s">
        <v>1816</v>
      </c>
      <c r="U162" s="260">
        <v>0.39583333333333331</v>
      </c>
      <c r="V162" s="260">
        <v>0.53402777777777777</v>
      </c>
    </row>
    <row r="163" spans="1:24" s="196" customFormat="1" hidden="1" x14ac:dyDescent="0.25">
      <c r="A163" s="262">
        <v>28032023</v>
      </c>
      <c r="B163" s="196" t="s">
        <v>611</v>
      </c>
      <c r="C163" s="196" t="s">
        <v>410</v>
      </c>
      <c r="D163" s="194">
        <v>45013</v>
      </c>
      <c r="E163"/>
      <c r="F163" s="307" t="s">
        <v>143</v>
      </c>
      <c r="H163" s="307" t="s">
        <v>279</v>
      </c>
      <c r="K163" s="315">
        <v>37300</v>
      </c>
      <c r="L163" s="195"/>
      <c r="T163" s="196" t="s">
        <v>916</v>
      </c>
      <c r="U163" s="260">
        <v>0.73541666666666661</v>
      </c>
      <c r="V163" s="260">
        <v>0.98055555555555562</v>
      </c>
    </row>
    <row r="164" spans="1:24" s="33" customFormat="1" hidden="1" x14ac:dyDescent="0.25">
      <c r="A164" s="281">
        <v>29032023</v>
      </c>
      <c r="B164" s="33" t="s">
        <v>2129</v>
      </c>
      <c r="C164" s="33" t="s">
        <v>693</v>
      </c>
      <c r="D164" s="278">
        <v>45014</v>
      </c>
      <c r="E164"/>
      <c r="F164" s="306" t="s">
        <v>236</v>
      </c>
      <c r="H164" s="306" t="s">
        <v>279</v>
      </c>
      <c r="K164" s="312">
        <v>62540</v>
      </c>
      <c r="L164" s="279"/>
      <c r="T164" s="33" t="s">
        <v>1506</v>
      </c>
      <c r="U164" s="280">
        <v>0.27083333333333331</v>
      </c>
      <c r="V164" s="280">
        <v>0.68263888888888891</v>
      </c>
      <c r="X164" s="33" t="s">
        <v>2289</v>
      </c>
    </row>
    <row r="165" spans="1:24" s="196" customFormat="1" hidden="1" x14ac:dyDescent="0.25">
      <c r="A165" s="262">
        <v>29032023</v>
      </c>
      <c r="B165" s="196" t="s">
        <v>930</v>
      </c>
      <c r="C165" s="196" t="s">
        <v>1954</v>
      </c>
      <c r="D165" s="194">
        <v>45014</v>
      </c>
      <c r="E165"/>
      <c r="F165" s="307" t="s">
        <v>295</v>
      </c>
      <c r="H165" s="307" t="s">
        <v>277</v>
      </c>
      <c r="K165" s="315">
        <v>26523</v>
      </c>
      <c r="L165" s="195"/>
      <c r="T165" s="196" t="s">
        <v>2130</v>
      </c>
      <c r="U165" s="260">
        <v>0.63541666666666663</v>
      </c>
      <c r="V165" s="260">
        <v>0.88541666666666663</v>
      </c>
    </row>
    <row r="166" spans="1:24" s="196" customFormat="1" hidden="1" x14ac:dyDescent="0.25">
      <c r="A166" s="262">
        <v>29032023</v>
      </c>
      <c r="B166" s="196" t="s">
        <v>930</v>
      </c>
      <c r="C166" s="196" t="s">
        <v>693</v>
      </c>
      <c r="D166" s="194">
        <v>45014</v>
      </c>
      <c r="E166"/>
      <c r="F166" s="307" t="s">
        <v>294</v>
      </c>
      <c r="H166" s="307" t="s">
        <v>277</v>
      </c>
      <c r="K166" s="315">
        <v>28082</v>
      </c>
      <c r="L166" s="195"/>
      <c r="T166" s="196" t="s">
        <v>2050</v>
      </c>
      <c r="U166" s="260">
        <v>0.72152777777777777</v>
      </c>
      <c r="V166" s="260">
        <v>0.86944444444444446</v>
      </c>
    </row>
    <row r="167" spans="1:24" s="196" customFormat="1" hidden="1" x14ac:dyDescent="0.25">
      <c r="A167" s="262">
        <v>30032023</v>
      </c>
      <c r="B167" s="196" t="s">
        <v>1720</v>
      </c>
      <c r="C167" s="196" t="s">
        <v>410</v>
      </c>
      <c r="D167" s="194">
        <v>45015</v>
      </c>
      <c r="E167"/>
      <c r="F167" s="307" t="s">
        <v>545</v>
      </c>
      <c r="H167" s="307" t="s">
        <v>277</v>
      </c>
      <c r="K167" s="315">
        <v>25016</v>
      </c>
      <c r="L167" s="195"/>
      <c r="T167" s="196" t="s">
        <v>2050</v>
      </c>
      <c r="U167" s="260">
        <v>0.43055555555555558</v>
      </c>
      <c r="V167" s="196">
        <v>13.27</v>
      </c>
    </row>
    <row r="168" spans="1:24" s="196" customFormat="1" hidden="1" x14ac:dyDescent="0.25">
      <c r="A168" s="262">
        <v>30032023</v>
      </c>
      <c r="B168" s="196" t="s">
        <v>930</v>
      </c>
      <c r="C168" s="196" t="s">
        <v>693</v>
      </c>
      <c r="D168" s="194">
        <v>45015</v>
      </c>
      <c r="E168"/>
      <c r="F168" s="307" t="s">
        <v>294</v>
      </c>
      <c r="H168" s="307" t="s">
        <v>277</v>
      </c>
      <c r="K168" s="315">
        <v>28082</v>
      </c>
      <c r="L168" s="195"/>
      <c r="T168" s="196" t="s">
        <v>916</v>
      </c>
      <c r="U168" s="260">
        <v>0.58194444444444449</v>
      </c>
      <c r="V168" s="260">
        <v>0.72916666666666663</v>
      </c>
    </row>
    <row r="169" spans="1:24" s="196" customFormat="1" hidden="1" x14ac:dyDescent="0.25">
      <c r="A169" s="262">
        <v>30032023</v>
      </c>
      <c r="B169" s="196" t="s">
        <v>1720</v>
      </c>
      <c r="C169" s="196" t="s">
        <v>1954</v>
      </c>
      <c r="D169" s="194">
        <v>45015</v>
      </c>
      <c r="E169"/>
      <c r="F169" s="307" t="s">
        <v>545</v>
      </c>
      <c r="H169" s="307" t="s">
        <v>277</v>
      </c>
      <c r="K169" s="315">
        <v>25016</v>
      </c>
      <c r="L169" s="195"/>
      <c r="T169" s="196" t="s">
        <v>1178</v>
      </c>
      <c r="U169" s="260">
        <v>0.63680555555555551</v>
      </c>
    </row>
    <row r="170" spans="1:24" hidden="1" x14ac:dyDescent="0.25">
      <c r="A170" s="256"/>
      <c r="D170" s="122"/>
      <c r="K170" s="313"/>
      <c r="L170" s="88"/>
      <c r="U170" s="14"/>
    </row>
    <row r="171" spans="1:24" hidden="1" x14ac:dyDescent="0.25">
      <c r="K171" s="61">
        <f>SUM(K121:K169)</f>
        <v>1725660.6111199998</v>
      </c>
      <c r="L171" s="32">
        <f>SUM(L121:L169)</f>
        <v>14000</v>
      </c>
    </row>
    <row r="172" spans="1:24" hidden="1" x14ac:dyDescent="0.25">
      <c r="M172">
        <f>+K171/3.9</f>
        <v>442477.07977435895</v>
      </c>
    </row>
    <row r="173" spans="1:24" s="196" customFormat="1" hidden="1" x14ac:dyDescent="0.25">
      <c r="A173" s="270" t="s">
        <v>2145</v>
      </c>
      <c r="B173" s="196" t="s">
        <v>596</v>
      </c>
      <c r="C173" s="196" t="s">
        <v>693</v>
      </c>
      <c r="D173" s="194">
        <v>45017</v>
      </c>
      <c r="E173"/>
      <c r="F173" s="307" t="s">
        <v>236</v>
      </c>
      <c r="H173" s="307" t="s">
        <v>279</v>
      </c>
      <c r="K173" s="315">
        <v>59472</v>
      </c>
      <c r="L173" s="195"/>
      <c r="T173" s="196" t="s">
        <v>2146</v>
      </c>
      <c r="U173" s="260">
        <v>0.23819444444444446</v>
      </c>
      <c r="V173" s="260">
        <v>0.55347222222222225</v>
      </c>
    </row>
    <row r="174" spans="1:24" s="196" customFormat="1" hidden="1" x14ac:dyDescent="0.25">
      <c r="A174" s="270" t="s">
        <v>2145</v>
      </c>
      <c r="B174" s="196" t="s">
        <v>1720</v>
      </c>
      <c r="C174" s="196" t="s">
        <v>410</v>
      </c>
      <c r="D174" s="194">
        <v>45017</v>
      </c>
      <c r="E174"/>
      <c r="F174" s="307" t="s">
        <v>545</v>
      </c>
      <c r="H174" s="307" t="s">
        <v>277</v>
      </c>
      <c r="K174" s="315">
        <v>25016</v>
      </c>
      <c r="L174" s="195"/>
      <c r="T174" s="196" t="s">
        <v>893</v>
      </c>
      <c r="U174" s="260">
        <v>0.38194444444444442</v>
      </c>
      <c r="V174" s="260">
        <v>0.52500000000000002</v>
      </c>
    </row>
    <row r="175" spans="1:24" hidden="1" x14ac:dyDescent="0.25">
      <c r="A175" s="95" t="s">
        <v>2145</v>
      </c>
      <c r="C175" s="30" t="s">
        <v>2026</v>
      </c>
      <c r="D175" s="122">
        <v>45017</v>
      </c>
      <c r="H175" s="28" t="s">
        <v>2147</v>
      </c>
      <c r="K175" s="313"/>
      <c r="L175" s="88"/>
    </row>
    <row r="176" spans="1:24" s="196" customFormat="1" hidden="1" x14ac:dyDescent="0.25">
      <c r="A176" s="270" t="s">
        <v>2157</v>
      </c>
      <c r="B176" s="196" t="s">
        <v>1720</v>
      </c>
      <c r="C176" s="303" t="s">
        <v>2026</v>
      </c>
      <c r="D176" s="194">
        <v>45018</v>
      </c>
      <c r="E176"/>
      <c r="F176" s="307" t="s">
        <v>545</v>
      </c>
      <c r="H176" s="307" t="s">
        <v>277</v>
      </c>
      <c r="K176" s="315">
        <v>25016</v>
      </c>
      <c r="L176" s="195"/>
      <c r="T176" s="196" t="s">
        <v>2148</v>
      </c>
      <c r="U176" s="260">
        <v>0.70138888888888884</v>
      </c>
      <c r="V176" s="260">
        <v>0.7631944444444444</v>
      </c>
    </row>
    <row r="177" spans="1:24" s="196" customFormat="1" hidden="1" x14ac:dyDescent="0.25">
      <c r="A177" s="270" t="s">
        <v>2158</v>
      </c>
      <c r="B177" s="196" t="s">
        <v>930</v>
      </c>
      <c r="C177" s="196" t="s">
        <v>410</v>
      </c>
      <c r="D177" s="194">
        <v>45019</v>
      </c>
      <c r="E177"/>
      <c r="F177" s="307" t="s">
        <v>295</v>
      </c>
      <c r="H177" s="307" t="s">
        <v>277</v>
      </c>
      <c r="K177" s="315">
        <v>26523</v>
      </c>
      <c r="L177" s="195"/>
      <c r="T177" s="196" t="s">
        <v>1816</v>
      </c>
      <c r="U177" s="260">
        <v>0.61319444444444449</v>
      </c>
      <c r="V177" s="260">
        <v>0.77222222222222225</v>
      </c>
    </row>
    <row r="178" spans="1:24" s="196" customFormat="1" hidden="1" x14ac:dyDescent="0.25">
      <c r="A178" s="270" t="s">
        <v>2158</v>
      </c>
      <c r="B178" s="196" t="s">
        <v>930</v>
      </c>
      <c r="C178" s="196" t="s">
        <v>410</v>
      </c>
      <c r="D178" s="194">
        <v>45019</v>
      </c>
      <c r="E178"/>
      <c r="F178" s="307" t="s">
        <v>294</v>
      </c>
      <c r="H178" s="307" t="s">
        <v>277</v>
      </c>
      <c r="K178" s="315">
        <v>28082</v>
      </c>
      <c r="L178" s="195"/>
      <c r="T178" s="196" t="s">
        <v>1816</v>
      </c>
      <c r="U178" s="260">
        <v>0.78055555555555556</v>
      </c>
      <c r="V178" s="260">
        <v>0.84583333333333333</v>
      </c>
    </row>
    <row r="179" spans="1:24" s="196" customFormat="1" hidden="1" x14ac:dyDescent="0.25">
      <c r="A179" s="270" t="s">
        <v>2159</v>
      </c>
      <c r="B179" s="196" t="s">
        <v>1155</v>
      </c>
      <c r="C179" s="196" t="s">
        <v>693</v>
      </c>
      <c r="D179" s="194">
        <v>45020</v>
      </c>
      <c r="E179"/>
      <c r="F179" s="307" t="s">
        <v>317</v>
      </c>
      <c r="H179" s="307" t="s">
        <v>279</v>
      </c>
      <c r="K179" s="315">
        <f>38656.8+9204</f>
        <v>47860.800000000003</v>
      </c>
      <c r="L179" s="195"/>
      <c r="T179" s="196" t="s">
        <v>922</v>
      </c>
      <c r="U179" s="260">
        <v>0.28333333333333333</v>
      </c>
      <c r="V179" s="260">
        <v>0.59791666666666665</v>
      </c>
    </row>
    <row r="180" spans="1:24" s="393" customFormat="1" hidden="1" x14ac:dyDescent="0.25">
      <c r="A180" s="392" t="s">
        <v>2159</v>
      </c>
      <c r="B180" s="393" t="s">
        <v>2303</v>
      </c>
      <c r="C180" s="393" t="s">
        <v>410</v>
      </c>
      <c r="D180" s="394">
        <v>45020</v>
      </c>
      <c r="E180"/>
      <c r="F180" s="174" t="s">
        <v>1744</v>
      </c>
      <c r="H180" s="174" t="s">
        <v>279</v>
      </c>
      <c r="K180" s="395">
        <f>39600+10101.6</f>
        <v>49701.599999999999</v>
      </c>
      <c r="L180" s="396"/>
      <c r="T180" s="393" t="s">
        <v>2037</v>
      </c>
      <c r="U180" s="397">
        <v>0.29791666666666666</v>
      </c>
      <c r="V180" s="397">
        <v>0.62777777777777777</v>
      </c>
      <c r="X180" s="393" t="s">
        <v>2449</v>
      </c>
    </row>
    <row r="181" spans="1:24" s="196" customFormat="1" hidden="1" x14ac:dyDescent="0.25">
      <c r="A181" s="270" t="s">
        <v>2159</v>
      </c>
      <c r="B181" s="196" t="s">
        <v>596</v>
      </c>
      <c r="C181" s="196" t="s">
        <v>693</v>
      </c>
      <c r="D181" s="194">
        <v>45020</v>
      </c>
      <c r="E181"/>
      <c r="F181" s="307" t="s">
        <v>236</v>
      </c>
      <c r="H181" s="307" t="s">
        <v>279</v>
      </c>
      <c r="K181" s="315">
        <v>59472</v>
      </c>
      <c r="L181" s="195"/>
      <c r="T181" s="196" t="s">
        <v>1225</v>
      </c>
      <c r="U181" s="260">
        <v>0.73333333333333339</v>
      </c>
      <c r="V181" s="260">
        <v>8.5416666666666655E-2</v>
      </c>
    </row>
    <row r="182" spans="1:24" s="196" customFormat="1" hidden="1" x14ac:dyDescent="0.25">
      <c r="A182" s="270" t="s">
        <v>2159</v>
      </c>
      <c r="B182" s="196" t="s">
        <v>2164</v>
      </c>
      <c r="C182" s="303" t="s">
        <v>2026</v>
      </c>
      <c r="D182" s="194">
        <v>45020</v>
      </c>
      <c r="E182"/>
      <c r="F182" s="307" t="s">
        <v>545</v>
      </c>
      <c r="H182" s="307" t="s">
        <v>277</v>
      </c>
      <c r="K182" s="315">
        <v>25016</v>
      </c>
      <c r="L182" s="195"/>
      <c r="T182" s="196" t="s">
        <v>2148</v>
      </c>
      <c r="U182" s="260">
        <v>0.70138888888888884</v>
      </c>
      <c r="V182" s="260">
        <v>0.77222222222222225</v>
      </c>
    </row>
    <row r="183" spans="1:24" s="196" customFormat="1" hidden="1" x14ac:dyDescent="0.25">
      <c r="A183" s="270" t="s">
        <v>2171</v>
      </c>
      <c r="B183" s="196" t="s">
        <v>596</v>
      </c>
      <c r="C183" s="196" t="s">
        <v>693</v>
      </c>
      <c r="D183" s="194">
        <v>45021</v>
      </c>
      <c r="E183"/>
      <c r="F183" s="307" t="s">
        <v>236</v>
      </c>
      <c r="H183" s="307" t="s">
        <v>279</v>
      </c>
      <c r="K183" s="315">
        <v>59472</v>
      </c>
      <c r="L183" s="195"/>
      <c r="T183" s="196" t="s">
        <v>922</v>
      </c>
      <c r="U183" s="260">
        <v>0.27083333333333331</v>
      </c>
      <c r="V183" s="260"/>
    </row>
    <row r="184" spans="1:24" s="33" customFormat="1" hidden="1" x14ac:dyDescent="0.25">
      <c r="A184" s="277" t="s">
        <v>2171</v>
      </c>
      <c r="B184" s="33" t="s">
        <v>582</v>
      </c>
      <c r="C184" s="33" t="s">
        <v>410</v>
      </c>
      <c r="D184" s="278">
        <v>45021</v>
      </c>
      <c r="E184"/>
      <c r="F184" s="306" t="s">
        <v>1908</v>
      </c>
      <c r="H184" s="306" t="s">
        <v>277</v>
      </c>
      <c r="K184" s="306"/>
      <c r="L184" s="279">
        <v>4089.75</v>
      </c>
      <c r="T184" s="33" t="s">
        <v>1656</v>
      </c>
      <c r="U184" s="280">
        <v>0.33611111111111108</v>
      </c>
      <c r="V184" s="280">
        <v>0.46180555555555558</v>
      </c>
      <c r="X184" s="33" t="s">
        <v>2329</v>
      </c>
    </row>
    <row r="185" spans="1:24" s="264" customFormat="1" hidden="1" x14ac:dyDescent="0.25">
      <c r="A185" s="271" t="s">
        <v>2172</v>
      </c>
      <c r="B185" s="264" t="s">
        <v>583</v>
      </c>
      <c r="C185" s="264" t="s">
        <v>693</v>
      </c>
      <c r="D185" s="265">
        <v>45022</v>
      </c>
      <c r="E185"/>
      <c r="F185" s="309" t="s">
        <v>2183</v>
      </c>
      <c r="H185" s="309" t="s">
        <v>279</v>
      </c>
      <c r="K185" s="318">
        <v>34962</v>
      </c>
      <c r="L185" s="266"/>
      <c r="T185" s="264" t="s">
        <v>1656</v>
      </c>
      <c r="U185" s="267">
        <v>0.29930555555555555</v>
      </c>
      <c r="V185" s="267">
        <v>0.57013888888888886</v>
      </c>
    </row>
    <row r="186" spans="1:24" s="196" customFormat="1" hidden="1" x14ac:dyDescent="0.25">
      <c r="A186" s="270" t="s">
        <v>2172</v>
      </c>
      <c r="B186" s="196" t="s">
        <v>1720</v>
      </c>
      <c r="C186" s="196" t="s">
        <v>693</v>
      </c>
      <c r="D186" s="194">
        <v>45022</v>
      </c>
      <c r="E186"/>
      <c r="F186" s="307" t="s">
        <v>2215</v>
      </c>
      <c r="H186" s="307" t="s">
        <v>279</v>
      </c>
      <c r="K186" s="315">
        <v>34456</v>
      </c>
      <c r="L186" s="195"/>
      <c r="T186" s="196" t="s">
        <v>1225</v>
      </c>
      <c r="U186" s="260">
        <v>0.73263888888888884</v>
      </c>
      <c r="V186" s="260">
        <v>0.92291666666666661</v>
      </c>
    </row>
    <row r="187" spans="1:24" s="196" customFormat="1" hidden="1" x14ac:dyDescent="0.25">
      <c r="A187" s="270" t="s">
        <v>1995</v>
      </c>
      <c r="B187" s="196" t="s">
        <v>607</v>
      </c>
      <c r="C187" s="196" t="s">
        <v>693</v>
      </c>
      <c r="D187" s="194">
        <v>45023</v>
      </c>
      <c r="E187"/>
      <c r="F187" s="307" t="s">
        <v>1930</v>
      </c>
      <c r="H187" s="307" t="s">
        <v>279</v>
      </c>
      <c r="K187" s="315">
        <v>36253.14</v>
      </c>
      <c r="L187" s="195"/>
      <c r="T187" s="196" t="s">
        <v>916</v>
      </c>
      <c r="U187" s="260">
        <v>0.27361111111111108</v>
      </c>
      <c r="V187" s="260">
        <v>0.9784722222222223</v>
      </c>
    </row>
    <row r="188" spans="1:24" s="196" customFormat="1" hidden="1" x14ac:dyDescent="0.25">
      <c r="A188" s="270" t="s">
        <v>2175</v>
      </c>
      <c r="B188" s="196" t="s">
        <v>2174</v>
      </c>
      <c r="C188" s="196" t="s">
        <v>693</v>
      </c>
      <c r="D188" s="194">
        <v>45025</v>
      </c>
      <c r="E188"/>
      <c r="F188" s="307" t="s">
        <v>294</v>
      </c>
      <c r="H188" s="307" t="s">
        <v>279</v>
      </c>
      <c r="K188" s="315">
        <v>38161</v>
      </c>
      <c r="L188" s="195"/>
      <c r="T188" s="196" t="s">
        <v>893</v>
      </c>
      <c r="U188" s="260">
        <v>0.3833333333333333</v>
      </c>
      <c r="V188" s="260">
        <v>0.62013888888888891</v>
      </c>
    </row>
    <row r="189" spans="1:24" s="196" customFormat="1" hidden="1" x14ac:dyDescent="0.25">
      <c r="A189" s="262">
        <v>10042023</v>
      </c>
      <c r="B189" s="196" t="s">
        <v>614</v>
      </c>
      <c r="C189" s="196" t="s">
        <v>693</v>
      </c>
      <c r="D189" s="194">
        <v>45026</v>
      </c>
      <c r="E189"/>
      <c r="F189" s="307" t="s">
        <v>2173</v>
      </c>
      <c r="H189" s="307" t="s">
        <v>279</v>
      </c>
      <c r="K189" s="315">
        <v>33750</v>
      </c>
      <c r="L189" s="195"/>
      <c r="T189" s="196" t="s">
        <v>916</v>
      </c>
      <c r="U189" s="260">
        <v>0.35000000000000003</v>
      </c>
      <c r="V189" s="260">
        <v>0.50277777777777777</v>
      </c>
    </row>
    <row r="190" spans="1:24" s="196" customFormat="1" hidden="1" x14ac:dyDescent="0.25">
      <c r="A190" s="262">
        <v>10042023</v>
      </c>
      <c r="B190" s="196" t="s">
        <v>596</v>
      </c>
      <c r="C190" s="196" t="s">
        <v>693</v>
      </c>
      <c r="D190" s="194">
        <v>45026</v>
      </c>
      <c r="E190"/>
      <c r="F190" s="307" t="s">
        <v>236</v>
      </c>
      <c r="H190" s="307" t="s">
        <v>279</v>
      </c>
      <c r="K190" s="315">
        <v>59472</v>
      </c>
      <c r="L190" s="195"/>
      <c r="T190" s="196" t="s">
        <v>1644</v>
      </c>
      <c r="U190" s="260">
        <v>0.6118055555555556</v>
      </c>
      <c r="V190" s="260">
        <v>0.92708333333333337</v>
      </c>
    </row>
    <row r="191" spans="1:24" s="196" customFormat="1" hidden="1" x14ac:dyDescent="0.25">
      <c r="A191" s="262">
        <v>11042023</v>
      </c>
      <c r="B191" s="196" t="s">
        <v>296</v>
      </c>
      <c r="C191" s="196" t="s">
        <v>2026</v>
      </c>
      <c r="D191" s="194">
        <v>45027</v>
      </c>
      <c r="E191"/>
      <c r="F191" s="307" t="s">
        <v>294</v>
      </c>
      <c r="H191" s="307" t="s">
        <v>277</v>
      </c>
      <c r="K191" s="315">
        <v>28082</v>
      </c>
      <c r="L191" s="195"/>
      <c r="T191" s="196" t="s">
        <v>1894</v>
      </c>
      <c r="U191" s="260">
        <v>0.68263888888888891</v>
      </c>
      <c r="V191" s="260">
        <v>0.4055555555555555</v>
      </c>
    </row>
    <row r="192" spans="1:24" s="196" customFormat="1" hidden="1" x14ac:dyDescent="0.25">
      <c r="A192" s="262">
        <v>12042023</v>
      </c>
      <c r="B192" s="196" t="s">
        <v>762</v>
      </c>
      <c r="C192" s="196" t="s">
        <v>693</v>
      </c>
      <c r="D192" s="194">
        <v>45028</v>
      </c>
      <c r="E192"/>
      <c r="F192" s="307" t="s">
        <v>1399</v>
      </c>
      <c r="H192" s="307" t="s">
        <v>279</v>
      </c>
      <c r="K192" s="315">
        <v>39600</v>
      </c>
      <c r="L192" s="195"/>
      <c r="T192" s="196" t="s">
        <v>1029</v>
      </c>
      <c r="U192" s="260">
        <v>0.34166666666666662</v>
      </c>
      <c r="V192" s="260">
        <v>0.5854166666666667</v>
      </c>
    </row>
    <row r="193" spans="1:24" s="196" customFormat="1" hidden="1" x14ac:dyDescent="0.25">
      <c r="A193" s="262">
        <v>12042023</v>
      </c>
      <c r="B193" s="196" t="s">
        <v>586</v>
      </c>
      <c r="C193" s="196" t="s">
        <v>410</v>
      </c>
      <c r="D193" s="194">
        <v>45028</v>
      </c>
      <c r="E193"/>
      <c r="F193" s="307" t="s">
        <v>545</v>
      </c>
      <c r="H193" s="307" t="s">
        <v>279</v>
      </c>
      <c r="K193" s="315">
        <v>33560</v>
      </c>
      <c r="L193" s="195"/>
      <c r="T193" s="196" t="s">
        <v>1656</v>
      </c>
      <c r="U193" s="260">
        <v>0.49513888888888885</v>
      </c>
      <c r="V193" s="260">
        <v>0.68680555555555556</v>
      </c>
    </row>
    <row r="194" spans="1:24" s="196" customFormat="1" hidden="1" x14ac:dyDescent="0.25">
      <c r="A194" s="262">
        <v>12042023</v>
      </c>
      <c r="B194" s="196" t="s">
        <v>1080</v>
      </c>
      <c r="C194" s="196" t="s">
        <v>693</v>
      </c>
      <c r="D194" s="194">
        <v>45028</v>
      </c>
      <c r="E194"/>
      <c r="F194" s="307" t="s">
        <v>1399</v>
      </c>
      <c r="H194" s="307" t="s">
        <v>279</v>
      </c>
      <c r="K194" s="315">
        <v>39600</v>
      </c>
      <c r="L194" s="195"/>
      <c r="T194" s="196" t="s">
        <v>1029</v>
      </c>
      <c r="U194" s="260">
        <v>0.64027777777777783</v>
      </c>
      <c r="V194" s="260">
        <v>0.88680555555555562</v>
      </c>
    </row>
    <row r="195" spans="1:24" s="264" customFormat="1" hidden="1" x14ac:dyDescent="0.25">
      <c r="A195" s="263">
        <v>13042023</v>
      </c>
      <c r="B195" s="264" t="s">
        <v>583</v>
      </c>
      <c r="C195" s="264" t="s">
        <v>410</v>
      </c>
      <c r="D195" s="265">
        <v>45029</v>
      </c>
      <c r="E195"/>
      <c r="F195" s="309" t="s">
        <v>294</v>
      </c>
      <c r="H195" s="309" t="s">
        <v>279</v>
      </c>
      <c r="K195" s="318">
        <v>34000</v>
      </c>
      <c r="L195" s="266"/>
      <c r="T195" s="264" t="s">
        <v>893</v>
      </c>
      <c r="U195" s="267">
        <v>0.29930555555555555</v>
      </c>
      <c r="V195" s="267">
        <v>0.53125</v>
      </c>
    </row>
    <row r="196" spans="1:24" s="393" customFormat="1" hidden="1" x14ac:dyDescent="0.25">
      <c r="A196" s="398">
        <v>15042023</v>
      </c>
      <c r="B196" s="393" t="s">
        <v>2227</v>
      </c>
      <c r="C196" s="393" t="s">
        <v>410</v>
      </c>
      <c r="D196" s="394">
        <v>45031</v>
      </c>
      <c r="E196"/>
      <c r="F196" s="174" t="s">
        <v>106</v>
      </c>
      <c r="H196" s="174" t="s">
        <v>279</v>
      </c>
      <c r="K196" s="395">
        <v>27770</v>
      </c>
      <c r="L196" s="396"/>
      <c r="T196" s="393" t="s">
        <v>1506</v>
      </c>
      <c r="U196" s="397">
        <v>0.30972222222222223</v>
      </c>
      <c r="V196" s="397">
        <v>0.48888888888888887</v>
      </c>
      <c r="X196" s="393" t="s">
        <v>2449</v>
      </c>
    </row>
    <row r="197" spans="1:24" s="264" customFormat="1" hidden="1" x14ac:dyDescent="0.25">
      <c r="A197" s="263">
        <v>15042023</v>
      </c>
      <c r="B197" s="264" t="s">
        <v>583</v>
      </c>
      <c r="C197" s="264" t="s">
        <v>2026</v>
      </c>
      <c r="D197" s="265">
        <v>45031</v>
      </c>
      <c r="E197"/>
      <c r="F197" s="309" t="s">
        <v>573</v>
      </c>
      <c r="H197" s="309" t="s">
        <v>277</v>
      </c>
      <c r="K197" s="318">
        <v>26400</v>
      </c>
      <c r="L197" s="266"/>
      <c r="T197" s="264" t="s">
        <v>2228</v>
      </c>
      <c r="U197" s="267">
        <v>0.61458333333333337</v>
      </c>
      <c r="V197" s="267">
        <v>0.75555555555555554</v>
      </c>
    </row>
    <row r="198" spans="1:24" s="196" customFormat="1" hidden="1" x14ac:dyDescent="0.25">
      <c r="A198" s="262">
        <v>15042023</v>
      </c>
      <c r="B198" s="196" t="s">
        <v>118</v>
      </c>
      <c r="C198" s="196" t="s">
        <v>410</v>
      </c>
      <c r="D198" s="194">
        <v>45031</v>
      </c>
      <c r="E198"/>
      <c r="F198" s="307" t="s">
        <v>143</v>
      </c>
      <c r="H198" s="307" t="s">
        <v>279</v>
      </c>
      <c r="K198" s="315">
        <v>37200</v>
      </c>
      <c r="L198" s="195"/>
      <c r="T198" s="196" t="s">
        <v>893</v>
      </c>
      <c r="U198" s="260">
        <v>0.65763888888888888</v>
      </c>
      <c r="V198" s="260">
        <v>0.86736111111111114</v>
      </c>
    </row>
    <row r="199" spans="1:24" s="196" customFormat="1" hidden="1" x14ac:dyDescent="0.25">
      <c r="A199" s="262">
        <v>16042023</v>
      </c>
      <c r="B199" s="196" t="s">
        <v>610</v>
      </c>
      <c r="C199" s="196" t="s">
        <v>410</v>
      </c>
      <c r="D199" s="194">
        <v>45001</v>
      </c>
      <c r="E199"/>
      <c r="F199" s="307" t="s">
        <v>106</v>
      </c>
      <c r="H199" s="307" t="s">
        <v>279</v>
      </c>
      <c r="K199" s="315">
        <v>29770</v>
      </c>
      <c r="L199" s="195"/>
      <c r="T199" s="196" t="s">
        <v>1029</v>
      </c>
      <c r="U199" s="260">
        <v>0.36180555555555555</v>
      </c>
      <c r="V199" s="260">
        <v>0.53541666666666665</v>
      </c>
    </row>
    <row r="200" spans="1:24" s="196" customFormat="1" hidden="1" x14ac:dyDescent="0.25">
      <c r="A200" s="262">
        <v>16042023</v>
      </c>
      <c r="B200" s="196" t="s">
        <v>1720</v>
      </c>
      <c r="C200" s="196" t="s">
        <v>2026</v>
      </c>
      <c r="D200" s="194">
        <v>45001</v>
      </c>
      <c r="E200"/>
      <c r="F200" s="307" t="s">
        <v>545</v>
      </c>
      <c r="H200" s="307" t="s">
        <v>277</v>
      </c>
      <c r="K200" s="315">
        <v>25016</v>
      </c>
      <c r="L200" s="195"/>
      <c r="T200" s="196" t="s">
        <v>2228</v>
      </c>
      <c r="U200" s="260">
        <v>0.40138888888888885</v>
      </c>
      <c r="V200" s="260">
        <v>0.54027777777777775</v>
      </c>
    </row>
    <row r="201" spans="1:24" s="196" customFormat="1" hidden="1" x14ac:dyDescent="0.25">
      <c r="A201" s="262">
        <v>19042023</v>
      </c>
      <c r="B201" s="196" t="s">
        <v>990</v>
      </c>
      <c r="C201" s="196" t="s">
        <v>410</v>
      </c>
      <c r="D201" s="194">
        <v>45035</v>
      </c>
      <c r="E201"/>
      <c r="F201" s="307" t="s">
        <v>991</v>
      </c>
      <c r="H201" s="307" t="s">
        <v>1141</v>
      </c>
      <c r="K201" s="315"/>
      <c r="L201" s="195">
        <v>6490</v>
      </c>
      <c r="T201" s="196" t="s">
        <v>1029</v>
      </c>
      <c r="U201" s="260">
        <v>0.45069444444444445</v>
      </c>
      <c r="V201" s="260">
        <v>0.73333333333333339</v>
      </c>
    </row>
    <row r="202" spans="1:24" s="196" customFormat="1" hidden="1" x14ac:dyDescent="0.25">
      <c r="A202" s="262">
        <v>19042023</v>
      </c>
      <c r="B202" s="196" t="s">
        <v>586</v>
      </c>
      <c r="C202" s="196" t="s">
        <v>693</v>
      </c>
      <c r="D202" s="194">
        <v>45035</v>
      </c>
      <c r="E202"/>
      <c r="F202" s="307" t="s">
        <v>545</v>
      </c>
      <c r="H202" s="307" t="s">
        <v>279</v>
      </c>
      <c r="K202" s="315">
        <v>33560</v>
      </c>
      <c r="L202" s="195"/>
      <c r="T202" s="196" t="s">
        <v>1644</v>
      </c>
      <c r="U202" s="260">
        <v>0.5180555555555556</v>
      </c>
      <c r="V202" s="260">
        <v>0.70138888888888884</v>
      </c>
    </row>
    <row r="203" spans="1:24" s="196" customFormat="1" hidden="1" x14ac:dyDescent="0.25">
      <c r="A203" s="262">
        <v>19042023</v>
      </c>
      <c r="B203" s="196" t="s">
        <v>118</v>
      </c>
      <c r="C203" s="196" t="s">
        <v>693</v>
      </c>
      <c r="D203" s="194">
        <v>45035</v>
      </c>
      <c r="E203"/>
      <c r="F203" s="307" t="s">
        <v>143</v>
      </c>
      <c r="H203" s="307" t="s">
        <v>279</v>
      </c>
      <c r="K203" s="315">
        <v>37200</v>
      </c>
      <c r="L203" s="195"/>
      <c r="T203" s="196" t="s">
        <v>1644</v>
      </c>
      <c r="U203" s="260">
        <v>0.74513888888888891</v>
      </c>
      <c r="V203" s="260">
        <v>0.96388888888888891</v>
      </c>
    </row>
    <row r="204" spans="1:24" s="196" customFormat="1" hidden="1" x14ac:dyDescent="0.25">
      <c r="A204" s="262">
        <v>20042023</v>
      </c>
      <c r="B204" s="196" t="s">
        <v>586</v>
      </c>
      <c r="C204" s="196" t="s">
        <v>693</v>
      </c>
      <c r="D204" s="194">
        <v>45036</v>
      </c>
      <c r="E204"/>
      <c r="F204" s="307" t="s">
        <v>545</v>
      </c>
      <c r="H204" s="307" t="s">
        <v>279</v>
      </c>
      <c r="K204" s="315">
        <v>33560</v>
      </c>
      <c r="L204" s="195"/>
      <c r="T204" s="196" t="s">
        <v>916</v>
      </c>
      <c r="U204" s="260">
        <v>0.3840277777777778</v>
      </c>
      <c r="V204" s="260">
        <v>0.56597222222222221</v>
      </c>
    </row>
    <row r="205" spans="1:24" s="196" customFormat="1" hidden="1" x14ac:dyDescent="0.25">
      <c r="A205" s="262">
        <v>20042023</v>
      </c>
      <c r="B205" s="196" t="s">
        <v>930</v>
      </c>
      <c r="C205" s="196" t="s">
        <v>410</v>
      </c>
      <c r="D205" s="194">
        <v>45036</v>
      </c>
      <c r="E205"/>
      <c r="F205" s="307" t="s">
        <v>294</v>
      </c>
      <c r="H205" s="307" t="s">
        <v>277</v>
      </c>
      <c r="K205" s="315">
        <v>28082</v>
      </c>
      <c r="L205" s="195"/>
      <c r="T205" s="196" t="s">
        <v>1225</v>
      </c>
      <c r="U205" s="260">
        <v>0.73888888888888893</v>
      </c>
      <c r="V205" s="260">
        <v>0.90694444444444444</v>
      </c>
    </row>
    <row r="206" spans="1:24" s="386" customFormat="1" hidden="1" x14ac:dyDescent="0.25">
      <c r="A206" s="385">
        <v>21042023</v>
      </c>
      <c r="B206" s="386" t="s">
        <v>762</v>
      </c>
      <c r="C206" s="386" t="s">
        <v>693</v>
      </c>
      <c r="D206" s="387">
        <v>45037</v>
      </c>
      <c r="E206"/>
      <c r="F206" s="388" t="s">
        <v>872</v>
      </c>
      <c r="H206" s="388" t="s">
        <v>279</v>
      </c>
      <c r="K206" s="389">
        <v>39600</v>
      </c>
      <c r="L206" s="390"/>
      <c r="T206" s="386" t="s">
        <v>922</v>
      </c>
      <c r="U206" s="391">
        <v>0.46249999999999997</v>
      </c>
      <c r="V206" s="391">
        <v>0.65555555555555556</v>
      </c>
      <c r="X206" s="386" t="s">
        <v>2617</v>
      </c>
    </row>
    <row r="207" spans="1:24" s="196" customFormat="1" hidden="1" x14ac:dyDescent="0.25">
      <c r="A207" s="262">
        <v>21042023</v>
      </c>
      <c r="B207" s="196" t="s">
        <v>930</v>
      </c>
      <c r="C207" s="196" t="s">
        <v>2026</v>
      </c>
      <c r="D207" s="194">
        <v>45037</v>
      </c>
      <c r="E207"/>
      <c r="F207" s="307" t="s">
        <v>295</v>
      </c>
      <c r="H207" s="307" t="s">
        <v>277</v>
      </c>
      <c r="K207" s="315">
        <v>26523</v>
      </c>
      <c r="L207" s="195"/>
      <c r="T207" s="196" t="s">
        <v>1894</v>
      </c>
      <c r="U207" s="260">
        <v>0.59791666666666665</v>
      </c>
      <c r="V207" s="260">
        <v>14.08</v>
      </c>
    </row>
    <row r="208" spans="1:24" s="196" customFormat="1" hidden="1" x14ac:dyDescent="0.25">
      <c r="A208" s="262">
        <v>21042023</v>
      </c>
      <c r="B208" s="196" t="s">
        <v>586</v>
      </c>
      <c r="C208" s="196" t="s">
        <v>693</v>
      </c>
      <c r="D208" s="194">
        <v>45037</v>
      </c>
      <c r="E208"/>
      <c r="F208" s="307" t="s">
        <v>545</v>
      </c>
      <c r="H208" s="307" t="s">
        <v>279</v>
      </c>
      <c r="K208" s="315">
        <v>33560</v>
      </c>
      <c r="L208" s="195"/>
      <c r="T208" s="196" t="s">
        <v>922</v>
      </c>
      <c r="U208" s="260">
        <v>0.70138888888888884</v>
      </c>
      <c r="V208" s="260">
        <v>0.8354166666666667</v>
      </c>
    </row>
    <row r="209" spans="1:24" s="33" customFormat="1" hidden="1" x14ac:dyDescent="0.25">
      <c r="A209" s="281">
        <v>21042023</v>
      </c>
      <c r="B209" s="33" t="s">
        <v>1720</v>
      </c>
      <c r="C209" s="33" t="s">
        <v>410</v>
      </c>
      <c r="D209" s="278">
        <v>45037</v>
      </c>
      <c r="E209"/>
      <c r="F209" s="306" t="s">
        <v>545</v>
      </c>
      <c r="H209" s="306" t="s">
        <v>277</v>
      </c>
      <c r="K209" s="312">
        <v>25016</v>
      </c>
      <c r="L209" s="279"/>
      <c r="T209" s="33" t="s">
        <v>1656</v>
      </c>
      <c r="U209" s="280">
        <v>0.62847222222222221</v>
      </c>
      <c r="V209" s="280">
        <v>0.4861111111111111</v>
      </c>
      <c r="X209" s="33" t="s">
        <v>2329</v>
      </c>
    </row>
    <row r="210" spans="1:24" s="196" customFormat="1" hidden="1" x14ac:dyDescent="0.25">
      <c r="A210" s="262">
        <v>22042023</v>
      </c>
      <c r="B210" s="196" t="s">
        <v>1800</v>
      </c>
      <c r="C210" s="196" t="s">
        <v>693</v>
      </c>
      <c r="D210" s="194">
        <v>45038</v>
      </c>
      <c r="E210"/>
      <c r="F210" s="307" t="s">
        <v>1985</v>
      </c>
      <c r="H210" s="307" t="s">
        <v>279</v>
      </c>
      <c r="K210" s="315"/>
      <c r="L210" s="195">
        <v>14000</v>
      </c>
      <c r="T210" s="196" t="s">
        <v>989</v>
      </c>
      <c r="U210" s="260">
        <v>0.43402777777777773</v>
      </c>
      <c r="V210" s="260">
        <v>0.875</v>
      </c>
    </row>
    <row r="211" spans="1:24" s="13" customFormat="1" hidden="1" x14ac:dyDescent="0.25">
      <c r="A211" s="321">
        <v>22042023</v>
      </c>
      <c r="B211" s="13" t="s">
        <v>2248</v>
      </c>
      <c r="C211" s="13" t="s">
        <v>2026</v>
      </c>
      <c r="D211" s="124">
        <v>45038</v>
      </c>
      <c r="F211" s="241" t="s">
        <v>2247</v>
      </c>
      <c r="H211" s="241" t="s">
        <v>279</v>
      </c>
      <c r="K211" s="322"/>
      <c r="L211" s="180"/>
      <c r="T211" s="13" t="s">
        <v>2249</v>
      </c>
      <c r="U211" s="204">
        <v>0.33680555555555558</v>
      </c>
      <c r="V211" s="204">
        <v>0.87777777777777777</v>
      </c>
    </row>
    <row r="212" spans="1:24" s="196" customFormat="1" ht="13.5" hidden="1" customHeight="1" x14ac:dyDescent="0.25">
      <c r="A212" s="262">
        <v>22042023</v>
      </c>
      <c r="B212" s="196" t="s">
        <v>607</v>
      </c>
      <c r="C212" s="196" t="s">
        <v>410</v>
      </c>
      <c r="D212" s="194">
        <v>45038</v>
      </c>
      <c r="E212"/>
      <c r="F212" s="307" t="s">
        <v>1930</v>
      </c>
      <c r="H212" s="307" t="s">
        <v>279</v>
      </c>
      <c r="K212" s="315">
        <v>36253.14</v>
      </c>
      <c r="L212" s="195"/>
      <c r="T212" s="196" t="s">
        <v>1656</v>
      </c>
      <c r="U212" s="260">
        <v>0.55277777777777781</v>
      </c>
      <c r="V212" s="260">
        <v>0.74722222222222223</v>
      </c>
    </row>
    <row r="213" spans="1:24" s="196" customFormat="1" hidden="1" x14ac:dyDescent="0.25">
      <c r="A213" s="262">
        <v>22042023</v>
      </c>
      <c r="B213" s="196" t="s">
        <v>1720</v>
      </c>
      <c r="C213" s="196" t="s">
        <v>2026</v>
      </c>
      <c r="D213" s="194">
        <v>45038</v>
      </c>
      <c r="E213"/>
      <c r="F213" s="307" t="s">
        <v>545</v>
      </c>
      <c r="H213" s="307" t="s">
        <v>277</v>
      </c>
      <c r="K213" s="315">
        <v>25016</v>
      </c>
      <c r="L213" s="195"/>
      <c r="T213" s="196" t="s">
        <v>2148</v>
      </c>
      <c r="U213" s="260">
        <v>0.72986111111111107</v>
      </c>
      <c r="V213" s="260">
        <v>0.87777777777777777</v>
      </c>
    </row>
    <row r="214" spans="1:24" s="196" customFormat="1" hidden="1" x14ac:dyDescent="0.25">
      <c r="A214" s="262">
        <v>23042023</v>
      </c>
      <c r="B214" s="196" t="s">
        <v>586</v>
      </c>
      <c r="C214" s="196" t="s">
        <v>410</v>
      </c>
      <c r="D214" s="194">
        <v>45039</v>
      </c>
      <c r="E214"/>
      <c r="F214" s="307" t="s">
        <v>545</v>
      </c>
      <c r="H214" s="307" t="s">
        <v>279</v>
      </c>
      <c r="K214" s="315">
        <v>33560</v>
      </c>
      <c r="L214" s="195"/>
      <c r="T214" s="196" t="s">
        <v>893</v>
      </c>
      <c r="U214" s="260">
        <v>0.29166666666666669</v>
      </c>
      <c r="V214" s="260">
        <v>0.4458333333333333</v>
      </c>
    </row>
    <row r="215" spans="1:24" s="33" customFormat="1" hidden="1" x14ac:dyDescent="0.25">
      <c r="A215" s="281">
        <v>23042023</v>
      </c>
      <c r="B215" s="33" t="s">
        <v>2250</v>
      </c>
      <c r="C215" s="33" t="s">
        <v>693</v>
      </c>
      <c r="D215" s="278">
        <v>45039</v>
      </c>
      <c r="E215"/>
      <c r="F215" s="306" t="s">
        <v>1930</v>
      </c>
      <c r="H215" s="306" t="s">
        <v>279</v>
      </c>
      <c r="K215" s="312">
        <v>36345</v>
      </c>
      <c r="L215" s="279"/>
      <c r="T215" s="33" t="s">
        <v>1029</v>
      </c>
      <c r="U215" s="280">
        <v>0.50555555555555554</v>
      </c>
      <c r="V215" s="280">
        <v>0.68472222222222223</v>
      </c>
      <c r="X215" s="33" t="s">
        <v>2329</v>
      </c>
    </row>
    <row r="216" spans="1:24" s="196" customFormat="1" x14ac:dyDescent="0.25">
      <c r="A216" s="262">
        <v>23042023</v>
      </c>
      <c r="B216" s="196" t="s">
        <v>611</v>
      </c>
      <c r="C216" s="303">
        <v>2091</v>
      </c>
      <c r="D216" s="194">
        <v>45039</v>
      </c>
      <c r="E216"/>
      <c r="F216" s="307" t="s">
        <v>143</v>
      </c>
      <c r="H216" s="307" t="s">
        <v>279</v>
      </c>
      <c r="K216" s="315">
        <v>37200</v>
      </c>
      <c r="L216" s="195"/>
      <c r="T216" s="196" t="s">
        <v>2251</v>
      </c>
      <c r="U216" s="260">
        <v>0.5805555555555556</v>
      </c>
      <c r="V216" s="260">
        <v>0.88541666666666663</v>
      </c>
    </row>
    <row r="217" spans="1:24" s="196" customFormat="1" hidden="1" x14ac:dyDescent="0.25">
      <c r="A217" s="262">
        <v>24042023</v>
      </c>
      <c r="B217" s="196" t="s">
        <v>930</v>
      </c>
      <c r="C217" s="196" t="s">
        <v>410</v>
      </c>
      <c r="D217" s="194">
        <v>45040</v>
      </c>
      <c r="E217"/>
      <c r="F217" s="307" t="s">
        <v>294</v>
      </c>
      <c r="H217" s="307" t="s">
        <v>2252</v>
      </c>
      <c r="K217" s="315">
        <v>28082</v>
      </c>
      <c r="L217" s="195"/>
      <c r="T217" s="196" t="s">
        <v>1644</v>
      </c>
      <c r="U217" s="260">
        <v>0.33819444444444446</v>
      </c>
      <c r="V217" s="260">
        <v>0.50416666666666665</v>
      </c>
    </row>
    <row r="218" spans="1:24" s="33" customFormat="1" hidden="1" x14ac:dyDescent="0.25">
      <c r="A218" s="281">
        <v>24042023</v>
      </c>
      <c r="B218" s="33" t="s">
        <v>576</v>
      </c>
      <c r="C218" s="33" t="s">
        <v>693</v>
      </c>
      <c r="D218" s="278">
        <v>45040</v>
      </c>
      <c r="E218"/>
      <c r="F218" s="306" t="s">
        <v>285</v>
      </c>
      <c r="H218" s="306" t="s">
        <v>279</v>
      </c>
      <c r="K218" s="312">
        <v>47200</v>
      </c>
      <c r="L218" s="279"/>
      <c r="T218" s="33" t="s">
        <v>916</v>
      </c>
      <c r="U218" s="280">
        <v>0.40138888888888885</v>
      </c>
      <c r="V218" s="280">
        <v>0.6791666666666667</v>
      </c>
      <c r="X218" s="33" t="s">
        <v>2329</v>
      </c>
    </row>
    <row r="219" spans="1:24" s="264" customFormat="1" hidden="1" x14ac:dyDescent="0.25">
      <c r="A219" s="263">
        <v>24042023</v>
      </c>
      <c r="B219" s="264" t="s">
        <v>583</v>
      </c>
      <c r="C219" s="264" t="s">
        <v>410</v>
      </c>
      <c r="D219" s="265">
        <v>45040</v>
      </c>
      <c r="E219"/>
      <c r="F219" s="309" t="s">
        <v>2107</v>
      </c>
      <c r="H219" s="309" t="s">
        <v>279</v>
      </c>
      <c r="K219" s="318">
        <v>30000</v>
      </c>
      <c r="L219" s="266"/>
      <c r="T219" s="264" t="s">
        <v>1644</v>
      </c>
      <c r="U219" s="267">
        <v>0.58819444444444446</v>
      </c>
      <c r="V219" s="267">
        <v>0.73402777777777783</v>
      </c>
    </row>
    <row r="220" spans="1:24" s="196" customFormat="1" hidden="1" x14ac:dyDescent="0.25">
      <c r="A220" s="262">
        <v>25042023</v>
      </c>
      <c r="B220" s="196" t="s">
        <v>1800</v>
      </c>
      <c r="C220" s="196" t="s">
        <v>693</v>
      </c>
      <c r="D220" s="194">
        <v>45041</v>
      </c>
      <c r="E220"/>
      <c r="F220" s="307" t="s">
        <v>285</v>
      </c>
      <c r="H220" s="307" t="s">
        <v>279</v>
      </c>
      <c r="K220" s="315"/>
      <c r="L220" s="195">
        <v>11800</v>
      </c>
      <c r="T220" s="196" t="s">
        <v>1029</v>
      </c>
      <c r="U220" s="260">
        <v>0.4548611111111111</v>
      </c>
      <c r="V220" s="260">
        <v>0.72152777777777777</v>
      </c>
    </row>
    <row r="221" spans="1:24" s="196" customFormat="1" hidden="1" x14ac:dyDescent="0.25">
      <c r="A221" s="262">
        <v>25042023</v>
      </c>
      <c r="B221" s="196" t="s">
        <v>2285</v>
      </c>
      <c r="C221" s="196" t="s">
        <v>410</v>
      </c>
      <c r="D221" s="194">
        <v>45041</v>
      </c>
      <c r="E221"/>
      <c r="F221" s="307" t="s">
        <v>1931</v>
      </c>
      <c r="H221" s="307" t="s">
        <v>279</v>
      </c>
      <c r="K221" s="315">
        <f>39600+15916</f>
        <v>55516</v>
      </c>
      <c r="L221" s="195"/>
      <c r="T221" s="196" t="s">
        <v>929</v>
      </c>
      <c r="U221" s="260">
        <v>0.72986111111111107</v>
      </c>
      <c r="V221" s="260">
        <v>5.1388888888888894E-2</v>
      </c>
    </row>
    <row r="222" spans="1:24" s="264" customFormat="1" hidden="1" x14ac:dyDescent="0.25">
      <c r="A222" s="263">
        <v>25042023</v>
      </c>
      <c r="B222" s="264" t="s">
        <v>638</v>
      </c>
      <c r="C222" s="264" t="s">
        <v>693</v>
      </c>
      <c r="D222" s="265">
        <v>45041</v>
      </c>
      <c r="E222"/>
      <c r="F222" s="309" t="s">
        <v>143</v>
      </c>
      <c r="H222" s="309" t="s">
        <v>279</v>
      </c>
      <c r="K222" s="318">
        <v>32340</v>
      </c>
      <c r="L222" s="266"/>
      <c r="T222" s="264" t="s">
        <v>1644</v>
      </c>
      <c r="U222" s="267">
        <v>0.9</v>
      </c>
      <c r="V222" s="267">
        <v>2.2916666666666669E-2</v>
      </c>
    </row>
    <row r="223" spans="1:24" s="386" customFormat="1" hidden="1" x14ac:dyDescent="0.25">
      <c r="A223" s="385">
        <v>26042023</v>
      </c>
      <c r="B223" s="386" t="s">
        <v>762</v>
      </c>
      <c r="C223" s="386" t="s">
        <v>410</v>
      </c>
      <c r="D223" s="387">
        <v>45042</v>
      </c>
      <c r="E223"/>
      <c r="F223" s="388" t="s">
        <v>872</v>
      </c>
      <c r="H223" s="388" t="s">
        <v>279</v>
      </c>
      <c r="K223" s="389">
        <v>39600</v>
      </c>
      <c r="L223" s="390"/>
      <c r="T223" s="386" t="s">
        <v>1029</v>
      </c>
      <c r="U223" s="391">
        <v>0.43958333333333338</v>
      </c>
      <c r="V223" s="391">
        <v>0.69444444444444453</v>
      </c>
      <c r="X223" s="386" t="s">
        <v>2617</v>
      </c>
    </row>
    <row r="224" spans="1:24" s="386" customFormat="1" hidden="1" x14ac:dyDescent="0.25">
      <c r="A224" s="385">
        <v>26042023</v>
      </c>
      <c r="B224" s="386" t="s">
        <v>762</v>
      </c>
      <c r="C224" s="386" t="s">
        <v>693</v>
      </c>
      <c r="D224" s="387">
        <v>45042</v>
      </c>
      <c r="E224"/>
      <c r="F224" s="388" t="s">
        <v>872</v>
      </c>
      <c r="H224" s="388" t="s">
        <v>279</v>
      </c>
      <c r="K224" s="389">
        <v>39600</v>
      </c>
      <c r="L224" s="390"/>
      <c r="T224" s="386" t="s">
        <v>1042</v>
      </c>
      <c r="U224" s="391">
        <v>0.44444444444444442</v>
      </c>
      <c r="V224" s="391">
        <v>0.66041666666666665</v>
      </c>
      <c r="X224" s="386" t="s">
        <v>2617</v>
      </c>
    </row>
    <row r="225" spans="1:24" s="196" customFormat="1" hidden="1" x14ac:dyDescent="0.25">
      <c r="A225" s="262">
        <v>27042023</v>
      </c>
      <c r="B225" s="196" t="s">
        <v>607</v>
      </c>
      <c r="C225" s="196" t="s">
        <v>410</v>
      </c>
      <c r="D225" s="194">
        <v>45043</v>
      </c>
      <c r="E225"/>
      <c r="F225" s="307" t="s">
        <v>1930</v>
      </c>
      <c r="H225" s="307" t="s">
        <v>279</v>
      </c>
      <c r="K225" s="315">
        <v>36253.14</v>
      </c>
      <c r="L225" s="195"/>
      <c r="T225" s="196" t="s">
        <v>929</v>
      </c>
      <c r="U225" s="260">
        <v>0.23402777777777781</v>
      </c>
      <c r="V225" s="260">
        <v>0.46388888888888885</v>
      </c>
    </row>
    <row r="226" spans="1:24" s="196" customFormat="1" hidden="1" x14ac:dyDescent="0.25">
      <c r="A226" s="262">
        <v>27042023</v>
      </c>
      <c r="B226" s="196" t="s">
        <v>582</v>
      </c>
      <c r="C226" s="196" t="s">
        <v>410</v>
      </c>
      <c r="D226" s="194">
        <v>45043</v>
      </c>
      <c r="E226"/>
      <c r="F226" s="307" t="s">
        <v>2291</v>
      </c>
      <c r="H226" s="307" t="s">
        <v>279</v>
      </c>
      <c r="K226" s="315">
        <v>27260</v>
      </c>
      <c r="L226" s="195"/>
      <c r="T226" s="196" t="s">
        <v>929</v>
      </c>
      <c r="U226" s="260">
        <v>0.49027777777777781</v>
      </c>
      <c r="V226" s="260">
        <v>0.61319444444444449</v>
      </c>
    </row>
    <row r="227" spans="1:24" s="196" customFormat="1" hidden="1" x14ac:dyDescent="0.25">
      <c r="A227" s="262">
        <v>27042023</v>
      </c>
      <c r="B227" s="196" t="s">
        <v>930</v>
      </c>
      <c r="C227" s="196" t="s">
        <v>693</v>
      </c>
      <c r="D227" s="194">
        <v>45043</v>
      </c>
      <c r="E227"/>
      <c r="F227" s="307" t="s">
        <v>294</v>
      </c>
      <c r="H227" s="307" t="s">
        <v>277</v>
      </c>
      <c r="K227" s="315">
        <v>28082</v>
      </c>
      <c r="L227" s="195"/>
      <c r="T227" s="196" t="s">
        <v>1506</v>
      </c>
      <c r="U227" s="258">
        <v>0.56458333333333333</v>
      </c>
      <c r="V227" s="260">
        <v>0.72638888888888886</v>
      </c>
    </row>
    <row r="228" spans="1:24" s="33" customFormat="1" hidden="1" x14ac:dyDescent="0.25">
      <c r="A228" s="281">
        <v>28042023</v>
      </c>
      <c r="B228" s="33" t="s">
        <v>596</v>
      </c>
      <c r="C228" s="33" t="s">
        <v>410</v>
      </c>
      <c r="D228" s="278">
        <v>45044</v>
      </c>
      <c r="E228"/>
      <c r="F228" s="306" t="s">
        <v>2296</v>
      </c>
      <c r="H228" s="306" t="s">
        <v>279</v>
      </c>
      <c r="K228" s="312">
        <v>59472</v>
      </c>
      <c r="L228" s="279"/>
      <c r="T228" s="33" t="s">
        <v>922</v>
      </c>
      <c r="U228" s="280">
        <v>0.26874999999999999</v>
      </c>
      <c r="V228" s="280">
        <v>0.55902777777777779</v>
      </c>
      <c r="X228" s="33" t="s">
        <v>2329</v>
      </c>
    </row>
    <row r="229" spans="1:24" s="196" customFormat="1" hidden="1" x14ac:dyDescent="0.25">
      <c r="A229" s="262">
        <v>28042023</v>
      </c>
      <c r="B229" s="196" t="s">
        <v>582</v>
      </c>
      <c r="C229" s="196" t="s">
        <v>693</v>
      </c>
      <c r="D229" s="194">
        <v>45044</v>
      </c>
      <c r="E229"/>
      <c r="F229" s="307" t="s">
        <v>143</v>
      </c>
      <c r="H229" s="307" t="s">
        <v>279</v>
      </c>
      <c r="K229" s="315"/>
      <c r="L229" s="195">
        <v>9912</v>
      </c>
      <c r="T229" s="196" t="s">
        <v>916</v>
      </c>
      <c r="U229" s="260">
        <v>0.52916666666666667</v>
      </c>
      <c r="V229" s="260">
        <v>0.76458333333333339</v>
      </c>
    </row>
    <row r="230" spans="1:24" s="33" customFormat="1" hidden="1" x14ac:dyDescent="0.25">
      <c r="A230" s="281">
        <v>28042023</v>
      </c>
      <c r="B230" s="33" t="s">
        <v>1720</v>
      </c>
      <c r="C230" s="33" t="s">
        <v>410</v>
      </c>
      <c r="D230" s="278">
        <v>45044</v>
      </c>
      <c r="E230"/>
      <c r="F230" s="306" t="s">
        <v>545</v>
      </c>
      <c r="H230" s="306" t="s">
        <v>277</v>
      </c>
      <c r="K230" s="312">
        <v>25016</v>
      </c>
      <c r="L230" s="279"/>
      <c r="T230" s="33" t="s">
        <v>922</v>
      </c>
      <c r="U230" s="280">
        <v>0.61597222222222225</v>
      </c>
      <c r="V230" s="280">
        <v>0.7416666666666667</v>
      </c>
      <c r="X230" s="33" t="s">
        <v>2329</v>
      </c>
    </row>
    <row r="231" spans="1:24" s="393" customFormat="1" hidden="1" x14ac:dyDescent="0.25">
      <c r="A231" s="398">
        <v>28042023</v>
      </c>
      <c r="B231" s="393" t="s">
        <v>2129</v>
      </c>
      <c r="C231" s="393" t="s">
        <v>693</v>
      </c>
      <c r="D231" s="394">
        <v>45044</v>
      </c>
      <c r="E231"/>
      <c r="F231" s="174" t="s">
        <v>2296</v>
      </c>
      <c r="H231" s="174" t="s">
        <v>279</v>
      </c>
      <c r="K231" s="395">
        <v>62540</v>
      </c>
      <c r="L231" s="396"/>
      <c r="T231" s="393" t="s">
        <v>1506</v>
      </c>
      <c r="U231" s="397">
        <v>0.8847222222222223</v>
      </c>
      <c r="V231" s="397">
        <v>0.13958333333333334</v>
      </c>
      <c r="X231" s="393" t="s">
        <v>2449</v>
      </c>
    </row>
    <row r="232" spans="1:24" s="264" customFormat="1" hidden="1" x14ac:dyDescent="0.25">
      <c r="A232" s="263">
        <v>29042023</v>
      </c>
      <c r="B232" s="264" t="s">
        <v>583</v>
      </c>
      <c r="C232" s="264" t="s">
        <v>693</v>
      </c>
      <c r="D232" s="265">
        <v>45045</v>
      </c>
      <c r="E232"/>
      <c r="F232" s="309" t="s">
        <v>2296</v>
      </c>
      <c r="H232" s="309" t="s">
        <v>279</v>
      </c>
      <c r="K232" s="318">
        <v>54516</v>
      </c>
      <c r="L232" s="266"/>
      <c r="T232" s="264" t="s">
        <v>2299</v>
      </c>
    </row>
    <row r="233" spans="1:24" s="196" customFormat="1" hidden="1" x14ac:dyDescent="0.25">
      <c r="A233" s="262">
        <v>30042023</v>
      </c>
      <c r="B233" s="196" t="s">
        <v>612</v>
      </c>
      <c r="C233" s="196" t="s">
        <v>693</v>
      </c>
      <c r="D233" s="194">
        <v>45046</v>
      </c>
      <c r="E233"/>
      <c r="F233" s="307" t="s">
        <v>113</v>
      </c>
      <c r="H233" s="307" t="s">
        <v>279</v>
      </c>
      <c r="K233" s="315">
        <v>39070</v>
      </c>
      <c r="L233" s="195"/>
      <c r="T233" s="196" t="s">
        <v>1042</v>
      </c>
      <c r="U233" s="260">
        <v>0.38958333333333334</v>
      </c>
      <c r="V233" s="260">
        <v>0.59722222222222221</v>
      </c>
    </row>
    <row r="234" spans="1:24" hidden="1" x14ac:dyDescent="0.25">
      <c r="A234" s="256"/>
      <c r="D234" s="122"/>
      <c r="K234" s="313"/>
      <c r="L234" s="88"/>
    </row>
    <row r="235" spans="1:24" hidden="1" x14ac:dyDescent="0.25">
      <c r="K235" s="313"/>
      <c r="L235" s="88"/>
    </row>
    <row r="236" spans="1:24" hidden="1" x14ac:dyDescent="0.25">
      <c r="K236" s="61">
        <f>SUBTOTAL(9,K173:K235)</f>
        <v>37200</v>
      </c>
      <c r="L236" s="61">
        <f>SUBTOTAL(9,L173:L235)</f>
        <v>0</v>
      </c>
    </row>
    <row r="237" spans="1:24" hidden="1" x14ac:dyDescent="0.25"/>
    <row r="238" spans="1:24" hidden="1" x14ac:dyDescent="0.25"/>
    <row r="239" spans="1:24" hidden="1" x14ac:dyDescent="0.25"/>
    <row r="240" spans="1:24" hidden="1" x14ac:dyDescent="0.25">
      <c r="A240" s="261" t="s">
        <v>2302</v>
      </c>
      <c r="B240" t="s">
        <v>2300</v>
      </c>
      <c r="C240" t="s">
        <v>809</v>
      </c>
      <c r="D240" s="122">
        <v>45048</v>
      </c>
      <c r="F240" s="28" t="s">
        <v>2301</v>
      </c>
      <c r="H240" s="28" t="s">
        <v>874</v>
      </c>
      <c r="K240" s="61">
        <v>0</v>
      </c>
      <c r="T240" t="s">
        <v>1178</v>
      </c>
    </row>
    <row r="241" spans="1:24" s="196" customFormat="1" hidden="1" x14ac:dyDescent="0.25">
      <c r="A241" s="262" t="s">
        <v>2302</v>
      </c>
      <c r="B241" s="196" t="s">
        <v>930</v>
      </c>
      <c r="C241" s="196" t="s">
        <v>410</v>
      </c>
      <c r="D241" s="194">
        <v>45048</v>
      </c>
      <c r="E241"/>
      <c r="F241" s="307" t="s">
        <v>295</v>
      </c>
      <c r="H241" s="307" t="s">
        <v>277</v>
      </c>
      <c r="K241" s="315">
        <v>26523</v>
      </c>
      <c r="L241" s="195"/>
      <c r="T241" s="196" t="s">
        <v>795</v>
      </c>
      <c r="U241" s="258">
        <v>0.62222222222222223</v>
      </c>
      <c r="V241" s="260">
        <v>0.86249999999999993</v>
      </c>
    </row>
    <row r="242" spans="1:24" s="196" customFormat="1" hidden="1" x14ac:dyDescent="0.25">
      <c r="A242" s="262" t="s">
        <v>2326</v>
      </c>
      <c r="B242" s="196" t="s">
        <v>2325</v>
      </c>
      <c r="C242" s="196" t="s">
        <v>693</v>
      </c>
      <c r="D242" s="194">
        <v>45049</v>
      </c>
      <c r="E242"/>
      <c r="F242" s="307" t="s">
        <v>2301</v>
      </c>
      <c r="H242" s="307" t="s">
        <v>277</v>
      </c>
      <c r="K242" s="315">
        <v>25016</v>
      </c>
      <c r="L242" s="195"/>
      <c r="T242" s="196" t="s">
        <v>929</v>
      </c>
      <c r="U242" s="260">
        <v>0.69652777777777775</v>
      </c>
      <c r="V242" s="260">
        <v>0.82986111111111116</v>
      </c>
    </row>
    <row r="243" spans="1:24" s="33" customFormat="1" hidden="1" x14ac:dyDescent="0.25">
      <c r="A243" s="281" t="s">
        <v>2327</v>
      </c>
      <c r="B243" s="33" t="s">
        <v>762</v>
      </c>
      <c r="C243" s="33" t="s">
        <v>693</v>
      </c>
      <c r="D243" s="278">
        <v>45050</v>
      </c>
      <c r="E243"/>
      <c r="F243" s="306" t="s">
        <v>872</v>
      </c>
      <c r="H243" s="306" t="s">
        <v>279</v>
      </c>
      <c r="K243" s="312">
        <v>39600</v>
      </c>
      <c r="L243" s="279"/>
      <c r="T243" s="33" t="s">
        <v>1644</v>
      </c>
      <c r="U243" s="280">
        <v>0.34027777777777773</v>
      </c>
      <c r="V243" s="280">
        <v>0.57777777777777783</v>
      </c>
      <c r="X243" s="33" t="s">
        <v>2449</v>
      </c>
    </row>
    <row r="244" spans="1:24" s="196" customFormat="1" hidden="1" x14ac:dyDescent="0.25">
      <c r="A244" s="262" t="s">
        <v>2327</v>
      </c>
      <c r="B244" s="196" t="s">
        <v>2325</v>
      </c>
      <c r="C244" s="196" t="s">
        <v>410</v>
      </c>
      <c r="D244" s="194">
        <v>45050</v>
      </c>
      <c r="E244"/>
      <c r="F244" s="307" t="s">
        <v>2301</v>
      </c>
      <c r="H244" s="307" t="s">
        <v>277</v>
      </c>
      <c r="K244" s="315">
        <v>25016</v>
      </c>
      <c r="L244" s="195"/>
      <c r="T244" s="196" t="s">
        <v>1029</v>
      </c>
      <c r="U244" s="260">
        <v>0.51458333333333328</v>
      </c>
      <c r="V244" s="260">
        <v>0.57152777777777775</v>
      </c>
    </row>
    <row r="245" spans="1:24" s="196" customFormat="1" hidden="1" x14ac:dyDescent="0.25">
      <c r="A245" s="262" t="s">
        <v>2327</v>
      </c>
      <c r="B245" s="196" t="s">
        <v>2227</v>
      </c>
      <c r="C245" s="196" t="s">
        <v>693</v>
      </c>
      <c r="D245" s="194">
        <v>45050</v>
      </c>
      <c r="E245"/>
      <c r="F245" s="307" t="s">
        <v>106</v>
      </c>
      <c r="H245" s="307" t="s">
        <v>279</v>
      </c>
      <c r="K245" s="315">
        <v>26910</v>
      </c>
      <c r="L245" s="195"/>
      <c r="T245" s="196" t="s">
        <v>1644</v>
      </c>
      <c r="U245" s="260">
        <v>0.62152777777777779</v>
      </c>
      <c r="V245" s="260">
        <v>0.76041666666666663</v>
      </c>
    </row>
    <row r="246" spans="1:24" s="33" customFormat="1" hidden="1" x14ac:dyDescent="0.25">
      <c r="A246" s="281" t="s">
        <v>2327</v>
      </c>
      <c r="B246" s="33" t="s">
        <v>2174</v>
      </c>
      <c r="C246" s="33" t="s">
        <v>410</v>
      </c>
      <c r="D246" s="278">
        <v>45050</v>
      </c>
      <c r="E246"/>
      <c r="F246" s="306" t="s">
        <v>294</v>
      </c>
      <c r="H246" s="306" t="s">
        <v>277</v>
      </c>
      <c r="K246" s="312">
        <v>32075</v>
      </c>
      <c r="L246" s="279"/>
      <c r="T246" s="33" t="s">
        <v>1816</v>
      </c>
      <c r="U246" s="280">
        <v>0.71388888888888891</v>
      </c>
      <c r="V246" s="280">
        <v>0.93819444444444444</v>
      </c>
      <c r="X246" s="33" t="s">
        <v>2449</v>
      </c>
    </row>
    <row r="247" spans="1:24" s="196" customFormat="1" hidden="1" x14ac:dyDescent="0.25">
      <c r="A247" s="262" t="s">
        <v>2337</v>
      </c>
      <c r="B247" s="196" t="s">
        <v>1720</v>
      </c>
      <c r="C247" s="196" t="s">
        <v>410</v>
      </c>
      <c r="D247" s="194">
        <v>45051</v>
      </c>
      <c r="E247"/>
      <c r="F247" s="307" t="s">
        <v>2301</v>
      </c>
      <c r="H247" s="307" t="s">
        <v>277</v>
      </c>
      <c r="K247" s="315">
        <v>25016</v>
      </c>
      <c r="L247" s="195"/>
      <c r="T247" s="196" t="s">
        <v>1644</v>
      </c>
      <c r="U247" s="260">
        <v>0.46736111111111112</v>
      </c>
      <c r="V247" s="260">
        <v>0.61111111111111105</v>
      </c>
    </row>
    <row r="248" spans="1:24" s="418" customFormat="1" hidden="1" x14ac:dyDescent="0.25">
      <c r="A248" s="417" t="s">
        <v>2337</v>
      </c>
      <c r="B248" s="418" t="s">
        <v>762</v>
      </c>
      <c r="C248" s="418" t="s">
        <v>693</v>
      </c>
      <c r="D248" s="419">
        <v>45051</v>
      </c>
      <c r="F248" s="420" t="s">
        <v>872</v>
      </c>
      <c r="H248" s="420" t="s">
        <v>279</v>
      </c>
      <c r="K248" s="421">
        <v>39600</v>
      </c>
      <c r="L248" s="422"/>
      <c r="T248" s="418" t="s">
        <v>916</v>
      </c>
      <c r="U248" s="423">
        <v>0.4145833333333333</v>
      </c>
      <c r="V248" s="423">
        <v>0.63750000000000007</v>
      </c>
      <c r="X248" s="418" t="s">
        <v>2732</v>
      </c>
    </row>
    <row r="249" spans="1:24" s="120" customFormat="1" hidden="1" x14ac:dyDescent="0.25">
      <c r="A249" s="337" t="s">
        <v>2340</v>
      </c>
      <c r="B249" s="120" t="s">
        <v>930</v>
      </c>
      <c r="C249" s="120" t="s">
        <v>809</v>
      </c>
      <c r="D249" s="333">
        <v>45052</v>
      </c>
      <c r="E249"/>
      <c r="F249" s="334" t="s">
        <v>294</v>
      </c>
      <c r="H249" s="334" t="s">
        <v>277</v>
      </c>
      <c r="K249" s="335">
        <v>28082</v>
      </c>
      <c r="L249" s="150"/>
      <c r="T249" s="120" t="s">
        <v>1178</v>
      </c>
      <c r="U249" s="336">
        <v>0.67361111111111116</v>
      </c>
      <c r="V249" s="336">
        <v>0.86736111111111114</v>
      </c>
      <c r="X249" s="120" t="s">
        <v>2617</v>
      </c>
    </row>
    <row r="250" spans="1:24" s="196" customFormat="1" hidden="1" x14ac:dyDescent="0.25">
      <c r="A250" s="262" t="s">
        <v>2341</v>
      </c>
      <c r="B250" s="196" t="s">
        <v>582</v>
      </c>
      <c r="C250" s="196" t="s">
        <v>410</v>
      </c>
      <c r="D250" s="194">
        <v>45053</v>
      </c>
      <c r="E250"/>
      <c r="F250" s="307" t="s">
        <v>2342</v>
      </c>
      <c r="H250" s="307" t="s">
        <v>277</v>
      </c>
      <c r="K250" s="315"/>
      <c r="L250" s="162">
        <v>5192</v>
      </c>
      <c r="T250" s="196" t="s">
        <v>1816</v>
      </c>
      <c r="U250" s="260">
        <v>0.39930555555555558</v>
      </c>
      <c r="V250" s="260">
        <v>0.69444444444444453</v>
      </c>
    </row>
    <row r="251" spans="1:24" s="418" customFormat="1" hidden="1" x14ac:dyDescent="0.25">
      <c r="A251" s="417" t="s">
        <v>2341</v>
      </c>
      <c r="B251" s="418" t="s">
        <v>2227</v>
      </c>
      <c r="C251" s="418" t="s">
        <v>693</v>
      </c>
      <c r="D251" s="419">
        <v>45053</v>
      </c>
      <c r="F251" s="420" t="s">
        <v>106</v>
      </c>
      <c r="H251" s="420" t="s">
        <v>279</v>
      </c>
      <c r="K251" s="421">
        <v>26910</v>
      </c>
      <c r="L251" s="422"/>
      <c r="T251" s="418" t="s">
        <v>1506</v>
      </c>
      <c r="U251" s="423">
        <v>0.57430555555555551</v>
      </c>
      <c r="V251" s="423">
        <v>0.73541666666666661</v>
      </c>
      <c r="X251" s="418" t="s">
        <v>2732</v>
      </c>
    </row>
    <row r="252" spans="1:24" s="196" customFormat="1" hidden="1" x14ac:dyDescent="0.25">
      <c r="A252" s="262" t="s">
        <v>2343</v>
      </c>
      <c r="B252" s="196" t="s">
        <v>582</v>
      </c>
      <c r="C252" s="196" t="s">
        <v>693</v>
      </c>
      <c r="D252" s="194">
        <v>45054</v>
      </c>
      <c r="E252"/>
      <c r="F252" s="307" t="s">
        <v>1302</v>
      </c>
      <c r="H252" s="307" t="s">
        <v>279</v>
      </c>
      <c r="K252" s="315">
        <v>57065</v>
      </c>
      <c r="L252" s="195"/>
      <c r="T252" s="196" t="s">
        <v>922</v>
      </c>
      <c r="U252" s="260">
        <v>0.33055555555555555</v>
      </c>
      <c r="V252" s="260">
        <v>0.62986111111111109</v>
      </c>
    </row>
    <row r="253" spans="1:24" s="196" customFormat="1" hidden="1" x14ac:dyDescent="0.25">
      <c r="A253" s="262" t="s">
        <v>2343</v>
      </c>
      <c r="B253" s="196" t="s">
        <v>1720</v>
      </c>
      <c r="C253" s="196" t="s">
        <v>410</v>
      </c>
      <c r="D253" s="194">
        <v>45054</v>
      </c>
      <c r="E253"/>
      <c r="F253" s="307" t="s">
        <v>545</v>
      </c>
      <c r="H253" s="307" t="s">
        <v>279</v>
      </c>
      <c r="K253" s="315">
        <v>34456</v>
      </c>
      <c r="L253" s="195"/>
      <c r="T253" s="196" t="s">
        <v>2348</v>
      </c>
      <c r="U253" s="260">
        <v>0.70624999999999993</v>
      </c>
      <c r="V253" s="260">
        <v>0.87638888888888899</v>
      </c>
    </row>
    <row r="254" spans="1:24" s="196" customFormat="1" hidden="1" x14ac:dyDescent="0.25">
      <c r="A254" s="262" t="s">
        <v>2347</v>
      </c>
      <c r="B254" s="196" t="s">
        <v>2285</v>
      </c>
      <c r="C254" s="196" t="s">
        <v>410</v>
      </c>
      <c r="D254" s="194">
        <v>45055</v>
      </c>
      <c r="E254"/>
      <c r="F254" s="307" t="s">
        <v>1985</v>
      </c>
      <c r="H254" s="307" t="s">
        <v>279</v>
      </c>
      <c r="K254" s="315">
        <v>55516</v>
      </c>
      <c r="L254" s="195"/>
      <c r="T254" s="196" t="s">
        <v>2348</v>
      </c>
      <c r="U254" s="260">
        <v>0.39166666666666666</v>
      </c>
      <c r="V254" s="260">
        <v>0.71944444444444444</v>
      </c>
    </row>
    <row r="255" spans="1:24" s="418" customFormat="1" hidden="1" x14ac:dyDescent="0.25">
      <c r="A255" s="417" t="s">
        <v>2347</v>
      </c>
      <c r="B255" s="418" t="s">
        <v>762</v>
      </c>
      <c r="C255" s="418" t="s">
        <v>693</v>
      </c>
      <c r="D255" s="419">
        <v>45055</v>
      </c>
      <c r="F255" s="420" t="s">
        <v>872</v>
      </c>
      <c r="H255" s="420" t="s">
        <v>279</v>
      </c>
      <c r="K255" s="421">
        <v>39600</v>
      </c>
      <c r="L255" s="422"/>
      <c r="T255" s="418" t="s">
        <v>1225</v>
      </c>
      <c r="U255" s="423">
        <v>0.4458333333333333</v>
      </c>
      <c r="V255" s="423">
        <v>0.70208333333333339</v>
      </c>
      <c r="X255" s="418" t="s">
        <v>2732</v>
      </c>
    </row>
    <row r="256" spans="1:24" s="196" customFormat="1" hidden="1" x14ac:dyDescent="0.25">
      <c r="A256" s="262" t="s">
        <v>2347</v>
      </c>
      <c r="B256" s="196" t="s">
        <v>2350</v>
      </c>
      <c r="C256" s="196" t="s">
        <v>809</v>
      </c>
      <c r="D256" s="194">
        <v>45055</v>
      </c>
      <c r="E256"/>
      <c r="F256" s="307" t="s">
        <v>545</v>
      </c>
      <c r="H256" s="307" t="s">
        <v>277</v>
      </c>
      <c r="K256" s="315">
        <v>25016</v>
      </c>
      <c r="L256" s="195"/>
      <c r="T256" s="196" t="s">
        <v>894</v>
      </c>
      <c r="U256" s="260">
        <v>0.6645833333333333</v>
      </c>
      <c r="V256" s="260">
        <v>0.72291666666666676</v>
      </c>
    </row>
    <row r="257" spans="1:24" s="196" customFormat="1" hidden="1" x14ac:dyDescent="0.25">
      <c r="A257" s="262" t="s">
        <v>2347</v>
      </c>
      <c r="B257" s="196" t="s">
        <v>607</v>
      </c>
      <c r="C257" s="303">
        <v>828</v>
      </c>
      <c r="D257" s="194">
        <v>45055</v>
      </c>
      <c r="E257"/>
      <c r="F257" s="307" t="s">
        <v>207</v>
      </c>
      <c r="H257" s="307" t="s">
        <v>279</v>
      </c>
      <c r="K257" s="315">
        <v>36253.14</v>
      </c>
      <c r="L257" s="195"/>
      <c r="T257" s="196" t="s">
        <v>1317</v>
      </c>
      <c r="U257" s="260">
        <v>0.60069444444444442</v>
      </c>
      <c r="V257" s="260">
        <v>0.88194444444444453</v>
      </c>
    </row>
    <row r="258" spans="1:24" s="418" customFormat="1" hidden="1" x14ac:dyDescent="0.25">
      <c r="A258" s="417">
        <v>10052023</v>
      </c>
      <c r="B258" s="418" t="s">
        <v>762</v>
      </c>
      <c r="C258" s="418" t="s">
        <v>693</v>
      </c>
      <c r="D258" s="419">
        <v>45056</v>
      </c>
      <c r="F258" s="420" t="s">
        <v>872</v>
      </c>
      <c r="H258" s="420" t="s">
        <v>279</v>
      </c>
      <c r="K258" s="421">
        <v>39600</v>
      </c>
      <c r="L258" s="422"/>
      <c r="T258" s="418" t="s">
        <v>922</v>
      </c>
      <c r="U258" s="423">
        <v>0.4284722222222222</v>
      </c>
      <c r="V258" s="423">
        <v>0.65694444444444444</v>
      </c>
      <c r="X258" s="418" t="s">
        <v>2732</v>
      </c>
    </row>
    <row r="259" spans="1:24" s="196" customFormat="1" hidden="1" x14ac:dyDescent="0.25">
      <c r="A259" s="262">
        <v>10052023</v>
      </c>
      <c r="B259" s="196" t="s">
        <v>2325</v>
      </c>
      <c r="C259" s="196" t="s">
        <v>809</v>
      </c>
      <c r="D259" s="194">
        <v>45056</v>
      </c>
      <c r="E259"/>
      <c r="F259" s="307" t="s">
        <v>545</v>
      </c>
      <c r="H259" s="307" t="s">
        <v>277</v>
      </c>
      <c r="K259" s="315">
        <v>25016</v>
      </c>
      <c r="L259" s="195"/>
      <c r="T259" s="196" t="s">
        <v>894</v>
      </c>
      <c r="U259" s="260">
        <v>0.65277777777777779</v>
      </c>
      <c r="V259" s="260">
        <v>0.71180555555555547</v>
      </c>
    </row>
    <row r="260" spans="1:24" s="196" customFormat="1" hidden="1" x14ac:dyDescent="0.25">
      <c r="A260" s="262">
        <v>10052023</v>
      </c>
      <c r="B260" s="196" t="s">
        <v>586</v>
      </c>
      <c r="C260" s="196" t="s">
        <v>693</v>
      </c>
      <c r="D260" s="194">
        <v>45056</v>
      </c>
      <c r="E260"/>
      <c r="F260" s="307" t="s">
        <v>545</v>
      </c>
      <c r="H260" s="307" t="s">
        <v>279</v>
      </c>
      <c r="K260" s="315">
        <v>33560</v>
      </c>
      <c r="L260" s="195"/>
      <c r="T260" s="196" t="s">
        <v>916</v>
      </c>
      <c r="U260" s="260">
        <v>0.71666666666666667</v>
      </c>
      <c r="V260" s="260">
        <v>0.92222222222222217</v>
      </c>
    </row>
    <row r="261" spans="1:24" s="196" customFormat="1" hidden="1" x14ac:dyDescent="0.25">
      <c r="A261" s="262">
        <v>11052023</v>
      </c>
      <c r="B261" s="196" t="s">
        <v>576</v>
      </c>
      <c r="C261" s="196" t="s">
        <v>410</v>
      </c>
      <c r="D261" s="194">
        <v>45057</v>
      </c>
      <c r="E261"/>
      <c r="F261" s="307" t="s">
        <v>2353</v>
      </c>
      <c r="H261" s="307" t="s">
        <v>279</v>
      </c>
      <c r="K261" s="315">
        <v>45430</v>
      </c>
      <c r="L261" s="195"/>
      <c r="T261" s="196" t="s">
        <v>1225</v>
      </c>
      <c r="U261" s="260">
        <v>0.4826388888888889</v>
      </c>
      <c r="V261" s="260">
        <v>0.58124999999999993</v>
      </c>
    </row>
    <row r="262" spans="1:24" s="196" customFormat="1" hidden="1" x14ac:dyDescent="0.25">
      <c r="A262" s="262">
        <v>11052023</v>
      </c>
      <c r="B262" s="196" t="s">
        <v>607</v>
      </c>
      <c r="C262" s="196" t="s">
        <v>693</v>
      </c>
      <c r="D262" s="194">
        <v>45057</v>
      </c>
      <c r="E262"/>
      <c r="F262" s="307" t="s">
        <v>207</v>
      </c>
      <c r="H262" s="307" t="s">
        <v>279</v>
      </c>
      <c r="K262" s="315">
        <v>36253.14</v>
      </c>
      <c r="L262" s="195"/>
      <c r="T262" s="196" t="s">
        <v>1644</v>
      </c>
      <c r="U262" s="260">
        <v>0.52152777777777781</v>
      </c>
      <c r="V262" s="260">
        <v>0.74305555555555547</v>
      </c>
    </row>
    <row r="263" spans="1:24" s="120" customFormat="1" hidden="1" x14ac:dyDescent="0.25">
      <c r="A263" s="337">
        <v>11052023</v>
      </c>
      <c r="B263" s="120" t="s">
        <v>2358</v>
      </c>
      <c r="C263" s="120" t="s">
        <v>410</v>
      </c>
      <c r="D263" s="333">
        <v>45057</v>
      </c>
      <c r="E263"/>
      <c r="F263" s="334" t="s">
        <v>294</v>
      </c>
      <c r="H263" s="334" t="s">
        <v>279</v>
      </c>
      <c r="K263" s="335">
        <v>36580</v>
      </c>
      <c r="L263" s="150"/>
      <c r="T263" s="120" t="s">
        <v>1225</v>
      </c>
      <c r="U263" s="336">
        <v>0.6479166666666667</v>
      </c>
      <c r="V263" s="336">
        <v>0.87083333333333324</v>
      </c>
      <c r="X263" s="120" t="s">
        <v>2617</v>
      </c>
    </row>
    <row r="264" spans="1:24" s="33" customFormat="1" hidden="1" x14ac:dyDescent="0.25">
      <c r="A264" s="281">
        <v>12052023</v>
      </c>
      <c r="B264" s="33" t="s">
        <v>2367</v>
      </c>
      <c r="C264" s="33" t="s">
        <v>410</v>
      </c>
      <c r="D264" s="278">
        <v>45058</v>
      </c>
      <c r="E264"/>
      <c r="F264" s="306" t="s">
        <v>1985</v>
      </c>
      <c r="H264" s="306" t="s">
        <v>279</v>
      </c>
      <c r="K264" s="312">
        <v>55516</v>
      </c>
      <c r="L264" s="279"/>
      <c r="T264" s="33" t="s">
        <v>2366</v>
      </c>
      <c r="U264" s="280">
        <v>0.3347222222222222</v>
      </c>
      <c r="V264" s="280">
        <v>0.66388888888888886</v>
      </c>
      <c r="X264" s="33" t="s">
        <v>2449</v>
      </c>
    </row>
    <row r="265" spans="1:24" s="418" customFormat="1" hidden="1" x14ac:dyDescent="0.25">
      <c r="A265" s="417">
        <v>13052023</v>
      </c>
      <c r="B265" s="418" t="s">
        <v>2227</v>
      </c>
      <c r="C265" s="418" t="s">
        <v>410</v>
      </c>
      <c r="D265" s="419">
        <v>45059</v>
      </c>
      <c r="F265" s="420" t="s">
        <v>2369</v>
      </c>
      <c r="H265" s="420" t="s">
        <v>279</v>
      </c>
      <c r="K265" s="421">
        <v>26910</v>
      </c>
      <c r="L265" s="422"/>
      <c r="T265" s="418" t="s">
        <v>1656</v>
      </c>
      <c r="U265" s="423">
        <v>0.29305555555555557</v>
      </c>
      <c r="V265" s="423">
        <v>0.4465277777777778</v>
      </c>
      <c r="X265" s="418" t="s">
        <v>2732</v>
      </c>
    </row>
    <row r="266" spans="1:24" s="196" customFormat="1" hidden="1" x14ac:dyDescent="0.25">
      <c r="A266" s="262">
        <v>14052023</v>
      </c>
      <c r="B266" s="196" t="s">
        <v>1080</v>
      </c>
      <c r="C266" s="196" t="s">
        <v>693</v>
      </c>
      <c r="D266" s="194">
        <v>45060</v>
      </c>
      <c r="E266"/>
      <c r="F266" s="307" t="s">
        <v>872</v>
      </c>
      <c r="H266" s="307" t="s">
        <v>279</v>
      </c>
      <c r="K266" s="315">
        <v>39600</v>
      </c>
      <c r="L266" s="195"/>
      <c r="T266" s="196" t="s">
        <v>1042</v>
      </c>
      <c r="U266" s="260">
        <v>0.30486111111111108</v>
      </c>
      <c r="V266" s="260">
        <v>0.57500000000000007</v>
      </c>
    </row>
    <row r="267" spans="1:24" s="196" customFormat="1" hidden="1" x14ac:dyDescent="0.25">
      <c r="A267" s="262">
        <v>15052023</v>
      </c>
      <c r="B267" s="196" t="s">
        <v>1155</v>
      </c>
      <c r="C267" s="196" t="s">
        <v>410</v>
      </c>
      <c r="D267" s="194">
        <v>45061</v>
      </c>
      <c r="E267"/>
      <c r="F267" s="307" t="s">
        <v>317</v>
      </c>
      <c r="H267" s="307" t="s">
        <v>279</v>
      </c>
      <c r="K267" s="315">
        <v>47860.800000000003</v>
      </c>
      <c r="L267" s="195"/>
      <c r="T267" s="196" t="s">
        <v>1225</v>
      </c>
      <c r="U267" s="260">
        <v>0.44930555555555557</v>
      </c>
      <c r="V267" s="260">
        <v>0.89444444444444438</v>
      </c>
    </row>
    <row r="268" spans="1:24" s="196" customFormat="1" hidden="1" x14ac:dyDescent="0.25">
      <c r="A268" s="262">
        <v>15052023</v>
      </c>
      <c r="B268" s="196" t="s">
        <v>2325</v>
      </c>
      <c r="C268" s="196" t="s">
        <v>693</v>
      </c>
      <c r="D268" s="194">
        <v>45061</v>
      </c>
      <c r="E268"/>
      <c r="F268" s="307" t="s">
        <v>545</v>
      </c>
      <c r="H268" s="307" t="s">
        <v>277</v>
      </c>
      <c r="K268" s="315">
        <v>25016</v>
      </c>
      <c r="L268" s="195"/>
      <c r="T268" s="196" t="s">
        <v>2037</v>
      </c>
      <c r="U268" s="260">
        <v>0.65902777777777777</v>
      </c>
      <c r="V268" s="260">
        <v>0.83333333333333337</v>
      </c>
    </row>
    <row r="269" spans="1:24" s="196" customFormat="1" hidden="1" x14ac:dyDescent="0.25">
      <c r="A269" s="262">
        <v>18052023</v>
      </c>
      <c r="B269" s="196" t="s">
        <v>2367</v>
      </c>
      <c r="C269" s="196" t="s">
        <v>693</v>
      </c>
      <c r="D269" s="194">
        <v>45064</v>
      </c>
      <c r="E269"/>
      <c r="F269" s="307" t="s">
        <v>1985</v>
      </c>
      <c r="H269" s="307" t="s">
        <v>279</v>
      </c>
      <c r="K269" s="315">
        <v>55516</v>
      </c>
      <c r="L269" s="195"/>
      <c r="T269" s="196" t="s">
        <v>922</v>
      </c>
      <c r="U269" s="260">
        <v>0.29375000000000001</v>
      </c>
      <c r="V269" s="260">
        <v>0.63124999999999998</v>
      </c>
    </row>
    <row r="270" spans="1:24" s="196" customFormat="1" hidden="1" x14ac:dyDescent="0.25">
      <c r="A270" s="262">
        <v>18052023</v>
      </c>
      <c r="B270" s="196" t="s">
        <v>1800</v>
      </c>
      <c r="C270" s="196" t="s">
        <v>410</v>
      </c>
      <c r="D270" s="194">
        <v>45064</v>
      </c>
      <c r="E270"/>
      <c r="F270" s="307" t="s">
        <v>1985</v>
      </c>
      <c r="H270" s="307" t="s">
        <v>279</v>
      </c>
      <c r="K270" s="315"/>
      <c r="L270" s="195">
        <v>14000</v>
      </c>
      <c r="T270" s="196" t="s">
        <v>1506</v>
      </c>
      <c r="U270" s="260">
        <v>0.30069444444444443</v>
      </c>
      <c r="V270" s="260">
        <v>0.65347222222222223</v>
      </c>
    </row>
    <row r="271" spans="1:24" s="196" customFormat="1" hidden="1" x14ac:dyDescent="0.25">
      <c r="A271" s="262">
        <v>18052023</v>
      </c>
      <c r="B271" s="196" t="s">
        <v>2325</v>
      </c>
      <c r="C271" s="196" t="s">
        <v>410</v>
      </c>
      <c r="D271" s="194">
        <v>45064</v>
      </c>
      <c r="E271"/>
      <c r="F271" s="307" t="s">
        <v>545</v>
      </c>
      <c r="H271" s="307" t="s">
        <v>277</v>
      </c>
      <c r="K271" s="315">
        <v>25016</v>
      </c>
      <c r="L271" s="195"/>
      <c r="T271" s="196" t="s">
        <v>1816</v>
      </c>
      <c r="U271" s="260">
        <v>0.77569444444444446</v>
      </c>
      <c r="V271" s="260">
        <v>0.85625000000000007</v>
      </c>
    </row>
    <row r="272" spans="1:24" s="196" customFormat="1" hidden="1" x14ac:dyDescent="0.25">
      <c r="A272" s="262">
        <v>18052023</v>
      </c>
      <c r="B272" s="196" t="s">
        <v>2325</v>
      </c>
      <c r="C272" s="196" t="s">
        <v>809</v>
      </c>
      <c r="D272" s="194">
        <v>45064</v>
      </c>
      <c r="E272"/>
      <c r="F272" s="307" t="s">
        <v>545</v>
      </c>
      <c r="H272" s="307" t="s">
        <v>277</v>
      </c>
      <c r="K272" s="315">
        <v>25016</v>
      </c>
      <c r="L272" s="195"/>
      <c r="T272" s="196" t="s">
        <v>1894</v>
      </c>
      <c r="U272" s="260">
        <v>0.72430555555555554</v>
      </c>
      <c r="V272" s="260">
        <v>0.90486111111111101</v>
      </c>
    </row>
    <row r="273" spans="1:24" s="196" customFormat="1" hidden="1" x14ac:dyDescent="0.25">
      <c r="A273" s="262">
        <v>19052023</v>
      </c>
      <c r="B273" s="196" t="s">
        <v>607</v>
      </c>
      <c r="C273" s="196" t="s">
        <v>693</v>
      </c>
      <c r="D273" s="194">
        <v>45065</v>
      </c>
      <c r="E273"/>
      <c r="F273" s="307" t="s">
        <v>207</v>
      </c>
      <c r="H273" s="307" t="s">
        <v>279</v>
      </c>
      <c r="K273" s="315">
        <v>36253.14</v>
      </c>
      <c r="L273" s="195"/>
      <c r="T273" s="196" t="s">
        <v>1506</v>
      </c>
      <c r="U273" s="260">
        <v>0.36944444444444446</v>
      </c>
      <c r="V273" s="260">
        <v>0.61319444444444449</v>
      </c>
    </row>
    <row r="274" spans="1:24" s="196" customFormat="1" hidden="1" x14ac:dyDescent="0.25">
      <c r="A274" s="262">
        <v>19052023</v>
      </c>
      <c r="B274" s="196" t="s">
        <v>607</v>
      </c>
      <c r="C274" s="196" t="s">
        <v>410</v>
      </c>
      <c r="D274" s="194">
        <v>45065</v>
      </c>
      <c r="E274"/>
      <c r="F274" s="307" t="s">
        <v>207</v>
      </c>
      <c r="H274" s="307" t="s">
        <v>279</v>
      </c>
      <c r="K274" s="315">
        <v>36253.14</v>
      </c>
      <c r="L274" s="195"/>
      <c r="T274" s="196" t="s">
        <v>893</v>
      </c>
      <c r="U274" s="260">
        <v>0.27013888888888887</v>
      </c>
      <c r="V274" s="260">
        <v>0.43055555555555558</v>
      </c>
    </row>
    <row r="275" spans="1:24" s="33" customFormat="1" hidden="1" x14ac:dyDescent="0.25">
      <c r="A275" s="281">
        <v>19052023</v>
      </c>
      <c r="B275" s="33" t="s">
        <v>576</v>
      </c>
      <c r="C275" s="33" t="s">
        <v>410</v>
      </c>
      <c r="D275" s="278">
        <v>45065</v>
      </c>
      <c r="E275"/>
      <c r="F275" s="306" t="s">
        <v>285</v>
      </c>
      <c r="H275" s="306" t="s">
        <v>279</v>
      </c>
      <c r="K275" s="312">
        <v>47200</v>
      </c>
      <c r="L275" s="279"/>
      <c r="T275" s="33" t="s">
        <v>2380</v>
      </c>
      <c r="U275" s="280">
        <v>0.54583333333333328</v>
      </c>
      <c r="V275" s="280">
        <v>0.7993055555555556</v>
      </c>
      <c r="X275" s="33" t="s">
        <v>2449</v>
      </c>
    </row>
    <row r="276" spans="1:24" s="196" customFormat="1" hidden="1" x14ac:dyDescent="0.25">
      <c r="A276" s="262">
        <v>19052023</v>
      </c>
      <c r="B276" s="196" t="s">
        <v>2325</v>
      </c>
      <c r="C276" s="196" t="s">
        <v>809</v>
      </c>
      <c r="D276" s="194">
        <v>45065</v>
      </c>
      <c r="E276"/>
      <c r="F276" s="307" t="s">
        <v>545</v>
      </c>
      <c r="H276" s="307" t="s">
        <v>277</v>
      </c>
      <c r="K276" s="315">
        <v>25016</v>
      </c>
      <c r="L276" s="195"/>
      <c r="T276" s="196" t="s">
        <v>1894</v>
      </c>
      <c r="U276" s="260">
        <v>0.46249999999999997</v>
      </c>
      <c r="V276" s="260">
        <v>0.52500000000000002</v>
      </c>
    </row>
    <row r="277" spans="1:24" s="196" customFormat="1" hidden="1" x14ac:dyDescent="0.25">
      <c r="A277" s="262">
        <v>19052023</v>
      </c>
      <c r="B277" s="196" t="s">
        <v>586</v>
      </c>
      <c r="C277" s="196" t="s">
        <v>693</v>
      </c>
      <c r="D277" s="194">
        <v>45065</v>
      </c>
      <c r="E277"/>
      <c r="F277" s="307" t="s">
        <v>545</v>
      </c>
      <c r="H277" s="307" t="s">
        <v>279</v>
      </c>
      <c r="K277" s="315">
        <v>33560</v>
      </c>
      <c r="L277" s="195"/>
      <c r="T277" s="196" t="s">
        <v>1506</v>
      </c>
      <c r="U277" s="260">
        <v>0.68472222222222223</v>
      </c>
      <c r="V277" s="260">
        <v>0.86597222222222225</v>
      </c>
    </row>
    <row r="278" spans="1:24" s="196" customFormat="1" hidden="1" x14ac:dyDescent="0.25">
      <c r="A278" s="262">
        <v>20052023</v>
      </c>
      <c r="B278" s="196" t="s">
        <v>607</v>
      </c>
      <c r="C278" s="196" t="s">
        <v>410</v>
      </c>
      <c r="D278" s="194">
        <v>45066</v>
      </c>
      <c r="E278"/>
      <c r="F278" s="307" t="s">
        <v>207</v>
      </c>
      <c r="H278" s="307" t="s">
        <v>279</v>
      </c>
      <c r="K278" s="315">
        <v>36253.14</v>
      </c>
      <c r="L278" s="195"/>
      <c r="T278" s="196" t="s">
        <v>922</v>
      </c>
      <c r="U278" s="260">
        <v>0.22500000000000001</v>
      </c>
      <c r="V278" s="260">
        <v>0.4597222222222222</v>
      </c>
    </row>
    <row r="279" spans="1:24" s="418" customFormat="1" hidden="1" x14ac:dyDescent="0.25">
      <c r="A279" s="417">
        <v>20052023</v>
      </c>
      <c r="B279" s="418" t="s">
        <v>762</v>
      </c>
      <c r="C279" s="418" t="s">
        <v>693</v>
      </c>
      <c r="D279" s="419">
        <v>45066</v>
      </c>
      <c r="F279" s="420" t="s">
        <v>872</v>
      </c>
      <c r="H279" s="420" t="s">
        <v>279</v>
      </c>
      <c r="K279" s="421">
        <v>39600</v>
      </c>
      <c r="L279" s="422"/>
      <c r="T279" s="418" t="s">
        <v>1816</v>
      </c>
      <c r="U279" s="423">
        <v>0.2986111111111111</v>
      </c>
      <c r="V279" s="423">
        <v>0.50138888888888888</v>
      </c>
      <c r="X279" s="418" t="s">
        <v>2732</v>
      </c>
    </row>
    <row r="280" spans="1:24" s="264" customFormat="1" hidden="1" x14ac:dyDescent="0.25">
      <c r="A280" s="263">
        <v>20052023</v>
      </c>
      <c r="B280" s="264" t="s">
        <v>583</v>
      </c>
      <c r="C280" s="264" t="s">
        <v>809</v>
      </c>
      <c r="D280" s="265">
        <v>45066</v>
      </c>
      <c r="E280"/>
      <c r="F280" s="309" t="s">
        <v>2381</v>
      </c>
      <c r="H280" s="309" t="s">
        <v>279</v>
      </c>
      <c r="K280" s="318">
        <v>29000</v>
      </c>
      <c r="L280" s="266"/>
      <c r="T280" s="264" t="s">
        <v>1894</v>
      </c>
      <c r="U280" s="267">
        <v>0.43958333333333338</v>
      </c>
      <c r="V280" s="267">
        <v>0.66805555555555562</v>
      </c>
    </row>
    <row r="281" spans="1:24" s="120" customFormat="1" hidden="1" x14ac:dyDescent="0.25">
      <c r="A281" s="337">
        <v>20052023</v>
      </c>
      <c r="B281" s="120" t="s">
        <v>930</v>
      </c>
      <c r="C281" s="120" t="s">
        <v>410</v>
      </c>
      <c r="D281" s="333">
        <v>45066</v>
      </c>
      <c r="E281"/>
      <c r="F281" s="334" t="s">
        <v>295</v>
      </c>
      <c r="H281" s="334" t="s">
        <v>277</v>
      </c>
      <c r="K281" s="335">
        <v>34161.199999999997</v>
      </c>
      <c r="L281" s="150"/>
      <c r="T281" s="120" t="s">
        <v>922</v>
      </c>
      <c r="U281" s="336">
        <v>0.51458333333333328</v>
      </c>
      <c r="V281" s="336">
        <v>0.77916666666666667</v>
      </c>
      <c r="X281" s="120" t="s">
        <v>2617</v>
      </c>
    </row>
    <row r="282" spans="1:24" s="264" customFormat="1" hidden="1" x14ac:dyDescent="0.25">
      <c r="A282" s="263">
        <v>20052023</v>
      </c>
      <c r="B282" s="264" t="s">
        <v>583</v>
      </c>
      <c r="C282" s="264" t="s">
        <v>693</v>
      </c>
      <c r="D282" s="265">
        <v>45066</v>
      </c>
      <c r="E282"/>
      <c r="F282" s="309" t="s">
        <v>2381</v>
      </c>
      <c r="H282" s="309" t="s">
        <v>279</v>
      </c>
      <c r="K282" s="318">
        <v>29000</v>
      </c>
      <c r="L282" s="266"/>
      <c r="T282" s="264" t="s">
        <v>2050</v>
      </c>
      <c r="U282" s="267">
        <v>0.54722222222222217</v>
      </c>
      <c r="V282" s="267">
        <v>0.7090277777777777</v>
      </c>
    </row>
    <row r="283" spans="1:24" s="196" customFormat="1" hidden="1" x14ac:dyDescent="0.25">
      <c r="A283" s="262">
        <v>22052023</v>
      </c>
      <c r="B283" s="196" t="s">
        <v>1720</v>
      </c>
      <c r="C283" s="196" t="s">
        <v>410</v>
      </c>
      <c r="D283" s="194">
        <v>45068</v>
      </c>
      <c r="E283"/>
      <c r="F283" s="307" t="s">
        <v>545</v>
      </c>
      <c r="H283" s="307" t="s">
        <v>277</v>
      </c>
      <c r="K283" s="315">
        <v>25016</v>
      </c>
      <c r="L283" s="195"/>
      <c r="T283" s="196" t="s">
        <v>893</v>
      </c>
      <c r="U283" s="369" t="s">
        <v>2389</v>
      </c>
      <c r="V283" s="260">
        <v>0.66319444444444442</v>
      </c>
    </row>
    <row r="284" spans="1:24" s="196" customFormat="1" hidden="1" x14ac:dyDescent="0.25">
      <c r="A284" s="262">
        <v>24052023</v>
      </c>
      <c r="B284" s="196" t="s">
        <v>607</v>
      </c>
      <c r="D284" s="194">
        <v>45070</v>
      </c>
      <c r="E284"/>
      <c r="F284" s="307" t="s">
        <v>207</v>
      </c>
      <c r="H284" s="307" t="s">
        <v>279</v>
      </c>
      <c r="K284" s="315">
        <v>36253.14</v>
      </c>
      <c r="L284" s="195"/>
      <c r="T284" s="196" t="s">
        <v>1029</v>
      </c>
      <c r="U284" s="260">
        <v>0.25416666666666665</v>
      </c>
      <c r="V284" s="260">
        <v>0.52013888888888882</v>
      </c>
    </row>
    <row r="285" spans="1:24" s="196" customFormat="1" hidden="1" x14ac:dyDescent="0.25">
      <c r="A285" s="262">
        <v>24052023</v>
      </c>
      <c r="B285" s="196" t="s">
        <v>2407</v>
      </c>
      <c r="C285" s="196" t="s">
        <v>410</v>
      </c>
      <c r="D285" s="194">
        <v>45070</v>
      </c>
      <c r="E285"/>
      <c r="F285" s="307" t="s">
        <v>317</v>
      </c>
      <c r="H285" s="307" t="s">
        <v>279</v>
      </c>
      <c r="K285" s="315"/>
      <c r="L285" s="195">
        <f>10000*1.18</f>
        <v>11800</v>
      </c>
      <c r="T285" s="196" t="s">
        <v>2050</v>
      </c>
      <c r="U285" s="260">
        <v>0.54305555555555551</v>
      </c>
      <c r="V285" s="260">
        <v>0.8208333333333333</v>
      </c>
    </row>
    <row r="286" spans="1:24" s="120" customFormat="1" hidden="1" x14ac:dyDescent="0.25">
      <c r="A286" s="337">
        <v>25052023</v>
      </c>
      <c r="B286" s="120" t="s">
        <v>930</v>
      </c>
      <c r="C286" s="120" t="s">
        <v>410</v>
      </c>
      <c r="D286" s="333">
        <v>45071</v>
      </c>
      <c r="E286"/>
      <c r="F286" s="334" t="s">
        <v>294</v>
      </c>
      <c r="H286" s="334" t="s">
        <v>279</v>
      </c>
      <c r="K286" s="335">
        <v>36344</v>
      </c>
      <c r="L286" s="150"/>
      <c r="T286" s="120" t="s">
        <v>893</v>
      </c>
      <c r="U286" s="336">
        <v>0.30069444444444443</v>
      </c>
      <c r="V286" s="336">
        <v>0.55555555555555558</v>
      </c>
      <c r="X286" s="120" t="s">
        <v>2617</v>
      </c>
    </row>
    <row r="287" spans="1:24" s="196" customFormat="1" hidden="1" x14ac:dyDescent="0.25">
      <c r="A287" s="262">
        <v>25052023</v>
      </c>
      <c r="B287" s="196" t="s">
        <v>596</v>
      </c>
      <c r="C287" s="196" t="s">
        <v>410</v>
      </c>
      <c r="D287" s="194">
        <v>45071</v>
      </c>
      <c r="E287"/>
      <c r="F287" s="307" t="s">
        <v>236</v>
      </c>
      <c r="H287" s="307" t="s">
        <v>279</v>
      </c>
      <c r="K287" s="315">
        <v>59472</v>
      </c>
      <c r="L287" s="195"/>
      <c r="T287" s="196" t="s">
        <v>1029</v>
      </c>
      <c r="U287" s="260">
        <v>0.73402777777777783</v>
      </c>
      <c r="V287" s="260">
        <v>4.9305555555555554E-2</v>
      </c>
    </row>
    <row r="288" spans="1:24" s="196" customFormat="1" hidden="1" x14ac:dyDescent="0.25">
      <c r="A288" s="262">
        <v>26052023</v>
      </c>
      <c r="B288" s="196" t="s">
        <v>586</v>
      </c>
      <c r="C288" s="196" t="s">
        <v>693</v>
      </c>
      <c r="D288" s="194">
        <v>45072</v>
      </c>
      <c r="E288"/>
      <c r="F288" s="307" t="s">
        <v>545</v>
      </c>
      <c r="H288" s="307" t="s">
        <v>279</v>
      </c>
      <c r="K288" s="315">
        <v>33560</v>
      </c>
      <c r="L288" s="195"/>
      <c r="T288" s="196" t="s">
        <v>893</v>
      </c>
      <c r="U288" s="260">
        <v>0.56944444444444442</v>
      </c>
      <c r="V288" s="260">
        <v>0.76388888888888884</v>
      </c>
    </row>
    <row r="289" spans="1:24" s="33" customFormat="1" hidden="1" x14ac:dyDescent="0.25">
      <c r="A289" s="281">
        <v>26052023</v>
      </c>
      <c r="B289" s="33" t="s">
        <v>2367</v>
      </c>
      <c r="C289" s="33" t="s">
        <v>410</v>
      </c>
      <c r="D289" s="278">
        <v>45072</v>
      </c>
      <c r="E289"/>
      <c r="F289" s="306" t="s">
        <v>1985</v>
      </c>
      <c r="H289" s="306" t="s">
        <v>279</v>
      </c>
      <c r="K289" s="312">
        <v>55516</v>
      </c>
      <c r="L289" s="279"/>
      <c r="T289" s="33" t="s">
        <v>2050</v>
      </c>
      <c r="U289" s="280">
        <v>0.5395833333333333</v>
      </c>
      <c r="V289" s="280">
        <v>0.86319444444444438</v>
      </c>
      <c r="X289" s="33" t="s">
        <v>2449</v>
      </c>
    </row>
    <row r="290" spans="1:24" s="196" customFormat="1" hidden="1" x14ac:dyDescent="0.25">
      <c r="A290" s="262">
        <v>26052023</v>
      </c>
      <c r="B290" s="196" t="s">
        <v>1856</v>
      </c>
      <c r="C290" s="196" t="s">
        <v>693</v>
      </c>
      <c r="D290" s="194">
        <v>45072</v>
      </c>
      <c r="E290"/>
      <c r="F290" s="307" t="s">
        <v>545</v>
      </c>
      <c r="H290" s="307" t="s">
        <v>277</v>
      </c>
      <c r="K290" s="315">
        <v>25016</v>
      </c>
      <c r="L290" s="195"/>
      <c r="T290" s="196" t="s">
        <v>893</v>
      </c>
      <c r="U290" s="260">
        <v>0.80694444444444446</v>
      </c>
      <c r="V290" s="260">
        <v>0.9375</v>
      </c>
    </row>
    <row r="291" spans="1:24" s="264" customFormat="1" hidden="1" x14ac:dyDescent="0.25">
      <c r="A291" s="263">
        <v>27052023</v>
      </c>
      <c r="B291" s="264" t="s">
        <v>583</v>
      </c>
      <c r="C291" s="264" t="s">
        <v>410</v>
      </c>
      <c r="D291" s="265">
        <v>45073</v>
      </c>
      <c r="E291"/>
      <c r="F291" s="309" t="s">
        <v>573</v>
      </c>
      <c r="H291" s="309" t="s">
        <v>279</v>
      </c>
      <c r="K291" s="318">
        <v>34021.14</v>
      </c>
      <c r="L291" s="266"/>
      <c r="T291" s="264" t="s">
        <v>2380</v>
      </c>
      <c r="U291" s="267">
        <v>0.63611111111111118</v>
      </c>
      <c r="V291" s="267">
        <v>0.81111111111111101</v>
      </c>
    </row>
    <row r="292" spans="1:24" s="33" customFormat="1" hidden="1" x14ac:dyDescent="0.25">
      <c r="A292" s="281">
        <v>29052023</v>
      </c>
      <c r="B292" s="33" t="s">
        <v>613</v>
      </c>
      <c r="C292" s="33" t="s">
        <v>693</v>
      </c>
      <c r="D292" s="278">
        <v>45075</v>
      </c>
      <c r="E292"/>
      <c r="F292" s="306" t="s">
        <v>425</v>
      </c>
      <c r="H292" s="306" t="s">
        <v>279</v>
      </c>
      <c r="K292" s="312">
        <v>30491</v>
      </c>
      <c r="L292" s="279"/>
      <c r="T292" s="33" t="s">
        <v>1506</v>
      </c>
      <c r="U292" s="280">
        <v>0.26944444444444443</v>
      </c>
      <c r="V292" s="280">
        <v>0.51041666666666663</v>
      </c>
      <c r="X292" s="33" t="s">
        <v>2449</v>
      </c>
    </row>
    <row r="293" spans="1:24" s="196" customFormat="1" hidden="1" x14ac:dyDescent="0.25">
      <c r="A293" s="262">
        <v>29052023</v>
      </c>
      <c r="B293" s="262" t="s">
        <v>582</v>
      </c>
      <c r="C293" s="196" t="s">
        <v>693</v>
      </c>
      <c r="D293" s="194">
        <v>45075</v>
      </c>
      <c r="E293"/>
      <c r="F293" s="307" t="s">
        <v>143</v>
      </c>
      <c r="H293" s="307" t="s">
        <v>279</v>
      </c>
      <c r="K293" s="315">
        <v>37200</v>
      </c>
      <c r="L293" s="195"/>
      <c r="T293" s="196" t="s">
        <v>893</v>
      </c>
      <c r="U293" s="260">
        <v>0.23819444444444446</v>
      </c>
      <c r="V293" s="260">
        <v>0.47083333333333338</v>
      </c>
    </row>
    <row r="294" spans="1:24" s="264" customFormat="1" hidden="1" x14ac:dyDescent="0.25">
      <c r="A294" s="263">
        <v>30052023</v>
      </c>
      <c r="B294" s="264" t="s">
        <v>583</v>
      </c>
      <c r="C294" s="264" t="s">
        <v>693</v>
      </c>
      <c r="D294" s="265">
        <v>45076</v>
      </c>
      <c r="E294"/>
      <c r="F294" s="309" t="s">
        <v>573</v>
      </c>
      <c r="H294" s="309" t="s">
        <v>277</v>
      </c>
      <c r="K294" s="318">
        <v>26400</v>
      </c>
      <c r="L294" s="266"/>
      <c r="T294" s="264" t="s">
        <v>2050</v>
      </c>
      <c r="U294" s="267">
        <v>0.28125</v>
      </c>
      <c r="V294" s="267">
        <v>0.5</v>
      </c>
    </row>
    <row r="295" spans="1:24" s="33" customFormat="1" hidden="1" x14ac:dyDescent="0.25">
      <c r="A295" s="281">
        <v>30052023</v>
      </c>
      <c r="B295" s="33" t="s">
        <v>2422</v>
      </c>
      <c r="C295" s="33" t="s">
        <v>693</v>
      </c>
      <c r="D295" s="278">
        <v>45076</v>
      </c>
      <c r="E295"/>
      <c r="F295" s="306" t="s">
        <v>675</v>
      </c>
      <c r="H295" s="306" t="s">
        <v>279</v>
      </c>
      <c r="K295" s="312">
        <v>42522.48</v>
      </c>
      <c r="L295" s="279"/>
      <c r="T295" s="33" t="s">
        <v>893</v>
      </c>
      <c r="U295" s="280">
        <v>0.54722222222222217</v>
      </c>
      <c r="V295" s="280">
        <v>0.83194444444444438</v>
      </c>
      <c r="X295" s="33" t="s">
        <v>2449</v>
      </c>
    </row>
    <row r="296" spans="1:24" s="16" customFormat="1" x14ac:dyDescent="0.25">
      <c r="A296" s="354">
        <v>30052023</v>
      </c>
      <c r="B296" s="16" t="s">
        <v>2423</v>
      </c>
      <c r="C296" s="16" t="s">
        <v>2420</v>
      </c>
      <c r="D296" s="370">
        <v>45076</v>
      </c>
      <c r="E296" s="13"/>
      <c r="F296" s="355" t="s">
        <v>2421</v>
      </c>
      <c r="H296" s="355" t="s">
        <v>279</v>
      </c>
      <c r="K296" s="356">
        <v>0</v>
      </c>
      <c r="L296" s="254"/>
      <c r="U296" s="367">
        <v>0.58750000000000002</v>
      </c>
      <c r="V296" s="367"/>
    </row>
    <row r="297" spans="1:24" s="264" customFormat="1" hidden="1" x14ac:dyDescent="0.25">
      <c r="A297" s="263">
        <v>30052023</v>
      </c>
      <c r="B297" s="264" t="s">
        <v>1847</v>
      </c>
      <c r="C297" s="264" t="s">
        <v>809</v>
      </c>
      <c r="D297" s="265">
        <v>45076</v>
      </c>
      <c r="E297"/>
      <c r="F297" s="309" t="s">
        <v>545</v>
      </c>
      <c r="H297" s="309" t="s">
        <v>277</v>
      </c>
      <c r="K297" s="318">
        <v>20800</v>
      </c>
      <c r="L297" s="266"/>
      <c r="T297" s="264" t="s">
        <v>1178</v>
      </c>
      <c r="U297" s="267">
        <v>0.6694444444444444</v>
      </c>
      <c r="V297" s="267">
        <v>0.72499999999999998</v>
      </c>
    </row>
    <row r="298" spans="1:24" s="196" customFormat="1" x14ac:dyDescent="0.25">
      <c r="A298" s="262">
        <v>30052023</v>
      </c>
      <c r="B298" s="196" t="s">
        <v>2325</v>
      </c>
      <c r="C298" s="196" t="s">
        <v>2420</v>
      </c>
      <c r="D298" s="194">
        <v>45076</v>
      </c>
      <c r="E298"/>
      <c r="F298" s="307" t="s">
        <v>545</v>
      </c>
      <c r="H298" s="307" t="s">
        <v>277</v>
      </c>
      <c r="K298" s="315">
        <v>25016</v>
      </c>
      <c r="L298" s="195"/>
      <c r="U298" s="260"/>
      <c r="V298" s="260">
        <v>0.84513888888888899</v>
      </c>
    </row>
    <row r="299" spans="1:24" s="196" customFormat="1" hidden="1" x14ac:dyDescent="0.25">
      <c r="A299" s="262">
        <v>30052023</v>
      </c>
      <c r="B299" s="196" t="s">
        <v>1847</v>
      </c>
      <c r="C299" s="196" t="s">
        <v>693</v>
      </c>
      <c r="D299" s="194">
        <v>45076</v>
      </c>
      <c r="E299"/>
      <c r="F299" s="307" t="s">
        <v>545</v>
      </c>
      <c r="H299" s="307" t="s">
        <v>279</v>
      </c>
      <c r="K299" s="315">
        <v>33560</v>
      </c>
      <c r="L299" s="195"/>
      <c r="T299" s="196" t="s">
        <v>893</v>
      </c>
      <c r="U299" s="260">
        <v>0.87222222222222223</v>
      </c>
      <c r="V299" s="260">
        <v>3.4722222222222224E-2</v>
      </c>
    </row>
    <row r="300" spans="1:24" s="33" customFormat="1" hidden="1" x14ac:dyDescent="0.25">
      <c r="A300" s="281">
        <v>31052023</v>
      </c>
      <c r="B300" s="33" t="s">
        <v>596</v>
      </c>
      <c r="C300" s="33" t="s">
        <v>693</v>
      </c>
      <c r="D300" s="278">
        <v>45077</v>
      </c>
      <c r="E300"/>
      <c r="F300" s="306" t="s">
        <v>236</v>
      </c>
      <c r="H300" s="306" t="s">
        <v>279</v>
      </c>
      <c r="K300" s="312">
        <v>59472</v>
      </c>
      <c r="L300" s="279"/>
      <c r="T300" s="33" t="s">
        <v>1506</v>
      </c>
      <c r="U300" s="280">
        <v>0.26597222222222222</v>
      </c>
      <c r="V300" s="280">
        <v>0.59652777777777777</v>
      </c>
      <c r="X300" s="33" t="s">
        <v>2449</v>
      </c>
    </row>
    <row r="301" spans="1:24" s="196" customFormat="1" hidden="1" x14ac:dyDescent="0.25">
      <c r="A301" s="262">
        <v>31052023</v>
      </c>
      <c r="B301" s="196" t="s">
        <v>1847</v>
      </c>
      <c r="C301" s="196" t="s">
        <v>809</v>
      </c>
      <c r="D301" s="194">
        <v>45077</v>
      </c>
      <c r="E301"/>
      <c r="F301" s="307" t="s">
        <v>545</v>
      </c>
      <c r="H301" s="307" t="s">
        <v>279</v>
      </c>
      <c r="K301" s="315">
        <v>33560</v>
      </c>
      <c r="L301" s="195"/>
      <c r="T301" s="196" t="s">
        <v>1178</v>
      </c>
      <c r="U301" s="260">
        <v>0.30624999999999997</v>
      </c>
      <c r="V301" s="260">
        <v>0.57708333333333328</v>
      </c>
    </row>
    <row r="302" spans="1:24" s="33" customFormat="1" hidden="1" x14ac:dyDescent="0.25">
      <c r="A302" s="281">
        <v>31052023</v>
      </c>
      <c r="B302" s="33" t="s">
        <v>2325</v>
      </c>
      <c r="C302" s="33" t="s">
        <v>410</v>
      </c>
      <c r="D302" s="278">
        <v>45077</v>
      </c>
      <c r="E302"/>
      <c r="F302" s="306" t="s">
        <v>545</v>
      </c>
      <c r="H302" s="306" t="s">
        <v>277</v>
      </c>
      <c r="K302" s="312">
        <v>25016</v>
      </c>
      <c r="L302" s="279"/>
      <c r="T302" s="33" t="s">
        <v>2380</v>
      </c>
      <c r="U302" s="280">
        <v>0.8652777777777777</v>
      </c>
      <c r="V302" s="280">
        <v>0.90069444444444446</v>
      </c>
      <c r="X302" s="33" t="s">
        <v>2449</v>
      </c>
    </row>
    <row r="303" spans="1:24" hidden="1" x14ac:dyDescent="0.25">
      <c r="A303" s="256"/>
      <c r="D303" s="122"/>
      <c r="K303" s="313"/>
      <c r="L303" s="88"/>
      <c r="U303" s="14"/>
      <c r="V303" s="14"/>
    </row>
    <row r="304" spans="1:24" hidden="1" x14ac:dyDescent="0.25">
      <c r="A304" s="256"/>
      <c r="D304" s="122"/>
      <c r="K304" s="313"/>
      <c r="L304" s="88"/>
      <c r="U304" s="14"/>
      <c r="V304" s="14"/>
    </row>
    <row r="305" spans="1:24" hidden="1" x14ac:dyDescent="0.25">
      <c r="A305" s="256"/>
      <c r="D305" s="122"/>
      <c r="K305" s="313"/>
      <c r="L305" s="88"/>
      <c r="U305" s="14"/>
      <c r="V305" s="14"/>
    </row>
    <row r="306" spans="1:24" hidden="1" x14ac:dyDescent="0.25">
      <c r="K306" s="61">
        <f>SUM(K240:K304)</f>
        <v>2045076.4599999995</v>
      </c>
      <c r="L306" s="61">
        <f>SUM(L240:L304)</f>
        <v>30992</v>
      </c>
    </row>
    <row r="307" spans="1:24" hidden="1" x14ac:dyDescent="0.25">
      <c r="L307" s="61"/>
    </row>
    <row r="308" spans="1:24" hidden="1" x14ac:dyDescent="0.25">
      <c r="L308" s="61"/>
    </row>
    <row r="309" spans="1:24" hidden="1" x14ac:dyDescent="0.25">
      <c r="L309" s="61"/>
    </row>
    <row r="310" spans="1:24" hidden="1" x14ac:dyDescent="0.25">
      <c r="L310" s="61"/>
    </row>
    <row r="311" spans="1:24" s="196" customFormat="1" hidden="1" x14ac:dyDescent="0.25">
      <c r="A311" s="270" t="s">
        <v>2438</v>
      </c>
      <c r="B311" s="196" t="s">
        <v>2441</v>
      </c>
      <c r="C311" s="196" t="s">
        <v>693</v>
      </c>
      <c r="D311" s="194">
        <v>45079</v>
      </c>
      <c r="E311"/>
      <c r="F311" s="307" t="s">
        <v>2437</v>
      </c>
      <c r="H311" s="307" t="s">
        <v>279</v>
      </c>
      <c r="K311" s="315">
        <v>25450</v>
      </c>
      <c r="L311" s="195"/>
      <c r="T311" s="196" t="s">
        <v>916</v>
      </c>
      <c r="U311" s="260">
        <v>0.33819444444444446</v>
      </c>
      <c r="V311" s="260">
        <v>0.59791666666666665</v>
      </c>
    </row>
    <row r="312" spans="1:24" s="196" customFormat="1" hidden="1" x14ac:dyDescent="0.25">
      <c r="A312" s="270" t="s">
        <v>2438</v>
      </c>
      <c r="B312" s="196" t="s">
        <v>2442</v>
      </c>
      <c r="C312" s="196" t="s">
        <v>410</v>
      </c>
      <c r="D312" s="194">
        <v>45079</v>
      </c>
      <c r="E312"/>
      <c r="F312" s="307" t="s">
        <v>113</v>
      </c>
      <c r="H312" s="307" t="s">
        <v>279</v>
      </c>
      <c r="K312" s="315">
        <v>39070</v>
      </c>
      <c r="L312" s="195"/>
      <c r="T312" s="196" t="s">
        <v>1644</v>
      </c>
      <c r="U312" s="260">
        <v>0.42569444444444443</v>
      </c>
      <c r="V312" s="260">
        <v>0.64444444444444449</v>
      </c>
    </row>
    <row r="313" spans="1:24" s="393" customFormat="1" hidden="1" x14ac:dyDescent="0.25">
      <c r="A313" s="392" t="s">
        <v>2438</v>
      </c>
      <c r="B313" s="393" t="s">
        <v>762</v>
      </c>
      <c r="C313" s="393" t="s">
        <v>693</v>
      </c>
      <c r="D313" s="394">
        <v>45079</v>
      </c>
      <c r="F313" s="174" t="s">
        <v>872</v>
      </c>
      <c r="H313" s="174" t="s">
        <v>279</v>
      </c>
      <c r="K313" s="395">
        <v>39600</v>
      </c>
      <c r="L313" s="396"/>
      <c r="T313" s="393" t="s">
        <v>916</v>
      </c>
      <c r="U313" s="397">
        <v>0.63888888888888895</v>
      </c>
      <c r="V313" s="397">
        <v>0.80972222222222223</v>
      </c>
      <c r="X313" s="393" t="s">
        <v>2732</v>
      </c>
    </row>
    <row r="314" spans="1:24" s="196" customFormat="1" hidden="1" x14ac:dyDescent="0.25">
      <c r="A314" s="270" t="s">
        <v>2451</v>
      </c>
      <c r="B314" s="196" t="s">
        <v>608</v>
      </c>
      <c r="C314" s="196" t="s">
        <v>410</v>
      </c>
      <c r="D314" s="194">
        <v>45080</v>
      </c>
      <c r="E314"/>
      <c r="F314" s="307" t="s">
        <v>236</v>
      </c>
      <c r="H314" s="307" t="s">
        <v>279</v>
      </c>
      <c r="K314" s="315">
        <v>59472</v>
      </c>
      <c r="L314" s="195"/>
      <c r="T314" s="196" t="s">
        <v>916</v>
      </c>
      <c r="U314" s="260">
        <v>0.53541666666666665</v>
      </c>
      <c r="V314" s="260">
        <v>0.83333333333333337</v>
      </c>
    </row>
    <row r="315" spans="1:24" s="196" customFormat="1" hidden="1" x14ac:dyDescent="0.25">
      <c r="A315" s="270" t="s">
        <v>2451</v>
      </c>
      <c r="B315" s="196" t="s">
        <v>1720</v>
      </c>
      <c r="C315" s="196" t="s">
        <v>809</v>
      </c>
      <c r="D315" s="194">
        <v>45080</v>
      </c>
      <c r="E315"/>
      <c r="F315" s="307" t="s">
        <v>545</v>
      </c>
      <c r="H315" s="307" t="s">
        <v>277</v>
      </c>
      <c r="K315" s="315">
        <v>25016</v>
      </c>
      <c r="L315" s="195"/>
      <c r="T315" s="196" t="s">
        <v>1178</v>
      </c>
      <c r="U315" s="260">
        <v>0.67152777777777783</v>
      </c>
      <c r="V315" s="260">
        <v>0.7319444444444444</v>
      </c>
    </row>
    <row r="316" spans="1:24" s="196" customFormat="1" hidden="1" x14ac:dyDescent="0.25">
      <c r="A316" s="270" t="s">
        <v>2452</v>
      </c>
      <c r="B316" s="196" t="s">
        <v>118</v>
      </c>
      <c r="C316" s="196" t="s">
        <v>693</v>
      </c>
      <c r="D316" s="194">
        <v>45082</v>
      </c>
      <c r="E316"/>
      <c r="F316" s="307" t="s">
        <v>143</v>
      </c>
      <c r="H316" s="307" t="s">
        <v>279</v>
      </c>
      <c r="K316" s="315">
        <v>37200</v>
      </c>
      <c r="L316" s="195"/>
      <c r="T316" s="196" t="s">
        <v>922</v>
      </c>
      <c r="U316" s="260">
        <v>0.51180555555555551</v>
      </c>
      <c r="V316" s="260">
        <v>0.7270833333333333</v>
      </c>
    </row>
    <row r="317" spans="1:24" s="196" customFormat="1" hidden="1" x14ac:dyDescent="0.25">
      <c r="A317" s="270" t="s">
        <v>2466</v>
      </c>
      <c r="B317" s="196" t="s">
        <v>608</v>
      </c>
      <c r="C317" s="196" t="s">
        <v>410</v>
      </c>
      <c r="D317" s="194">
        <v>45083</v>
      </c>
      <c r="E317"/>
      <c r="F317" s="307" t="s">
        <v>236</v>
      </c>
      <c r="H317" s="307" t="s">
        <v>279</v>
      </c>
      <c r="K317" s="315">
        <v>59472</v>
      </c>
      <c r="L317" s="195"/>
      <c r="T317" s="196" t="s">
        <v>929</v>
      </c>
      <c r="U317" s="260">
        <v>0.64722222222222225</v>
      </c>
      <c r="V317" s="260">
        <v>0.9291666666666667</v>
      </c>
    </row>
    <row r="318" spans="1:24" s="196" customFormat="1" hidden="1" x14ac:dyDescent="0.25">
      <c r="A318" s="270" t="s">
        <v>2466</v>
      </c>
      <c r="B318" s="196" t="s">
        <v>2129</v>
      </c>
      <c r="C318" s="196" t="s">
        <v>693</v>
      </c>
      <c r="D318" s="194">
        <v>45083</v>
      </c>
      <c r="E318"/>
      <c r="F318" s="307" t="s">
        <v>236</v>
      </c>
      <c r="H318" s="307" t="s">
        <v>279</v>
      </c>
      <c r="K318" s="315">
        <v>62540</v>
      </c>
      <c r="L318" s="195"/>
      <c r="T318" s="196" t="s">
        <v>1042</v>
      </c>
      <c r="U318" s="260">
        <v>0.64583333333333337</v>
      </c>
      <c r="V318" s="260">
        <v>0.94930555555555562</v>
      </c>
    </row>
    <row r="319" spans="1:24" s="196" customFormat="1" hidden="1" x14ac:dyDescent="0.25">
      <c r="A319" s="270" t="s">
        <v>2466</v>
      </c>
      <c r="B319" s="196" t="s">
        <v>1720</v>
      </c>
      <c r="C319" s="196" t="s">
        <v>809</v>
      </c>
      <c r="D319" s="194">
        <v>45083</v>
      </c>
      <c r="E319"/>
      <c r="F319" s="307" t="s">
        <v>545</v>
      </c>
      <c r="H319" s="307" t="s">
        <v>277</v>
      </c>
      <c r="K319" s="315">
        <v>25016</v>
      </c>
      <c r="L319" s="195"/>
      <c r="T319" s="196" t="s">
        <v>2148</v>
      </c>
      <c r="U319" s="260">
        <v>0.76388888888888884</v>
      </c>
      <c r="V319" s="260">
        <v>0.84375</v>
      </c>
    </row>
    <row r="320" spans="1:24" s="196" customFormat="1" hidden="1" x14ac:dyDescent="0.25">
      <c r="A320" s="270" t="s">
        <v>2470</v>
      </c>
      <c r="B320" s="196" t="s">
        <v>2469</v>
      </c>
      <c r="C320" s="196" t="s">
        <v>693</v>
      </c>
      <c r="D320" s="194">
        <v>45084</v>
      </c>
      <c r="E320"/>
      <c r="F320" s="307" t="s">
        <v>294</v>
      </c>
      <c r="H320" s="307" t="s">
        <v>279</v>
      </c>
      <c r="K320" s="315">
        <v>38161.199999999997</v>
      </c>
      <c r="L320" s="195"/>
      <c r="T320" s="196" t="s">
        <v>2380</v>
      </c>
      <c r="U320" s="260">
        <v>0.35694444444444445</v>
      </c>
      <c r="V320" s="260">
        <v>0.57013888888888886</v>
      </c>
    </row>
    <row r="321" spans="1:24" s="33" customFormat="1" hidden="1" x14ac:dyDescent="0.25">
      <c r="A321" s="277" t="s">
        <v>2470</v>
      </c>
      <c r="B321" s="33" t="s">
        <v>2471</v>
      </c>
      <c r="C321" s="33" t="s">
        <v>410</v>
      </c>
      <c r="D321" s="278">
        <v>45084</v>
      </c>
      <c r="E321"/>
      <c r="F321" s="306" t="s">
        <v>317</v>
      </c>
      <c r="H321" s="306" t="s">
        <v>279</v>
      </c>
      <c r="K321" s="312">
        <f>38656.8+9204</f>
        <v>47860.800000000003</v>
      </c>
      <c r="L321" s="279"/>
      <c r="T321" s="33" t="s">
        <v>1506</v>
      </c>
      <c r="U321" s="280">
        <v>0.31527777777777777</v>
      </c>
      <c r="V321" s="280">
        <v>0.52708333333333335</v>
      </c>
      <c r="X321" s="33" t="s">
        <v>2617</v>
      </c>
    </row>
    <row r="322" spans="1:24" s="196" customFormat="1" hidden="1" x14ac:dyDescent="0.25">
      <c r="A322" s="270" t="s">
        <v>2470</v>
      </c>
      <c r="B322" s="196" t="s">
        <v>586</v>
      </c>
      <c r="C322" s="196" t="s">
        <v>410</v>
      </c>
      <c r="D322" s="194">
        <v>45084</v>
      </c>
      <c r="E322"/>
      <c r="F322" s="307" t="s">
        <v>545</v>
      </c>
      <c r="H322" s="307" t="s">
        <v>279</v>
      </c>
      <c r="K322" s="315">
        <v>33560</v>
      </c>
      <c r="L322" s="195"/>
      <c r="T322" s="196" t="s">
        <v>1506</v>
      </c>
      <c r="U322" s="260">
        <v>0.60972222222222217</v>
      </c>
      <c r="V322" s="260">
        <v>0.78472222222222221</v>
      </c>
    </row>
    <row r="323" spans="1:24" s="33" customFormat="1" hidden="1" x14ac:dyDescent="0.25">
      <c r="A323" s="277" t="s">
        <v>2498</v>
      </c>
      <c r="B323" s="33" t="s">
        <v>2497</v>
      </c>
      <c r="C323" s="33" t="s">
        <v>410</v>
      </c>
      <c r="D323" s="278">
        <v>45085</v>
      </c>
      <c r="E323"/>
      <c r="F323" s="306" t="s">
        <v>143</v>
      </c>
      <c r="H323" s="306" t="s">
        <v>279</v>
      </c>
      <c r="K323" s="312">
        <v>38200</v>
      </c>
      <c r="L323" s="279"/>
      <c r="T323" s="33" t="s">
        <v>1042</v>
      </c>
      <c r="U323" s="280">
        <v>0.24722222222222223</v>
      </c>
      <c r="V323" s="280">
        <v>0.47152777777777777</v>
      </c>
      <c r="X323" s="33" t="s">
        <v>2617</v>
      </c>
    </row>
    <row r="324" spans="1:24" s="393" customFormat="1" hidden="1" x14ac:dyDescent="0.25">
      <c r="A324" s="392" t="s">
        <v>2498</v>
      </c>
      <c r="B324" s="393" t="s">
        <v>762</v>
      </c>
      <c r="C324" s="393" t="s">
        <v>410</v>
      </c>
      <c r="D324" s="394">
        <v>45085</v>
      </c>
      <c r="F324" s="174" t="s">
        <v>872</v>
      </c>
      <c r="H324" s="174" t="s">
        <v>279</v>
      </c>
      <c r="K324" s="395">
        <v>39600</v>
      </c>
      <c r="L324" s="396"/>
      <c r="T324" s="393" t="s">
        <v>1042</v>
      </c>
      <c r="U324" s="397">
        <v>0.52222222222222225</v>
      </c>
      <c r="V324" s="397">
        <v>0.79513888888888884</v>
      </c>
      <c r="X324" s="393" t="s">
        <v>2732</v>
      </c>
    </row>
    <row r="325" spans="1:24" s="196" customFormat="1" hidden="1" x14ac:dyDescent="0.25">
      <c r="A325" s="270" t="s">
        <v>2499</v>
      </c>
      <c r="B325" s="196" t="s">
        <v>1720</v>
      </c>
      <c r="C325" s="196" t="s">
        <v>410</v>
      </c>
      <c r="D325" s="194">
        <v>45086</v>
      </c>
      <c r="E325"/>
      <c r="F325" s="307" t="s">
        <v>545</v>
      </c>
      <c r="H325" s="307" t="s">
        <v>279</v>
      </c>
      <c r="K325" s="315">
        <v>34456</v>
      </c>
      <c r="L325" s="195"/>
      <c r="T325" s="196" t="s">
        <v>2500</v>
      </c>
      <c r="U325" s="260">
        <v>0.67152777777777783</v>
      </c>
      <c r="V325" s="260">
        <v>0.8666666666666667</v>
      </c>
    </row>
    <row r="326" spans="1:24" s="196" customFormat="1" hidden="1" x14ac:dyDescent="0.25">
      <c r="A326" s="262">
        <v>10062023</v>
      </c>
      <c r="B326" s="196" t="s">
        <v>608</v>
      </c>
      <c r="C326" s="196" t="s">
        <v>410</v>
      </c>
      <c r="D326" s="194">
        <v>45087</v>
      </c>
      <c r="E326"/>
      <c r="F326" s="307" t="s">
        <v>236</v>
      </c>
      <c r="H326" s="307" t="s">
        <v>279</v>
      </c>
      <c r="K326" s="315">
        <v>59472</v>
      </c>
      <c r="L326" s="195"/>
      <c r="T326" s="303" t="s">
        <v>1506</v>
      </c>
      <c r="U326" s="260">
        <v>0.33263888888888887</v>
      </c>
      <c r="V326" s="260">
        <v>0.58750000000000002</v>
      </c>
    </row>
    <row r="327" spans="1:24" s="16" customFormat="1" hidden="1" x14ac:dyDescent="0.25">
      <c r="A327" s="354">
        <v>10062023</v>
      </c>
      <c r="B327" s="16" t="s">
        <v>2501</v>
      </c>
      <c r="C327" s="16" t="s">
        <v>693</v>
      </c>
      <c r="D327" s="370">
        <v>45087</v>
      </c>
      <c r="E327" s="13"/>
      <c r="F327" s="355" t="s">
        <v>113</v>
      </c>
      <c r="H327" s="355" t="s">
        <v>279</v>
      </c>
      <c r="K327" s="356"/>
      <c r="L327" s="254"/>
    </row>
    <row r="328" spans="1:24" s="196" customFormat="1" hidden="1" x14ac:dyDescent="0.25">
      <c r="A328" s="262">
        <v>10062023</v>
      </c>
      <c r="B328" s="196" t="s">
        <v>607</v>
      </c>
      <c r="C328" s="196" t="s">
        <v>693</v>
      </c>
      <c r="D328" s="194">
        <v>45087</v>
      </c>
      <c r="E328"/>
      <c r="F328" s="307" t="s">
        <v>207</v>
      </c>
      <c r="H328" s="307" t="s">
        <v>279</v>
      </c>
      <c r="K328" s="315">
        <v>36253.14</v>
      </c>
      <c r="L328" s="195"/>
      <c r="T328" s="196" t="s">
        <v>922</v>
      </c>
      <c r="U328" s="260">
        <v>0.3979166666666667</v>
      </c>
      <c r="V328" s="260">
        <v>0.62361111111111112</v>
      </c>
    </row>
    <row r="329" spans="1:24" s="33" customFormat="1" hidden="1" x14ac:dyDescent="0.25">
      <c r="A329" s="281">
        <v>10062023</v>
      </c>
      <c r="B329" s="33" t="s">
        <v>930</v>
      </c>
      <c r="C329" s="33" t="s">
        <v>809</v>
      </c>
      <c r="D329" s="278">
        <v>45087</v>
      </c>
      <c r="E329"/>
      <c r="F329" s="306" t="s">
        <v>294</v>
      </c>
      <c r="H329" s="306" t="s">
        <v>277</v>
      </c>
      <c r="K329" s="312">
        <v>29075.200000000001</v>
      </c>
      <c r="L329" s="279"/>
      <c r="T329" s="33" t="s">
        <v>1894</v>
      </c>
      <c r="U329" s="280">
        <v>0.58402777777777781</v>
      </c>
      <c r="V329" s="280">
        <v>0.7284722222222223</v>
      </c>
      <c r="X329" s="33" t="s">
        <v>2617</v>
      </c>
    </row>
    <row r="330" spans="1:24" s="196" customFormat="1" hidden="1" x14ac:dyDescent="0.25">
      <c r="A330" s="262">
        <v>10062023</v>
      </c>
      <c r="B330" s="196" t="s">
        <v>1720</v>
      </c>
      <c r="C330" s="196" t="s">
        <v>410</v>
      </c>
      <c r="D330" s="194">
        <v>45087</v>
      </c>
      <c r="E330"/>
      <c r="F330" s="307" t="s">
        <v>545</v>
      </c>
      <c r="H330" s="307" t="s">
        <v>277</v>
      </c>
      <c r="K330" s="315">
        <v>25016</v>
      </c>
      <c r="L330" s="195"/>
      <c r="T330" s="196" t="s">
        <v>916</v>
      </c>
      <c r="U330" s="260">
        <v>0.74861111111111101</v>
      </c>
      <c r="V330" s="260">
        <v>0.86458333333333337</v>
      </c>
    </row>
    <row r="331" spans="1:24" s="196" customFormat="1" hidden="1" x14ac:dyDescent="0.25">
      <c r="A331" s="262">
        <v>11062023</v>
      </c>
      <c r="B331" s="196" t="s">
        <v>608</v>
      </c>
      <c r="C331" s="196" t="s">
        <v>410</v>
      </c>
      <c r="D331" s="194">
        <v>45088</v>
      </c>
      <c r="E331"/>
      <c r="F331" s="307" t="s">
        <v>236</v>
      </c>
      <c r="H331" s="307" t="s">
        <v>279</v>
      </c>
      <c r="K331" s="315">
        <v>59472</v>
      </c>
      <c r="L331" s="195"/>
      <c r="T331" s="196" t="s">
        <v>1816</v>
      </c>
      <c r="U331" s="260">
        <v>0.29236111111111113</v>
      </c>
      <c r="V331" s="260">
        <v>0.58402777777777781</v>
      </c>
    </row>
    <row r="332" spans="1:24" s="196" customFormat="1" hidden="1" x14ac:dyDescent="0.25">
      <c r="A332" s="262">
        <v>11062023</v>
      </c>
      <c r="B332" s="196" t="s">
        <v>608</v>
      </c>
      <c r="C332" s="196" t="s">
        <v>693</v>
      </c>
      <c r="D332" s="194">
        <v>45088</v>
      </c>
      <c r="E332"/>
      <c r="F332" s="307" t="s">
        <v>236</v>
      </c>
      <c r="H332" s="307" t="s">
        <v>279</v>
      </c>
      <c r="K332" s="315">
        <v>59472</v>
      </c>
      <c r="L332" s="195"/>
      <c r="T332" s="196" t="s">
        <v>1029</v>
      </c>
      <c r="U332" s="260">
        <v>0.47500000000000003</v>
      </c>
      <c r="V332" s="260">
        <v>0.83333333333333337</v>
      </c>
    </row>
    <row r="333" spans="1:24" s="264" customFormat="1" hidden="1" x14ac:dyDescent="0.25">
      <c r="A333" s="263">
        <v>12062023</v>
      </c>
      <c r="B333" s="264" t="s">
        <v>1847</v>
      </c>
      <c r="C333" s="264" t="s">
        <v>410</v>
      </c>
      <c r="D333" s="265">
        <v>45089</v>
      </c>
      <c r="E333"/>
      <c r="F333" s="309" t="s">
        <v>545</v>
      </c>
      <c r="H333" s="309" t="s">
        <v>277</v>
      </c>
      <c r="K333" s="318">
        <v>20800</v>
      </c>
      <c r="L333" s="266"/>
      <c r="T333" s="264" t="s">
        <v>916</v>
      </c>
      <c r="U333" s="267">
        <v>0.31041666666666667</v>
      </c>
      <c r="V333" s="267">
        <v>0.4291666666666667</v>
      </c>
    </row>
    <row r="334" spans="1:24" s="16" customFormat="1" hidden="1" x14ac:dyDescent="0.25">
      <c r="A334" s="354">
        <v>12062023</v>
      </c>
      <c r="B334" s="16" t="s">
        <v>1847</v>
      </c>
      <c r="C334" s="16" t="s">
        <v>693</v>
      </c>
      <c r="D334" s="370">
        <v>45089</v>
      </c>
      <c r="E334" s="13"/>
      <c r="F334" s="355" t="s">
        <v>2502</v>
      </c>
      <c r="H334" s="355"/>
      <c r="K334" s="356">
        <v>0</v>
      </c>
      <c r="L334" s="254"/>
      <c r="T334" s="16" t="s">
        <v>1644</v>
      </c>
      <c r="U334" s="367">
        <v>0.30763888888888891</v>
      </c>
    </row>
    <row r="335" spans="1:24" s="393" customFormat="1" hidden="1" x14ac:dyDescent="0.25">
      <c r="A335" s="398">
        <v>12062023</v>
      </c>
      <c r="B335" s="393" t="s">
        <v>762</v>
      </c>
      <c r="C335" s="393" t="s">
        <v>693</v>
      </c>
      <c r="D335" s="394">
        <v>45089</v>
      </c>
      <c r="F335" s="174" t="s">
        <v>872</v>
      </c>
      <c r="H335" s="174" t="s">
        <v>279</v>
      </c>
      <c r="K335" s="395">
        <v>39600</v>
      </c>
      <c r="L335" s="396"/>
      <c r="T335" s="393" t="s">
        <v>1644</v>
      </c>
      <c r="U335" s="397">
        <v>0.55972222222222223</v>
      </c>
      <c r="V335" s="397">
        <v>0.70763888888888893</v>
      </c>
      <c r="X335" s="393" t="s">
        <v>2732</v>
      </c>
    </row>
    <row r="336" spans="1:24" s="33" customFormat="1" hidden="1" x14ac:dyDescent="0.25">
      <c r="A336" s="281">
        <v>13062023</v>
      </c>
      <c r="B336" s="33" t="s">
        <v>930</v>
      </c>
      <c r="C336" s="33" t="s">
        <v>809</v>
      </c>
      <c r="D336" s="278">
        <v>45090</v>
      </c>
      <c r="E336"/>
      <c r="F336" s="306" t="s">
        <v>294</v>
      </c>
      <c r="H336" s="306" t="s">
        <v>277</v>
      </c>
      <c r="K336" s="312">
        <v>29075.200000000001</v>
      </c>
      <c r="L336" s="279"/>
      <c r="T336" s="33" t="s">
        <v>894</v>
      </c>
      <c r="U336" s="280">
        <v>0.51736111111111105</v>
      </c>
      <c r="V336" s="280">
        <v>0.6791666666666667</v>
      </c>
      <c r="X336" s="33" t="s">
        <v>2617</v>
      </c>
    </row>
    <row r="337" spans="1:24" s="393" customFormat="1" hidden="1" x14ac:dyDescent="0.25">
      <c r="A337" s="398">
        <v>14062023</v>
      </c>
      <c r="B337" s="393" t="s">
        <v>762</v>
      </c>
      <c r="C337" s="393" t="s">
        <v>693</v>
      </c>
      <c r="D337" s="394">
        <v>45091</v>
      </c>
      <c r="F337" s="174" t="s">
        <v>872</v>
      </c>
      <c r="H337" s="174" t="s">
        <v>279</v>
      </c>
      <c r="K337" s="395">
        <v>39600</v>
      </c>
      <c r="L337" s="396"/>
      <c r="T337" s="393" t="s">
        <v>1225</v>
      </c>
      <c r="U337" s="397">
        <v>0.53680555555555554</v>
      </c>
      <c r="V337" s="397">
        <v>0.75763888888888886</v>
      </c>
      <c r="X337" s="393" t="s">
        <v>2732</v>
      </c>
    </row>
    <row r="338" spans="1:24" s="196" customFormat="1" hidden="1" x14ac:dyDescent="0.25">
      <c r="A338" s="262">
        <v>14062023</v>
      </c>
      <c r="B338" s="196" t="s">
        <v>1720</v>
      </c>
      <c r="C338" s="196" t="s">
        <v>809</v>
      </c>
      <c r="D338" s="194">
        <v>45091</v>
      </c>
      <c r="E338"/>
      <c r="F338" s="307" t="s">
        <v>545</v>
      </c>
      <c r="H338" s="307" t="s">
        <v>277</v>
      </c>
      <c r="K338" s="315">
        <v>25016</v>
      </c>
      <c r="L338" s="195"/>
      <c r="T338" s="196" t="s">
        <v>894</v>
      </c>
      <c r="U338" s="260">
        <v>0.73541666666666661</v>
      </c>
      <c r="V338" s="260">
        <v>0.78472222222222221</v>
      </c>
    </row>
    <row r="339" spans="1:24" s="196" customFormat="1" hidden="1" x14ac:dyDescent="0.25">
      <c r="A339" s="262">
        <v>15062023</v>
      </c>
      <c r="B339" s="196" t="s">
        <v>608</v>
      </c>
      <c r="C339" s="196" t="s">
        <v>410</v>
      </c>
      <c r="D339" s="194">
        <v>45092</v>
      </c>
      <c r="E339"/>
      <c r="F339" s="307" t="s">
        <v>236</v>
      </c>
      <c r="H339" s="307" t="s">
        <v>279</v>
      </c>
      <c r="K339" s="315">
        <v>59472</v>
      </c>
      <c r="L339" s="195"/>
      <c r="T339" s="196" t="s">
        <v>795</v>
      </c>
      <c r="U339" s="260">
        <v>0.26250000000000001</v>
      </c>
      <c r="V339" s="260">
        <v>0.56388888888888888</v>
      </c>
    </row>
    <row r="340" spans="1:24" s="196" customFormat="1" hidden="1" x14ac:dyDescent="0.25">
      <c r="A340" s="262">
        <v>15062023</v>
      </c>
      <c r="B340" s="196" t="s">
        <v>1720</v>
      </c>
      <c r="C340" s="196" t="s">
        <v>693</v>
      </c>
      <c r="D340" s="194">
        <v>45092</v>
      </c>
      <c r="E340"/>
      <c r="F340" s="307" t="s">
        <v>545</v>
      </c>
      <c r="H340" s="307" t="s">
        <v>279</v>
      </c>
      <c r="K340" s="315">
        <v>34456</v>
      </c>
      <c r="L340" s="195"/>
      <c r="T340" s="196" t="s">
        <v>1816</v>
      </c>
      <c r="U340" s="260">
        <v>0.57500000000000007</v>
      </c>
      <c r="V340" s="260">
        <v>0.80902777777777779</v>
      </c>
    </row>
    <row r="341" spans="1:24" s="33" customFormat="1" hidden="1" x14ac:dyDescent="0.25">
      <c r="A341" s="281">
        <v>15062023</v>
      </c>
      <c r="B341" s="33" t="s">
        <v>930</v>
      </c>
      <c r="C341" s="33" t="s">
        <v>410</v>
      </c>
      <c r="D341" s="278">
        <v>45092</v>
      </c>
      <c r="E341"/>
      <c r="F341" s="306" t="s">
        <v>295</v>
      </c>
      <c r="H341" s="306" t="s">
        <v>277</v>
      </c>
      <c r="K341" s="312">
        <v>38161.199999999997</v>
      </c>
      <c r="L341" s="279"/>
      <c r="T341" s="33" t="s">
        <v>1042</v>
      </c>
      <c r="U341" s="280">
        <v>0.69305555555555554</v>
      </c>
      <c r="V341" s="280">
        <v>0.94374999999999998</v>
      </c>
      <c r="X341" s="33" t="s">
        <v>2617</v>
      </c>
    </row>
    <row r="342" spans="1:24" s="196" customFormat="1" hidden="1" x14ac:dyDescent="0.25">
      <c r="A342" s="262">
        <v>16062023</v>
      </c>
      <c r="B342" s="196" t="s">
        <v>608</v>
      </c>
      <c r="C342" s="196" t="s">
        <v>693</v>
      </c>
      <c r="D342" s="194">
        <v>45093</v>
      </c>
      <c r="E342"/>
      <c r="F342" s="307" t="s">
        <v>236</v>
      </c>
      <c r="H342" s="307" t="s">
        <v>279</v>
      </c>
      <c r="K342" s="315">
        <v>59472</v>
      </c>
      <c r="L342" s="195"/>
      <c r="T342" s="196" t="s">
        <v>1506</v>
      </c>
      <c r="U342" s="260">
        <v>6.9444444444444447E-4</v>
      </c>
      <c r="V342" s="260">
        <v>0.31944444444444448</v>
      </c>
    </row>
    <row r="343" spans="1:24" s="33" customFormat="1" hidden="1" x14ac:dyDescent="0.25">
      <c r="A343" s="281">
        <v>16062023</v>
      </c>
      <c r="B343" s="33" t="s">
        <v>576</v>
      </c>
      <c r="C343" s="33" t="s">
        <v>410</v>
      </c>
      <c r="D343" s="278">
        <v>45093</v>
      </c>
      <c r="E343"/>
      <c r="F343" s="306" t="s">
        <v>285</v>
      </c>
      <c r="H343" s="306" t="s">
        <v>279</v>
      </c>
      <c r="K343" s="312">
        <v>47200</v>
      </c>
      <c r="L343" s="279"/>
      <c r="T343" s="33" t="s">
        <v>2380</v>
      </c>
      <c r="U343" s="280">
        <v>0.41319444444444442</v>
      </c>
      <c r="V343" s="280">
        <v>0.68055555555555547</v>
      </c>
      <c r="X343" s="33" t="s">
        <v>2617</v>
      </c>
    </row>
    <row r="344" spans="1:24" s="120" customFormat="1" hidden="1" x14ac:dyDescent="0.25">
      <c r="A344" s="337">
        <v>16062023</v>
      </c>
      <c r="B344" s="120" t="s">
        <v>2129</v>
      </c>
      <c r="C344" s="120" t="s">
        <v>693</v>
      </c>
      <c r="D344" s="333">
        <v>45093</v>
      </c>
      <c r="E344"/>
      <c r="F344" s="334" t="s">
        <v>236</v>
      </c>
      <c r="H344" s="334" t="s">
        <v>279</v>
      </c>
      <c r="K344" s="335">
        <v>62540</v>
      </c>
      <c r="L344" s="150"/>
      <c r="T344" s="120" t="s">
        <v>916</v>
      </c>
      <c r="U344" s="336">
        <v>0.7090277777777777</v>
      </c>
      <c r="V344" s="336">
        <v>0.51597222222222217</v>
      </c>
      <c r="X344" s="120" t="s">
        <v>2732</v>
      </c>
    </row>
    <row r="345" spans="1:24" s="196" customFormat="1" hidden="1" x14ac:dyDescent="0.25">
      <c r="A345" s="262">
        <v>16062023</v>
      </c>
      <c r="B345" s="196" t="s">
        <v>1720</v>
      </c>
      <c r="C345" s="196" t="s">
        <v>410</v>
      </c>
      <c r="D345" s="194">
        <v>45093</v>
      </c>
      <c r="E345"/>
      <c r="F345" s="307" t="s">
        <v>545</v>
      </c>
      <c r="H345" s="307" t="s">
        <v>277</v>
      </c>
      <c r="K345" s="315">
        <v>25016</v>
      </c>
      <c r="L345" s="195"/>
      <c r="T345" s="196" t="s">
        <v>922</v>
      </c>
      <c r="U345" s="260">
        <v>0.75347222222222221</v>
      </c>
      <c r="V345" s="260">
        <v>0.89722222222222225</v>
      </c>
    </row>
    <row r="346" spans="1:24" s="196" customFormat="1" hidden="1" x14ac:dyDescent="0.25">
      <c r="A346" s="262">
        <v>17062023</v>
      </c>
      <c r="B346" s="196" t="s">
        <v>2527</v>
      </c>
      <c r="C346" s="196" t="s">
        <v>693</v>
      </c>
      <c r="D346" s="194">
        <v>45094</v>
      </c>
      <c r="E346"/>
      <c r="F346" s="307" t="s">
        <v>285</v>
      </c>
      <c r="H346" s="307" t="s">
        <v>279</v>
      </c>
      <c r="K346" s="315">
        <v>45430</v>
      </c>
      <c r="L346" s="195"/>
      <c r="T346" s="196" t="s">
        <v>1225</v>
      </c>
      <c r="U346" s="260">
        <v>0.26805555555555555</v>
      </c>
      <c r="V346" s="260">
        <v>0.5493055555555556</v>
      </c>
    </row>
    <row r="347" spans="1:24" s="196" customFormat="1" hidden="1" x14ac:dyDescent="0.25">
      <c r="A347" s="262">
        <v>17062023</v>
      </c>
      <c r="B347" s="196" t="s">
        <v>1720</v>
      </c>
      <c r="C347" s="196" t="s">
        <v>410</v>
      </c>
      <c r="D347" s="194">
        <v>45094</v>
      </c>
      <c r="E347"/>
      <c r="F347" s="307" t="s">
        <v>545</v>
      </c>
      <c r="H347" s="307" t="s">
        <v>279</v>
      </c>
      <c r="K347" s="315">
        <v>34456</v>
      </c>
      <c r="L347" s="195"/>
      <c r="T347" s="196" t="s">
        <v>1644</v>
      </c>
      <c r="U347" s="260">
        <v>0.30416666666666664</v>
      </c>
      <c r="V347" s="260">
        <v>0.51736111111111105</v>
      </c>
    </row>
    <row r="348" spans="1:24" s="33" customFormat="1" hidden="1" x14ac:dyDescent="0.25">
      <c r="A348" s="281">
        <v>17062023</v>
      </c>
      <c r="B348" s="33" t="s">
        <v>608</v>
      </c>
      <c r="C348" s="33" t="s">
        <v>693</v>
      </c>
      <c r="D348" s="278">
        <v>45094</v>
      </c>
      <c r="E348"/>
      <c r="F348" s="306" t="s">
        <v>236</v>
      </c>
      <c r="H348" s="306" t="s">
        <v>279</v>
      </c>
      <c r="K348" s="312">
        <v>59472</v>
      </c>
      <c r="L348" s="279"/>
      <c r="T348" s="280" t="s">
        <v>916</v>
      </c>
      <c r="U348" s="280">
        <v>0.70763888888888893</v>
      </c>
      <c r="V348" s="280">
        <v>0.50624999999999998</v>
      </c>
      <c r="X348" s="33" t="s">
        <v>2617</v>
      </c>
    </row>
    <row r="349" spans="1:24" s="196" customFormat="1" hidden="1" x14ac:dyDescent="0.25">
      <c r="A349" s="262">
        <v>18062023</v>
      </c>
      <c r="B349" s="196" t="s">
        <v>1720</v>
      </c>
      <c r="C349" s="196" t="s">
        <v>410</v>
      </c>
      <c r="D349" s="194">
        <v>45095</v>
      </c>
      <c r="E349"/>
      <c r="F349" s="307" t="s">
        <v>545</v>
      </c>
      <c r="H349" s="307" t="s">
        <v>279</v>
      </c>
      <c r="K349" s="315">
        <v>34456</v>
      </c>
      <c r="L349" s="195"/>
      <c r="T349" s="260" t="s">
        <v>2380</v>
      </c>
      <c r="U349" s="260">
        <v>0.60763888888888895</v>
      </c>
      <c r="V349" s="260">
        <v>0.8041666666666667</v>
      </c>
    </row>
    <row r="350" spans="1:24" s="33" customFormat="1" hidden="1" x14ac:dyDescent="0.25">
      <c r="A350" s="281">
        <v>19062023</v>
      </c>
      <c r="B350" s="33" t="s">
        <v>608</v>
      </c>
      <c r="C350" s="33" t="s">
        <v>410</v>
      </c>
      <c r="D350" s="278">
        <v>45096</v>
      </c>
      <c r="E350"/>
      <c r="F350" s="306" t="s">
        <v>236</v>
      </c>
      <c r="H350" s="306" t="s">
        <v>279</v>
      </c>
      <c r="K350" s="312">
        <v>59472</v>
      </c>
      <c r="L350" s="279"/>
      <c r="T350" s="280" t="s">
        <v>893</v>
      </c>
      <c r="U350" s="280">
        <v>0.59930555555555554</v>
      </c>
      <c r="V350" s="280">
        <v>0.86597222222222225</v>
      </c>
      <c r="X350" s="33" t="s">
        <v>2617</v>
      </c>
    </row>
    <row r="351" spans="1:24" s="33" customFormat="1" hidden="1" x14ac:dyDescent="0.25">
      <c r="A351" s="281">
        <v>19062023</v>
      </c>
      <c r="B351" s="33" t="s">
        <v>930</v>
      </c>
      <c r="C351" s="33" t="s">
        <v>693</v>
      </c>
      <c r="D351" s="278">
        <v>45096</v>
      </c>
      <c r="E351"/>
      <c r="F351" s="306" t="s">
        <v>294</v>
      </c>
      <c r="H351" s="306" t="s">
        <v>279</v>
      </c>
      <c r="K351" s="312">
        <v>36344</v>
      </c>
      <c r="L351" s="279"/>
      <c r="T351" s="280" t="s">
        <v>1506</v>
      </c>
      <c r="U351" s="280">
        <v>0.65347222222222223</v>
      </c>
      <c r="V351" s="280">
        <v>0.93472222222222223</v>
      </c>
      <c r="X351" s="33" t="s">
        <v>2617</v>
      </c>
    </row>
    <row r="352" spans="1:24" s="264" customFormat="1" hidden="1" x14ac:dyDescent="0.25">
      <c r="A352" s="263">
        <v>19062023</v>
      </c>
      <c r="B352" s="264" t="s">
        <v>583</v>
      </c>
      <c r="C352" s="264" t="s">
        <v>809</v>
      </c>
      <c r="D352" s="265">
        <v>45096</v>
      </c>
      <c r="E352"/>
      <c r="F352" s="309" t="s">
        <v>573</v>
      </c>
      <c r="H352" s="309" t="s">
        <v>277</v>
      </c>
      <c r="K352" s="318">
        <v>26400</v>
      </c>
      <c r="L352" s="266"/>
      <c r="T352" s="264" t="s">
        <v>894</v>
      </c>
      <c r="U352" s="267">
        <v>0.59513888888888888</v>
      </c>
      <c r="V352" s="267">
        <v>0.77986111111111101</v>
      </c>
    </row>
    <row r="353" spans="1:24" s="33" customFormat="1" hidden="1" x14ac:dyDescent="0.25">
      <c r="A353" s="281">
        <v>20062023</v>
      </c>
      <c r="B353" s="33" t="s">
        <v>608</v>
      </c>
      <c r="C353" s="33" t="s">
        <v>410</v>
      </c>
      <c r="D353" s="278">
        <v>45097</v>
      </c>
      <c r="E353"/>
      <c r="F353" s="306" t="s">
        <v>236</v>
      </c>
      <c r="H353" s="306" t="s">
        <v>279</v>
      </c>
      <c r="K353" s="312">
        <v>59472</v>
      </c>
      <c r="L353" s="279"/>
      <c r="T353" s="280" t="s">
        <v>916</v>
      </c>
      <c r="U353" s="280">
        <v>0.43055555555555558</v>
      </c>
      <c r="V353" s="280">
        <v>0.70277777777777783</v>
      </c>
      <c r="X353" s="33" t="s">
        <v>2617</v>
      </c>
    </row>
    <row r="354" spans="1:24" s="33" customFormat="1" hidden="1" x14ac:dyDescent="0.25">
      <c r="A354" s="281">
        <v>21062023</v>
      </c>
      <c r="B354" s="33" t="s">
        <v>2367</v>
      </c>
      <c r="C354" s="33" t="s">
        <v>410</v>
      </c>
      <c r="D354" s="278">
        <v>45098</v>
      </c>
      <c r="E354"/>
      <c r="F354" s="306" t="s">
        <v>1985</v>
      </c>
      <c r="H354" s="306" t="s">
        <v>279</v>
      </c>
      <c r="K354" s="312">
        <v>55516</v>
      </c>
      <c r="L354" s="279"/>
      <c r="T354" s="280" t="s">
        <v>893</v>
      </c>
      <c r="U354" s="280">
        <v>0.26041666666666669</v>
      </c>
      <c r="V354" s="280">
        <v>0.60277777777777775</v>
      </c>
      <c r="X354" s="33" t="s">
        <v>2617</v>
      </c>
    </row>
    <row r="355" spans="1:24" s="393" customFormat="1" hidden="1" x14ac:dyDescent="0.25">
      <c r="A355" s="398">
        <v>21062023</v>
      </c>
      <c r="B355" s="393" t="s">
        <v>762</v>
      </c>
      <c r="C355" s="393" t="s">
        <v>693</v>
      </c>
      <c r="D355" s="394">
        <v>45098</v>
      </c>
      <c r="F355" s="174" t="s">
        <v>872</v>
      </c>
      <c r="H355" s="174" t="s">
        <v>279</v>
      </c>
      <c r="K355" s="395">
        <v>39600</v>
      </c>
      <c r="L355" s="396"/>
      <c r="T355" s="397" t="s">
        <v>1029</v>
      </c>
      <c r="U355" s="397">
        <v>0.3125</v>
      </c>
      <c r="V355" s="397">
        <v>0.55555555555555558</v>
      </c>
      <c r="X355" s="393" t="s">
        <v>2732</v>
      </c>
    </row>
    <row r="356" spans="1:24" s="264" customFormat="1" hidden="1" x14ac:dyDescent="0.25">
      <c r="A356" s="263">
        <v>21062023</v>
      </c>
      <c r="B356" s="264" t="s">
        <v>583</v>
      </c>
      <c r="C356" s="264" t="s">
        <v>809</v>
      </c>
      <c r="D356" s="265">
        <v>45098</v>
      </c>
      <c r="E356"/>
      <c r="F356" s="309" t="s">
        <v>2173</v>
      </c>
      <c r="H356" s="309" t="s">
        <v>277</v>
      </c>
      <c r="K356" s="318">
        <v>23300</v>
      </c>
      <c r="L356" s="266"/>
      <c r="T356" s="267" t="s">
        <v>894</v>
      </c>
      <c r="U356" s="267">
        <v>0.3430555555555555</v>
      </c>
      <c r="V356" s="267">
        <v>0.4375</v>
      </c>
    </row>
    <row r="357" spans="1:24" s="120" customFormat="1" hidden="1" x14ac:dyDescent="0.25">
      <c r="A357" s="337">
        <v>21062023</v>
      </c>
      <c r="B357" s="120" t="s">
        <v>2555</v>
      </c>
      <c r="C357" s="120" t="s">
        <v>809</v>
      </c>
      <c r="D357" s="333">
        <v>45098</v>
      </c>
      <c r="F357" s="334" t="s">
        <v>106</v>
      </c>
      <c r="H357" s="334" t="s">
        <v>279</v>
      </c>
      <c r="K357" s="335">
        <v>26910</v>
      </c>
      <c r="L357" s="150"/>
      <c r="T357" s="336" t="s">
        <v>894</v>
      </c>
      <c r="U357" s="336">
        <v>0.4770833333333333</v>
      </c>
      <c r="V357" s="336">
        <v>0.66180555555555554</v>
      </c>
      <c r="X357" s="393" t="s">
        <v>2732</v>
      </c>
    </row>
    <row r="358" spans="1:24" s="196" customFormat="1" hidden="1" x14ac:dyDescent="0.25">
      <c r="A358" s="262">
        <v>22062023</v>
      </c>
      <c r="B358" s="196" t="s">
        <v>586</v>
      </c>
      <c r="C358" s="196" t="s">
        <v>693</v>
      </c>
      <c r="D358" s="194">
        <v>45099</v>
      </c>
      <c r="E358"/>
      <c r="F358" s="307" t="s">
        <v>545</v>
      </c>
      <c r="H358" s="307" t="s">
        <v>279</v>
      </c>
      <c r="K358" s="315">
        <v>33560</v>
      </c>
      <c r="L358" s="195"/>
      <c r="T358" s="260" t="s">
        <v>1225</v>
      </c>
      <c r="U358" s="260">
        <v>0.30416666666666664</v>
      </c>
      <c r="V358" s="260">
        <v>0.50763888888888886</v>
      </c>
    </row>
    <row r="359" spans="1:24" s="196" customFormat="1" hidden="1" x14ac:dyDescent="0.25">
      <c r="A359" s="262">
        <v>22062023</v>
      </c>
      <c r="B359" s="196" t="s">
        <v>1720</v>
      </c>
      <c r="C359" s="196" t="s">
        <v>809</v>
      </c>
      <c r="D359" s="194">
        <v>45099</v>
      </c>
      <c r="E359"/>
      <c r="F359" s="307" t="s">
        <v>545</v>
      </c>
      <c r="H359" s="307" t="s">
        <v>277</v>
      </c>
      <c r="K359" s="315">
        <v>25016</v>
      </c>
      <c r="L359" s="195"/>
      <c r="T359" s="260" t="s">
        <v>2571</v>
      </c>
      <c r="U359" s="260">
        <v>0.69513888888888886</v>
      </c>
      <c r="V359" s="260">
        <v>0.75416666666666676</v>
      </c>
    </row>
    <row r="360" spans="1:24" s="33" customFormat="1" hidden="1" x14ac:dyDescent="0.25">
      <c r="A360" s="281">
        <v>23062023</v>
      </c>
      <c r="B360" s="33" t="s">
        <v>2562</v>
      </c>
      <c r="C360" s="33" t="s">
        <v>410</v>
      </c>
      <c r="D360" s="278">
        <v>45100</v>
      </c>
      <c r="E360"/>
      <c r="F360" s="306" t="s">
        <v>2561</v>
      </c>
      <c r="H360" s="306" t="s">
        <v>279</v>
      </c>
      <c r="K360" s="312">
        <v>27258</v>
      </c>
      <c r="L360" s="279"/>
      <c r="T360" s="280" t="s">
        <v>1656</v>
      </c>
      <c r="U360" s="280">
        <v>0.40833333333333338</v>
      </c>
      <c r="V360" s="280">
        <v>0.51041666666666663</v>
      </c>
      <c r="X360" s="33" t="s">
        <v>2617</v>
      </c>
    </row>
    <row r="361" spans="1:24" s="196" customFormat="1" hidden="1" x14ac:dyDescent="0.25">
      <c r="A361" s="262">
        <v>23062023</v>
      </c>
      <c r="B361" s="196" t="s">
        <v>1720</v>
      </c>
      <c r="C361" s="196" t="s">
        <v>809</v>
      </c>
      <c r="D361" s="194">
        <v>45100</v>
      </c>
      <c r="E361"/>
      <c r="F361" s="307" t="s">
        <v>545</v>
      </c>
      <c r="H361" s="307" t="s">
        <v>277</v>
      </c>
      <c r="K361" s="315">
        <v>25016</v>
      </c>
      <c r="L361" s="195"/>
      <c r="T361" s="260" t="s">
        <v>894</v>
      </c>
      <c r="U361" s="260">
        <v>0.56111111111111112</v>
      </c>
      <c r="V361" s="260">
        <v>0.62013888888888891</v>
      </c>
    </row>
    <row r="362" spans="1:24" s="196" customFormat="1" hidden="1" x14ac:dyDescent="0.25">
      <c r="A362" s="262">
        <v>23062023</v>
      </c>
      <c r="B362" s="196" t="s">
        <v>1720</v>
      </c>
      <c r="C362" s="196" t="s">
        <v>693</v>
      </c>
      <c r="D362" s="194">
        <v>45100</v>
      </c>
      <c r="E362"/>
      <c r="F362" s="307" t="s">
        <v>545</v>
      </c>
      <c r="H362" s="307" t="s">
        <v>277</v>
      </c>
      <c r="K362" s="315">
        <v>25016</v>
      </c>
      <c r="L362" s="195"/>
      <c r="T362" s="260" t="s">
        <v>1225</v>
      </c>
      <c r="U362" s="260">
        <v>0.84513888888888899</v>
      </c>
      <c r="V362" s="260">
        <v>0.96319444444444446</v>
      </c>
    </row>
    <row r="363" spans="1:24" s="33" customFormat="1" hidden="1" x14ac:dyDescent="0.25">
      <c r="A363" s="281">
        <v>23062023</v>
      </c>
      <c r="B363" s="33" t="s">
        <v>118</v>
      </c>
      <c r="C363" s="33" t="s">
        <v>410</v>
      </c>
      <c r="D363" s="278">
        <v>45100</v>
      </c>
      <c r="E363"/>
      <c r="F363" s="306" t="s">
        <v>143</v>
      </c>
      <c r="H363" s="306" t="s">
        <v>279</v>
      </c>
      <c r="K363" s="312">
        <v>37200</v>
      </c>
      <c r="L363" s="279"/>
      <c r="T363" s="280" t="s">
        <v>922</v>
      </c>
      <c r="U363" s="280">
        <v>0.76111111111111107</v>
      </c>
      <c r="V363" s="280">
        <v>0.98125000000000007</v>
      </c>
      <c r="X363" s="33" t="s">
        <v>2617</v>
      </c>
    </row>
    <row r="364" spans="1:24" s="196" customFormat="1" hidden="1" x14ac:dyDescent="0.25">
      <c r="A364" s="262">
        <v>24062023</v>
      </c>
      <c r="B364" s="196" t="s">
        <v>615</v>
      </c>
      <c r="C364" s="196" t="s">
        <v>410</v>
      </c>
      <c r="D364" s="194">
        <v>45101</v>
      </c>
      <c r="E364"/>
      <c r="F364" s="307" t="s">
        <v>207</v>
      </c>
      <c r="H364" s="307" t="s">
        <v>277</v>
      </c>
      <c r="K364" s="315">
        <v>7080</v>
      </c>
      <c r="L364" s="195"/>
      <c r="T364" s="260" t="s">
        <v>916</v>
      </c>
      <c r="U364" s="260">
        <v>0.57291666666666663</v>
      </c>
      <c r="V364" s="260">
        <v>0.75902777777777775</v>
      </c>
    </row>
    <row r="365" spans="1:24" s="196" customFormat="1" hidden="1" x14ac:dyDescent="0.25">
      <c r="A365" s="262">
        <v>25062023</v>
      </c>
      <c r="B365" s="196" t="s">
        <v>1720</v>
      </c>
      <c r="C365" s="196" t="s">
        <v>410</v>
      </c>
      <c r="D365" s="194">
        <v>45102</v>
      </c>
      <c r="E365"/>
      <c r="F365" s="307" t="s">
        <v>545</v>
      </c>
      <c r="H365" s="307" t="s">
        <v>277</v>
      </c>
      <c r="K365" s="315">
        <v>25016</v>
      </c>
      <c r="L365" s="195"/>
      <c r="T365" s="260" t="s">
        <v>893</v>
      </c>
      <c r="U365" s="260">
        <v>0.7270833333333333</v>
      </c>
      <c r="V365" s="260">
        <v>0.90277777777777779</v>
      </c>
    </row>
    <row r="366" spans="1:24" s="196" customFormat="1" hidden="1" x14ac:dyDescent="0.25">
      <c r="A366" s="262">
        <v>26062023</v>
      </c>
      <c r="B366" s="196" t="s">
        <v>1720</v>
      </c>
      <c r="C366" s="196" t="s">
        <v>410</v>
      </c>
      <c r="D366" s="194">
        <v>45103</v>
      </c>
      <c r="E366"/>
      <c r="F366" s="307" t="s">
        <v>545</v>
      </c>
      <c r="H366" s="307" t="s">
        <v>277</v>
      </c>
      <c r="K366" s="315">
        <v>25016</v>
      </c>
      <c r="L366" s="195"/>
      <c r="T366" s="260" t="s">
        <v>1029</v>
      </c>
      <c r="U366" s="260">
        <v>0.80694444444444446</v>
      </c>
      <c r="V366" s="260">
        <v>0.84513888888888899</v>
      </c>
    </row>
    <row r="367" spans="1:24" s="33" customFormat="1" hidden="1" x14ac:dyDescent="0.25">
      <c r="A367" s="281">
        <v>27062023</v>
      </c>
      <c r="B367" s="33" t="s">
        <v>2469</v>
      </c>
      <c r="C367" s="33" t="s">
        <v>410</v>
      </c>
      <c r="D367" s="278">
        <v>45104</v>
      </c>
      <c r="E367"/>
      <c r="F367" s="306" t="s">
        <v>294</v>
      </c>
      <c r="H367" s="306" t="s">
        <v>279</v>
      </c>
      <c r="K367" s="312">
        <v>36500</v>
      </c>
      <c r="L367" s="279"/>
      <c r="T367" s="280" t="s">
        <v>916</v>
      </c>
      <c r="U367" s="280">
        <v>0.47569444444444442</v>
      </c>
      <c r="V367" s="280">
        <v>0.67013888888888884</v>
      </c>
      <c r="X367" s="33" t="s">
        <v>2617</v>
      </c>
    </row>
    <row r="368" spans="1:24" s="33" customFormat="1" hidden="1" x14ac:dyDescent="0.25">
      <c r="A368" s="281">
        <v>28062023</v>
      </c>
      <c r="B368" s="33" t="s">
        <v>586</v>
      </c>
      <c r="C368" s="33" t="s">
        <v>410</v>
      </c>
      <c r="D368" s="278">
        <v>45105</v>
      </c>
      <c r="E368"/>
      <c r="F368" s="306" t="s">
        <v>545</v>
      </c>
      <c r="H368" s="306" t="s">
        <v>279</v>
      </c>
      <c r="K368" s="312">
        <v>33560</v>
      </c>
      <c r="L368" s="279"/>
      <c r="T368" s="280" t="s">
        <v>1029</v>
      </c>
      <c r="U368" s="280">
        <v>0.65416666666666667</v>
      </c>
      <c r="V368" s="280">
        <v>0.83333333333333337</v>
      </c>
      <c r="X368" s="33" t="s">
        <v>2617</v>
      </c>
    </row>
    <row r="369" spans="1:24" s="33" customFormat="1" hidden="1" x14ac:dyDescent="0.25">
      <c r="A369" s="281">
        <v>30062023</v>
      </c>
      <c r="B369" s="33" t="s">
        <v>607</v>
      </c>
      <c r="C369" s="33" t="s">
        <v>13</v>
      </c>
      <c r="D369" s="278">
        <v>45107</v>
      </c>
      <c r="E369"/>
      <c r="F369" s="306" t="s">
        <v>1930</v>
      </c>
      <c r="H369" s="306" t="s">
        <v>279</v>
      </c>
      <c r="K369" s="312">
        <v>36253.14</v>
      </c>
      <c r="L369" s="279"/>
      <c r="T369" s="280" t="s">
        <v>929</v>
      </c>
      <c r="U369" s="280">
        <v>0.25486111111111109</v>
      </c>
      <c r="V369" s="280">
        <v>0.51666666666666672</v>
      </c>
      <c r="X369" s="33" t="s">
        <v>2617</v>
      </c>
    </row>
    <row r="370" spans="1:24" hidden="1" x14ac:dyDescent="0.25">
      <c r="A370" s="256">
        <v>30062023</v>
      </c>
      <c r="B370" t="s">
        <v>874</v>
      </c>
      <c r="C370" t="s">
        <v>410</v>
      </c>
      <c r="D370" s="122">
        <v>45107</v>
      </c>
      <c r="F370" s="28" t="s">
        <v>674</v>
      </c>
      <c r="H370" s="28" t="s">
        <v>874</v>
      </c>
      <c r="K370" s="61">
        <v>0</v>
      </c>
      <c r="T370" s="14" t="s">
        <v>922</v>
      </c>
    </row>
    <row r="371" spans="1:24" hidden="1" x14ac:dyDescent="0.25">
      <c r="A371" s="256"/>
      <c r="D371" s="122"/>
      <c r="K371" s="61">
        <f>SUBTOTAL(9,K321:K370)</f>
        <v>0</v>
      </c>
      <c r="T371" s="14"/>
      <c r="U371" s="14"/>
      <c r="V371" s="14"/>
    </row>
    <row r="372" spans="1:24" hidden="1" x14ac:dyDescent="0.25">
      <c r="A372" s="95"/>
      <c r="D372" s="122"/>
    </row>
    <row r="373" spans="1:24" hidden="1" x14ac:dyDescent="0.25">
      <c r="D373" s="122"/>
    </row>
    <row r="374" spans="1:24" hidden="1" x14ac:dyDescent="0.25">
      <c r="D374" s="122"/>
      <c r="L374" s="91"/>
    </row>
    <row r="375" spans="1:24" hidden="1" x14ac:dyDescent="0.25">
      <c r="D375" s="122"/>
      <c r="M375" s="377"/>
    </row>
    <row r="376" spans="1:24" hidden="1" x14ac:dyDescent="0.25"/>
    <row r="377" spans="1:24" s="196" customFormat="1" hidden="1" x14ac:dyDescent="0.25">
      <c r="A377" s="262" t="s">
        <v>2580</v>
      </c>
      <c r="B377" s="196" t="s">
        <v>608</v>
      </c>
      <c r="C377" s="196" t="s">
        <v>13</v>
      </c>
      <c r="D377" s="194">
        <v>45108</v>
      </c>
      <c r="E377"/>
      <c r="F377" s="307" t="s">
        <v>236</v>
      </c>
      <c r="H377" s="307" t="s">
        <v>279</v>
      </c>
      <c r="K377" s="315">
        <v>59472</v>
      </c>
      <c r="L377" s="195"/>
      <c r="T377" s="260" t="s">
        <v>2581</v>
      </c>
      <c r="U377" s="260">
        <v>0.65833333333333333</v>
      </c>
      <c r="V377" s="260">
        <v>0.95833333333333337</v>
      </c>
    </row>
    <row r="378" spans="1:24" s="120" customFormat="1" hidden="1" x14ac:dyDescent="0.25">
      <c r="A378" s="337" t="s">
        <v>2584</v>
      </c>
      <c r="B378" s="120" t="s">
        <v>2129</v>
      </c>
      <c r="C378" s="120" t="s">
        <v>13</v>
      </c>
      <c r="D378" s="333">
        <v>45109</v>
      </c>
      <c r="F378" s="334" t="s">
        <v>236</v>
      </c>
      <c r="H378" s="334" t="s">
        <v>279</v>
      </c>
      <c r="K378" s="335">
        <v>62540</v>
      </c>
      <c r="L378" s="150"/>
      <c r="T378" s="336" t="s">
        <v>1816</v>
      </c>
      <c r="U378" s="336">
        <v>0.3298611111111111</v>
      </c>
      <c r="V378" s="336">
        <v>0.67361111111111116</v>
      </c>
    </row>
    <row r="379" spans="1:24" s="196" customFormat="1" hidden="1" x14ac:dyDescent="0.25">
      <c r="A379" s="262" t="s">
        <v>2591</v>
      </c>
      <c r="B379" s="196" t="s">
        <v>2593</v>
      </c>
      <c r="C379" s="196" t="s">
        <v>410</v>
      </c>
      <c r="D379" s="194">
        <v>45112</v>
      </c>
      <c r="E379"/>
      <c r="F379" s="307" t="s">
        <v>2342</v>
      </c>
      <c r="H379" s="307" t="s">
        <v>277</v>
      </c>
      <c r="K379" s="315"/>
      <c r="L379" s="195">
        <v>4720</v>
      </c>
      <c r="T379" s="260" t="s">
        <v>2592</v>
      </c>
      <c r="U379" s="260">
        <v>0.37638888888888888</v>
      </c>
      <c r="V379" s="260">
        <v>0.56319444444444444</v>
      </c>
    </row>
    <row r="380" spans="1:24" s="196" customFormat="1" hidden="1" x14ac:dyDescent="0.25">
      <c r="A380" s="262" t="s">
        <v>2591</v>
      </c>
      <c r="B380" s="196" t="s">
        <v>572</v>
      </c>
      <c r="C380" s="196" t="s">
        <v>13</v>
      </c>
      <c r="D380" s="194">
        <v>45112</v>
      </c>
      <c r="E380"/>
      <c r="F380" s="307" t="s">
        <v>285</v>
      </c>
      <c r="H380" s="307" t="s">
        <v>277</v>
      </c>
      <c r="K380" s="315"/>
      <c r="L380" s="195">
        <v>9440</v>
      </c>
      <c r="T380" s="196" t="s">
        <v>1029</v>
      </c>
      <c r="U380" s="260">
        <v>0.36527777777777781</v>
      </c>
      <c r="V380" s="260">
        <v>0.65069444444444446</v>
      </c>
    </row>
    <row r="381" spans="1:24" s="196" customFormat="1" hidden="1" x14ac:dyDescent="0.25">
      <c r="A381" s="262" t="s">
        <v>2589</v>
      </c>
      <c r="B381" s="196" t="s">
        <v>1080</v>
      </c>
      <c r="C381" s="196" t="s">
        <v>410</v>
      </c>
      <c r="D381" s="194">
        <v>45113</v>
      </c>
      <c r="E381"/>
      <c r="F381" s="307" t="s">
        <v>2595</v>
      </c>
      <c r="H381" s="307" t="s">
        <v>279</v>
      </c>
      <c r="K381" s="315">
        <v>38055</v>
      </c>
      <c r="L381" s="195"/>
      <c r="T381" s="260" t="s">
        <v>893</v>
      </c>
      <c r="U381" s="260">
        <v>0.54236111111111118</v>
      </c>
      <c r="V381" s="260">
        <v>0.74652777777777779</v>
      </c>
    </row>
    <row r="382" spans="1:24" s="196" customFormat="1" hidden="1" x14ac:dyDescent="0.25">
      <c r="A382" s="262" t="s">
        <v>2589</v>
      </c>
      <c r="B382" s="196" t="s">
        <v>608</v>
      </c>
      <c r="C382" s="196" t="s">
        <v>13</v>
      </c>
      <c r="D382" s="194">
        <v>45113</v>
      </c>
      <c r="E382"/>
      <c r="F382" s="307" t="s">
        <v>236</v>
      </c>
      <c r="H382" s="307" t="s">
        <v>279</v>
      </c>
      <c r="K382" s="315">
        <v>59472</v>
      </c>
      <c r="L382" s="195"/>
      <c r="T382" s="260" t="s">
        <v>989</v>
      </c>
      <c r="U382" s="260">
        <v>0.55138888888888882</v>
      </c>
      <c r="V382" s="260">
        <v>0.85833333333333339</v>
      </c>
    </row>
    <row r="383" spans="1:24" s="196" customFormat="1" hidden="1" x14ac:dyDescent="0.25">
      <c r="A383" s="262" t="s">
        <v>2589</v>
      </c>
      <c r="B383" s="196" t="s">
        <v>608</v>
      </c>
      <c r="C383" s="196" t="s">
        <v>410</v>
      </c>
      <c r="D383" s="194">
        <v>45113</v>
      </c>
      <c r="E383"/>
      <c r="F383" s="307" t="s">
        <v>236</v>
      </c>
      <c r="H383" s="307" t="s">
        <v>279</v>
      </c>
      <c r="K383" s="315">
        <v>59472</v>
      </c>
      <c r="L383" s="195"/>
      <c r="T383" s="260" t="s">
        <v>795</v>
      </c>
      <c r="U383" s="260">
        <v>0.78472222222222221</v>
      </c>
      <c r="V383" s="260">
        <v>5.6250000000000001E-2</v>
      </c>
    </row>
    <row r="384" spans="1:24" s="196" customFormat="1" hidden="1" x14ac:dyDescent="0.25">
      <c r="A384" s="262" t="s">
        <v>2589</v>
      </c>
      <c r="B384" s="196" t="s">
        <v>1720</v>
      </c>
      <c r="C384" s="307">
        <v>828</v>
      </c>
      <c r="D384" s="194">
        <v>45113</v>
      </c>
      <c r="E384"/>
      <c r="F384" s="307" t="s">
        <v>545</v>
      </c>
      <c r="H384" s="307" t="s">
        <v>277</v>
      </c>
      <c r="K384" s="315">
        <v>25016</v>
      </c>
      <c r="L384" s="195"/>
      <c r="T384" s="260" t="s">
        <v>2597</v>
      </c>
      <c r="U384" s="260">
        <v>0.7680555555555556</v>
      </c>
      <c r="V384" s="260">
        <v>0.91249999999999998</v>
      </c>
    </row>
    <row r="385" spans="1:22" s="196" customFormat="1" hidden="1" x14ac:dyDescent="0.25">
      <c r="A385" s="262" t="s">
        <v>2596</v>
      </c>
      <c r="B385" s="196" t="s">
        <v>572</v>
      </c>
      <c r="C385" s="196" t="s">
        <v>410</v>
      </c>
      <c r="D385" s="194">
        <v>45114</v>
      </c>
      <c r="E385"/>
      <c r="F385" s="307" t="s">
        <v>545</v>
      </c>
      <c r="H385" s="307" t="s">
        <v>277</v>
      </c>
      <c r="K385" s="315"/>
      <c r="L385" s="195">
        <f>2.6*2000*1.18</f>
        <v>6136</v>
      </c>
      <c r="T385" s="260" t="s">
        <v>1816</v>
      </c>
      <c r="U385" s="260">
        <v>0.53125</v>
      </c>
      <c r="V385" s="260">
        <v>0.6777777777777777</v>
      </c>
    </row>
    <row r="386" spans="1:22" s="196" customFormat="1" hidden="1" x14ac:dyDescent="0.25">
      <c r="A386" s="262" t="s">
        <v>2596</v>
      </c>
      <c r="B386" s="196" t="s">
        <v>608</v>
      </c>
      <c r="C386" s="196" t="s">
        <v>410</v>
      </c>
      <c r="D386" s="194">
        <v>45114</v>
      </c>
      <c r="E386"/>
      <c r="F386" s="307" t="s">
        <v>236</v>
      </c>
      <c r="H386" s="307" t="s">
        <v>279</v>
      </c>
      <c r="K386" s="315">
        <v>59472</v>
      </c>
      <c r="L386" s="195"/>
      <c r="T386" s="260" t="s">
        <v>1816</v>
      </c>
      <c r="U386" s="260">
        <v>0.71875</v>
      </c>
      <c r="V386" s="260">
        <v>6.9444444444444441E-3</v>
      </c>
    </row>
    <row r="387" spans="1:22" s="196" customFormat="1" hidden="1" x14ac:dyDescent="0.25">
      <c r="A387" s="262" t="s">
        <v>2596</v>
      </c>
      <c r="B387" s="196" t="s">
        <v>1720</v>
      </c>
      <c r="C387" s="196" t="s">
        <v>809</v>
      </c>
      <c r="D387" s="194">
        <v>45114</v>
      </c>
      <c r="E387"/>
      <c r="F387" s="307" t="s">
        <v>545</v>
      </c>
      <c r="H387" s="307" t="s">
        <v>277</v>
      </c>
      <c r="K387" s="315">
        <v>25016</v>
      </c>
      <c r="L387" s="195"/>
      <c r="T387" s="260" t="s">
        <v>1894</v>
      </c>
      <c r="U387" s="260">
        <v>0.8340277777777777</v>
      </c>
      <c r="V387" s="260">
        <v>0.90972222222222221</v>
      </c>
    </row>
    <row r="388" spans="1:22" s="196" customFormat="1" hidden="1" x14ac:dyDescent="0.25">
      <c r="A388" s="262" t="s">
        <v>2599</v>
      </c>
      <c r="B388" s="196" t="s">
        <v>2598</v>
      </c>
      <c r="C388" s="196" t="s">
        <v>809</v>
      </c>
      <c r="D388" s="194">
        <v>45115</v>
      </c>
      <c r="E388"/>
      <c r="F388" s="307" t="s">
        <v>143</v>
      </c>
      <c r="H388" s="307" t="s">
        <v>279</v>
      </c>
      <c r="K388" s="315">
        <v>37170</v>
      </c>
      <c r="L388" s="195"/>
      <c r="T388" s="260" t="s">
        <v>1894</v>
      </c>
      <c r="U388" s="260">
        <v>0.26874999999999999</v>
      </c>
      <c r="V388" s="260">
        <v>0.52777777777777779</v>
      </c>
    </row>
    <row r="389" spans="1:22" s="196" customFormat="1" hidden="1" x14ac:dyDescent="0.25">
      <c r="A389" s="262" t="s">
        <v>2599</v>
      </c>
      <c r="B389" s="196" t="s">
        <v>610</v>
      </c>
      <c r="C389" s="196" t="s">
        <v>410</v>
      </c>
      <c r="D389" s="194">
        <v>45115</v>
      </c>
      <c r="E389"/>
      <c r="F389" s="307" t="s">
        <v>106</v>
      </c>
      <c r="H389" s="307" t="s">
        <v>279</v>
      </c>
      <c r="K389" s="315">
        <v>29770</v>
      </c>
      <c r="L389" s="195"/>
      <c r="T389" s="260" t="s">
        <v>916</v>
      </c>
      <c r="U389" s="260">
        <v>0.32500000000000001</v>
      </c>
      <c r="V389" s="260">
        <v>0.52986111111111112</v>
      </c>
    </row>
    <row r="390" spans="1:22" s="196" customFormat="1" hidden="1" x14ac:dyDescent="0.25">
      <c r="A390" s="262" t="s">
        <v>2599</v>
      </c>
      <c r="B390" s="196" t="s">
        <v>1720</v>
      </c>
      <c r="C390" s="196" t="s">
        <v>410</v>
      </c>
      <c r="D390" s="194">
        <v>45115</v>
      </c>
      <c r="E390"/>
      <c r="F390" s="307" t="s">
        <v>545</v>
      </c>
      <c r="H390" s="307" t="s">
        <v>277</v>
      </c>
      <c r="K390" s="315">
        <v>25016</v>
      </c>
      <c r="L390" s="195"/>
      <c r="T390" s="260" t="s">
        <v>1816</v>
      </c>
      <c r="U390" s="260">
        <v>0.76944444444444438</v>
      </c>
      <c r="V390" s="260">
        <v>0.91041666666666676</v>
      </c>
    </row>
    <row r="391" spans="1:22" s="196" customFormat="1" hidden="1" x14ac:dyDescent="0.25">
      <c r="A391" s="262" t="s">
        <v>2600</v>
      </c>
      <c r="B391" s="196" t="s">
        <v>1720</v>
      </c>
      <c r="C391" s="196" t="s">
        <v>13</v>
      </c>
      <c r="D391" s="194">
        <v>45116</v>
      </c>
      <c r="E391"/>
      <c r="F391" s="307" t="s">
        <v>545</v>
      </c>
      <c r="H391" s="307" t="s">
        <v>277</v>
      </c>
      <c r="K391" s="315">
        <v>25016</v>
      </c>
      <c r="L391" s="195"/>
      <c r="T391" s="260" t="s">
        <v>893</v>
      </c>
      <c r="U391" s="260">
        <v>0.72569444444444453</v>
      </c>
      <c r="V391" s="260">
        <v>0.90972222222222221</v>
      </c>
    </row>
    <row r="392" spans="1:22" s="196" customFormat="1" hidden="1" x14ac:dyDescent="0.25">
      <c r="A392" s="262">
        <v>10072023</v>
      </c>
      <c r="B392" s="196" t="s">
        <v>1800</v>
      </c>
      <c r="C392" s="196" t="s">
        <v>13</v>
      </c>
      <c r="D392" s="194">
        <v>45117</v>
      </c>
      <c r="E392"/>
      <c r="F392" s="307" t="s">
        <v>1985</v>
      </c>
      <c r="H392" s="307" t="s">
        <v>279</v>
      </c>
      <c r="K392" s="315"/>
      <c r="L392" s="195">
        <v>14000</v>
      </c>
      <c r="T392" s="260" t="s">
        <v>1029</v>
      </c>
      <c r="U392" s="260">
        <v>0.5708333333333333</v>
      </c>
      <c r="V392" s="260">
        <v>0.91041666666666676</v>
      </c>
    </row>
    <row r="393" spans="1:22" s="264" customFormat="1" hidden="1" x14ac:dyDescent="0.25">
      <c r="A393" s="263">
        <v>10072023</v>
      </c>
      <c r="B393" s="264" t="s">
        <v>583</v>
      </c>
      <c r="C393" s="264" t="s">
        <v>410</v>
      </c>
      <c r="D393" s="265">
        <v>45117</v>
      </c>
      <c r="E393"/>
      <c r="F393" s="309" t="s">
        <v>2095</v>
      </c>
      <c r="H393" s="309" t="s">
        <v>279</v>
      </c>
      <c r="K393" s="318">
        <v>52000</v>
      </c>
      <c r="L393" s="266"/>
      <c r="T393" s="267" t="s">
        <v>916</v>
      </c>
      <c r="U393" s="267">
        <v>0.57430555555555551</v>
      </c>
      <c r="V393" s="267">
        <v>0.75069444444444444</v>
      </c>
    </row>
    <row r="394" spans="1:22" s="196" customFormat="1" hidden="1" x14ac:dyDescent="0.25">
      <c r="A394" s="262">
        <v>10072023</v>
      </c>
      <c r="B394" s="196" t="s">
        <v>2606</v>
      </c>
      <c r="C394" s="196" t="s">
        <v>410</v>
      </c>
      <c r="D394" s="194">
        <v>45117</v>
      </c>
      <c r="E394"/>
      <c r="F394" s="307" t="s">
        <v>285</v>
      </c>
      <c r="H394" s="307" t="s">
        <v>279</v>
      </c>
      <c r="K394" s="315">
        <v>47200</v>
      </c>
      <c r="L394" s="195"/>
      <c r="T394" s="260" t="s">
        <v>916</v>
      </c>
      <c r="U394" s="260">
        <v>0.82916666666666661</v>
      </c>
      <c r="V394" s="260">
        <v>3.5416666666666666E-2</v>
      </c>
    </row>
    <row r="395" spans="1:22" s="196" customFormat="1" hidden="1" x14ac:dyDescent="0.25">
      <c r="A395" s="262">
        <v>10072023</v>
      </c>
      <c r="B395" s="196" t="s">
        <v>1720</v>
      </c>
      <c r="C395" s="196" t="s">
        <v>809</v>
      </c>
      <c r="D395" s="194">
        <v>45117</v>
      </c>
      <c r="E395"/>
      <c r="F395" s="307" t="s">
        <v>545</v>
      </c>
      <c r="H395" s="307" t="s">
        <v>277</v>
      </c>
      <c r="K395" s="315">
        <v>25016</v>
      </c>
      <c r="L395" s="195"/>
      <c r="T395" s="260" t="s">
        <v>1894</v>
      </c>
      <c r="U395" s="260">
        <v>0.88263888888888886</v>
      </c>
      <c r="V395" s="260">
        <v>0.94374999999999998</v>
      </c>
    </row>
    <row r="396" spans="1:22" s="196" customFormat="1" hidden="1" x14ac:dyDescent="0.25">
      <c r="A396" s="262">
        <v>11072023</v>
      </c>
      <c r="B396" s="196" t="s">
        <v>608</v>
      </c>
      <c r="C396" s="196" t="s">
        <v>410</v>
      </c>
      <c r="D396" s="194">
        <v>45118</v>
      </c>
      <c r="E396"/>
      <c r="F396" s="307" t="s">
        <v>236</v>
      </c>
      <c r="H396" s="307" t="s">
        <v>279</v>
      </c>
      <c r="K396" s="315">
        <v>59472</v>
      </c>
      <c r="L396" s="195"/>
      <c r="T396" s="260" t="s">
        <v>1029</v>
      </c>
      <c r="U396" s="260">
        <v>0.42222222222222222</v>
      </c>
      <c r="V396" s="260">
        <v>0.7583333333333333</v>
      </c>
    </row>
    <row r="397" spans="1:22" s="196" customFormat="1" hidden="1" x14ac:dyDescent="0.25">
      <c r="A397" s="262">
        <v>11072023</v>
      </c>
      <c r="B397" s="196" t="s">
        <v>607</v>
      </c>
      <c r="C397" s="196" t="s">
        <v>13</v>
      </c>
      <c r="D397" s="194">
        <v>45118</v>
      </c>
      <c r="E397"/>
      <c r="F397" s="307" t="s">
        <v>207</v>
      </c>
      <c r="H397" s="307" t="s">
        <v>279</v>
      </c>
      <c r="K397" s="315">
        <v>36253.14</v>
      </c>
      <c r="L397" s="195"/>
      <c r="T397" s="260" t="s">
        <v>1644</v>
      </c>
      <c r="U397" s="260">
        <v>0.33819444444444446</v>
      </c>
      <c r="V397" s="260">
        <v>0.6020833333333333</v>
      </c>
    </row>
    <row r="398" spans="1:22" s="196" customFormat="1" hidden="1" x14ac:dyDescent="0.25">
      <c r="A398" s="262">
        <v>11072023</v>
      </c>
      <c r="B398" s="196" t="s">
        <v>608</v>
      </c>
      <c r="C398" s="196" t="s">
        <v>13</v>
      </c>
      <c r="D398" s="194">
        <v>45118</v>
      </c>
      <c r="E398"/>
      <c r="F398" s="307" t="s">
        <v>236</v>
      </c>
      <c r="H398" s="307" t="s">
        <v>279</v>
      </c>
      <c r="K398" s="315">
        <v>59472</v>
      </c>
      <c r="L398" s="195"/>
      <c r="T398" s="260" t="s">
        <v>929</v>
      </c>
      <c r="U398" s="260">
        <v>0.6958333333333333</v>
      </c>
      <c r="V398" s="260">
        <v>0.99097222222222225</v>
      </c>
    </row>
    <row r="399" spans="1:22" s="196" customFormat="1" hidden="1" x14ac:dyDescent="0.25">
      <c r="A399" s="262">
        <v>12072023</v>
      </c>
      <c r="B399" s="196" t="s">
        <v>586</v>
      </c>
      <c r="C399" s="196" t="s">
        <v>13</v>
      </c>
      <c r="D399" s="194">
        <v>45119</v>
      </c>
      <c r="E399"/>
      <c r="F399" s="307" t="s">
        <v>545</v>
      </c>
      <c r="H399" s="307" t="s">
        <v>279</v>
      </c>
      <c r="K399" s="315">
        <v>33560</v>
      </c>
      <c r="L399" s="195"/>
      <c r="T399" s="260" t="s">
        <v>1644</v>
      </c>
      <c r="U399" s="260">
        <v>0.33680555555555558</v>
      </c>
      <c r="V399" s="260">
        <v>0.52083333333333337</v>
      </c>
    </row>
    <row r="400" spans="1:22" s="196" customFormat="1" hidden="1" x14ac:dyDescent="0.25">
      <c r="A400" s="262">
        <v>13072023</v>
      </c>
      <c r="B400" s="196" t="s">
        <v>2129</v>
      </c>
      <c r="C400" s="196" t="s">
        <v>13</v>
      </c>
      <c r="D400" s="194">
        <v>45120</v>
      </c>
      <c r="E400"/>
      <c r="F400" s="307" t="s">
        <v>236</v>
      </c>
      <c r="H400" s="307" t="s">
        <v>279</v>
      </c>
      <c r="K400" s="315">
        <v>62540</v>
      </c>
      <c r="L400" s="195"/>
      <c r="T400" s="260" t="s">
        <v>916</v>
      </c>
      <c r="U400" s="260">
        <v>0.28888888888888892</v>
      </c>
      <c r="V400" s="260">
        <v>0.62152777777777779</v>
      </c>
    </row>
    <row r="401" spans="1:24" s="196" customFormat="1" hidden="1" x14ac:dyDescent="0.25">
      <c r="A401" s="262">
        <v>13072023</v>
      </c>
      <c r="B401" s="196" t="s">
        <v>586</v>
      </c>
      <c r="C401" s="196" t="s">
        <v>410</v>
      </c>
      <c r="D401" s="194">
        <v>45120</v>
      </c>
      <c r="E401"/>
      <c r="F401" s="307" t="s">
        <v>545</v>
      </c>
      <c r="H401" s="307" t="s">
        <v>279</v>
      </c>
      <c r="K401" s="315">
        <v>33560</v>
      </c>
      <c r="L401" s="195"/>
      <c r="T401" s="260" t="s">
        <v>1029</v>
      </c>
      <c r="U401" s="260">
        <v>0.31875000000000003</v>
      </c>
      <c r="V401" s="260">
        <v>0.50486111111111109</v>
      </c>
    </row>
    <row r="402" spans="1:24" s="264" customFormat="1" hidden="1" x14ac:dyDescent="0.25">
      <c r="A402" s="263">
        <v>16072023</v>
      </c>
      <c r="B402" s="264" t="s">
        <v>583</v>
      </c>
      <c r="C402" s="264" t="s">
        <v>13</v>
      </c>
      <c r="D402" s="265">
        <v>45123</v>
      </c>
      <c r="E402"/>
      <c r="F402" s="309" t="s">
        <v>2095</v>
      </c>
      <c r="H402" s="309" t="s">
        <v>279</v>
      </c>
      <c r="K402" s="318">
        <v>52000</v>
      </c>
      <c r="L402" s="266"/>
      <c r="T402" s="267" t="s">
        <v>1644</v>
      </c>
      <c r="U402" s="267">
        <v>0.29583333333333334</v>
      </c>
      <c r="V402" s="267">
        <v>0.6743055555555556</v>
      </c>
    </row>
    <row r="403" spans="1:24" s="33" customFormat="1" hidden="1" x14ac:dyDescent="0.25">
      <c r="A403" s="281">
        <v>17072023</v>
      </c>
      <c r="B403" s="33" t="s">
        <v>2630</v>
      </c>
      <c r="C403" s="33" t="s">
        <v>13</v>
      </c>
      <c r="D403" s="278">
        <v>45124</v>
      </c>
      <c r="F403" s="306" t="s">
        <v>236</v>
      </c>
      <c r="H403" s="306" t="s">
        <v>279</v>
      </c>
      <c r="K403" s="312">
        <v>62540</v>
      </c>
      <c r="L403" s="279"/>
      <c r="T403" s="280" t="s">
        <v>916</v>
      </c>
      <c r="U403" s="280">
        <v>0.88402777777777775</v>
      </c>
      <c r="V403" s="280">
        <v>0.18680555555555556</v>
      </c>
      <c r="X403" s="33" t="s">
        <v>2732</v>
      </c>
    </row>
    <row r="404" spans="1:24" s="33" customFormat="1" hidden="1" x14ac:dyDescent="0.25">
      <c r="A404" s="281">
        <v>19072023</v>
      </c>
      <c r="B404" s="33" t="s">
        <v>2227</v>
      </c>
      <c r="C404" s="33" t="s">
        <v>13</v>
      </c>
      <c r="D404" s="278">
        <v>45126</v>
      </c>
      <c r="F404" s="306" t="s">
        <v>106</v>
      </c>
      <c r="H404" s="306" t="s">
        <v>279</v>
      </c>
      <c r="K404" s="312">
        <v>26910</v>
      </c>
      <c r="L404" s="279"/>
      <c r="T404" s="280" t="s">
        <v>922</v>
      </c>
      <c r="U404" s="280">
        <v>0.24097222222222223</v>
      </c>
      <c r="V404" s="280">
        <v>0.41944444444444445</v>
      </c>
      <c r="X404" s="33" t="s">
        <v>2732</v>
      </c>
    </row>
    <row r="405" spans="1:24" s="33" customFormat="1" hidden="1" x14ac:dyDescent="0.25">
      <c r="A405" s="281">
        <v>20072023</v>
      </c>
      <c r="B405" s="33" t="s">
        <v>2367</v>
      </c>
      <c r="C405" s="33" t="s">
        <v>13</v>
      </c>
      <c r="D405" s="278">
        <v>45127</v>
      </c>
      <c r="F405" s="306" t="s">
        <v>1985</v>
      </c>
      <c r="H405" s="306" t="s">
        <v>279</v>
      </c>
      <c r="K405" s="312">
        <v>55516</v>
      </c>
      <c r="L405" s="279"/>
      <c r="T405" s="280" t="s">
        <v>1506</v>
      </c>
      <c r="U405" s="280">
        <v>0.54236111111111118</v>
      </c>
      <c r="V405" s="280">
        <v>0.86319444444444438</v>
      </c>
      <c r="X405" s="33" t="s">
        <v>2732</v>
      </c>
    </row>
    <row r="406" spans="1:24" s="196" customFormat="1" hidden="1" x14ac:dyDescent="0.25">
      <c r="A406" s="262">
        <v>20072023</v>
      </c>
      <c r="B406" s="196" t="s">
        <v>586</v>
      </c>
      <c r="C406" s="196" t="s">
        <v>410</v>
      </c>
      <c r="D406" s="194">
        <v>45127</v>
      </c>
      <c r="E406"/>
      <c r="F406" s="307" t="s">
        <v>545</v>
      </c>
      <c r="H406" s="307" t="s">
        <v>279</v>
      </c>
      <c r="K406" s="315">
        <v>33560</v>
      </c>
      <c r="L406" s="195"/>
      <c r="T406" s="260" t="s">
        <v>916</v>
      </c>
      <c r="U406" s="260">
        <v>0.69652777777777775</v>
      </c>
      <c r="V406" s="260">
        <v>0.87986111111111109</v>
      </c>
    </row>
    <row r="407" spans="1:24" s="196" customFormat="1" hidden="1" x14ac:dyDescent="0.25">
      <c r="A407" s="262">
        <v>20072023</v>
      </c>
      <c r="B407" s="196" t="s">
        <v>1720</v>
      </c>
      <c r="C407" s="196" t="s">
        <v>809</v>
      </c>
      <c r="D407" s="194">
        <v>45127</v>
      </c>
      <c r="E407"/>
      <c r="F407" s="307" t="s">
        <v>545</v>
      </c>
      <c r="H407" s="307" t="s">
        <v>277</v>
      </c>
      <c r="K407" s="315">
        <v>25016</v>
      </c>
      <c r="L407" s="195"/>
      <c r="T407" s="260" t="s">
        <v>894</v>
      </c>
      <c r="U407" s="260">
        <v>0.75069444444444444</v>
      </c>
      <c r="V407" s="260">
        <v>0.80694444444444446</v>
      </c>
    </row>
    <row r="408" spans="1:24" s="196" customFormat="1" hidden="1" x14ac:dyDescent="0.25">
      <c r="A408" s="262">
        <v>21072023</v>
      </c>
      <c r="B408" s="196" t="s">
        <v>2652</v>
      </c>
      <c r="C408" s="196" t="s">
        <v>13</v>
      </c>
      <c r="D408" s="194">
        <v>45128</v>
      </c>
      <c r="E408"/>
      <c r="F408" s="307" t="s">
        <v>545</v>
      </c>
      <c r="H408" s="307" t="s">
        <v>279</v>
      </c>
      <c r="K408" s="315">
        <v>33560</v>
      </c>
      <c r="L408" s="195"/>
      <c r="T408" s="260" t="s">
        <v>922</v>
      </c>
      <c r="U408" s="260">
        <v>0.52638888888888891</v>
      </c>
      <c r="V408" s="260">
        <v>0.69652777777777775</v>
      </c>
    </row>
    <row r="409" spans="1:24" s="196" customFormat="1" hidden="1" x14ac:dyDescent="0.25">
      <c r="A409" s="262">
        <v>21072023</v>
      </c>
      <c r="B409" s="196" t="s">
        <v>930</v>
      </c>
      <c r="C409" s="196" t="s">
        <v>410</v>
      </c>
      <c r="D409" s="194">
        <v>45128</v>
      </c>
      <c r="E409"/>
      <c r="F409" s="307" t="s">
        <v>294</v>
      </c>
      <c r="H409" s="307" t="s">
        <v>277</v>
      </c>
      <c r="K409" s="315">
        <v>29070</v>
      </c>
      <c r="L409" s="195"/>
      <c r="T409" s="260" t="s">
        <v>916</v>
      </c>
      <c r="U409" s="260">
        <v>0.63055555555555554</v>
      </c>
      <c r="V409" s="260">
        <v>0.80069444444444438</v>
      </c>
    </row>
    <row r="410" spans="1:24" s="196" customFormat="1" hidden="1" x14ac:dyDescent="0.25">
      <c r="A410" s="262">
        <v>21072023</v>
      </c>
      <c r="B410" s="196" t="s">
        <v>1720</v>
      </c>
      <c r="C410" s="196" t="s">
        <v>13</v>
      </c>
      <c r="D410" s="194">
        <v>45128</v>
      </c>
      <c r="E410"/>
      <c r="F410" s="307" t="s">
        <v>545</v>
      </c>
      <c r="H410" s="307" t="s">
        <v>279</v>
      </c>
      <c r="K410" s="315">
        <v>34456</v>
      </c>
      <c r="L410" s="195"/>
      <c r="T410" s="260" t="s">
        <v>922</v>
      </c>
      <c r="U410" s="260">
        <v>0.74791666666666667</v>
      </c>
      <c r="V410" s="260">
        <v>0.89444444444444438</v>
      </c>
    </row>
    <row r="411" spans="1:24" s="456" customFormat="1" hidden="1" x14ac:dyDescent="0.25">
      <c r="A411" s="455">
        <v>22072023</v>
      </c>
      <c r="B411" s="456" t="s">
        <v>2651</v>
      </c>
      <c r="C411" s="456" t="s">
        <v>13</v>
      </c>
      <c r="D411" s="457">
        <v>45129</v>
      </c>
      <c r="F411" s="458" t="s">
        <v>2253</v>
      </c>
      <c r="H411" s="458" t="s">
        <v>279</v>
      </c>
      <c r="K411" s="459">
        <v>54580</v>
      </c>
      <c r="L411" s="460"/>
      <c r="T411" s="461" t="s">
        <v>1506</v>
      </c>
      <c r="U411" s="461">
        <v>0.25972222222222224</v>
      </c>
      <c r="V411" s="461">
        <v>0.63263888888888886</v>
      </c>
      <c r="X411" s="456" t="s">
        <v>3084</v>
      </c>
    </row>
    <row r="412" spans="1:24" s="196" customFormat="1" hidden="1" x14ac:dyDescent="0.25">
      <c r="A412" s="262">
        <v>24072023</v>
      </c>
      <c r="B412" s="196" t="s">
        <v>1720</v>
      </c>
      <c r="C412" s="196" t="s">
        <v>809</v>
      </c>
      <c r="D412" s="194">
        <v>45131</v>
      </c>
      <c r="E412"/>
      <c r="F412" s="307" t="s">
        <v>545</v>
      </c>
      <c r="H412" s="307" t="s">
        <v>277</v>
      </c>
      <c r="K412" s="315">
        <v>25016</v>
      </c>
      <c r="L412" s="195"/>
      <c r="T412" s="260" t="s">
        <v>1178</v>
      </c>
      <c r="U412" s="260">
        <v>0.75624999999999998</v>
      </c>
      <c r="V412" s="260">
        <v>0.81597222222222221</v>
      </c>
    </row>
    <row r="413" spans="1:24" s="33" customFormat="1" hidden="1" x14ac:dyDescent="0.25">
      <c r="A413" s="281">
        <v>24072023</v>
      </c>
      <c r="B413" s="33" t="s">
        <v>576</v>
      </c>
      <c r="C413" s="33" t="s">
        <v>13</v>
      </c>
      <c r="D413" s="278">
        <v>45131</v>
      </c>
      <c r="E413"/>
      <c r="F413" s="306" t="s">
        <v>285</v>
      </c>
      <c r="H413" s="306" t="s">
        <v>279</v>
      </c>
      <c r="K413" s="312">
        <v>47200</v>
      </c>
      <c r="L413" s="279"/>
      <c r="T413" s="280" t="s">
        <v>922</v>
      </c>
      <c r="U413" s="280">
        <v>0.80347222222222225</v>
      </c>
      <c r="V413" s="280">
        <v>4.7916666666666663E-2</v>
      </c>
      <c r="X413" s="33" t="s">
        <v>2732</v>
      </c>
    </row>
    <row r="414" spans="1:24" s="196" customFormat="1" hidden="1" x14ac:dyDescent="0.25">
      <c r="A414" s="262">
        <v>26072023</v>
      </c>
      <c r="B414" s="196" t="s">
        <v>1720</v>
      </c>
      <c r="C414" s="196" t="s">
        <v>410</v>
      </c>
      <c r="D414" s="194">
        <v>45133</v>
      </c>
      <c r="E414"/>
      <c r="F414" s="307" t="s">
        <v>545</v>
      </c>
      <c r="H414" s="307" t="s">
        <v>277</v>
      </c>
      <c r="K414" s="315">
        <v>25016</v>
      </c>
      <c r="L414" s="195"/>
      <c r="T414" s="260" t="s">
        <v>1656</v>
      </c>
      <c r="U414" s="260">
        <v>0.90416666666666667</v>
      </c>
      <c r="V414" s="260">
        <v>9.7222222222222224E-3</v>
      </c>
    </row>
    <row r="415" spans="1:24" s="33" customFormat="1" hidden="1" x14ac:dyDescent="0.25">
      <c r="A415" s="281">
        <v>27072023</v>
      </c>
      <c r="B415" s="33" t="s">
        <v>608</v>
      </c>
      <c r="C415" s="33" t="s">
        <v>13</v>
      </c>
      <c r="D415" s="278">
        <v>45134</v>
      </c>
      <c r="E415"/>
      <c r="F415" s="306" t="s">
        <v>236</v>
      </c>
      <c r="H415" s="306" t="s">
        <v>279</v>
      </c>
      <c r="K415" s="312">
        <v>59472</v>
      </c>
      <c r="L415" s="279"/>
      <c r="T415" s="280" t="s">
        <v>1042</v>
      </c>
      <c r="U415" s="280">
        <v>0.25416666666666665</v>
      </c>
      <c r="V415" s="280">
        <v>0.56458333333333333</v>
      </c>
      <c r="X415" s="33" t="s">
        <v>2732</v>
      </c>
    </row>
    <row r="416" spans="1:24" s="33" customFormat="1" hidden="1" x14ac:dyDescent="0.25">
      <c r="A416" s="281">
        <v>27072023</v>
      </c>
      <c r="B416" s="33" t="s">
        <v>2469</v>
      </c>
      <c r="C416" s="33" t="s">
        <v>410</v>
      </c>
      <c r="D416" s="278">
        <v>45134</v>
      </c>
      <c r="F416" s="306" t="s">
        <v>294</v>
      </c>
      <c r="H416" s="306" t="s">
        <v>279</v>
      </c>
      <c r="K416" s="312">
        <v>35568</v>
      </c>
      <c r="L416" s="279"/>
      <c r="T416" s="280" t="s">
        <v>2380</v>
      </c>
      <c r="U416" s="280">
        <v>0.38750000000000001</v>
      </c>
      <c r="V416" s="280">
        <v>0.58611111111111114</v>
      </c>
      <c r="X416" s="33" t="s">
        <v>2732</v>
      </c>
    </row>
    <row r="417" spans="1:24" s="33" customFormat="1" hidden="1" x14ac:dyDescent="0.25">
      <c r="A417" s="281">
        <v>27072023</v>
      </c>
      <c r="B417" s="33" t="s">
        <v>608</v>
      </c>
      <c r="C417" s="33" t="s">
        <v>13</v>
      </c>
      <c r="D417" s="278">
        <v>45134</v>
      </c>
      <c r="E417"/>
      <c r="F417" s="306" t="s">
        <v>236</v>
      </c>
      <c r="H417" s="306" t="s">
        <v>277</v>
      </c>
      <c r="K417" s="312">
        <v>47908</v>
      </c>
      <c r="L417" s="279"/>
      <c r="T417" s="280" t="s">
        <v>1656</v>
      </c>
      <c r="U417" s="280">
        <v>0.83819444444444446</v>
      </c>
      <c r="V417" s="280">
        <v>0.1013888888888889</v>
      </c>
      <c r="X417" s="33" t="s">
        <v>2732</v>
      </c>
    </row>
    <row r="418" spans="1:24" s="264" customFormat="1" hidden="1" x14ac:dyDescent="0.25">
      <c r="A418" s="263">
        <v>27072023</v>
      </c>
      <c r="B418" s="264" t="s">
        <v>583</v>
      </c>
      <c r="C418" s="264" t="s">
        <v>809</v>
      </c>
      <c r="D418" s="265">
        <v>45134</v>
      </c>
      <c r="E418"/>
      <c r="F418" s="309" t="s">
        <v>573</v>
      </c>
      <c r="H418" s="309" t="s">
        <v>277</v>
      </c>
      <c r="K418" s="318">
        <v>26400</v>
      </c>
      <c r="L418" s="266"/>
      <c r="T418" s="267" t="s">
        <v>1178</v>
      </c>
      <c r="U418" s="267">
        <v>0.39861111111111108</v>
      </c>
      <c r="V418" s="267">
        <v>0.48680555555555555</v>
      </c>
    </row>
    <row r="419" spans="1:24" s="33" customFormat="1" hidden="1" x14ac:dyDescent="0.25">
      <c r="A419" s="281">
        <v>28072023</v>
      </c>
      <c r="B419" s="33" t="s">
        <v>610</v>
      </c>
      <c r="C419" s="33" t="s">
        <v>410</v>
      </c>
      <c r="D419" s="278">
        <v>45135</v>
      </c>
      <c r="E419"/>
      <c r="F419" s="306" t="s">
        <v>106</v>
      </c>
      <c r="H419" s="306" t="s">
        <v>279</v>
      </c>
      <c r="K419" s="312">
        <v>29770</v>
      </c>
      <c r="L419" s="279"/>
      <c r="T419" s="280" t="s">
        <v>922</v>
      </c>
      <c r="U419" s="280">
        <v>0.26250000000000001</v>
      </c>
      <c r="V419" s="280">
        <v>0.45833333333333331</v>
      </c>
      <c r="X419" s="33" t="s">
        <v>2732</v>
      </c>
    </row>
    <row r="420" spans="1:24" s="33" customFormat="1" hidden="1" x14ac:dyDescent="0.25">
      <c r="A420" s="281">
        <v>28072023</v>
      </c>
      <c r="B420" s="33" t="s">
        <v>607</v>
      </c>
      <c r="C420" s="33" t="s">
        <v>410</v>
      </c>
      <c r="D420" s="278">
        <v>45135</v>
      </c>
      <c r="E420"/>
      <c r="F420" s="306" t="s">
        <v>207</v>
      </c>
      <c r="H420" s="306" t="s">
        <v>279</v>
      </c>
      <c r="K420" s="312">
        <v>36253.14</v>
      </c>
      <c r="L420" s="279"/>
      <c r="T420" s="280" t="s">
        <v>922</v>
      </c>
      <c r="U420" s="280">
        <v>0.56041666666666667</v>
      </c>
      <c r="V420" s="280">
        <v>0.7729166666666667</v>
      </c>
      <c r="X420" s="33" t="s">
        <v>2732</v>
      </c>
    </row>
    <row r="421" spans="1:24" s="196" customFormat="1" hidden="1" x14ac:dyDescent="0.25">
      <c r="A421" s="262">
        <v>28072023</v>
      </c>
      <c r="B421" s="196" t="s">
        <v>1720</v>
      </c>
      <c r="C421" s="196" t="s">
        <v>809</v>
      </c>
      <c r="D421" s="194">
        <v>45135</v>
      </c>
      <c r="E421"/>
      <c r="F421" s="307" t="s">
        <v>545</v>
      </c>
      <c r="H421" s="307" t="s">
        <v>277</v>
      </c>
      <c r="K421" s="315">
        <v>25016</v>
      </c>
      <c r="L421" s="195"/>
      <c r="T421" s="260" t="s">
        <v>1178</v>
      </c>
      <c r="U421" s="260">
        <v>0.56041666666666667</v>
      </c>
      <c r="V421" s="260">
        <v>0.62222222222222223</v>
      </c>
    </row>
    <row r="422" spans="1:24" s="264" customFormat="1" hidden="1" x14ac:dyDescent="0.25">
      <c r="A422" s="263">
        <v>28072023</v>
      </c>
      <c r="B422" s="264" t="s">
        <v>583</v>
      </c>
      <c r="C422" s="264" t="s">
        <v>410</v>
      </c>
      <c r="D422" s="265">
        <v>45135</v>
      </c>
      <c r="E422"/>
      <c r="F422" s="309" t="s">
        <v>236</v>
      </c>
      <c r="H422" s="309" t="s">
        <v>279</v>
      </c>
      <c r="K422" s="318">
        <v>52000</v>
      </c>
      <c r="L422" s="266"/>
      <c r="T422" s="267" t="s">
        <v>1656</v>
      </c>
      <c r="U422" s="267">
        <v>0.8965277777777777</v>
      </c>
      <c r="V422" s="267">
        <v>0.19652777777777777</v>
      </c>
    </row>
    <row r="423" spans="1:24" s="33" customFormat="1" hidden="1" x14ac:dyDescent="0.25">
      <c r="A423" s="281">
        <v>29072023</v>
      </c>
      <c r="B423" s="33" t="s">
        <v>2367</v>
      </c>
      <c r="C423" s="33" t="s">
        <v>410</v>
      </c>
      <c r="D423" s="278">
        <v>45136</v>
      </c>
      <c r="F423" s="306" t="s">
        <v>1985</v>
      </c>
      <c r="H423" s="306" t="s">
        <v>279</v>
      </c>
      <c r="K423" s="312">
        <v>55516</v>
      </c>
      <c r="L423" s="279"/>
      <c r="T423" s="280" t="s">
        <v>1042</v>
      </c>
      <c r="U423" s="280">
        <v>0.3298611111111111</v>
      </c>
      <c r="V423" s="280">
        <v>0.64166666666666672</v>
      </c>
      <c r="X423" s="33" t="s">
        <v>2732</v>
      </c>
    </row>
    <row r="424" spans="1:24" s="33" customFormat="1" hidden="1" x14ac:dyDescent="0.25">
      <c r="A424" s="281">
        <v>30072023</v>
      </c>
      <c r="B424" s="33" t="s">
        <v>586</v>
      </c>
      <c r="C424" s="33" t="s">
        <v>809</v>
      </c>
      <c r="D424" s="278">
        <v>45137</v>
      </c>
      <c r="E424"/>
      <c r="F424" s="306" t="s">
        <v>545</v>
      </c>
      <c r="H424" s="306" t="s">
        <v>279</v>
      </c>
      <c r="K424" s="312">
        <v>33560</v>
      </c>
      <c r="L424" s="279"/>
      <c r="T424" s="280" t="s">
        <v>1178</v>
      </c>
      <c r="U424" s="280">
        <v>0.37361111111111112</v>
      </c>
      <c r="V424" s="280">
        <v>0.57430555555555551</v>
      </c>
      <c r="X424" s="33" t="s">
        <v>2732</v>
      </c>
    </row>
    <row r="425" spans="1:24" s="33" customFormat="1" hidden="1" x14ac:dyDescent="0.25">
      <c r="A425" s="281">
        <v>31072023</v>
      </c>
      <c r="B425" s="33" t="s">
        <v>572</v>
      </c>
      <c r="C425" s="33" t="s">
        <v>410</v>
      </c>
      <c r="D425" s="278">
        <v>45138</v>
      </c>
      <c r="E425"/>
      <c r="F425" s="306" t="s">
        <v>796</v>
      </c>
      <c r="H425" s="306" t="s">
        <v>277</v>
      </c>
      <c r="K425" s="312"/>
      <c r="L425" s="279">
        <v>3540</v>
      </c>
      <c r="T425" s="280" t="s">
        <v>2380</v>
      </c>
      <c r="U425" s="280">
        <v>0.25972222222222224</v>
      </c>
      <c r="V425" s="280">
        <v>0.33333333333333331</v>
      </c>
      <c r="X425" s="33" t="s">
        <v>2732</v>
      </c>
    </row>
    <row r="426" spans="1:24" s="33" customFormat="1" hidden="1" x14ac:dyDescent="0.25">
      <c r="A426" s="281">
        <v>31072023</v>
      </c>
      <c r="B426" s="33" t="s">
        <v>582</v>
      </c>
      <c r="C426" s="33" t="s">
        <v>13</v>
      </c>
      <c r="D426" s="278">
        <v>45138</v>
      </c>
      <c r="E426"/>
      <c r="F426" s="306" t="s">
        <v>207</v>
      </c>
      <c r="H426" s="306" t="s">
        <v>279</v>
      </c>
      <c r="K426" s="279">
        <v>36650</v>
      </c>
      <c r="L426" s="279"/>
      <c r="T426" s="280" t="s">
        <v>1042</v>
      </c>
      <c r="U426" s="280">
        <v>0.27916666666666667</v>
      </c>
      <c r="V426" s="280">
        <v>0.4770833333333333</v>
      </c>
      <c r="X426" s="33" t="s">
        <v>2732</v>
      </c>
    </row>
    <row r="427" spans="1:24" s="33" customFormat="1" hidden="1" x14ac:dyDescent="0.25">
      <c r="A427" s="281">
        <v>31072023</v>
      </c>
      <c r="B427" s="33" t="s">
        <v>930</v>
      </c>
      <c r="C427" s="33" t="s">
        <v>410</v>
      </c>
      <c r="D427" s="278">
        <v>45138</v>
      </c>
      <c r="F427" s="306" t="s">
        <v>294</v>
      </c>
      <c r="H427" s="306" t="s">
        <v>277</v>
      </c>
      <c r="K427" s="312">
        <v>29075.200000000001</v>
      </c>
      <c r="L427" s="279"/>
      <c r="N427" s="424"/>
      <c r="T427" s="280" t="s">
        <v>2380</v>
      </c>
      <c r="U427" s="280">
        <v>0.35902777777777778</v>
      </c>
      <c r="V427" s="280">
        <v>0.51250000000000007</v>
      </c>
      <c r="X427" s="33" t="s">
        <v>2732</v>
      </c>
    </row>
    <row r="428" spans="1:24" s="196" customFormat="1" hidden="1" x14ac:dyDescent="0.25">
      <c r="A428" s="262">
        <v>31072023</v>
      </c>
      <c r="B428" s="196" t="s">
        <v>1720</v>
      </c>
      <c r="C428" s="196" t="s">
        <v>410</v>
      </c>
      <c r="D428" s="194">
        <v>45138</v>
      </c>
      <c r="E428"/>
      <c r="F428" s="307" t="s">
        <v>545</v>
      </c>
      <c r="H428" s="307" t="s">
        <v>279</v>
      </c>
      <c r="K428" s="315">
        <v>34456</v>
      </c>
      <c r="L428" s="195"/>
      <c r="T428" s="260" t="s">
        <v>929</v>
      </c>
      <c r="U428" s="260">
        <v>0.64097222222222217</v>
      </c>
      <c r="V428" s="260">
        <v>0.83750000000000002</v>
      </c>
    </row>
    <row r="429" spans="1:24" s="196" customFormat="1" hidden="1" x14ac:dyDescent="0.25">
      <c r="A429" s="262">
        <v>31072023</v>
      </c>
      <c r="B429" s="196" t="s">
        <v>1720</v>
      </c>
      <c r="C429" s="196" t="s">
        <v>809</v>
      </c>
      <c r="D429" s="194">
        <v>45138</v>
      </c>
      <c r="E429"/>
      <c r="F429" s="307" t="s">
        <v>545</v>
      </c>
      <c r="H429" s="307" t="s">
        <v>277</v>
      </c>
      <c r="K429" s="315">
        <v>25016</v>
      </c>
      <c r="L429" s="195"/>
      <c r="N429" s="195"/>
      <c r="T429" s="260" t="s">
        <v>1178</v>
      </c>
      <c r="U429" s="260">
        <v>0.76597222222222217</v>
      </c>
      <c r="V429" s="260">
        <v>0.83124999999999993</v>
      </c>
    </row>
    <row r="430" spans="1:24" hidden="1" x14ac:dyDescent="0.25">
      <c r="A430" s="256"/>
      <c r="D430" s="122"/>
      <c r="L430" s="88"/>
      <c r="N430" s="88"/>
      <c r="T430" s="14"/>
      <c r="U430" s="14"/>
      <c r="V430" s="14"/>
    </row>
    <row r="431" spans="1:24" hidden="1" x14ac:dyDescent="0.25">
      <c r="A431" s="256"/>
      <c r="D431" s="122"/>
      <c r="L431" s="88"/>
      <c r="N431" s="88"/>
      <c r="T431" s="14"/>
      <c r="U431" s="14"/>
      <c r="V431" s="14"/>
    </row>
    <row r="432" spans="1:24" hidden="1" x14ac:dyDescent="0.25">
      <c r="K432" s="61">
        <f>SUM(K377:K431)</f>
        <v>1945660.48</v>
      </c>
      <c r="L432" s="61">
        <f>SUM(L377:L431)</f>
        <v>37836</v>
      </c>
      <c r="M432" s="313"/>
      <c r="N432" s="313"/>
      <c r="O432" s="61"/>
    </row>
    <row r="433" spans="1:22" hidden="1" x14ac:dyDescent="0.25">
      <c r="A433" s="256"/>
      <c r="D433" s="122"/>
      <c r="L433" s="88"/>
      <c r="M433" s="17"/>
      <c r="T433" s="14"/>
      <c r="U433" s="14"/>
      <c r="V433" s="14"/>
    </row>
    <row r="434" spans="1:22" hidden="1" x14ac:dyDescent="0.25">
      <c r="A434" s="256"/>
      <c r="D434" s="122"/>
      <c r="L434" s="88"/>
      <c r="T434" s="14"/>
      <c r="U434" s="14"/>
      <c r="V434" s="14"/>
    </row>
    <row r="435" spans="1:22" hidden="1" x14ac:dyDescent="0.25">
      <c r="A435" s="256"/>
      <c r="D435" s="122"/>
      <c r="T435" s="14"/>
      <c r="U435" s="14"/>
      <c r="V435" s="14"/>
    </row>
    <row r="436" spans="1:22" s="5" customFormat="1" hidden="1" x14ac:dyDescent="0.25">
      <c r="A436" s="261" t="s">
        <v>2696</v>
      </c>
      <c r="B436" s="5" t="s">
        <v>2797</v>
      </c>
      <c r="C436" s="5" t="s">
        <v>13</v>
      </c>
      <c r="D436" s="257">
        <v>45139</v>
      </c>
      <c r="E436"/>
      <c r="F436" s="127" t="s">
        <v>68</v>
      </c>
      <c r="H436" s="127" t="s">
        <v>279</v>
      </c>
      <c r="K436" s="296">
        <v>41914</v>
      </c>
      <c r="L436" s="89"/>
      <c r="T436" s="258" t="s">
        <v>1644</v>
      </c>
      <c r="U436" s="258">
        <v>0.75277777777777777</v>
      </c>
      <c r="V436" s="258">
        <v>3.1944444444444449E-2</v>
      </c>
    </row>
    <row r="437" spans="1:22" s="196" customFormat="1" hidden="1" x14ac:dyDescent="0.25">
      <c r="A437" s="262" t="s">
        <v>2698</v>
      </c>
      <c r="B437" s="196" t="s">
        <v>615</v>
      </c>
      <c r="C437" s="196" t="s">
        <v>410</v>
      </c>
      <c r="D437" s="194">
        <v>45140</v>
      </c>
      <c r="E437"/>
      <c r="F437" s="307" t="s">
        <v>1608</v>
      </c>
      <c r="H437" s="307" t="s">
        <v>279</v>
      </c>
      <c r="K437" s="315"/>
      <c r="L437" s="195">
        <f>2*2000*1.18</f>
        <v>4720</v>
      </c>
      <c r="T437" s="260" t="s">
        <v>2380</v>
      </c>
      <c r="U437" s="260">
        <v>0.33888888888888885</v>
      </c>
      <c r="V437" s="260">
        <v>0.54861111111111105</v>
      </c>
    </row>
    <row r="438" spans="1:22" s="196" customFormat="1" hidden="1" x14ac:dyDescent="0.25">
      <c r="A438" s="262" t="s">
        <v>2698</v>
      </c>
      <c r="B438" s="196" t="s">
        <v>576</v>
      </c>
      <c r="C438" s="196" t="s">
        <v>13</v>
      </c>
      <c r="D438" s="194">
        <v>45140</v>
      </c>
      <c r="F438" s="307" t="s">
        <v>285</v>
      </c>
      <c r="H438" s="307" t="s">
        <v>279</v>
      </c>
      <c r="K438" s="315">
        <v>47200</v>
      </c>
      <c r="L438" s="195"/>
      <c r="T438" s="260" t="s">
        <v>2380</v>
      </c>
      <c r="U438" s="260">
        <v>0.5625</v>
      </c>
      <c r="V438" s="260">
        <v>0.8041666666666667</v>
      </c>
    </row>
    <row r="439" spans="1:22" s="196" customFormat="1" hidden="1" x14ac:dyDescent="0.25">
      <c r="A439" s="262" t="s">
        <v>2698</v>
      </c>
      <c r="B439" s="196" t="s">
        <v>2697</v>
      </c>
      <c r="C439" s="196" t="s">
        <v>410</v>
      </c>
      <c r="D439" s="194">
        <v>45140</v>
      </c>
      <c r="F439" s="307" t="s">
        <v>143</v>
      </c>
      <c r="H439" s="307" t="s">
        <v>279</v>
      </c>
      <c r="K439" s="315">
        <v>37170</v>
      </c>
      <c r="L439" s="195"/>
      <c r="T439" s="260" t="s">
        <v>893</v>
      </c>
      <c r="U439" s="260">
        <v>0.62847222222222221</v>
      </c>
      <c r="V439" s="260">
        <v>0.87152777777777779</v>
      </c>
    </row>
    <row r="440" spans="1:22" s="196" customFormat="1" hidden="1" x14ac:dyDescent="0.25">
      <c r="A440" s="262" t="s">
        <v>2698</v>
      </c>
      <c r="B440" s="196" t="s">
        <v>1720</v>
      </c>
      <c r="C440" s="196" t="s">
        <v>809</v>
      </c>
      <c r="D440" s="194">
        <v>45140</v>
      </c>
      <c r="E440"/>
      <c r="F440" s="307" t="s">
        <v>545</v>
      </c>
      <c r="H440" s="307" t="s">
        <v>277</v>
      </c>
      <c r="K440" s="315">
        <v>25016</v>
      </c>
      <c r="L440" s="195"/>
      <c r="T440" s="260" t="s">
        <v>2148</v>
      </c>
      <c r="U440" s="260">
        <v>0.73888888888888893</v>
      </c>
      <c r="V440" s="260">
        <v>0.79652777777777783</v>
      </c>
    </row>
    <row r="441" spans="1:22" s="196" customFormat="1" hidden="1" x14ac:dyDescent="0.25">
      <c r="A441" s="262" t="s">
        <v>2705</v>
      </c>
      <c r="B441" s="196" t="s">
        <v>2227</v>
      </c>
      <c r="C441" s="196" t="s">
        <v>410</v>
      </c>
      <c r="D441" s="194">
        <v>45141</v>
      </c>
      <c r="F441" s="307" t="s">
        <v>106</v>
      </c>
      <c r="H441" s="307" t="s">
        <v>279</v>
      </c>
      <c r="K441" s="315">
        <v>26910</v>
      </c>
      <c r="L441" s="195"/>
      <c r="T441" s="260" t="s">
        <v>1816</v>
      </c>
      <c r="U441" s="260">
        <v>0.25</v>
      </c>
      <c r="V441" s="260">
        <v>0.4236111111111111</v>
      </c>
    </row>
    <row r="442" spans="1:22" s="196" customFormat="1" hidden="1" x14ac:dyDescent="0.25">
      <c r="A442" s="262" t="s">
        <v>2705</v>
      </c>
      <c r="B442" s="196" t="s">
        <v>608</v>
      </c>
      <c r="C442" s="196" t="s">
        <v>13</v>
      </c>
      <c r="D442" s="194">
        <v>45141</v>
      </c>
      <c r="E442"/>
      <c r="F442" s="307" t="s">
        <v>236</v>
      </c>
      <c r="H442" s="307" t="s">
        <v>279</v>
      </c>
      <c r="K442" s="315">
        <v>59472</v>
      </c>
      <c r="L442" s="195"/>
      <c r="T442" s="260" t="s">
        <v>1042</v>
      </c>
      <c r="U442" s="260">
        <v>0.29097222222222224</v>
      </c>
      <c r="V442" s="260">
        <v>0.6020833333333333</v>
      </c>
    </row>
    <row r="443" spans="1:22" s="196" customFormat="1" hidden="1" x14ac:dyDescent="0.25">
      <c r="A443" s="262" t="s">
        <v>2705</v>
      </c>
      <c r="B443" s="196" t="s">
        <v>1800</v>
      </c>
      <c r="C443" s="196" t="s">
        <v>410</v>
      </c>
      <c r="D443" s="194">
        <v>45141</v>
      </c>
      <c r="E443"/>
      <c r="F443" s="307" t="s">
        <v>1985</v>
      </c>
      <c r="H443" s="307" t="s">
        <v>279</v>
      </c>
      <c r="K443" s="315"/>
      <c r="L443" s="195">
        <v>14000</v>
      </c>
      <c r="T443" s="260" t="s">
        <v>1816</v>
      </c>
      <c r="U443" s="260">
        <v>0.52847222222222223</v>
      </c>
      <c r="V443" s="260">
        <v>0.81944444444444453</v>
      </c>
    </row>
    <row r="444" spans="1:22" s="196" customFormat="1" hidden="1" x14ac:dyDescent="0.25">
      <c r="A444" s="262" t="s">
        <v>2707</v>
      </c>
      <c r="B444" s="196" t="s">
        <v>611</v>
      </c>
      <c r="C444" s="196" t="s">
        <v>410</v>
      </c>
      <c r="D444" s="194">
        <v>45142</v>
      </c>
      <c r="F444" s="307" t="s">
        <v>143</v>
      </c>
      <c r="H444" s="307" t="s">
        <v>279</v>
      </c>
      <c r="K444" s="315">
        <v>37200</v>
      </c>
      <c r="L444" s="195"/>
      <c r="T444" s="260" t="s">
        <v>1644</v>
      </c>
      <c r="U444" s="260">
        <v>0.26041666666666669</v>
      </c>
      <c r="V444" s="260">
        <v>0.4604166666666667</v>
      </c>
    </row>
    <row r="445" spans="1:22" s="196" customFormat="1" hidden="1" x14ac:dyDescent="0.25">
      <c r="A445" s="262" t="s">
        <v>2718</v>
      </c>
      <c r="B445" s="196" t="s">
        <v>2719</v>
      </c>
      <c r="C445" s="196" t="s">
        <v>13</v>
      </c>
      <c r="D445" s="194">
        <v>45143</v>
      </c>
      <c r="E445"/>
      <c r="F445" s="307" t="s">
        <v>207</v>
      </c>
      <c r="H445" s="307" t="s">
        <v>279</v>
      </c>
      <c r="K445" s="315">
        <v>36253.14</v>
      </c>
      <c r="L445" s="195"/>
      <c r="T445" s="260" t="s">
        <v>922</v>
      </c>
      <c r="U445" s="260">
        <v>0.24722222222222223</v>
      </c>
      <c r="V445" s="260">
        <v>0.58680555555555558</v>
      </c>
    </row>
    <row r="446" spans="1:22" s="196" customFormat="1" hidden="1" x14ac:dyDescent="0.25">
      <c r="A446" s="262" t="s">
        <v>2720</v>
      </c>
      <c r="B446" s="196" t="s">
        <v>608</v>
      </c>
      <c r="C446" s="196" t="s">
        <v>13</v>
      </c>
      <c r="D446" s="194">
        <v>45144</v>
      </c>
      <c r="E446"/>
      <c r="F446" s="307" t="s">
        <v>236</v>
      </c>
      <c r="H446" s="307" t="s">
        <v>279</v>
      </c>
      <c r="K446" s="315">
        <v>59472</v>
      </c>
      <c r="L446" s="195"/>
      <c r="T446" s="260" t="s">
        <v>2037</v>
      </c>
      <c r="U446" s="260">
        <v>0.4236111111111111</v>
      </c>
      <c r="V446" s="260">
        <v>0.7055555555555556</v>
      </c>
    </row>
    <row r="447" spans="1:22" s="264" customFormat="1" hidden="1" x14ac:dyDescent="0.25">
      <c r="A447" s="263" t="s">
        <v>2721</v>
      </c>
      <c r="B447" s="264" t="s">
        <v>583</v>
      </c>
      <c r="C447" s="264" t="s">
        <v>13</v>
      </c>
      <c r="D447" s="265">
        <v>45145</v>
      </c>
      <c r="E447"/>
      <c r="F447" s="309" t="s">
        <v>573</v>
      </c>
      <c r="H447" s="309" t="s">
        <v>279</v>
      </c>
      <c r="K447" s="318">
        <v>33000</v>
      </c>
      <c r="L447" s="266"/>
      <c r="T447" s="267" t="s">
        <v>1644</v>
      </c>
      <c r="U447" s="267">
        <v>0.29444444444444445</v>
      </c>
      <c r="V447" s="267">
        <v>0.51874999999999993</v>
      </c>
    </row>
    <row r="448" spans="1:22" s="196" customFormat="1" hidden="1" x14ac:dyDescent="0.25">
      <c r="A448" s="262" t="s">
        <v>2721</v>
      </c>
      <c r="B448" s="196" t="s">
        <v>1720</v>
      </c>
      <c r="C448" s="196" t="s">
        <v>809</v>
      </c>
      <c r="D448" s="194">
        <v>45145</v>
      </c>
      <c r="E448"/>
      <c r="F448" s="307" t="s">
        <v>236</v>
      </c>
      <c r="H448" s="307" t="s">
        <v>277</v>
      </c>
      <c r="K448" s="315">
        <v>25016</v>
      </c>
      <c r="L448" s="195"/>
      <c r="T448" s="260" t="s">
        <v>2148</v>
      </c>
      <c r="U448" s="260">
        <v>0.76388888888888884</v>
      </c>
      <c r="V448" s="260">
        <v>0.82500000000000007</v>
      </c>
    </row>
    <row r="449" spans="1:22" s="196" customFormat="1" hidden="1" x14ac:dyDescent="0.25">
      <c r="A449" s="262" t="s">
        <v>2738</v>
      </c>
      <c r="B449" s="196" t="s">
        <v>608</v>
      </c>
      <c r="C449" s="196" t="s">
        <v>13</v>
      </c>
      <c r="D449" s="194">
        <v>45146</v>
      </c>
      <c r="E449"/>
      <c r="F449" s="307" t="s">
        <v>236</v>
      </c>
      <c r="H449" s="307" t="s">
        <v>279</v>
      </c>
      <c r="K449" s="315">
        <v>59472</v>
      </c>
      <c r="L449" s="195"/>
      <c r="T449" s="260" t="s">
        <v>1029</v>
      </c>
      <c r="U449" s="260">
        <v>0.77013888888888893</v>
      </c>
      <c r="V449" s="260">
        <v>7.3611111111111113E-2</v>
      </c>
    </row>
    <row r="450" spans="1:22" s="196" customFormat="1" hidden="1" x14ac:dyDescent="0.25">
      <c r="A450" s="262" t="s">
        <v>2750</v>
      </c>
      <c r="B450" s="196" t="s">
        <v>2739</v>
      </c>
      <c r="C450" s="196" t="s">
        <v>13</v>
      </c>
      <c r="D450" s="194">
        <v>45147</v>
      </c>
      <c r="E450"/>
      <c r="F450" s="307" t="s">
        <v>2107</v>
      </c>
      <c r="H450" s="307" t="s">
        <v>279</v>
      </c>
      <c r="K450" s="315">
        <v>29984</v>
      </c>
      <c r="L450" s="195"/>
      <c r="T450" s="260" t="s">
        <v>893</v>
      </c>
      <c r="U450" s="260">
        <v>0.32222222222222224</v>
      </c>
      <c r="V450" s="260">
        <v>0.48541666666666666</v>
      </c>
    </row>
    <row r="451" spans="1:22" s="196" customFormat="1" hidden="1" x14ac:dyDescent="0.25">
      <c r="A451" s="262" t="s">
        <v>2750</v>
      </c>
      <c r="B451" s="196" t="s">
        <v>2652</v>
      </c>
      <c r="C451" s="196" t="s">
        <v>410</v>
      </c>
      <c r="D451" s="194">
        <v>45147</v>
      </c>
      <c r="E451"/>
      <c r="F451" s="307" t="s">
        <v>545</v>
      </c>
      <c r="H451" s="307" t="s">
        <v>279</v>
      </c>
      <c r="K451" s="315">
        <v>33560</v>
      </c>
      <c r="L451" s="195"/>
      <c r="T451" s="260" t="s">
        <v>989</v>
      </c>
      <c r="U451" s="260">
        <v>0.52083333333333337</v>
      </c>
      <c r="V451" s="260">
        <v>0.68958333333333333</v>
      </c>
    </row>
    <row r="452" spans="1:22" s="196" customFormat="1" hidden="1" x14ac:dyDescent="0.25">
      <c r="A452" s="262">
        <v>10082023</v>
      </c>
      <c r="B452" s="196" t="s">
        <v>615</v>
      </c>
      <c r="C452" s="196" t="s">
        <v>410</v>
      </c>
      <c r="D452" s="194">
        <v>45148</v>
      </c>
      <c r="E452"/>
      <c r="F452" s="307" t="s">
        <v>68</v>
      </c>
      <c r="H452" s="307" t="s">
        <v>277</v>
      </c>
      <c r="K452" s="315"/>
      <c r="L452" s="195">
        <f>4*2000*1.18</f>
        <v>9440</v>
      </c>
      <c r="T452" s="260" t="s">
        <v>893</v>
      </c>
      <c r="U452" s="260">
        <v>0.25833333333333336</v>
      </c>
      <c r="V452" s="260">
        <v>0.5083333333333333</v>
      </c>
    </row>
    <row r="453" spans="1:22" s="196" customFormat="1" hidden="1" x14ac:dyDescent="0.25">
      <c r="A453" s="262">
        <v>10082023</v>
      </c>
      <c r="B453" s="196" t="s">
        <v>762</v>
      </c>
      <c r="C453" s="196" t="s">
        <v>13</v>
      </c>
      <c r="D453" s="194">
        <v>45148</v>
      </c>
      <c r="F453" s="307" t="s">
        <v>872</v>
      </c>
      <c r="H453" s="307" t="s">
        <v>279</v>
      </c>
      <c r="K453" s="315">
        <v>39600</v>
      </c>
      <c r="L453" s="195"/>
      <c r="T453" s="260" t="s">
        <v>1506</v>
      </c>
      <c r="U453" s="260">
        <v>0.41597222222222219</v>
      </c>
      <c r="V453" s="260">
        <v>0.65416666666666667</v>
      </c>
    </row>
    <row r="454" spans="1:22" s="196" customFormat="1" hidden="1" x14ac:dyDescent="0.25">
      <c r="A454" s="262">
        <v>10082023</v>
      </c>
      <c r="B454" s="196" t="s">
        <v>596</v>
      </c>
      <c r="C454" s="196" t="s">
        <v>410</v>
      </c>
      <c r="D454" s="194">
        <v>45148</v>
      </c>
      <c r="E454"/>
      <c r="F454" s="307" t="s">
        <v>236</v>
      </c>
      <c r="H454" s="307" t="s">
        <v>279</v>
      </c>
      <c r="K454" s="315">
        <v>59472</v>
      </c>
      <c r="L454" s="195"/>
      <c r="T454" s="260" t="s">
        <v>2037</v>
      </c>
      <c r="U454" s="260">
        <v>0.67499999999999993</v>
      </c>
      <c r="V454" s="260">
        <v>1.5972222222222224E-2</v>
      </c>
    </row>
    <row r="455" spans="1:22" s="196" customFormat="1" hidden="1" x14ac:dyDescent="0.25">
      <c r="A455" s="262">
        <v>10082023</v>
      </c>
      <c r="B455" s="196" t="s">
        <v>118</v>
      </c>
      <c r="C455" s="196" t="s">
        <v>13</v>
      </c>
      <c r="D455" s="194">
        <v>45148</v>
      </c>
      <c r="F455" s="307" t="s">
        <v>143</v>
      </c>
      <c r="H455" s="307" t="s">
        <v>279</v>
      </c>
      <c r="K455" s="315">
        <v>37300</v>
      </c>
      <c r="L455" s="195"/>
      <c r="T455" s="260" t="s">
        <v>1506</v>
      </c>
      <c r="U455" s="260">
        <v>0.7090277777777777</v>
      </c>
      <c r="V455" s="260">
        <v>0.91111111111111109</v>
      </c>
    </row>
    <row r="456" spans="1:22" s="196" customFormat="1" hidden="1" x14ac:dyDescent="0.25">
      <c r="A456" s="262">
        <v>11082023</v>
      </c>
      <c r="B456" s="196" t="s">
        <v>586</v>
      </c>
      <c r="C456" s="196" t="s">
        <v>410</v>
      </c>
      <c r="D456" s="194">
        <v>45149</v>
      </c>
      <c r="E456"/>
      <c r="F456" s="307" t="s">
        <v>545</v>
      </c>
      <c r="H456" s="307" t="s">
        <v>279</v>
      </c>
      <c r="K456" s="315">
        <v>33560</v>
      </c>
      <c r="L456" s="195"/>
      <c r="T456" s="260" t="s">
        <v>929</v>
      </c>
      <c r="U456" s="260">
        <v>0.4368055555555555</v>
      </c>
      <c r="V456" s="260">
        <v>0.6020833333333333</v>
      </c>
    </row>
    <row r="457" spans="1:22" s="196" customFormat="1" hidden="1" x14ac:dyDescent="0.25">
      <c r="A457" s="262">
        <v>11082023</v>
      </c>
      <c r="B457" s="196" t="s">
        <v>586</v>
      </c>
      <c r="C457" s="196" t="s">
        <v>410</v>
      </c>
      <c r="D457" s="194">
        <v>45149</v>
      </c>
      <c r="E457"/>
      <c r="F457" s="307" t="s">
        <v>545</v>
      </c>
      <c r="H457" s="307" t="s">
        <v>279</v>
      </c>
      <c r="K457" s="315">
        <v>33560</v>
      </c>
      <c r="L457" s="195"/>
      <c r="T457" s="260" t="s">
        <v>929</v>
      </c>
      <c r="U457" s="260">
        <v>0.66319444444444442</v>
      </c>
      <c r="V457" s="260">
        <v>0.8256944444444444</v>
      </c>
    </row>
    <row r="458" spans="1:22" s="196" customFormat="1" hidden="1" x14ac:dyDescent="0.25">
      <c r="A458" s="262">
        <v>12082023</v>
      </c>
      <c r="B458" s="196" t="s">
        <v>596</v>
      </c>
      <c r="C458" s="196" t="s">
        <v>410</v>
      </c>
      <c r="D458" s="194">
        <v>45150</v>
      </c>
      <c r="E458"/>
      <c r="F458" s="307" t="s">
        <v>236</v>
      </c>
      <c r="H458" s="307" t="s">
        <v>279</v>
      </c>
      <c r="K458" s="315">
        <v>59472</v>
      </c>
      <c r="L458" s="195"/>
      <c r="T458" s="260" t="s">
        <v>1029</v>
      </c>
      <c r="U458" s="260">
        <v>0.26319444444444445</v>
      </c>
      <c r="V458" s="260">
        <v>0.57708333333333328</v>
      </c>
    </row>
    <row r="459" spans="1:22" s="399" customFormat="1" hidden="1" x14ac:dyDescent="0.25">
      <c r="A459" s="551">
        <v>12082023</v>
      </c>
      <c r="B459" s="399" t="s">
        <v>762</v>
      </c>
      <c r="C459" s="399" t="s">
        <v>13</v>
      </c>
      <c r="D459" s="532">
        <v>45150</v>
      </c>
      <c r="F459" s="552" t="s">
        <v>872</v>
      </c>
      <c r="H459" s="552" t="s">
        <v>279</v>
      </c>
      <c r="K459" s="553">
        <v>39600</v>
      </c>
      <c r="L459" s="608"/>
      <c r="T459" s="554" t="s">
        <v>1656</v>
      </c>
      <c r="U459" s="554">
        <v>0.31388888888888888</v>
      </c>
      <c r="V459" s="554">
        <v>0.61875000000000002</v>
      </c>
    </row>
    <row r="460" spans="1:22" s="196" customFormat="1" hidden="1" x14ac:dyDescent="0.25">
      <c r="A460" s="262">
        <v>13082023</v>
      </c>
      <c r="B460" s="196" t="s">
        <v>2765</v>
      </c>
      <c r="C460" s="196" t="s">
        <v>13</v>
      </c>
      <c r="D460" s="194">
        <v>45151</v>
      </c>
      <c r="E460"/>
      <c r="F460" s="307" t="s">
        <v>143</v>
      </c>
      <c r="H460" s="307" t="s">
        <v>279</v>
      </c>
      <c r="K460" s="315">
        <v>37200</v>
      </c>
      <c r="L460" s="195"/>
      <c r="T460" s="260" t="s">
        <v>893</v>
      </c>
      <c r="U460" s="260">
        <v>0.24791666666666667</v>
      </c>
      <c r="V460" s="260">
        <v>0.48958333333333331</v>
      </c>
    </row>
    <row r="461" spans="1:22" s="196" customFormat="1" hidden="1" x14ac:dyDescent="0.25">
      <c r="A461" s="262">
        <v>15082023</v>
      </c>
      <c r="B461" s="196" t="s">
        <v>2762</v>
      </c>
      <c r="C461" s="196" t="s">
        <v>410</v>
      </c>
      <c r="D461" s="194">
        <v>45153</v>
      </c>
      <c r="E461"/>
      <c r="F461" s="307" t="s">
        <v>2761</v>
      </c>
      <c r="H461" s="307" t="s">
        <v>277</v>
      </c>
      <c r="K461" s="315"/>
      <c r="L461" s="195">
        <v>10856</v>
      </c>
      <c r="T461" s="260" t="s">
        <v>1029</v>
      </c>
      <c r="U461" s="260">
        <v>0.3611111111111111</v>
      </c>
      <c r="V461" s="260">
        <v>0.64861111111111114</v>
      </c>
    </row>
    <row r="462" spans="1:22" s="196" customFormat="1" hidden="1" x14ac:dyDescent="0.25">
      <c r="A462" s="262">
        <v>16082023</v>
      </c>
      <c r="B462" s="196" t="s">
        <v>586</v>
      </c>
      <c r="C462" s="196" t="s">
        <v>13</v>
      </c>
      <c r="D462" s="194">
        <v>45154</v>
      </c>
      <c r="E462"/>
      <c r="F462" s="307" t="s">
        <v>545</v>
      </c>
      <c r="H462" s="307" t="s">
        <v>279</v>
      </c>
      <c r="K462" s="315">
        <v>33560</v>
      </c>
      <c r="L462" s="195"/>
      <c r="T462" s="260" t="s">
        <v>916</v>
      </c>
      <c r="U462" s="260">
        <v>0.52152777777777781</v>
      </c>
      <c r="V462" s="260">
        <v>0.7270833333333333</v>
      </c>
    </row>
    <row r="463" spans="1:22" s="196" customFormat="1" hidden="1" x14ac:dyDescent="0.25">
      <c r="A463" s="262">
        <v>16082023</v>
      </c>
      <c r="B463" s="196" t="s">
        <v>2763</v>
      </c>
      <c r="C463" s="196" t="s">
        <v>13</v>
      </c>
      <c r="D463" s="194">
        <v>45154</v>
      </c>
      <c r="E463"/>
      <c r="F463" s="307" t="s">
        <v>545</v>
      </c>
      <c r="H463" s="307" t="s">
        <v>279</v>
      </c>
      <c r="K463" s="315">
        <v>33560</v>
      </c>
      <c r="L463" s="195"/>
      <c r="T463" s="260" t="s">
        <v>916</v>
      </c>
      <c r="U463" s="260">
        <v>0.76180555555555562</v>
      </c>
      <c r="V463" s="260">
        <v>0.94652777777777775</v>
      </c>
    </row>
    <row r="464" spans="1:22" s="196" customFormat="1" hidden="1" x14ac:dyDescent="0.25">
      <c r="A464" s="262">
        <v>17082023</v>
      </c>
      <c r="B464" s="196" t="s">
        <v>1720</v>
      </c>
      <c r="C464" s="196" t="s">
        <v>809</v>
      </c>
      <c r="D464" s="194">
        <v>45155</v>
      </c>
      <c r="E464"/>
      <c r="F464" s="307" t="s">
        <v>545</v>
      </c>
      <c r="H464" s="307" t="s">
        <v>277</v>
      </c>
      <c r="K464" s="315">
        <v>25016</v>
      </c>
      <c r="L464" s="195"/>
      <c r="T464" s="260" t="s">
        <v>894</v>
      </c>
      <c r="U464" s="260">
        <v>0.43402777777777773</v>
      </c>
      <c r="V464" s="260">
        <v>0.4916666666666667</v>
      </c>
    </row>
    <row r="465" spans="1:24" s="196" customFormat="1" hidden="1" x14ac:dyDescent="0.25">
      <c r="A465" s="262">
        <v>17082023</v>
      </c>
      <c r="B465" s="196" t="s">
        <v>576</v>
      </c>
      <c r="C465" s="196" t="s">
        <v>13</v>
      </c>
      <c r="D465" s="194">
        <v>45155</v>
      </c>
      <c r="F465" s="307" t="s">
        <v>285</v>
      </c>
      <c r="H465" s="307" t="s">
        <v>279</v>
      </c>
      <c r="K465" s="315">
        <v>47200</v>
      </c>
      <c r="L465" s="195"/>
      <c r="T465" s="260" t="s">
        <v>893</v>
      </c>
      <c r="U465" s="260">
        <v>0.65694444444444444</v>
      </c>
      <c r="V465" s="260">
        <v>0.45347222222222222</v>
      </c>
    </row>
    <row r="466" spans="1:24" s="33" customFormat="1" hidden="1" x14ac:dyDescent="0.25">
      <c r="A466" s="281">
        <v>18082023</v>
      </c>
      <c r="B466" s="33" t="s">
        <v>2469</v>
      </c>
      <c r="C466" s="33" t="s">
        <v>13</v>
      </c>
      <c r="D466" s="278">
        <v>45156</v>
      </c>
      <c r="F466" s="306" t="s">
        <v>294</v>
      </c>
      <c r="H466" s="306" t="s">
        <v>279</v>
      </c>
      <c r="K466" s="312">
        <v>35568</v>
      </c>
      <c r="L466" s="279"/>
      <c r="T466" s="280" t="s">
        <v>1029</v>
      </c>
      <c r="U466" s="280">
        <v>0.30833333333333335</v>
      </c>
      <c r="V466" s="280">
        <v>0.51180555555555551</v>
      </c>
      <c r="X466" s="33" t="s">
        <v>2908</v>
      </c>
    </row>
    <row r="467" spans="1:24" s="264" customFormat="1" hidden="1" x14ac:dyDescent="0.25">
      <c r="A467" s="263">
        <v>18082023</v>
      </c>
      <c r="B467" s="264" t="s">
        <v>583</v>
      </c>
      <c r="C467" s="264" t="s">
        <v>809</v>
      </c>
      <c r="D467" s="265">
        <v>45156</v>
      </c>
      <c r="F467" s="309" t="s">
        <v>573</v>
      </c>
      <c r="H467" s="309" t="s">
        <v>277</v>
      </c>
      <c r="K467" s="318">
        <v>26400</v>
      </c>
      <c r="L467" s="266"/>
      <c r="T467" s="267" t="s">
        <v>894</v>
      </c>
      <c r="U467" s="267">
        <v>0.32013888888888892</v>
      </c>
      <c r="V467" s="267">
        <v>0.50555555555555554</v>
      </c>
    </row>
    <row r="468" spans="1:24" s="196" customFormat="1" hidden="1" x14ac:dyDescent="0.25">
      <c r="A468" s="262">
        <v>18082023</v>
      </c>
      <c r="B468" s="196" t="s">
        <v>1720</v>
      </c>
      <c r="C468" s="196" t="s">
        <v>410</v>
      </c>
      <c r="D468" s="194">
        <v>45156</v>
      </c>
      <c r="F468" s="307" t="s">
        <v>545</v>
      </c>
      <c r="H468" s="307" t="s">
        <v>277</v>
      </c>
      <c r="K468" s="315">
        <v>25016</v>
      </c>
      <c r="L468" s="195"/>
      <c r="T468" s="260" t="s">
        <v>916</v>
      </c>
      <c r="U468" s="260">
        <v>0.76944444444444438</v>
      </c>
      <c r="V468" s="260">
        <v>0.90833333333333333</v>
      </c>
    </row>
    <row r="469" spans="1:24" s="196" customFormat="1" hidden="1" x14ac:dyDescent="0.25">
      <c r="A469" s="262">
        <v>19082023</v>
      </c>
      <c r="B469" s="196" t="s">
        <v>2719</v>
      </c>
      <c r="C469" s="196" t="s">
        <v>410</v>
      </c>
      <c r="D469" s="194">
        <v>45157</v>
      </c>
      <c r="F469" s="307" t="s">
        <v>207</v>
      </c>
      <c r="H469" s="307" t="s">
        <v>279</v>
      </c>
      <c r="K469" s="315">
        <v>36253.14</v>
      </c>
      <c r="L469" s="195"/>
      <c r="T469" s="260" t="s">
        <v>916</v>
      </c>
      <c r="U469" s="260">
        <v>0.27499999999999997</v>
      </c>
      <c r="V469" s="260">
        <v>0.4861111111111111</v>
      </c>
    </row>
    <row r="470" spans="1:24" s="196" customFormat="1" hidden="1" x14ac:dyDescent="0.25">
      <c r="A470" s="262">
        <v>19082023</v>
      </c>
      <c r="B470" s="196" t="s">
        <v>2804</v>
      </c>
      <c r="C470" s="196" t="s">
        <v>13</v>
      </c>
      <c r="D470" s="194">
        <v>45157</v>
      </c>
      <c r="F470" s="307" t="s">
        <v>68</v>
      </c>
      <c r="H470" s="307" t="s">
        <v>279</v>
      </c>
      <c r="K470" s="315">
        <v>42480</v>
      </c>
      <c r="L470" s="195"/>
      <c r="T470" s="260" t="s">
        <v>1644</v>
      </c>
      <c r="U470" s="260">
        <v>0.55625000000000002</v>
      </c>
      <c r="V470" s="260">
        <v>0.81041666666666667</v>
      </c>
    </row>
    <row r="471" spans="1:24" s="120" customFormat="1" hidden="1" x14ac:dyDescent="0.25">
      <c r="A471" s="337">
        <v>20082023</v>
      </c>
      <c r="B471" s="120" t="s">
        <v>2768</v>
      </c>
      <c r="C471" s="120" t="s">
        <v>410</v>
      </c>
      <c r="D471" s="333">
        <v>45158</v>
      </c>
      <c r="F471" s="334" t="s">
        <v>285</v>
      </c>
      <c r="H471" s="334" t="s">
        <v>279</v>
      </c>
      <c r="K471" s="335">
        <v>45430</v>
      </c>
      <c r="L471" s="150"/>
      <c r="T471" s="336" t="s">
        <v>2380</v>
      </c>
      <c r="U471" s="336">
        <v>0.37291666666666662</v>
      </c>
      <c r="V471" s="336">
        <v>0.6743055555555556</v>
      </c>
    </row>
    <row r="472" spans="1:24" s="120" customFormat="1" hidden="1" x14ac:dyDescent="0.25">
      <c r="A472" s="337">
        <v>20082023</v>
      </c>
      <c r="B472" s="120" t="s">
        <v>2769</v>
      </c>
      <c r="C472" s="120" t="s">
        <v>13</v>
      </c>
      <c r="D472" s="333">
        <v>45158</v>
      </c>
      <c r="F472" s="334" t="s">
        <v>236</v>
      </c>
      <c r="H472" s="334" t="s">
        <v>279</v>
      </c>
      <c r="K472" s="335">
        <v>62540</v>
      </c>
      <c r="L472" s="150"/>
      <c r="T472" s="336" t="s">
        <v>916</v>
      </c>
      <c r="U472" s="336">
        <v>0.42291666666666666</v>
      </c>
      <c r="V472" s="336">
        <v>0.7583333333333333</v>
      </c>
    </row>
    <row r="473" spans="1:24" s="399" customFormat="1" hidden="1" x14ac:dyDescent="0.25">
      <c r="A473" s="551">
        <v>21082023</v>
      </c>
      <c r="B473" s="399" t="s">
        <v>762</v>
      </c>
      <c r="C473" s="399" t="s">
        <v>410</v>
      </c>
      <c r="D473" s="532">
        <v>45159</v>
      </c>
      <c r="F473" s="552" t="s">
        <v>872</v>
      </c>
      <c r="H473" s="552" t="s">
        <v>279</v>
      </c>
      <c r="K473" s="553">
        <v>39600</v>
      </c>
      <c r="L473" s="608"/>
      <c r="T473" s="554" t="s">
        <v>893</v>
      </c>
      <c r="U473" s="554">
        <v>0.35486111111111113</v>
      </c>
      <c r="V473" s="554">
        <v>0.57638888888888895</v>
      </c>
    </row>
    <row r="474" spans="1:24" s="408" customFormat="1" hidden="1" x14ac:dyDescent="0.25">
      <c r="A474" s="562">
        <v>22082023</v>
      </c>
      <c r="B474" s="408" t="s">
        <v>118</v>
      </c>
      <c r="C474" s="408" t="s">
        <v>13</v>
      </c>
      <c r="D474" s="409">
        <v>45160</v>
      </c>
      <c r="F474" s="410" t="s">
        <v>143</v>
      </c>
      <c r="H474" s="410" t="s">
        <v>279</v>
      </c>
      <c r="K474" s="411">
        <v>37200</v>
      </c>
      <c r="L474" s="412"/>
      <c r="T474" s="413" t="s">
        <v>1656</v>
      </c>
      <c r="U474" s="413">
        <v>0.51736111111111105</v>
      </c>
      <c r="V474" s="413">
        <v>0.72916666666666663</v>
      </c>
    </row>
    <row r="475" spans="1:24" s="196" customFormat="1" hidden="1" x14ac:dyDescent="0.25">
      <c r="A475" s="262">
        <v>23082023</v>
      </c>
      <c r="B475" s="196" t="s">
        <v>1055</v>
      </c>
      <c r="C475" s="196" t="s">
        <v>410</v>
      </c>
      <c r="D475" s="194">
        <v>45161</v>
      </c>
      <c r="F475" s="307" t="s">
        <v>573</v>
      </c>
      <c r="H475" s="307" t="s">
        <v>279</v>
      </c>
      <c r="K475" s="315">
        <v>40497</v>
      </c>
      <c r="L475" s="195"/>
      <c r="T475" s="260" t="s">
        <v>893</v>
      </c>
      <c r="U475" s="260">
        <v>0.30624999999999997</v>
      </c>
      <c r="V475" s="260">
        <v>0.4909722222222222</v>
      </c>
    </row>
    <row r="476" spans="1:24" s="399" customFormat="1" hidden="1" x14ac:dyDescent="0.25">
      <c r="A476" s="551">
        <v>23082023</v>
      </c>
      <c r="B476" s="399" t="s">
        <v>762</v>
      </c>
      <c r="C476" s="399" t="s">
        <v>13</v>
      </c>
      <c r="D476" s="532">
        <v>45161</v>
      </c>
      <c r="F476" s="552" t="s">
        <v>872</v>
      </c>
      <c r="H476" s="552" t="s">
        <v>279</v>
      </c>
      <c r="K476" s="553">
        <v>39600</v>
      </c>
      <c r="L476" s="608"/>
      <c r="T476" s="554" t="s">
        <v>916</v>
      </c>
      <c r="U476" s="554">
        <v>0.4916666666666667</v>
      </c>
      <c r="V476" s="554">
        <v>0.71111111111111114</v>
      </c>
    </row>
    <row r="477" spans="1:24" s="196" customFormat="1" hidden="1" x14ac:dyDescent="0.25">
      <c r="A477" s="262">
        <v>23082023</v>
      </c>
      <c r="B477" s="196" t="s">
        <v>1720</v>
      </c>
      <c r="C477" s="196" t="s">
        <v>809</v>
      </c>
      <c r="D477" s="194">
        <v>45161</v>
      </c>
      <c r="F477" s="307" t="s">
        <v>545</v>
      </c>
      <c r="H477" s="307" t="s">
        <v>277</v>
      </c>
      <c r="K477" s="315">
        <v>25016</v>
      </c>
      <c r="L477" s="195"/>
      <c r="T477" s="260" t="s">
        <v>1894</v>
      </c>
      <c r="U477" s="260">
        <v>0.60416666666666663</v>
      </c>
      <c r="V477" s="260">
        <v>0.66388888888888886</v>
      </c>
    </row>
    <row r="478" spans="1:24" s="196" customFormat="1" hidden="1" x14ac:dyDescent="0.25">
      <c r="A478" s="262">
        <v>23082023</v>
      </c>
      <c r="B478" s="196" t="s">
        <v>576</v>
      </c>
      <c r="C478" s="196" t="s">
        <v>410</v>
      </c>
      <c r="D478" s="194">
        <v>45161</v>
      </c>
      <c r="F478" s="307" t="s">
        <v>285</v>
      </c>
      <c r="H478" s="307" t="s">
        <v>279</v>
      </c>
      <c r="K478" s="315">
        <v>47200</v>
      </c>
      <c r="L478" s="195"/>
      <c r="T478" s="260" t="s">
        <v>2050</v>
      </c>
      <c r="U478" s="260">
        <v>0.71944444444444444</v>
      </c>
      <c r="V478" s="260">
        <v>0.95972222222222225</v>
      </c>
    </row>
    <row r="479" spans="1:24" s="120" customFormat="1" hidden="1" x14ac:dyDescent="0.25">
      <c r="A479" s="428">
        <v>24082023</v>
      </c>
      <c r="B479" s="120" t="s">
        <v>1093</v>
      </c>
      <c r="C479" s="120" t="s">
        <v>13</v>
      </c>
      <c r="D479" s="333">
        <v>45162</v>
      </c>
      <c r="F479" s="334" t="s">
        <v>236</v>
      </c>
      <c r="H479" s="334" t="s">
        <v>279</v>
      </c>
      <c r="I479" s="334"/>
      <c r="K479" s="335">
        <v>62540</v>
      </c>
      <c r="L479" s="463"/>
      <c r="T479" s="336" t="s">
        <v>922</v>
      </c>
      <c r="U479" s="336">
        <v>0.59097222222222223</v>
      </c>
      <c r="V479" s="336">
        <v>0.88055555555555554</v>
      </c>
    </row>
    <row r="480" spans="1:24" s="196" customFormat="1" hidden="1" x14ac:dyDescent="0.25">
      <c r="A480" s="303">
        <v>26082023</v>
      </c>
      <c r="B480" s="196" t="s">
        <v>1847</v>
      </c>
      <c r="C480" s="196" t="s">
        <v>13</v>
      </c>
      <c r="D480" s="194">
        <v>45164</v>
      </c>
      <c r="F480" s="307" t="s">
        <v>545</v>
      </c>
      <c r="H480" s="307" t="s">
        <v>279</v>
      </c>
      <c r="K480" s="315">
        <v>33560</v>
      </c>
      <c r="L480" s="195"/>
      <c r="T480" s="260" t="s">
        <v>929</v>
      </c>
      <c r="U480" s="260">
        <v>0.78055555555555556</v>
      </c>
      <c r="V480" s="260">
        <v>0.94166666666666676</v>
      </c>
    </row>
    <row r="481" spans="1:24" s="196" customFormat="1" hidden="1" x14ac:dyDescent="0.25">
      <c r="A481" s="303">
        <v>27082023</v>
      </c>
      <c r="B481" s="196" t="s">
        <v>614</v>
      </c>
      <c r="C481" s="196" t="s">
        <v>13</v>
      </c>
      <c r="D481" s="194">
        <v>45165</v>
      </c>
      <c r="F481" s="307" t="s">
        <v>207</v>
      </c>
      <c r="H481" s="307" t="s">
        <v>279</v>
      </c>
      <c r="K481" s="315">
        <v>36350</v>
      </c>
      <c r="L481" s="195"/>
      <c r="T481" s="260" t="s">
        <v>1506</v>
      </c>
      <c r="U481" s="260">
        <v>0.27361111111111108</v>
      </c>
      <c r="V481" s="260">
        <v>0.49652777777777773</v>
      </c>
    </row>
    <row r="482" spans="1:24" s="33" customFormat="1" hidden="1" x14ac:dyDescent="0.25">
      <c r="A482" s="432">
        <v>29082023</v>
      </c>
      <c r="B482" s="33" t="s">
        <v>2285</v>
      </c>
      <c r="C482" s="33" t="s">
        <v>410</v>
      </c>
      <c r="D482" s="278">
        <v>45167</v>
      </c>
      <c r="F482" s="306" t="s">
        <v>1985</v>
      </c>
      <c r="H482" s="306" t="s">
        <v>279</v>
      </c>
      <c r="K482" s="312">
        <v>55516</v>
      </c>
      <c r="L482" s="279"/>
      <c r="T482" s="280" t="s">
        <v>1644</v>
      </c>
      <c r="U482" s="280">
        <v>0.29236111111111113</v>
      </c>
      <c r="V482" s="280">
        <v>0.6</v>
      </c>
      <c r="X482" s="33" t="s">
        <v>2908</v>
      </c>
    </row>
    <row r="483" spans="1:24" s="33" customFormat="1" hidden="1" x14ac:dyDescent="0.25">
      <c r="A483" s="432">
        <v>29082023</v>
      </c>
      <c r="B483" s="33" t="s">
        <v>2285</v>
      </c>
      <c r="C483" s="33" t="s">
        <v>13</v>
      </c>
      <c r="D483" s="278">
        <v>45167</v>
      </c>
      <c r="F483" s="306" t="s">
        <v>1985</v>
      </c>
      <c r="H483" s="306" t="s">
        <v>279</v>
      </c>
      <c r="K483" s="312">
        <v>55516</v>
      </c>
      <c r="L483" s="279"/>
      <c r="T483" s="280" t="s">
        <v>2817</v>
      </c>
      <c r="U483" s="280">
        <v>0.3</v>
      </c>
      <c r="V483" s="280">
        <v>0.70347222222222217</v>
      </c>
      <c r="X483" s="33" t="s">
        <v>2908</v>
      </c>
    </row>
    <row r="484" spans="1:24" s="196" customFormat="1" hidden="1" x14ac:dyDescent="0.25">
      <c r="A484" s="303">
        <v>29082023</v>
      </c>
      <c r="B484" s="196" t="s">
        <v>1847</v>
      </c>
      <c r="C484" s="196" t="s">
        <v>410</v>
      </c>
      <c r="D484" s="194">
        <v>45167</v>
      </c>
      <c r="F484" s="307" t="s">
        <v>545</v>
      </c>
      <c r="H484" s="307" t="s">
        <v>279</v>
      </c>
      <c r="K484" s="315">
        <v>33560</v>
      </c>
      <c r="L484" s="195"/>
      <c r="T484" s="260" t="s">
        <v>1029</v>
      </c>
      <c r="U484" s="260">
        <v>0.66319444444444442</v>
      </c>
      <c r="V484" s="260">
        <v>0.85625000000000007</v>
      </c>
    </row>
    <row r="485" spans="1:24" s="196" customFormat="1" hidden="1" x14ac:dyDescent="0.25">
      <c r="A485" s="303">
        <v>29082023</v>
      </c>
      <c r="B485" s="196" t="s">
        <v>1720</v>
      </c>
      <c r="C485" s="196" t="s">
        <v>809</v>
      </c>
      <c r="D485" s="194">
        <v>45167</v>
      </c>
      <c r="F485" s="307" t="s">
        <v>545</v>
      </c>
      <c r="H485" s="307" t="s">
        <v>277</v>
      </c>
      <c r="K485" s="315">
        <v>25016</v>
      </c>
      <c r="L485" s="195"/>
      <c r="T485" s="260" t="s">
        <v>1894</v>
      </c>
      <c r="U485" s="260">
        <v>0.7583333333333333</v>
      </c>
      <c r="V485" s="260">
        <v>0.81666666666666676</v>
      </c>
    </row>
    <row r="486" spans="1:24" s="120" customFormat="1" hidden="1" x14ac:dyDescent="0.25">
      <c r="A486" s="428">
        <v>30082023</v>
      </c>
      <c r="B486" s="120" t="s">
        <v>2823</v>
      </c>
      <c r="C486" s="120" t="s">
        <v>13</v>
      </c>
      <c r="D486" s="333">
        <v>45168</v>
      </c>
      <c r="F486" s="334" t="s">
        <v>236</v>
      </c>
      <c r="H486" s="334" t="s">
        <v>279</v>
      </c>
      <c r="K486" s="335">
        <v>62540</v>
      </c>
      <c r="L486" s="150"/>
      <c r="T486" s="336" t="s">
        <v>893</v>
      </c>
      <c r="U486" s="336">
        <v>0.41111111111111115</v>
      </c>
      <c r="V486" s="336">
        <v>0.70416666666666661</v>
      </c>
    </row>
    <row r="487" spans="1:24" s="33" customFormat="1" hidden="1" x14ac:dyDescent="0.25">
      <c r="A487" s="432">
        <v>31082023</v>
      </c>
      <c r="B487" s="33" t="s">
        <v>2174</v>
      </c>
      <c r="C487" s="33" t="s">
        <v>410</v>
      </c>
      <c r="D487" s="278">
        <v>45169</v>
      </c>
      <c r="F487" s="306" t="s">
        <v>294</v>
      </c>
      <c r="H487" s="306" t="s">
        <v>279</v>
      </c>
      <c r="K487" s="312">
        <v>35568</v>
      </c>
      <c r="L487" s="279"/>
      <c r="T487" s="280" t="s">
        <v>989</v>
      </c>
      <c r="U487" s="280">
        <v>0.28402777777777777</v>
      </c>
      <c r="V487" s="280">
        <v>0.48333333333333334</v>
      </c>
      <c r="X487" s="33" t="s">
        <v>2908</v>
      </c>
    </row>
    <row r="488" spans="1:24" s="196" customFormat="1" hidden="1" x14ac:dyDescent="0.25">
      <c r="A488" s="303">
        <v>31082023</v>
      </c>
      <c r="B488" s="196" t="s">
        <v>614</v>
      </c>
      <c r="C488" s="196" t="s">
        <v>13</v>
      </c>
      <c r="D488" s="194">
        <v>45169</v>
      </c>
      <c r="F488" s="307" t="s">
        <v>113</v>
      </c>
      <c r="H488" s="307" t="s">
        <v>279</v>
      </c>
      <c r="K488" s="315">
        <v>39070</v>
      </c>
      <c r="L488" s="195"/>
      <c r="T488" s="260" t="s">
        <v>1656</v>
      </c>
      <c r="U488" s="260">
        <v>0.48472222222222222</v>
      </c>
      <c r="V488" s="260">
        <v>0.6791666666666667</v>
      </c>
    </row>
    <row r="489" spans="1:24" s="196" customFormat="1" hidden="1" x14ac:dyDescent="0.25">
      <c r="A489" s="303">
        <v>31082023</v>
      </c>
      <c r="B489" s="196" t="s">
        <v>1720</v>
      </c>
      <c r="C489" s="196" t="s">
        <v>809</v>
      </c>
      <c r="D489" s="194">
        <v>45169</v>
      </c>
      <c r="F489" s="307" t="s">
        <v>545</v>
      </c>
      <c r="H489" s="307" t="s">
        <v>277</v>
      </c>
      <c r="K489" s="315">
        <v>25016</v>
      </c>
      <c r="L489" s="195"/>
      <c r="T489" s="260" t="s">
        <v>894</v>
      </c>
      <c r="U489" s="260">
        <v>0.72013888888888899</v>
      </c>
      <c r="V489" s="260">
        <v>0.78055555555555556</v>
      </c>
    </row>
    <row r="490" spans="1:24" hidden="1" x14ac:dyDescent="0.25">
      <c r="A490" s="30"/>
      <c r="D490" s="122"/>
      <c r="K490" s="313"/>
      <c r="L490" s="88"/>
      <c r="T490" s="14"/>
      <c r="U490" s="14"/>
      <c r="V490" s="14"/>
    </row>
    <row r="491" spans="1:24" hidden="1" x14ac:dyDescent="0.25">
      <c r="A491" s="256"/>
      <c r="D491" s="122"/>
      <c r="K491" s="313"/>
      <c r="L491" s="88"/>
      <c r="T491" s="14"/>
      <c r="U491" s="14"/>
      <c r="V491" s="14"/>
    </row>
    <row r="492" spans="1:24" hidden="1" x14ac:dyDescent="0.25">
      <c r="A492" s="256"/>
      <c r="D492" s="122"/>
      <c r="K492" s="61">
        <f>SUM(K436:K490)</f>
        <v>1997791.28</v>
      </c>
      <c r="L492" s="61">
        <f>SUM(L436:L490)</f>
        <v>39016</v>
      </c>
      <c r="T492" s="14"/>
      <c r="U492" s="14"/>
      <c r="V492" s="14"/>
    </row>
    <row r="493" spans="1:24" hidden="1" x14ac:dyDescent="0.25">
      <c r="A493" s="30"/>
      <c r="D493" s="122"/>
      <c r="K493" s="313"/>
      <c r="L493" s="88"/>
      <c r="T493" s="14"/>
      <c r="U493" s="14"/>
      <c r="V493" s="14"/>
    </row>
    <row r="494" spans="1:24" hidden="1" x14ac:dyDescent="0.25">
      <c r="A494" s="30"/>
      <c r="D494" s="122"/>
      <c r="K494" s="313"/>
      <c r="L494" s="88"/>
      <c r="T494" s="14"/>
      <c r="U494" s="14"/>
      <c r="V494" s="14"/>
    </row>
    <row r="495" spans="1:24" hidden="1" x14ac:dyDescent="0.25">
      <c r="A495" s="321"/>
      <c r="D495" s="124"/>
      <c r="K495" s="313"/>
      <c r="L495" s="88"/>
      <c r="T495" s="14"/>
      <c r="U495" s="14"/>
      <c r="V495" s="14"/>
    </row>
    <row r="496" spans="1:24" s="196" customFormat="1" hidden="1" x14ac:dyDescent="0.25">
      <c r="A496" s="262" t="s">
        <v>2850</v>
      </c>
      <c r="B496" s="196" t="s">
        <v>2763</v>
      </c>
      <c r="C496" s="196" t="s">
        <v>13</v>
      </c>
      <c r="D496" s="194">
        <v>45170</v>
      </c>
      <c r="F496" s="307" t="s">
        <v>545</v>
      </c>
      <c r="H496" s="307" t="s">
        <v>279</v>
      </c>
      <c r="K496" s="315">
        <v>33560</v>
      </c>
      <c r="L496" s="195"/>
      <c r="T496" s="260" t="s">
        <v>2848</v>
      </c>
      <c r="U496" s="260">
        <v>0.2902777777777778</v>
      </c>
      <c r="V496" s="260">
        <v>0.45416666666666666</v>
      </c>
    </row>
    <row r="497" spans="1:22" s="196" customFormat="1" hidden="1" x14ac:dyDescent="0.25">
      <c r="A497" s="262" t="s">
        <v>2850</v>
      </c>
      <c r="B497" s="196" t="s">
        <v>608</v>
      </c>
      <c r="C497" s="196" t="s">
        <v>809</v>
      </c>
      <c r="D497" s="194">
        <v>45170</v>
      </c>
      <c r="F497" s="307" t="s">
        <v>236</v>
      </c>
      <c r="H497" s="307" t="s">
        <v>279</v>
      </c>
      <c r="K497" s="315">
        <v>59472</v>
      </c>
      <c r="L497" s="195"/>
      <c r="T497" s="260" t="s">
        <v>894</v>
      </c>
      <c r="U497" s="260">
        <v>0.51111111111111118</v>
      </c>
      <c r="V497" s="260">
        <v>0.82708333333333339</v>
      </c>
    </row>
    <row r="498" spans="1:22" s="196" customFormat="1" hidden="1" x14ac:dyDescent="0.25">
      <c r="A498" s="262" t="s">
        <v>2850</v>
      </c>
      <c r="B498" s="196" t="s">
        <v>2804</v>
      </c>
      <c r="C498" s="196" t="s">
        <v>13</v>
      </c>
      <c r="D498" s="194">
        <v>45170</v>
      </c>
      <c r="F498" s="307" t="s">
        <v>68</v>
      </c>
      <c r="H498" s="307" t="s">
        <v>279</v>
      </c>
      <c r="K498" s="315">
        <v>42480</v>
      </c>
      <c r="L498" s="195"/>
      <c r="T498" s="260" t="s">
        <v>1656</v>
      </c>
      <c r="U498" s="260">
        <v>0.66805555555555562</v>
      </c>
      <c r="V498" s="260">
        <v>0.4458333333333333</v>
      </c>
    </row>
    <row r="499" spans="1:22" s="33" customFormat="1" hidden="1" x14ac:dyDescent="0.25">
      <c r="A499" s="281" t="s">
        <v>2851</v>
      </c>
      <c r="B499" s="33" t="s">
        <v>2849</v>
      </c>
      <c r="C499" s="33" t="s">
        <v>13</v>
      </c>
      <c r="D499" s="278">
        <v>45171</v>
      </c>
      <c r="F499" s="306" t="s">
        <v>236</v>
      </c>
      <c r="H499" s="306" t="s">
        <v>279</v>
      </c>
      <c r="K499" s="312">
        <v>62540</v>
      </c>
      <c r="L499" s="279"/>
      <c r="T499" s="280" t="s">
        <v>2852</v>
      </c>
      <c r="U499" s="280">
        <v>0.27499999999999997</v>
      </c>
      <c r="V499" s="280">
        <v>0.5805555555555556</v>
      </c>
    </row>
    <row r="500" spans="1:22" s="196" customFormat="1" hidden="1" x14ac:dyDescent="0.25">
      <c r="A500" s="262" t="s">
        <v>2853</v>
      </c>
      <c r="B500" s="196" t="s">
        <v>2854</v>
      </c>
      <c r="C500" s="196" t="s">
        <v>13</v>
      </c>
      <c r="D500" s="194">
        <v>45172</v>
      </c>
      <c r="F500" s="307" t="s">
        <v>294</v>
      </c>
      <c r="H500" s="307" t="s">
        <v>279</v>
      </c>
      <c r="K500" s="315">
        <v>35568</v>
      </c>
      <c r="L500" s="195"/>
      <c r="T500" s="260" t="s">
        <v>1816</v>
      </c>
      <c r="U500" s="260">
        <v>0.29097222222222224</v>
      </c>
      <c r="V500" s="260">
        <v>0.49583333333333335</v>
      </c>
    </row>
    <row r="501" spans="1:22" s="196" customFormat="1" hidden="1" x14ac:dyDescent="0.25">
      <c r="A501" s="262" t="s">
        <v>2855</v>
      </c>
      <c r="B501" s="196" t="s">
        <v>608</v>
      </c>
      <c r="C501" s="196" t="s">
        <v>410</v>
      </c>
      <c r="D501" s="194">
        <v>45173</v>
      </c>
      <c r="F501" s="307" t="s">
        <v>236</v>
      </c>
      <c r="H501" s="307" t="s">
        <v>279</v>
      </c>
      <c r="K501" s="315">
        <v>59472</v>
      </c>
      <c r="L501" s="195"/>
      <c r="T501" s="260" t="s">
        <v>1644</v>
      </c>
      <c r="U501" s="260">
        <v>0.6430555555555556</v>
      </c>
      <c r="V501" s="260">
        <v>1.8055555555555557E-2</v>
      </c>
    </row>
    <row r="502" spans="1:22" s="196" customFormat="1" hidden="1" x14ac:dyDescent="0.25">
      <c r="A502" s="262" t="s">
        <v>2886</v>
      </c>
      <c r="B502" s="196" t="s">
        <v>2739</v>
      </c>
      <c r="C502" s="196" t="s">
        <v>410</v>
      </c>
      <c r="D502" s="194">
        <v>45174</v>
      </c>
      <c r="F502" s="307" t="s">
        <v>2107</v>
      </c>
      <c r="H502" s="307" t="s">
        <v>279</v>
      </c>
      <c r="K502" s="315">
        <v>29984</v>
      </c>
      <c r="L502" s="195"/>
      <c r="T502" s="260" t="s">
        <v>929</v>
      </c>
      <c r="U502" s="260">
        <v>0.45555555555555555</v>
      </c>
      <c r="V502" s="260">
        <v>0.61458333333333337</v>
      </c>
    </row>
    <row r="503" spans="1:22" s="196" customFormat="1" hidden="1" x14ac:dyDescent="0.25">
      <c r="A503" s="262" t="s">
        <v>2886</v>
      </c>
      <c r="B503" s="196" t="s">
        <v>1720</v>
      </c>
      <c r="C503" s="196" t="s">
        <v>809</v>
      </c>
      <c r="D503" s="194">
        <v>45174</v>
      </c>
      <c r="F503" s="307" t="s">
        <v>545</v>
      </c>
      <c r="H503" s="307" t="s">
        <v>597</v>
      </c>
      <c r="K503" s="315">
        <v>25016</v>
      </c>
      <c r="L503" s="195"/>
      <c r="T503" s="260" t="s">
        <v>1178</v>
      </c>
      <c r="U503" s="260">
        <v>0.5625</v>
      </c>
      <c r="V503" s="260">
        <v>0.62847222222222221</v>
      </c>
    </row>
    <row r="504" spans="1:22" s="196" customFormat="1" hidden="1" x14ac:dyDescent="0.25">
      <c r="A504" s="262" t="s">
        <v>2886</v>
      </c>
      <c r="B504" s="196" t="s">
        <v>2739</v>
      </c>
      <c r="C504" s="196" t="s">
        <v>410</v>
      </c>
      <c r="D504" s="194">
        <v>45174</v>
      </c>
      <c r="F504" s="307" t="s">
        <v>2107</v>
      </c>
      <c r="H504" s="307" t="s">
        <v>279</v>
      </c>
      <c r="K504" s="315">
        <v>29984</v>
      </c>
      <c r="L504" s="195"/>
      <c r="T504" s="260" t="s">
        <v>929</v>
      </c>
      <c r="U504" s="260">
        <v>0.65347222222222223</v>
      </c>
      <c r="V504" s="260">
        <v>0.78888888888888886</v>
      </c>
    </row>
    <row r="505" spans="1:22" s="196" customFormat="1" hidden="1" x14ac:dyDescent="0.25">
      <c r="A505" s="262" t="s">
        <v>2886</v>
      </c>
      <c r="B505" s="196" t="s">
        <v>608</v>
      </c>
      <c r="C505" s="196" t="s">
        <v>410</v>
      </c>
      <c r="D505" s="194">
        <v>45174</v>
      </c>
      <c r="F505" s="307" t="s">
        <v>236</v>
      </c>
      <c r="H505" s="307" t="s">
        <v>279</v>
      </c>
      <c r="K505" s="315">
        <v>59472</v>
      </c>
      <c r="L505" s="195"/>
      <c r="T505" s="260" t="s">
        <v>1029</v>
      </c>
      <c r="U505" s="260">
        <v>0.8520833333333333</v>
      </c>
      <c r="V505" s="260">
        <v>0.18472222222222223</v>
      </c>
    </row>
    <row r="506" spans="1:22" s="196" customFormat="1" hidden="1" x14ac:dyDescent="0.25">
      <c r="A506" s="433" t="s">
        <v>2887</v>
      </c>
      <c r="B506" s="196" t="s">
        <v>2763</v>
      </c>
      <c r="C506" s="196" t="s">
        <v>410</v>
      </c>
      <c r="D506" s="194">
        <v>45176</v>
      </c>
      <c r="F506" s="307" t="s">
        <v>545</v>
      </c>
      <c r="H506" s="307" t="s">
        <v>279</v>
      </c>
      <c r="K506" s="315">
        <v>33560</v>
      </c>
      <c r="L506" s="195"/>
      <c r="T506" s="260" t="s">
        <v>1178</v>
      </c>
      <c r="U506" s="260">
        <v>0.33194444444444443</v>
      </c>
      <c r="V506" s="260">
        <v>0.49513888888888885</v>
      </c>
    </row>
    <row r="507" spans="1:22" s="264" customFormat="1" hidden="1" x14ac:dyDescent="0.25">
      <c r="A507" s="263" t="s">
        <v>2888</v>
      </c>
      <c r="B507" s="264" t="s">
        <v>583</v>
      </c>
      <c r="C507" s="264" t="s">
        <v>13</v>
      </c>
      <c r="D507" s="265">
        <v>45177</v>
      </c>
      <c r="F507" s="309" t="s">
        <v>236</v>
      </c>
      <c r="H507" s="309" t="s">
        <v>279</v>
      </c>
      <c r="K507" s="318">
        <v>52000</v>
      </c>
      <c r="L507" s="266"/>
      <c r="T507" s="267" t="s">
        <v>893</v>
      </c>
      <c r="U507" s="267">
        <v>0.48333333333333334</v>
      </c>
      <c r="V507" s="267">
        <v>0.84930555555555554</v>
      </c>
    </row>
    <row r="508" spans="1:22" s="196" customFormat="1" hidden="1" x14ac:dyDescent="0.25">
      <c r="A508" s="262" t="s">
        <v>2888</v>
      </c>
      <c r="B508" s="196" t="s">
        <v>608</v>
      </c>
      <c r="C508" s="196" t="s">
        <v>410</v>
      </c>
      <c r="D508" s="194">
        <v>45177</v>
      </c>
      <c r="F508" s="307" t="s">
        <v>236</v>
      </c>
      <c r="H508" s="307" t="s">
        <v>279</v>
      </c>
      <c r="K508" s="315">
        <v>59472</v>
      </c>
      <c r="L508" s="195"/>
      <c r="T508" s="260" t="s">
        <v>1029</v>
      </c>
      <c r="U508" s="260">
        <v>0.63958333333333328</v>
      </c>
      <c r="V508" s="260">
        <v>0.93472222222222223</v>
      </c>
    </row>
    <row r="509" spans="1:22" s="196" customFormat="1" hidden="1" x14ac:dyDescent="0.25">
      <c r="A509" s="262">
        <v>10092023</v>
      </c>
      <c r="B509" s="196" t="s">
        <v>1720</v>
      </c>
      <c r="C509" s="196" t="s">
        <v>809</v>
      </c>
      <c r="D509" s="194">
        <v>45179</v>
      </c>
      <c r="F509" s="307" t="s">
        <v>545</v>
      </c>
      <c r="H509" s="307" t="s">
        <v>597</v>
      </c>
      <c r="K509" s="315">
        <v>25016</v>
      </c>
      <c r="L509" s="195"/>
      <c r="T509" s="260" t="s">
        <v>2148</v>
      </c>
      <c r="U509" s="260">
        <v>0.75902777777777775</v>
      </c>
      <c r="V509" s="260">
        <v>0.81874999999999998</v>
      </c>
    </row>
    <row r="510" spans="1:22" s="196" customFormat="1" hidden="1" x14ac:dyDescent="0.25">
      <c r="A510" s="262">
        <v>11092023</v>
      </c>
      <c r="B510" s="196" t="s">
        <v>1720</v>
      </c>
      <c r="C510" s="196" t="s">
        <v>410</v>
      </c>
      <c r="D510" s="194">
        <v>45180</v>
      </c>
      <c r="F510" s="307" t="s">
        <v>545</v>
      </c>
      <c r="H510" s="307" t="s">
        <v>597</v>
      </c>
      <c r="K510" s="315">
        <v>25016</v>
      </c>
      <c r="L510" s="195"/>
      <c r="T510" s="260" t="s">
        <v>1656</v>
      </c>
      <c r="U510" s="260">
        <v>0.66666666666666663</v>
      </c>
      <c r="V510" s="260">
        <v>0.83750000000000002</v>
      </c>
    </row>
    <row r="511" spans="1:22" s="33" customFormat="1" hidden="1" x14ac:dyDescent="0.25">
      <c r="A511" s="281">
        <v>14092023</v>
      </c>
      <c r="B511" s="33" t="s">
        <v>2227</v>
      </c>
      <c r="C511" s="33" t="s">
        <v>13</v>
      </c>
      <c r="D511" s="278">
        <v>45183</v>
      </c>
      <c r="F511" s="306" t="s">
        <v>106</v>
      </c>
      <c r="H511" s="306" t="s">
        <v>279</v>
      </c>
      <c r="K511" s="312">
        <v>26910</v>
      </c>
      <c r="L511" s="279"/>
      <c r="T511" s="280" t="s">
        <v>1029</v>
      </c>
      <c r="U511" s="280">
        <v>0.57152777777777775</v>
      </c>
      <c r="V511" s="280">
        <v>0.74791666666666667</v>
      </c>
    </row>
    <row r="512" spans="1:22" s="418" customFormat="1" hidden="1" x14ac:dyDescent="0.25">
      <c r="A512" s="417">
        <v>14092023</v>
      </c>
      <c r="B512" s="418" t="s">
        <v>762</v>
      </c>
      <c r="C512" s="418" t="s">
        <v>410</v>
      </c>
      <c r="D512" s="419">
        <v>45183</v>
      </c>
      <c r="F512" s="420" t="s">
        <v>872</v>
      </c>
      <c r="H512" s="420" t="s">
        <v>279</v>
      </c>
      <c r="K512" s="421">
        <v>39600</v>
      </c>
      <c r="L512" s="422"/>
      <c r="T512" s="423" t="s">
        <v>2050</v>
      </c>
      <c r="U512" s="423">
        <v>0.58680555555555558</v>
      </c>
      <c r="V512" s="423">
        <v>0.7993055555555556</v>
      </c>
    </row>
    <row r="513" spans="1:23" s="33" customFormat="1" hidden="1" x14ac:dyDescent="0.25">
      <c r="A513" s="281">
        <v>15092023</v>
      </c>
      <c r="B513" s="33" t="s">
        <v>930</v>
      </c>
      <c r="C513" s="33" t="s">
        <v>410</v>
      </c>
      <c r="D513" s="278">
        <v>45184</v>
      </c>
      <c r="F513" s="306" t="s">
        <v>295</v>
      </c>
      <c r="H513" s="306" t="s">
        <v>597</v>
      </c>
      <c r="K513" s="312">
        <v>37252.6</v>
      </c>
      <c r="L513" s="279"/>
      <c r="T513" s="280" t="s">
        <v>929</v>
      </c>
      <c r="U513" s="280">
        <v>0.27986111111111112</v>
      </c>
      <c r="V513" s="280">
        <v>0.52569444444444446</v>
      </c>
    </row>
    <row r="514" spans="1:23" s="196" customFormat="1" hidden="1" x14ac:dyDescent="0.25">
      <c r="A514" s="262">
        <v>15092023</v>
      </c>
      <c r="B514" s="196" t="s">
        <v>2763</v>
      </c>
      <c r="C514" s="196" t="s">
        <v>13</v>
      </c>
      <c r="D514" s="194">
        <v>45184</v>
      </c>
      <c r="F514" s="307" t="s">
        <v>545</v>
      </c>
      <c r="H514" s="307" t="s">
        <v>279</v>
      </c>
      <c r="K514" s="315">
        <v>33560</v>
      </c>
      <c r="L514" s="195"/>
      <c r="T514" s="260" t="s">
        <v>1029</v>
      </c>
      <c r="U514" s="260">
        <v>0.47500000000000003</v>
      </c>
      <c r="V514" s="260">
        <v>0.63194444444444442</v>
      </c>
    </row>
    <row r="515" spans="1:23" s="196" customFormat="1" hidden="1" x14ac:dyDescent="0.25">
      <c r="A515" s="262">
        <v>16092023</v>
      </c>
      <c r="B515" s="196" t="s">
        <v>2912</v>
      </c>
      <c r="C515" s="196" t="s">
        <v>13</v>
      </c>
      <c r="D515" s="194">
        <v>45185</v>
      </c>
      <c r="F515" s="307" t="s">
        <v>113</v>
      </c>
      <c r="H515" s="307" t="s">
        <v>279</v>
      </c>
      <c r="K515" s="315">
        <v>38055</v>
      </c>
      <c r="L515" s="195"/>
      <c r="T515" s="260" t="s">
        <v>916</v>
      </c>
      <c r="U515" s="260">
        <v>0.3840277777777778</v>
      </c>
      <c r="V515" s="260">
        <v>0.56805555555555554</v>
      </c>
    </row>
    <row r="516" spans="1:23" s="196" customFormat="1" hidden="1" x14ac:dyDescent="0.25">
      <c r="A516" s="262">
        <v>16092023</v>
      </c>
      <c r="B516" s="196" t="s">
        <v>1720</v>
      </c>
      <c r="C516" s="196" t="s">
        <v>809</v>
      </c>
      <c r="D516" s="194">
        <v>45185</v>
      </c>
      <c r="F516" s="307" t="s">
        <v>545</v>
      </c>
      <c r="H516" s="307" t="s">
        <v>597</v>
      </c>
      <c r="K516" s="315">
        <v>25016</v>
      </c>
      <c r="L516" s="195"/>
      <c r="T516" s="260" t="s">
        <v>1178</v>
      </c>
      <c r="U516" s="260">
        <v>0.78749999999999998</v>
      </c>
      <c r="V516" s="260">
        <v>0.84791666666666676</v>
      </c>
    </row>
    <row r="517" spans="1:23" s="196" customFormat="1" hidden="1" x14ac:dyDescent="0.25">
      <c r="A517" s="262">
        <v>16092023</v>
      </c>
      <c r="B517" s="196" t="s">
        <v>608</v>
      </c>
      <c r="C517" s="196" t="s">
        <v>13</v>
      </c>
      <c r="D517" s="194">
        <v>45185</v>
      </c>
      <c r="F517" s="307" t="s">
        <v>236</v>
      </c>
      <c r="H517" s="307" t="s">
        <v>279</v>
      </c>
      <c r="K517" s="315">
        <v>59472</v>
      </c>
      <c r="L517" s="195"/>
      <c r="T517" s="260" t="s">
        <v>916</v>
      </c>
      <c r="U517" s="260">
        <v>0.27638888888888885</v>
      </c>
      <c r="V517" s="260">
        <v>7.9861111111111105E-2</v>
      </c>
    </row>
    <row r="518" spans="1:23" s="33" customFormat="1" hidden="1" x14ac:dyDescent="0.25">
      <c r="A518" s="281">
        <v>17092023</v>
      </c>
      <c r="B518" s="33" t="s">
        <v>2911</v>
      </c>
      <c r="C518" s="33" t="s">
        <v>13</v>
      </c>
      <c r="D518" s="278">
        <v>45186</v>
      </c>
      <c r="F518" s="306" t="s">
        <v>317</v>
      </c>
      <c r="H518" s="306" t="s">
        <v>279</v>
      </c>
      <c r="K518" s="312">
        <v>49100</v>
      </c>
      <c r="L518" s="279"/>
      <c r="T518" s="280" t="s">
        <v>1506</v>
      </c>
      <c r="U518" s="280">
        <v>0.43194444444444446</v>
      </c>
      <c r="V518" s="280">
        <v>0.80138888888888893</v>
      </c>
    </row>
    <row r="519" spans="1:23" s="196" customFormat="1" hidden="1" x14ac:dyDescent="0.25">
      <c r="A519" s="262">
        <v>18092023</v>
      </c>
      <c r="B519" s="196" t="s">
        <v>607</v>
      </c>
      <c r="C519" s="196" t="s">
        <v>13</v>
      </c>
      <c r="D519" s="194">
        <v>45187</v>
      </c>
      <c r="F519" s="307" t="s">
        <v>207</v>
      </c>
      <c r="H519" s="307" t="s">
        <v>279</v>
      </c>
      <c r="K519" s="315">
        <v>36253.14</v>
      </c>
      <c r="L519" s="195"/>
      <c r="T519" s="260" t="s">
        <v>922</v>
      </c>
      <c r="U519" s="260">
        <v>0.29166666666666669</v>
      </c>
      <c r="V519" s="260">
        <v>0.54999999999999993</v>
      </c>
    </row>
    <row r="520" spans="1:23" s="13" customFormat="1" hidden="1" x14ac:dyDescent="0.25">
      <c r="A520" s="321">
        <v>19092023</v>
      </c>
      <c r="B520" t="s">
        <v>608</v>
      </c>
      <c r="C520" s="13" t="s">
        <v>13</v>
      </c>
      <c r="D520" s="124">
        <v>45188</v>
      </c>
      <c r="F520" s="241" t="s">
        <v>236</v>
      </c>
      <c r="H520" s="241" t="s">
        <v>279</v>
      </c>
      <c r="K520" s="322"/>
      <c r="L520" s="180"/>
      <c r="T520" s="204" t="s">
        <v>1225</v>
      </c>
      <c r="U520" s="204">
        <v>0.66180555555555554</v>
      </c>
      <c r="V520" s="204"/>
      <c r="W520" s="13" t="s">
        <v>2930</v>
      </c>
    </row>
    <row r="521" spans="1:23" s="196" customFormat="1" hidden="1" x14ac:dyDescent="0.25">
      <c r="A521" s="262">
        <v>20092023</v>
      </c>
      <c r="B521" s="196" t="s">
        <v>608</v>
      </c>
      <c r="C521" s="196" t="s">
        <v>13</v>
      </c>
      <c r="D521" s="194">
        <v>45189</v>
      </c>
      <c r="F521" s="307" t="s">
        <v>236</v>
      </c>
      <c r="H521" s="307" t="s">
        <v>279</v>
      </c>
      <c r="K521" s="315">
        <v>59472</v>
      </c>
      <c r="L521" s="195"/>
      <c r="T521" s="260" t="s">
        <v>2050</v>
      </c>
      <c r="U521" s="260">
        <v>0.64513888888888882</v>
      </c>
      <c r="V521" s="260">
        <v>0.93055555555555547</v>
      </c>
    </row>
    <row r="522" spans="1:23" s="33" customFormat="1" hidden="1" x14ac:dyDescent="0.25">
      <c r="A522" s="281">
        <v>20092023</v>
      </c>
      <c r="B522" s="33" t="s">
        <v>576</v>
      </c>
      <c r="C522" s="33" t="s">
        <v>410</v>
      </c>
      <c r="D522" s="278">
        <v>45189</v>
      </c>
      <c r="F522" s="306" t="s">
        <v>285</v>
      </c>
      <c r="H522" s="306" t="s">
        <v>279</v>
      </c>
      <c r="K522" s="312">
        <v>47200</v>
      </c>
      <c r="L522" s="279"/>
      <c r="T522" s="280" t="s">
        <v>1042</v>
      </c>
      <c r="U522" s="280">
        <v>0.65555555555555556</v>
      </c>
      <c r="V522" s="280">
        <v>0.89583333333333337</v>
      </c>
    </row>
    <row r="523" spans="1:23" s="16" customFormat="1" hidden="1" x14ac:dyDescent="0.25">
      <c r="A523" s="354">
        <v>21092023</v>
      </c>
      <c r="B523" s="16" t="s">
        <v>848</v>
      </c>
      <c r="C523" s="16" t="s">
        <v>410</v>
      </c>
      <c r="D523" s="370">
        <v>45190</v>
      </c>
      <c r="F523" s="355" t="s">
        <v>2931</v>
      </c>
      <c r="H523" s="355" t="s">
        <v>597</v>
      </c>
      <c r="K523" s="356"/>
      <c r="L523" s="254">
        <v>16993</v>
      </c>
      <c r="T523" s="367" t="s">
        <v>1029</v>
      </c>
      <c r="U523" s="367">
        <v>0.27638888888888885</v>
      </c>
      <c r="V523" s="367">
        <v>0.73611111111111116</v>
      </c>
    </row>
    <row r="524" spans="1:23" s="196" customFormat="1" hidden="1" x14ac:dyDescent="0.25">
      <c r="A524" s="262">
        <v>21092023</v>
      </c>
      <c r="B524" s="196" t="s">
        <v>608</v>
      </c>
      <c r="C524" s="196" t="s">
        <v>13</v>
      </c>
      <c r="D524" s="194">
        <v>45190</v>
      </c>
      <c r="F524" s="307" t="s">
        <v>236</v>
      </c>
      <c r="H524" s="307" t="s">
        <v>279</v>
      </c>
      <c r="K524" s="315">
        <v>59472</v>
      </c>
      <c r="L524" s="195"/>
      <c r="T524" s="260" t="s">
        <v>893</v>
      </c>
      <c r="U524" s="260">
        <v>0.33263888888888887</v>
      </c>
      <c r="V524" s="260">
        <v>0.60486111111111118</v>
      </c>
    </row>
    <row r="525" spans="1:23" s="196" customFormat="1" hidden="1" x14ac:dyDescent="0.25">
      <c r="A525" s="262">
        <v>21092023</v>
      </c>
      <c r="B525" s="196" t="s">
        <v>1856</v>
      </c>
      <c r="C525" s="196" t="s">
        <v>809</v>
      </c>
      <c r="D525" s="194">
        <v>45190</v>
      </c>
      <c r="F525" s="307" t="s">
        <v>545</v>
      </c>
      <c r="H525" s="307" t="s">
        <v>597</v>
      </c>
      <c r="K525" s="315">
        <v>25016</v>
      </c>
      <c r="L525" s="195"/>
      <c r="T525" s="260" t="s">
        <v>2148</v>
      </c>
      <c r="U525" s="260">
        <v>0.57500000000000007</v>
      </c>
      <c r="V525" s="260">
        <v>0.63541666666666663</v>
      </c>
    </row>
    <row r="526" spans="1:23" s="196" customFormat="1" hidden="1" x14ac:dyDescent="0.25">
      <c r="A526" s="262">
        <v>22092023</v>
      </c>
      <c r="B526" s="196" t="s">
        <v>608</v>
      </c>
      <c r="C526" s="196" t="s">
        <v>410</v>
      </c>
      <c r="D526" s="194">
        <v>45191</v>
      </c>
      <c r="F526" s="307" t="s">
        <v>236</v>
      </c>
      <c r="H526" s="307" t="s">
        <v>279</v>
      </c>
      <c r="K526" s="315">
        <v>59472</v>
      </c>
      <c r="L526" s="195"/>
      <c r="T526" s="260" t="s">
        <v>2050</v>
      </c>
      <c r="U526" s="260">
        <v>0.26041666666666669</v>
      </c>
      <c r="V526" s="260">
        <v>0.53472222222222221</v>
      </c>
    </row>
    <row r="527" spans="1:23" s="196" customFormat="1" hidden="1" x14ac:dyDescent="0.25">
      <c r="A527" s="262">
        <v>22092023</v>
      </c>
      <c r="B527" s="196" t="s">
        <v>2739</v>
      </c>
      <c r="C527" s="196" t="s">
        <v>13</v>
      </c>
      <c r="D527" s="194">
        <v>45191</v>
      </c>
      <c r="F527" s="307" t="s">
        <v>2107</v>
      </c>
      <c r="H527" s="307" t="s">
        <v>279</v>
      </c>
      <c r="K527" s="315">
        <v>29984</v>
      </c>
      <c r="L527" s="195"/>
      <c r="T527" s="260" t="s">
        <v>989</v>
      </c>
      <c r="U527" s="260">
        <v>0.40972222222222227</v>
      </c>
      <c r="V527" s="260">
        <v>0.57847222222222217</v>
      </c>
    </row>
    <row r="528" spans="1:23" s="196" customFormat="1" hidden="1" x14ac:dyDescent="0.25">
      <c r="A528" s="262">
        <v>22092023</v>
      </c>
      <c r="B528" s="196" t="s">
        <v>1720</v>
      </c>
      <c r="C528" s="196" t="s">
        <v>809</v>
      </c>
      <c r="D528" s="194">
        <v>45191</v>
      </c>
      <c r="F528" s="307" t="s">
        <v>545</v>
      </c>
      <c r="H528" s="307" t="s">
        <v>597</v>
      </c>
      <c r="K528" s="315">
        <v>25016</v>
      </c>
      <c r="L528" s="195"/>
      <c r="T528" s="260" t="s">
        <v>2148</v>
      </c>
      <c r="U528" s="260">
        <v>0.6069444444444444</v>
      </c>
      <c r="V528" s="260">
        <v>0.66875000000000007</v>
      </c>
    </row>
    <row r="529" spans="1:22" s="196" customFormat="1" hidden="1" x14ac:dyDescent="0.25">
      <c r="A529" s="262">
        <v>22092023</v>
      </c>
      <c r="B529" s="196" t="s">
        <v>1720</v>
      </c>
      <c r="C529" s="196" t="s">
        <v>410</v>
      </c>
      <c r="D529" s="194">
        <v>45191</v>
      </c>
      <c r="F529" s="307" t="s">
        <v>545</v>
      </c>
      <c r="H529" s="307" t="s">
        <v>597</v>
      </c>
      <c r="K529" s="315">
        <v>25016</v>
      </c>
      <c r="L529" s="195"/>
      <c r="T529" s="260" t="s">
        <v>922</v>
      </c>
      <c r="U529" s="260">
        <v>0.8534722222222223</v>
      </c>
      <c r="V529" s="260">
        <v>0.95972222222222225</v>
      </c>
    </row>
    <row r="530" spans="1:22" s="196" customFormat="1" hidden="1" x14ac:dyDescent="0.25">
      <c r="A530" s="262">
        <v>23092023</v>
      </c>
      <c r="B530" s="196" t="s">
        <v>607</v>
      </c>
      <c r="C530" s="196" t="s">
        <v>13</v>
      </c>
      <c r="D530" s="194">
        <v>45192</v>
      </c>
      <c r="F530" s="307" t="s">
        <v>207</v>
      </c>
      <c r="H530" s="307" t="s">
        <v>279</v>
      </c>
      <c r="K530" s="315">
        <v>36253.14</v>
      </c>
      <c r="L530" s="195"/>
      <c r="T530" s="260" t="s">
        <v>1816</v>
      </c>
      <c r="U530" s="260">
        <v>0.2590277777777778</v>
      </c>
      <c r="V530" s="260">
        <v>0.46597222222222223</v>
      </c>
    </row>
    <row r="531" spans="1:22" s="196" customFormat="1" hidden="1" x14ac:dyDescent="0.25">
      <c r="A531" s="262">
        <v>23092023</v>
      </c>
      <c r="B531" s="196" t="s">
        <v>2939</v>
      </c>
      <c r="C531" s="196" t="s">
        <v>410</v>
      </c>
      <c r="D531" s="194">
        <v>45192</v>
      </c>
      <c r="F531" s="307" t="s">
        <v>317</v>
      </c>
      <c r="H531" s="307" t="s">
        <v>279</v>
      </c>
      <c r="K531" s="315">
        <v>49100</v>
      </c>
      <c r="L531" s="195"/>
      <c r="T531" s="260" t="s">
        <v>1506</v>
      </c>
      <c r="U531" s="260">
        <v>0.29444444444444445</v>
      </c>
      <c r="V531" s="260">
        <v>0.66041666666666665</v>
      </c>
    </row>
    <row r="532" spans="1:22" s="196" customFormat="1" hidden="1" x14ac:dyDescent="0.25">
      <c r="A532" s="262">
        <v>23092023</v>
      </c>
      <c r="B532" s="196" t="s">
        <v>2763</v>
      </c>
      <c r="C532" s="196" t="s">
        <v>13</v>
      </c>
      <c r="D532" s="194">
        <v>45192</v>
      </c>
      <c r="F532" s="307" t="s">
        <v>545</v>
      </c>
      <c r="H532" s="307" t="s">
        <v>279</v>
      </c>
      <c r="K532" s="315">
        <v>33560</v>
      </c>
      <c r="L532" s="195"/>
      <c r="T532" s="260" t="s">
        <v>1816</v>
      </c>
      <c r="U532" s="260">
        <v>0.49791666666666662</v>
      </c>
      <c r="V532" s="260">
        <v>0.70833333333333337</v>
      </c>
    </row>
    <row r="533" spans="1:22" s="196" customFormat="1" hidden="1" x14ac:dyDescent="0.25">
      <c r="A533" s="262">
        <v>23092023</v>
      </c>
      <c r="B533" s="196" t="s">
        <v>1856</v>
      </c>
      <c r="C533" s="196" t="s">
        <v>809</v>
      </c>
      <c r="D533" s="194">
        <v>45192</v>
      </c>
      <c r="F533" s="307" t="s">
        <v>545</v>
      </c>
      <c r="H533" s="307" t="s">
        <v>597</v>
      </c>
      <c r="K533" s="315">
        <v>25016</v>
      </c>
      <c r="L533" s="195"/>
      <c r="T533" s="260" t="s">
        <v>894</v>
      </c>
      <c r="U533" s="260">
        <v>0.63124999999999998</v>
      </c>
      <c r="V533" s="260">
        <v>0.68819444444444444</v>
      </c>
    </row>
    <row r="534" spans="1:22" s="33" customFormat="1" hidden="1" x14ac:dyDescent="0.25">
      <c r="A534" s="281">
        <v>24092023</v>
      </c>
      <c r="B534" s="33" t="s">
        <v>2943</v>
      </c>
      <c r="C534" s="33" t="s">
        <v>410</v>
      </c>
      <c r="D534" s="278">
        <v>45193</v>
      </c>
      <c r="F534" s="306" t="s">
        <v>1985</v>
      </c>
      <c r="H534" s="306" t="s">
        <v>279</v>
      </c>
      <c r="K534" s="312">
        <v>58466</v>
      </c>
      <c r="L534" s="279"/>
      <c r="T534" s="280" t="s">
        <v>2940</v>
      </c>
      <c r="U534" s="280">
        <v>0.40625</v>
      </c>
      <c r="V534" s="280">
        <v>0.7104166666666667</v>
      </c>
    </row>
    <row r="535" spans="1:22" s="196" customFormat="1" hidden="1" x14ac:dyDescent="0.25">
      <c r="A535" s="262">
        <v>25092023</v>
      </c>
      <c r="B535" s="196" t="s">
        <v>607</v>
      </c>
      <c r="C535" s="196" t="s">
        <v>13</v>
      </c>
      <c r="D535" s="194">
        <v>45194</v>
      </c>
      <c r="F535" s="307" t="s">
        <v>207</v>
      </c>
      <c r="H535" s="307" t="s">
        <v>279</v>
      </c>
      <c r="K535" s="315">
        <v>36253.14</v>
      </c>
      <c r="L535" s="195"/>
      <c r="T535" s="260" t="s">
        <v>2050</v>
      </c>
      <c r="U535" s="260">
        <v>0.26527777777777778</v>
      </c>
      <c r="V535" s="260">
        <v>0.4861111111111111</v>
      </c>
    </row>
    <row r="536" spans="1:22" s="196" customFormat="1" hidden="1" x14ac:dyDescent="0.25">
      <c r="A536" s="262">
        <v>25092023</v>
      </c>
      <c r="B536" s="196" t="s">
        <v>608</v>
      </c>
      <c r="C536" s="196" t="s">
        <v>410</v>
      </c>
      <c r="D536" s="194">
        <v>45194</v>
      </c>
      <c r="F536" s="307" t="s">
        <v>236</v>
      </c>
      <c r="H536" s="307" t="s">
        <v>279</v>
      </c>
      <c r="K536" s="315">
        <v>59472</v>
      </c>
      <c r="L536" s="195"/>
      <c r="T536" s="260" t="s">
        <v>922</v>
      </c>
      <c r="U536" s="260">
        <v>0.42291666666666666</v>
      </c>
      <c r="V536" s="260">
        <v>0.75347222222222221</v>
      </c>
    </row>
    <row r="537" spans="1:22" s="33" customFormat="1" hidden="1" x14ac:dyDescent="0.25">
      <c r="A537" s="281">
        <v>25092023</v>
      </c>
      <c r="B537" s="33" t="s">
        <v>1055</v>
      </c>
      <c r="C537" s="33" t="s">
        <v>13</v>
      </c>
      <c r="D537" s="278">
        <v>45194</v>
      </c>
      <c r="F537" s="306" t="s">
        <v>573</v>
      </c>
      <c r="H537" s="306" t="s">
        <v>279</v>
      </c>
      <c r="K537" s="312">
        <v>39100</v>
      </c>
      <c r="T537" s="280" t="s">
        <v>2050</v>
      </c>
      <c r="U537" s="280">
        <v>0.53541666666666665</v>
      </c>
      <c r="V537" s="280">
        <v>0.76527777777777783</v>
      </c>
    </row>
    <row r="538" spans="1:22" s="196" customFormat="1" hidden="1" x14ac:dyDescent="0.25">
      <c r="A538" s="262">
        <v>26092023</v>
      </c>
      <c r="B538" s="196" t="s">
        <v>615</v>
      </c>
      <c r="C538" s="196" t="s">
        <v>13</v>
      </c>
      <c r="D538" s="194">
        <v>45195</v>
      </c>
      <c r="F538" s="307" t="s">
        <v>207</v>
      </c>
      <c r="H538" s="307" t="s">
        <v>597</v>
      </c>
      <c r="L538" s="315">
        <f>1750*3*1.18</f>
        <v>6195</v>
      </c>
      <c r="T538" s="260" t="s">
        <v>1644</v>
      </c>
      <c r="U538" s="260">
        <v>0.45694444444444443</v>
      </c>
      <c r="V538" s="260">
        <v>0.68611111111111101</v>
      </c>
    </row>
    <row r="539" spans="1:22" s="16" customFormat="1" hidden="1" x14ac:dyDescent="0.25">
      <c r="A539" s="354">
        <v>26092023</v>
      </c>
      <c r="B539" s="16" t="s">
        <v>582</v>
      </c>
      <c r="C539" s="16" t="s">
        <v>410</v>
      </c>
      <c r="D539" s="370">
        <v>45195</v>
      </c>
      <c r="F539" s="355" t="s">
        <v>2948</v>
      </c>
      <c r="H539" s="355" t="s">
        <v>597</v>
      </c>
      <c r="K539" s="356"/>
      <c r="L539" s="254">
        <v>8200.2000000000007</v>
      </c>
      <c r="T539" s="367" t="s">
        <v>2380</v>
      </c>
      <c r="U539" s="367">
        <v>0.4055555555555555</v>
      </c>
      <c r="V539" s="367">
        <v>0.52708333333333335</v>
      </c>
    </row>
    <row r="540" spans="1:22" s="196" customFormat="1" hidden="1" x14ac:dyDescent="0.25">
      <c r="A540" s="262">
        <v>27092023</v>
      </c>
      <c r="B540" s="196" t="s">
        <v>1720</v>
      </c>
      <c r="C540" s="196" t="s">
        <v>809</v>
      </c>
      <c r="D540" s="194">
        <v>45196</v>
      </c>
      <c r="F540" s="307" t="s">
        <v>545</v>
      </c>
      <c r="H540" s="307" t="s">
        <v>597</v>
      </c>
      <c r="K540" s="315">
        <v>25016</v>
      </c>
      <c r="L540" s="195"/>
      <c r="T540" s="260" t="s">
        <v>1894</v>
      </c>
      <c r="U540" s="260">
        <v>0.67083333333333339</v>
      </c>
      <c r="V540" s="260">
        <v>0.7284722222222223</v>
      </c>
    </row>
    <row r="541" spans="1:22" s="196" customFormat="1" hidden="1" x14ac:dyDescent="0.25">
      <c r="A541" s="262">
        <v>27092023</v>
      </c>
      <c r="B541" s="196" t="s">
        <v>1720</v>
      </c>
      <c r="C541" s="196" t="s">
        <v>410</v>
      </c>
      <c r="D541" s="194">
        <v>45196</v>
      </c>
      <c r="F541" s="307" t="s">
        <v>545</v>
      </c>
      <c r="H541" s="307" t="s">
        <v>597</v>
      </c>
      <c r="K541" s="315">
        <v>25016</v>
      </c>
      <c r="L541" s="195"/>
      <c r="T541" s="260" t="s">
        <v>1816</v>
      </c>
      <c r="U541" s="260">
        <v>0.85277777777777775</v>
      </c>
      <c r="V541" s="260">
        <v>0.96458333333333324</v>
      </c>
    </row>
    <row r="542" spans="1:22" s="33" customFormat="1" hidden="1" x14ac:dyDescent="0.25">
      <c r="A542" s="281">
        <v>28092023</v>
      </c>
      <c r="B542" s="33" t="s">
        <v>586</v>
      </c>
      <c r="C542" s="33" t="s">
        <v>13</v>
      </c>
      <c r="D542" s="278">
        <v>45197</v>
      </c>
      <c r="F542" s="306" t="s">
        <v>545</v>
      </c>
      <c r="H542" s="306" t="s">
        <v>279</v>
      </c>
      <c r="K542" s="312">
        <v>33560</v>
      </c>
      <c r="L542" s="279"/>
      <c r="T542" s="280" t="s">
        <v>1644</v>
      </c>
      <c r="U542" s="280">
        <v>0.33263888888888887</v>
      </c>
      <c r="V542" s="280">
        <v>0.51041666666666663</v>
      </c>
    </row>
    <row r="543" spans="1:22" s="196" customFormat="1" hidden="1" x14ac:dyDescent="0.25">
      <c r="A543" s="262">
        <v>28092023</v>
      </c>
      <c r="B543" s="196" t="s">
        <v>2956</v>
      </c>
      <c r="C543" s="196" t="s">
        <v>410</v>
      </c>
      <c r="D543" s="194">
        <v>45197</v>
      </c>
      <c r="F543" s="307" t="s">
        <v>113</v>
      </c>
      <c r="H543" s="307" t="s">
        <v>279</v>
      </c>
      <c r="K543" s="315">
        <v>38055</v>
      </c>
      <c r="L543" s="195"/>
      <c r="T543" s="260" t="s">
        <v>916</v>
      </c>
      <c r="U543" s="260">
        <v>0.4145833333333333</v>
      </c>
      <c r="V543" s="260">
        <v>0.56597222222222221</v>
      </c>
    </row>
    <row r="544" spans="1:22" s="33" customFormat="1" hidden="1" x14ac:dyDescent="0.25">
      <c r="A544" s="281">
        <v>29092023</v>
      </c>
      <c r="B544" s="33" t="s">
        <v>1800</v>
      </c>
      <c r="C544" s="33" t="s">
        <v>13</v>
      </c>
      <c r="D544" s="278">
        <v>45198</v>
      </c>
      <c r="F544" s="306" t="s">
        <v>285</v>
      </c>
      <c r="H544" s="306" t="s">
        <v>279</v>
      </c>
      <c r="K544" s="312"/>
      <c r="L544" s="279">
        <v>11800</v>
      </c>
      <c r="T544" s="280" t="s">
        <v>2050</v>
      </c>
      <c r="U544" s="280">
        <v>0.28958333333333336</v>
      </c>
      <c r="V544" s="280">
        <v>0.59930555555555554</v>
      </c>
    </row>
    <row r="545" spans="1:22" s="33" customFormat="1" hidden="1" x14ac:dyDescent="0.25">
      <c r="A545" s="281">
        <v>29092023</v>
      </c>
      <c r="B545" s="33" t="s">
        <v>607</v>
      </c>
      <c r="C545" s="33" t="s">
        <v>410</v>
      </c>
      <c r="D545" s="278">
        <v>45198</v>
      </c>
      <c r="F545" s="306" t="s">
        <v>207</v>
      </c>
      <c r="H545" s="306" t="s">
        <v>279</v>
      </c>
      <c r="K545" s="312">
        <v>36253.14</v>
      </c>
      <c r="L545" s="279"/>
      <c r="T545" s="280" t="s">
        <v>916</v>
      </c>
      <c r="U545" s="280">
        <v>0.34513888888888888</v>
      </c>
      <c r="V545" s="280">
        <v>0.64861111111111114</v>
      </c>
    </row>
    <row r="546" spans="1:22" s="33" customFormat="1" hidden="1" x14ac:dyDescent="0.25">
      <c r="A546" s="281">
        <v>29092023</v>
      </c>
      <c r="B546" s="33" t="s">
        <v>2970</v>
      </c>
      <c r="C546" s="33" t="s">
        <v>410</v>
      </c>
      <c r="D546" s="278">
        <v>45198</v>
      </c>
      <c r="F546" s="306" t="s">
        <v>545</v>
      </c>
      <c r="H546" s="306" t="s">
        <v>279</v>
      </c>
      <c r="K546" s="312">
        <v>34456</v>
      </c>
      <c r="L546" s="279"/>
      <c r="T546" s="280" t="s">
        <v>916</v>
      </c>
      <c r="U546" s="280">
        <v>0.59513888888888888</v>
      </c>
      <c r="V546" s="280">
        <v>0.77500000000000002</v>
      </c>
    </row>
    <row r="547" spans="1:22" s="120" customFormat="1" hidden="1" x14ac:dyDescent="0.25">
      <c r="A547" s="337">
        <v>30092023</v>
      </c>
      <c r="B547" s="120" t="s">
        <v>859</v>
      </c>
      <c r="C547" s="120" t="s">
        <v>13</v>
      </c>
      <c r="D547" s="333">
        <v>45199</v>
      </c>
      <c r="F547" s="334" t="s">
        <v>861</v>
      </c>
      <c r="H547" s="334" t="s">
        <v>279</v>
      </c>
      <c r="K547" s="335">
        <v>34527</v>
      </c>
      <c r="L547" s="150"/>
      <c r="T547" s="336" t="s">
        <v>893</v>
      </c>
      <c r="U547" s="336">
        <v>0.26597222222222222</v>
      </c>
      <c r="V547" s="336">
        <v>0.45277777777777778</v>
      </c>
    </row>
    <row r="548" spans="1:22" s="33" customFormat="1" ht="15.6" hidden="1" customHeight="1" x14ac:dyDescent="0.25">
      <c r="A548" s="281">
        <v>30092023</v>
      </c>
      <c r="B548" s="33" t="s">
        <v>608</v>
      </c>
      <c r="C548" s="33" t="s">
        <v>410</v>
      </c>
      <c r="D548" s="278">
        <v>45199</v>
      </c>
      <c r="F548" s="306" t="s">
        <v>236</v>
      </c>
      <c r="H548" s="306" t="s">
        <v>279</v>
      </c>
      <c r="K548" s="312">
        <v>59472</v>
      </c>
      <c r="L548" s="279"/>
      <c r="T548" s="280" t="s">
        <v>2050</v>
      </c>
      <c r="U548" s="280">
        <v>0.33680555555555558</v>
      </c>
      <c r="V548" s="280">
        <v>0.62916666666666665</v>
      </c>
    </row>
    <row r="549" spans="1:22" s="33" customFormat="1" hidden="1" x14ac:dyDescent="0.25">
      <c r="A549" s="281">
        <v>30092023</v>
      </c>
      <c r="B549" s="33" t="s">
        <v>2943</v>
      </c>
      <c r="C549" s="33" t="s">
        <v>809</v>
      </c>
      <c r="D549" s="278">
        <v>45199</v>
      </c>
      <c r="F549" s="306" t="s">
        <v>1985</v>
      </c>
      <c r="H549" s="306" t="s">
        <v>279</v>
      </c>
      <c r="K549" s="312">
        <v>58466</v>
      </c>
      <c r="L549" s="279"/>
      <c r="T549" s="280" t="s">
        <v>1894</v>
      </c>
      <c r="U549" s="280">
        <v>0.70624999999999993</v>
      </c>
      <c r="V549" s="280">
        <v>9.7916666666666666E-2</v>
      </c>
    </row>
    <row r="550" spans="1:22" hidden="1" x14ac:dyDescent="0.25">
      <c r="K550" s="61">
        <f>SUBTOTAL(9,K496:K549)</f>
        <v>0</v>
      </c>
      <c r="L550" s="61"/>
    </row>
    <row r="551" spans="1:22" hidden="1" x14ac:dyDescent="0.25">
      <c r="A551" s="256"/>
      <c r="D551" s="122"/>
      <c r="K551" s="313"/>
      <c r="L551" s="88"/>
      <c r="M551" s="149"/>
      <c r="T551" s="14"/>
      <c r="U551" s="14"/>
      <c r="V551" s="14"/>
    </row>
    <row r="552" spans="1:22" hidden="1" x14ac:dyDescent="0.25">
      <c r="A552" s="256"/>
      <c r="D552" s="122"/>
      <c r="K552" s="313"/>
      <c r="L552" s="88"/>
      <c r="T552" s="14"/>
      <c r="U552" s="14"/>
      <c r="V552" s="14"/>
    </row>
    <row r="553" spans="1:22" hidden="1" x14ac:dyDescent="0.25">
      <c r="A553" s="256"/>
      <c r="D553" s="122"/>
      <c r="K553" s="313"/>
      <c r="L553" s="313"/>
      <c r="T553" s="14"/>
      <c r="U553" s="14"/>
      <c r="V553" s="14"/>
    </row>
    <row r="554" spans="1:22" hidden="1" x14ac:dyDescent="0.25">
      <c r="A554" s="256"/>
      <c r="D554" s="122"/>
      <c r="K554" s="313"/>
      <c r="L554" s="88"/>
      <c r="T554" s="14"/>
      <c r="U554" s="14"/>
      <c r="V554" s="14"/>
    </row>
    <row r="555" spans="1:22" s="324" customFormat="1" hidden="1" x14ac:dyDescent="0.25">
      <c r="A555" s="330" t="s">
        <v>3111</v>
      </c>
      <c r="B555" s="324" t="s">
        <v>762</v>
      </c>
      <c r="C555" s="324" t="s">
        <v>13</v>
      </c>
      <c r="D555" s="325">
        <v>45200</v>
      </c>
      <c r="F555" s="326" t="s">
        <v>294</v>
      </c>
      <c r="H555" s="326" t="s">
        <v>279</v>
      </c>
      <c r="K555" s="327">
        <v>39600</v>
      </c>
      <c r="L555" s="328"/>
      <c r="T555" s="329" t="s">
        <v>1225</v>
      </c>
      <c r="U555" s="329">
        <v>0.58472222222222225</v>
      </c>
      <c r="V555" s="329">
        <v>0.75</v>
      </c>
    </row>
    <row r="556" spans="1:22" s="13" customFormat="1" hidden="1" x14ac:dyDescent="0.25">
      <c r="A556" s="321" t="s">
        <v>2992</v>
      </c>
      <c r="B556" s="13" t="s">
        <v>2991</v>
      </c>
      <c r="C556" s="13" t="s">
        <v>13</v>
      </c>
      <c r="D556" s="124">
        <v>45202</v>
      </c>
      <c r="F556" s="241" t="s">
        <v>2036</v>
      </c>
      <c r="H556" s="241" t="s">
        <v>279</v>
      </c>
      <c r="K556" s="322"/>
      <c r="L556" s="180"/>
      <c r="T556" s="204" t="s">
        <v>2380</v>
      </c>
      <c r="U556" s="204">
        <v>0.39999999999999997</v>
      </c>
      <c r="V556" s="204">
        <v>0.46597222222222223</v>
      </c>
    </row>
    <row r="557" spans="1:22" s="196" customFormat="1" hidden="1" x14ac:dyDescent="0.25">
      <c r="A557" s="262" t="s">
        <v>2992</v>
      </c>
      <c r="B557" s="196" t="s">
        <v>2991</v>
      </c>
      <c r="C557" s="196" t="s">
        <v>13</v>
      </c>
      <c r="D557" s="194">
        <v>45202</v>
      </c>
      <c r="F557" s="307" t="s">
        <v>2036</v>
      </c>
      <c r="H557" s="307" t="s">
        <v>279</v>
      </c>
      <c r="K557" s="315">
        <v>27000</v>
      </c>
      <c r="L557" s="195"/>
      <c r="T557" s="260" t="s">
        <v>2380</v>
      </c>
      <c r="U557" s="260">
        <v>0.55069444444444449</v>
      </c>
      <c r="V557" s="260">
        <v>0.72569444444444453</v>
      </c>
    </row>
    <row r="558" spans="1:22" s="196" customFormat="1" hidden="1" x14ac:dyDescent="0.25">
      <c r="A558" s="262" t="s">
        <v>2993</v>
      </c>
      <c r="B558" s="196" t="s">
        <v>615</v>
      </c>
      <c r="C558" s="196" t="s">
        <v>13</v>
      </c>
      <c r="D558" s="194">
        <v>45203</v>
      </c>
      <c r="F558" s="307" t="s">
        <v>2008</v>
      </c>
      <c r="H558" s="307" t="s">
        <v>277</v>
      </c>
      <c r="K558" s="315"/>
      <c r="L558" s="195">
        <f>4.3*1750*1.18</f>
        <v>8879.5</v>
      </c>
      <c r="T558" s="260" t="s">
        <v>1225</v>
      </c>
      <c r="U558" s="260">
        <v>0.2590277777777778</v>
      </c>
      <c r="V558" s="260">
        <v>0.50069444444444444</v>
      </c>
    </row>
    <row r="559" spans="1:22" s="196" customFormat="1" hidden="1" x14ac:dyDescent="0.25">
      <c r="A559" s="262" t="s">
        <v>2993</v>
      </c>
      <c r="B559" s="196" t="s">
        <v>2994</v>
      </c>
      <c r="C559" s="196" t="s">
        <v>410</v>
      </c>
      <c r="D559" s="194">
        <v>45203</v>
      </c>
      <c r="F559" s="307" t="s">
        <v>1931</v>
      </c>
      <c r="H559" s="307" t="s">
        <v>279</v>
      </c>
      <c r="K559" s="315">
        <v>58466</v>
      </c>
      <c r="L559" s="195"/>
      <c r="T559" s="260" t="s">
        <v>916</v>
      </c>
      <c r="U559" s="260">
        <v>0.31111111111111112</v>
      </c>
      <c r="V559" s="260">
        <v>0.61736111111111114</v>
      </c>
    </row>
    <row r="560" spans="1:22" s="196" customFormat="1" hidden="1" x14ac:dyDescent="0.25">
      <c r="A560" s="262" t="s">
        <v>2993</v>
      </c>
      <c r="B560" s="196" t="s">
        <v>1847</v>
      </c>
      <c r="C560" s="196" t="s">
        <v>13</v>
      </c>
      <c r="D560" s="194">
        <v>45203</v>
      </c>
      <c r="F560" s="307" t="s">
        <v>545</v>
      </c>
      <c r="H560" s="307" t="s">
        <v>279</v>
      </c>
      <c r="K560" s="315">
        <v>33560</v>
      </c>
      <c r="L560" s="195"/>
      <c r="T560" s="260" t="s">
        <v>1225</v>
      </c>
      <c r="U560" s="260">
        <v>0.55138888888888882</v>
      </c>
      <c r="V560" s="260">
        <v>0.74236111111111114</v>
      </c>
    </row>
    <row r="561" spans="1:22" s="196" customFormat="1" hidden="1" x14ac:dyDescent="0.25">
      <c r="A561" s="262" t="s">
        <v>2993</v>
      </c>
      <c r="B561" s="196" t="s">
        <v>118</v>
      </c>
      <c r="C561" s="196" t="s">
        <v>410</v>
      </c>
      <c r="D561" s="194">
        <v>45203</v>
      </c>
      <c r="F561" s="307" t="s">
        <v>143</v>
      </c>
      <c r="H561" s="307" t="s">
        <v>279</v>
      </c>
      <c r="K561" s="315">
        <v>37200</v>
      </c>
      <c r="L561" s="195"/>
      <c r="T561" s="260" t="s">
        <v>2050</v>
      </c>
      <c r="U561" s="260">
        <v>0.67083333333333339</v>
      </c>
      <c r="V561" s="260">
        <v>0.88055555555555554</v>
      </c>
    </row>
    <row r="562" spans="1:22" s="196" customFormat="1" hidden="1" x14ac:dyDescent="0.25">
      <c r="A562" s="262" t="s">
        <v>2993</v>
      </c>
      <c r="B562" s="196" t="s">
        <v>1720</v>
      </c>
      <c r="C562" s="196" t="s">
        <v>809</v>
      </c>
      <c r="D562" s="194">
        <v>45203</v>
      </c>
      <c r="F562" s="307" t="s">
        <v>545</v>
      </c>
      <c r="H562" s="307" t="s">
        <v>277</v>
      </c>
      <c r="K562" s="315">
        <v>25016</v>
      </c>
      <c r="L562" s="195"/>
      <c r="T562" s="260" t="s">
        <v>1894</v>
      </c>
      <c r="U562" s="260">
        <v>0.79861111111111116</v>
      </c>
      <c r="V562" s="260">
        <v>0.85972222222222217</v>
      </c>
    </row>
    <row r="563" spans="1:22" s="196" customFormat="1" hidden="1" x14ac:dyDescent="0.25">
      <c r="A563" s="262" t="s">
        <v>3006</v>
      </c>
      <c r="B563" s="196" t="s">
        <v>3008</v>
      </c>
      <c r="C563" s="196" t="s">
        <v>410</v>
      </c>
      <c r="D563" s="194">
        <v>45204</v>
      </c>
      <c r="F563" s="307" t="s">
        <v>207</v>
      </c>
      <c r="H563" s="307" t="s">
        <v>279</v>
      </c>
      <c r="K563" s="315">
        <v>36345</v>
      </c>
      <c r="L563" s="195"/>
      <c r="T563" s="260" t="s">
        <v>916</v>
      </c>
      <c r="U563" s="260">
        <v>0.27847222222222223</v>
      </c>
      <c r="V563" s="260">
        <v>0.44097222222222227</v>
      </c>
    </row>
    <row r="564" spans="1:22" s="196" customFormat="1" hidden="1" x14ac:dyDescent="0.25">
      <c r="A564" s="262" t="s">
        <v>3006</v>
      </c>
      <c r="B564" s="196" t="s">
        <v>608</v>
      </c>
      <c r="C564" s="196" t="s">
        <v>13</v>
      </c>
      <c r="D564" s="194">
        <v>45204</v>
      </c>
      <c r="F564" s="307" t="s">
        <v>236</v>
      </c>
      <c r="H564" s="307" t="s">
        <v>279</v>
      </c>
      <c r="K564" s="315">
        <v>59472</v>
      </c>
      <c r="L564" s="195"/>
      <c r="T564" s="260" t="s">
        <v>1816</v>
      </c>
      <c r="U564" s="260">
        <v>0.48333333333333334</v>
      </c>
      <c r="V564" s="260">
        <v>0.80902777777777779</v>
      </c>
    </row>
    <row r="565" spans="1:22" s="33" customFormat="1" hidden="1" x14ac:dyDescent="0.25">
      <c r="A565" s="281" t="s">
        <v>3006</v>
      </c>
      <c r="B565" s="33" t="s">
        <v>3007</v>
      </c>
      <c r="C565" s="33" t="s">
        <v>410</v>
      </c>
      <c r="D565" s="278">
        <v>45204</v>
      </c>
      <c r="F565" s="306" t="s">
        <v>106</v>
      </c>
      <c r="H565" s="306" t="s">
        <v>279</v>
      </c>
      <c r="K565" s="312">
        <v>27000</v>
      </c>
      <c r="L565" s="279"/>
      <c r="T565" s="280" t="s">
        <v>916</v>
      </c>
      <c r="U565" s="280">
        <v>0.50555555555555554</v>
      </c>
      <c r="V565" s="280">
        <v>0.71944444444444444</v>
      </c>
    </row>
    <row r="566" spans="1:22" s="196" customFormat="1" hidden="1" x14ac:dyDescent="0.25">
      <c r="A566" s="262" t="s">
        <v>3006</v>
      </c>
      <c r="B566" s="196" t="s">
        <v>1720</v>
      </c>
      <c r="C566" s="196" t="s">
        <v>809</v>
      </c>
      <c r="D566" s="194">
        <v>45204</v>
      </c>
      <c r="F566" s="307" t="s">
        <v>545</v>
      </c>
      <c r="H566" s="307" t="s">
        <v>277</v>
      </c>
      <c r="K566" s="315">
        <v>25016</v>
      </c>
      <c r="L566" s="195"/>
      <c r="T566" s="260" t="s">
        <v>1894</v>
      </c>
      <c r="U566" s="260">
        <v>0.79166666666666663</v>
      </c>
      <c r="V566" s="260">
        <v>0.84791666666666676</v>
      </c>
    </row>
    <row r="567" spans="1:22" s="196" customFormat="1" hidden="1" x14ac:dyDescent="0.25">
      <c r="A567" s="262" t="s">
        <v>3026</v>
      </c>
      <c r="B567" s="196" t="s">
        <v>1720</v>
      </c>
      <c r="C567" s="196" t="s">
        <v>809</v>
      </c>
      <c r="D567" s="194">
        <v>45205</v>
      </c>
      <c r="F567" s="307" t="s">
        <v>545</v>
      </c>
      <c r="H567" s="307" t="s">
        <v>277</v>
      </c>
      <c r="K567" s="315">
        <v>25016</v>
      </c>
      <c r="L567" s="195"/>
      <c r="T567" s="260" t="s">
        <v>1894</v>
      </c>
      <c r="U567" s="260">
        <v>0.78055555555555556</v>
      </c>
      <c r="V567" s="260">
        <v>0.83958333333333324</v>
      </c>
    </row>
    <row r="568" spans="1:22" s="196" customFormat="1" hidden="1" x14ac:dyDescent="0.25">
      <c r="A568" s="262" t="s">
        <v>3027</v>
      </c>
      <c r="B568" s="196" t="s">
        <v>1720</v>
      </c>
      <c r="C568" s="196" t="s">
        <v>809</v>
      </c>
      <c r="D568" s="194">
        <v>45207</v>
      </c>
      <c r="F568" s="307" t="s">
        <v>545</v>
      </c>
      <c r="H568" s="307" t="s">
        <v>277</v>
      </c>
      <c r="K568" s="315">
        <v>25016</v>
      </c>
      <c r="L568" s="195"/>
      <c r="T568" s="260" t="s">
        <v>1894</v>
      </c>
      <c r="U568" s="260">
        <v>0.56874999999999998</v>
      </c>
      <c r="V568" s="260">
        <v>0.63055555555555554</v>
      </c>
    </row>
    <row r="569" spans="1:22" s="196" customFormat="1" hidden="1" x14ac:dyDescent="0.25">
      <c r="A569" s="262" t="s">
        <v>3028</v>
      </c>
      <c r="B569" s="196" t="s">
        <v>608</v>
      </c>
      <c r="C569" s="196" t="s">
        <v>13</v>
      </c>
      <c r="D569" s="194">
        <v>45207</v>
      </c>
      <c r="F569" s="307" t="s">
        <v>236</v>
      </c>
      <c r="H569" s="307" t="s">
        <v>279</v>
      </c>
      <c r="K569" s="315">
        <v>59472</v>
      </c>
      <c r="L569" s="195"/>
      <c r="T569" s="260" t="s">
        <v>922</v>
      </c>
      <c r="U569" s="260">
        <v>0.47291666666666665</v>
      </c>
      <c r="V569" s="260">
        <v>0.77083333333333337</v>
      </c>
    </row>
    <row r="570" spans="1:22" s="33" customFormat="1" hidden="1" x14ac:dyDescent="0.25">
      <c r="A570" s="281" t="s">
        <v>3025</v>
      </c>
      <c r="B570" s="33" t="s">
        <v>762</v>
      </c>
      <c r="C570" s="33" t="s">
        <v>13</v>
      </c>
      <c r="D570" s="278">
        <v>45208</v>
      </c>
      <c r="F570" s="306" t="s">
        <v>872</v>
      </c>
      <c r="H570" s="306" t="s">
        <v>279</v>
      </c>
      <c r="K570" s="312">
        <v>39600</v>
      </c>
      <c r="L570" s="279"/>
      <c r="T570" s="280" t="s">
        <v>916</v>
      </c>
      <c r="U570" s="280">
        <v>0.34791666666666665</v>
      </c>
      <c r="V570" s="280">
        <v>0.58333333333333337</v>
      </c>
    </row>
    <row r="571" spans="1:22" s="33" customFormat="1" hidden="1" x14ac:dyDescent="0.25">
      <c r="A571" s="281" t="s">
        <v>3025</v>
      </c>
      <c r="B571" s="33" t="s">
        <v>762</v>
      </c>
      <c r="C571" s="33" t="s">
        <v>410</v>
      </c>
      <c r="D571" s="278">
        <v>45208</v>
      </c>
      <c r="F571" s="306" t="s">
        <v>872</v>
      </c>
      <c r="H571" s="306" t="s">
        <v>279</v>
      </c>
      <c r="K571" s="312">
        <v>39600</v>
      </c>
      <c r="L571" s="279"/>
      <c r="T571" s="280" t="s">
        <v>2050</v>
      </c>
      <c r="U571" s="280">
        <v>0.64097222222222217</v>
      </c>
      <c r="V571" s="280">
        <v>0.80902777777777779</v>
      </c>
    </row>
    <row r="572" spans="1:22" s="196" customFormat="1" hidden="1" x14ac:dyDescent="0.25">
      <c r="A572" s="262" t="s">
        <v>3025</v>
      </c>
      <c r="B572" s="196" t="s">
        <v>608</v>
      </c>
      <c r="C572" s="196" t="s">
        <v>13</v>
      </c>
      <c r="D572" s="194">
        <v>45208</v>
      </c>
      <c r="F572" s="307" t="s">
        <v>236</v>
      </c>
      <c r="H572" s="307" t="s">
        <v>279</v>
      </c>
      <c r="K572" s="315">
        <v>59472</v>
      </c>
      <c r="L572" s="195"/>
      <c r="T572" s="260" t="s">
        <v>1029</v>
      </c>
      <c r="U572" s="260">
        <v>0.69513888888888886</v>
      </c>
      <c r="V572" s="260">
        <v>6.2499999999999995E-3</v>
      </c>
    </row>
    <row r="573" spans="1:22" s="196" customFormat="1" hidden="1" x14ac:dyDescent="0.25">
      <c r="A573" s="262" t="s">
        <v>3025</v>
      </c>
      <c r="B573" s="196" t="s">
        <v>1720</v>
      </c>
      <c r="C573" s="196" t="s">
        <v>809</v>
      </c>
      <c r="D573" s="194">
        <v>45208</v>
      </c>
      <c r="F573" s="307" t="s">
        <v>545</v>
      </c>
      <c r="H573" s="307" t="s">
        <v>277</v>
      </c>
      <c r="K573" s="315">
        <v>25016</v>
      </c>
      <c r="L573" s="195"/>
      <c r="T573" s="260" t="s">
        <v>1894</v>
      </c>
      <c r="U573" s="260">
        <v>0.79375000000000007</v>
      </c>
      <c r="V573" s="260">
        <v>0.85069444444444453</v>
      </c>
    </row>
    <row r="574" spans="1:22" s="196" customFormat="1" hidden="1" x14ac:dyDescent="0.25">
      <c r="A574" s="262">
        <v>10102023</v>
      </c>
      <c r="B574" s="196" t="s">
        <v>3037</v>
      </c>
      <c r="C574" s="196" t="s">
        <v>13</v>
      </c>
      <c r="D574" s="194">
        <v>45209</v>
      </c>
      <c r="F574" s="307" t="s">
        <v>143</v>
      </c>
      <c r="H574" s="307" t="s">
        <v>279</v>
      </c>
      <c r="K574" s="315">
        <v>37450</v>
      </c>
      <c r="L574" s="195"/>
      <c r="T574" s="260" t="s">
        <v>1816</v>
      </c>
      <c r="U574" s="260">
        <v>0.53888888888888886</v>
      </c>
      <c r="V574" s="260">
        <v>0.80069444444444438</v>
      </c>
    </row>
    <row r="575" spans="1:22" s="196" customFormat="1" hidden="1" x14ac:dyDescent="0.25">
      <c r="A575" s="262">
        <v>10102023</v>
      </c>
      <c r="B575" s="196" t="s">
        <v>1800</v>
      </c>
      <c r="C575" s="196" t="s">
        <v>410</v>
      </c>
      <c r="D575" s="194">
        <v>45209</v>
      </c>
      <c r="F575" s="307" t="s">
        <v>285</v>
      </c>
      <c r="H575" s="307" t="s">
        <v>279</v>
      </c>
      <c r="K575" s="315"/>
      <c r="L575" s="195">
        <f>5*2000*1.18</f>
        <v>11800</v>
      </c>
      <c r="T575" s="260" t="s">
        <v>1506</v>
      </c>
      <c r="U575" s="260">
        <v>0.64722222222222225</v>
      </c>
      <c r="V575" s="260">
        <v>0.98333333333333339</v>
      </c>
    </row>
    <row r="576" spans="1:22" s="120" customFormat="1" hidden="1" x14ac:dyDescent="0.25">
      <c r="A576" s="337">
        <v>1110023</v>
      </c>
      <c r="B576" s="120" t="s">
        <v>2469</v>
      </c>
      <c r="C576" s="120" t="s">
        <v>13</v>
      </c>
      <c r="D576" s="333">
        <v>45180</v>
      </c>
      <c r="F576" s="334" t="s">
        <v>294</v>
      </c>
      <c r="H576" s="334" t="s">
        <v>279</v>
      </c>
      <c r="K576" s="335">
        <v>35568</v>
      </c>
      <c r="L576" s="150"/>
      <c r="T576" s="336" t="s">
        <v>916</v>
      </c>
      <c r="U576" s="336">
        <v>0.4458333333333333</v>
      </c>
      <c r="V576" s="336">
        <v>0.66111111111111109</v>
      </c>
    </row>
    <row r="577" spans="1:22" s="196" customFormat="1" hidden="1" x14ac:dyDescent="0.25">
      <c r="A577" s="262">
        <v>12102023</v>
      </c>
      <c r="B577" s="196" t="s">
        <v>608</v>
      </c>
      <c r="C577" s="196" t="s">
        <v>13</v>
      </c>
      <c r="D577" s="194">
        <v>45181</v>
      </c>
      <c r="F577" s="307" t="s">
        <v>236</v>
      </c>
      <c r="H577" s="307" t="s">
        <v>279</v>
      </c>
      <c r="K577" s="315">
        <v>59472</v>
      </c>
      <c r="L577" s="195"/>
      <c r="T577" s="260" t="s">
        <v>2380</v>
      </c>
      <c r="U577" s="260">
        <v>0.7284722222222223</v>
      </c>
      <c r="V577" s="260">
        <v>0.54652777777777783</v>
      </c>
    </row>
    <row r="578" spans="1:22" s="264" customFormat="1" hidden="1" x14ac:dyDescent="0.25">
      <c r="A578" s="263">
        <v>14102023</v>
      </c>
      <c r="B578" s="264" t="s">
        <v>583</v>
      </c>
      <c r="C578" s="264" t="s">
        <v>13</v>
      </c>
      <c r="D578" s="265">
        <v>45213</v>
      </c>
      <c r="F578" s="309" t="s">
        <v>236</v>
      </c>
      <c r="H578" s="309" t="s">
        <v>279</v>
      </c>
      <c r="K578" s="318">
        <v>52000</v>
      </c>
      <c r="L578" s="266"/>
      <c r="T578" s="267" t="s">
        <v>1644</v>
      </c>
      <c r="U578" s="267">
        <v>0.25972222222222224</v>
      </c>
      <c r="V578" s="267">
        <v>0.54375000000000007</v>
      </c>
    </row>
    <row r="579" spans="1:22" s="196" customFormat="1" hidden="1" x14ac:dyDescent="0.25">
      <c r="A579" s="262">
        <v>14102023</v>
      </c>
      <c r="B579" s="196" t="s">
        <v>1720</v>
      </c>
      <c r="C579" s="196" t="s">
        <v>13</v>
      </c>
      <c r="D579" s="194">
        <v>45213</v>
      </c>
      <c r="F579" s="307" t="s">
        <v>545</v>
      </c>
      <c r="H579" s="307" t="s">
        <v>279</v>
      </c>
      <c r="K579" s="315">
        <v>34456</v>
      </c>
      <c r="L579" s="195"/>
      <c r="T579" s="260" t="s">
        <v>929</v>
      </c>
      <c r="U579" s="260">
        <v>0.76458333333333339</v>
      </c>
      <c r="V579" s="260">
        <v>0.92638888888888893</v>
      </c>
    </row>
    <row r="580" spans="1:22" s="33" customFormat="1" hidden="1" x14ac:dyDescent="0.25">
      <c r="A580" s="281">
        <v>15102023</v>
      </c>
      <c r="B580" s="33" t="s">
        <v>762</v>
      </c>
      <c r="C580" s="33" t="s">
        <v>13</v>
      </c>
      <c r="D580" s="278">
        <v>45214</v>
      </c>
      <c r="F580" s="306" t="s">
        <v>294</v>
      </c>
      <c r="H580" s="306" t="s">
        <v>279</v>
      </c>
      <c r="K580" s="312">
        <v>39600</v>
      </c>
      <c r="L580" s="279"/>
      <c r="T580" s="280" t="s">
        <v>1816</v>
      </c>
      <c r="U580" s="280">
        <v>0.42569444444444443</v>
      </c>
      <c r="V580" s="280">
        <v>0.6430555555555556</v>
      </c>
    </row>
    <row r="581" spans="1:22" s="196" customFormat="1" hidden="1" x14ac:dyDescent="0.25">
      <c r="A581" s="262">
        <v>16102023</v>
      </c>
      <c r="B581" s="196" t="s">
        <v>2422</v>
      </c>
      <c r="C581" s="196" t="s">
        <v>13</v>
      </c>
      <c r="D581" s="194">
        <v>45215</v>
      </c>
      <c r="F581" s="307" t="s">
        <v>68</v>
      </c>
      <c r="H581" s="307" t="s">
        <v>279</v>
      </c>
      <c r="K581" s="315">
        <v>42480</v>
      </c>
      <c r="L581" s="195"/>
      <c r="T581" s="260" t="s">
        <v>1656</v>
      </c>
      <c r="U581" s="260">
        <v>0.31597222222222221</v>
      </c>
      <c r="V581" s="260">
        <v>0.57361111111111118</v>
      </c>
    </row>
    <row r="582" spans="1:22" s="196" customFormat="1" hidden="1" x14ac:dyDescent="0.25">
      <c r="A582" s="262">
        <v>16102023</v>
      </c>
      <c r="B582" s="196" t="s">
        <v>615</v>
      </c>
      <c r="C582" s="196" t="s">
        <v>410</v>
      </c>
      <c r="D582" s="194">
        <v>45215</v>
      </c>
      <c r="F582" s="307" t="s">
        <v>113</v>
      </c>
      <c r="H582" s="307" t="s">
        <v>277</v>
      </c>
      <c r="K582" s="315"/>
      <c r="L582" s="195">
        <f>3.3*1750*1.18</f>
        <v>6814.5</v>
      </c>
      <c r="T582" s="260" t="s">
        <v>989</v>
      </c>
      <c r="U582" s="260">
        <v>0.33958333333333335</v>
      </c>
      <c r="V582" s="260">
        <v>0.50277777777777777</v>
      </c>
    </row>
    <row r="583" spans="1:22" s="33" customFormat="1" hidden="1" x14ac:dyDescent="0.25">
      <c r="A583" s="281">
        <v>16102023</v>
      </c>
      <c r="B583" s="33" t="s">
        <v>3007</v>
      </c>
      <c r="C583" s="33" t="s">
        <v>410</v>
      </c>
      <c r="D583" s="278">
        <v>45215</v>
      </c>
      <c r="F583" s="306" t="s">
        <v>106</v>
      </c>
      <c r="H583" s="306" t="s">
        <v>279</v>
      </c>
      <c r="K583" s="312">
        <v>27000</v>
      </c>
      <c r="L583" s="279"/>
      <c r="T583" s="280" t="s">
        <v>989</v>
      </c>
      <c r="U583" s="280">
        <v>0.54999999999999993</v>
      </c>
      <c r="V583" s="280">
        <v>0.71666666666666667</v>
      </c>
    </row>
    <row r="584" spans="1:22" s="33" customFormat="1" hidden="1" x14ac:dyDescent="0.25">
      <c r="A584" s="281">
        <v>16102023</v>
      </c>
      <c r="B584" s="33" t="s">
        <v>930</v>
      </c>
      <c r="C584" s="33" t="s">
        <v>13</v>
      </c>
      <c r="D584" s="278">
        <v>45215</v>
      </c>
      <c r="F584" s="306" t="s">
        <v>294</v>
      </c>
      <c r="H584" s="306" t="s">
        <v>277</v>
      </c>
      <c r="K584" s="312">
        <v>24886</v>
      </c>
      <c r="L584" s="279"/>
      <c r="T584" s="280" t="s">
        <v>1816</v>
      </c>
      <c r="U584" s="280">
        <v>0.69374999999999998</v>
      </c>
      <c r="V584" s="280">
        <v>0.85416666666666663</v>
      </c>
    </row>
    <row r="585" spans="1:22" s="196" customFormat="1" hidden="1" x14ac:dyDescent="0.25">
      <c r="A585" s="262">
        <v>16102023</v>
      </c>
      <c r="B585" s="196" t="s">
        <v>1720</v>
      </c>
      <c r="C585" s="196" t="s">
        <v>809</v>
      </c>
      <c r="D585" s="194">
        <v>45215</v>
      </c>
      <c r="F585" s="307" t="s">
        <v>545</v>
      </c>
      <c r="H585" s="307" t="s">
        <v>277</v>
      </c>
      <c r="K585" s="315">
        <v>25016</v>
      </c>
      <c r="L585" s="195"/>
      <c r="T585" s="260" t="s">
        <v>1178</v>
      </c>
      <c r="U585" s="260">
        <v>0.72916666666666663</v>
      </c>
      <c r="V585" s="260">
        <v>0.78749999999999998</v>
      </c>
    </row>
    <row r="586" spans="1:22" s="33" customFormat="1" hidden="1" x14ac:dyDescent="0.25">
      <c r="A586" s="281">
        <v>17102023</v>
      </c>
      <c r="B586" s="33" t="s">
        <v>576</v>
      </c>
      <c r="C586" s="33" t="s">
        <v>410</v>
      </c>
      <c r="D586" s="278">
        <v>45216</v>
      </c>
      <c r="F586" s="306" t="s">
        <v>285</v>
      </c>
      <c r="H586" s="306" t="s">
        <v>279</v>
      </c>
      <c r="K586" s="312">
        <v>47200</v>
      </c>
      <c r="L586" s="279"/>
      <c r="T586" s="280" t="s">
        <v>916</v>
      </c>
      <c r="U586" s="280">
        <v>0.30763888888888891</v>
      </c>
      <c r="V586" s="280">
        <v>0.53402777777777777</v>
      </c>
    </row>
    <row r="587" spans="1:22" s="196" customFormat="1" hidden="1" x14ac:dyDescent="0.25">
      <c r="A587" s="262">
        <v>17102023</v>
      </c>
      <c r="B587" s="196" t="s">
        <v>2739</v>
      </c>
      <c r="C587" s="196" t="s">
        <v>13</v>
      </c>
      <c r="D587" s="194">
        <v>45216</v>
      </c>
      <c r="F587" s="307" t="s">
        <v>2107</v>
      </c>
      <c r="H587" s="307" t="s">
        <v>279</v>
      </c>
      <c r="K587" s="315">
        <v>29864</v>
      </c>
      <c r="L587" s="195"/>
      <c r="T587" s="260" t="s">
        <v>1029</v>
      </c>
      <c r="U587" s="260">
        <v>0.5</v>
      </c>
      <c r="V587" s="260">
        <v>0.66041666666666665</v>
      </c>
    </row>
    <row r="588" spans="1:22" s="196" customFormat="1" hidden="1" x14ac:dyDescent="0.25">
      <c r="A588" s="262">
        <v>17102023</v>
      </c>
      <c r="B588" s="196" t="s">
        <v>3060</v>
      </c>
      <c r="C588" s="196" t="s">
        <v>410</v>
      </c>
      <c r="D588" s="194">
        <v>45216</v>
      </c>
      <c r="F588" s="307" t="s">
        <v>236</v>
      </c>
      <c r="H588" s="307" t="s">
        <v>279</v>
      </c>
      <c r="K588" s="315">
        <v>62540</v>
      </c>
      <c r="L588" s="195"/>
      <c r="T588" s="260" t="s">
        <v>2050</v>
      </c>
      <c r="U588" s="260">
        <v>0.61041666666666672</v>
      </c>
      <c r="V588" s="260">
        <v>0.95694444444444438</v>
      </c>
    </row>
    <row r="589" spans="1:22" s="196" customFormat="1" hidden="1" x14ac:dyDescent="0.25">
      <c r="A589" s="262">
        <v>17102023</v>
      </c>
      <c r="B589" s="196" t="s">
        <v>1720</v>
      </c>
      <c r="C589" s="196" t="s">
        <v>809</v>
      </c>
      <c r="D589" s="194">
        <v>45216</v>
      </c>
      <c r="F589" s="307" t="s">
        <v>545</v>
      </c>
      <c r="H589" s="307" t="s">
        <v>277</v>
      </c>
      <c r="K589" s="315">
        <v>25016</v>
      </c>
      <c r="L589" s="195"/>
      <c r="T589" s="260" t="s">
        <v>1178</v>
      </c>
      <c r="U589" s="260">
        <v>0.72777777777777775</v>
      </c>
      <c r="V589" s="260">
        <v>0.78680555555555554</v>
      </c>
    </row>
    <row r="590" spans="1:22" s="196" customFormat="1" hidden="1" x14ac:dyDescent="0.25">
      <c r="A590" s="262">
        <v>18102023</v>
      </c>
      <c r="B590" s="196" t="s">
        <v>608</v>
      </c>
      <c r="C590" s="196" t="s">
        <v>410</v>
      </c>
      <c r="D590" s="194">
        <v>45217</v>
      </c>
      <c r="F590" s="307" t="s">
        <v>236</v>
      </c>
      <c r="H590" s="307" t="s">
        <v>279</v>
      </c>
      <c r="K590" s="315">
        <v>59472</v>
      </c>
      <c r="L590" s="195"/>
      <c r="T590" s="260" t="s">
        <v>916</v>
      </c>
      <c r="U590" s="260">
        <v>0.27847222222222223</v>
      </c>
      <c r="V590" s="260">
        <v>0.55972222222222223</v>
      </c>
    </row>
    <row r="591" spans="1:22" s="196" customFormat="1" hidden="1" x14ac:dyDescent="0.25">
      <c r="A591" s="262">
        <v>18102023</v>
      </c>
      <c r="B591" s="196" t="s">
        <v>118</v>
      </c>
      <c r="C591" s="196" t="s">
        <v>13</v>
      </c>
      <c r="D591" s="194">
        <v>45217</v>
      </c>
      <c r="F591" s="307" t="s">
        <v>143</v>
      </c>
      <c r="H591" s="307" t="s">
        <v>279</v>
      </c>
      <c r="K591" s="315">
        <v>37200</v>
      </c>
      <c r="L591" s="195"/>
      <c r="T591" s="260" t="s">
        <v>1029</v>
      </c>
      <c r="U591" s="260">
        <v>0.51597222222222217</v>
      </c>
      <c r="V591" s="260">
        <v>0.71111111111111114</v>
      </c>
    </row>
    <row r="592" spans="1:22" s="196" customFormat="1" hidden="1" x14ac:dyDescent="0.25">
      <c r="A592" s="262">
        <v>19102023</v>
      </c>
      <c r="B592" s="196" t="s">
        <v>608</v>
      </c>
      <c r="C592" s="196" t="s">
        <v>13</v>
      </c>
      <c r="D592" s="194">
        <v>45218</v>
      </c>
      <c r="F592" s="307" t="s">
        <v>236</v>
      </c>
      <c r="H592" s="307" t="s">
        <v>279</v>
      </c>
      <c r="K592" s="315">
        <v>59472</v>
      </c>
      <c r="L592" s="195"/>
      <c r="T592" s="260" t="s">
        <v>2050</v>
      </c>
      <c r="U592" s="260">
        <v>0.52083333333333337</v>
      </c>
      <c r="V592" s="260">
        <v>0.81111111111111101</v>
      </c>
    </row>
    <row r="593" spans="1:22" s="196" customFormat="1" hidden="1" x14ac:dyDescent="0.25">
      <c r="A593" s="262">
        <v>20102023</v>
      </c>
      <c r="B593" s="196" t="s">
        <v>608</v>
      </c>
      <c r="C593" s="196" t="s">
        <v>13</v>
      </c>
      <c r="D593" s="194">
        <v>45219</v>
      </c>
      <c r="F593" s="307" t="s">
        <v>236</v>
      </c>
      <c r="H593" s="307" t="s">
        <v>279</v>
      </c>
      <c r="K593" s="315">
        <v>59472</v>
      </c>
      <c r="L593" s="195"/>
      <c r="T593" s="14" t="s">
        <v>1029</v>
      </c>
      <c r="U593" s="260">
        <v>0.53680555555555554</v>
      </c>
      <c r="V593" s="260">
        <v>0.8305555555555556</v>
      </c>
    </row>
    <row r="594" spans="1:22" s="324" customFormat="1" hidden="1" x14ac:dyDescent="0.25">
      <c r="A594" s="330">
        <v>22102023</v>
      </c>
      <c r="B594" s="324" t="s">
        <v>3083</v>
      </c>
      <c r="C594" s="324" t="s">
        <v>13</v>
      </c>
      <c r="D594" s="325">
        <v>45221</v>
      </c>
      <c r="F594" s="326" t="s">
        <v>2253</v>
      </c>
      <c r="H594" s="326" t="s">
        <v>279</v>
      </c>
      <c r="K594" s="327">
        <v>54580</v>
      </c>
      <c r="L594" s="328"/>
      <c r="T594" s="329" t="s">
        <v>1029</v>
      </c>
      <c r="U594" s="329">
        <v>0.28750000000000003</v>
      </c>
      <c r="V594" s="329">
        <v>0.60555555555555551</v>
      </c>
    </row>
    <row r="595" spans="1:22" s="196" customFormat="1" hidden="1" x14ac:dyDescent="0.25">
      <c r="A595" s="262">
        <v>22102023</v>
      </c>
      <c r="B595" s="196" t="s">
        <v>607</v>
      </c>
      <c r="C595" s="196" t="s">
        <v>13</v>
      </c>
      <c r="D595" s="194">
        <v>45221</v>
      </c>
      <c r="F595" s="307" t="s">
        <v>207</v>
      </c>
      <c r="H595" s="307" t="s">
        <v>279</v>
      </c>
      <c r="K595" s="315">
        <v>36253.14</v>
      </c>
      <c r="L595" s="195"/>
      <c r="T595" s="260" t="s">
        <v>1656</v>
      </c>
      <c r="U595" s="260">
        <v>0.44375000000000003</v>
      </c>
      <c r="V595" s="260">
        <v>0.6430555555555556</v>
      </c>
    </row>
    <row r="596" spans="1:22" s="33" customFormat="1" ht="14.1" hidden="1" customHeight="1" x14ac:dyDescent="0.25">
      <c r="A596" s="281">
        <v>22102023</v>
      </c>
      <c r="B596" s="33" t="s">
        <v>2227</v>
      </c>
      <c r="C596" s="33" t="s">
        <v>809</v>
      </c>
      <c r="D596" s="278">
        <v>45221</v>
      </c>
      <c r="F596" s="306" t="s">
        <v>106</v>
      </c>
      <c r="H596" s="306" t="s">
        <v>279</v>
      </c>
      <c r="K596" s="312">
        <v>27000</v>
      </c>
      <c r="L596" s="279"/>
      <c r="T596" s="280" t="s">
        <v>1178</v>
      </c>
      <c r="U596" s="280">
        <v>0.4861111111111111</v>
      </c>
      <c r="V596" s="280">
        <v>0.72083333333333333</v>
      </c>
    </row>
    <row r="597" spans="1:22" s="196" customFormat="1" hidden="1" x14ac:dyDescent="0.25">
      <c r="A597" s="262">
        <v>23102023</v>
      </c>
      <c r="B597" s="196" t="s">
        <v>608</v>
      </c>
      <c r="C597" s="196" t="s">
        <v>13</v>
      </c>
      <c r="D597" s="194">
        <v>45222</v>
      </c>
      <c r="F597" s="307" t="s">
        <v>236</v>
      </c>
      <c r="H597" s="307" t="s">
        <v>279</v>
      </c>
      <c r="K597" s="315">
        <v>59472</v>
      </c>
      <c r="L597" s="195"/>
      <c r="T597" s="196" t="s">
        <v>989</v>
      </c>
      <c r="U597" s="260">
        <v>0.58819444444444446</v>
      </c>
      <c r="V597" s="260">
        <v>0.8833333333333333</v>
      </c>
    </row>
    <row r="598" spans="1:22" s="196" customFormat="1" hidden="1" x14ac:dyDescent="0.25">
      <c r="A598" s="262">
        <v>23102023</v>
      </c>
      <c r="B598" s="196" t="s">
        <v>1720</v>
      </c>
      <c r="C598" s="196" t="s">
        <v>410</v>
      </c>
      <c r="D598" s="194">
        <v>45222</v>
      </c>
      <c r="F598" s="307" t="s">
        <v>545</v>
      </c>
      <c r="H598" s="307" t="s">
        <v>277</v>
      </c>
      <c r="K598" s="315">
        <v>25016</v>
      </c>
      <c r="L598" s="195"/>
      <c r="T598" s="196" t="s">
        <v>2380</v>
      </c>
      <c r="U598" s="260">
        <v>17.420000000000002</v>
      </c>
      <c r="V598" s="260">
        <v>0.87222222222222223</v>
      </c>
    </row>
    <row r="599" spans="1:22" s="196" customFormat="1" ht="14.1" hidden="1" customHeight="1" x14ac:dyDescent="0.25">
      <c r="A599" s="262">
        <v>24102023</v>
      </c>
      <c r="B599" s="196" t="s">
        <v>3089</v>
      </c>
      <c r="C599" s="196" t="s">
        <v>13</v>
      </c>
      <c r="D599" s="194">
        <v>45223</v>
      </c>
      <c r="F599" s="307" t="s">
        <v>1931</v>
      </c>
      <c r="H599" s="307" t="s">
        <v>279</v>
      </c>
      <c r="K599" s="315">
        <v>58466</v>
      </c>
      <c r="L599" s="195"/>
      <c r="T599" s="196" t="s">
        <v>1644</v>
      </c>
      <c r="U599" s="260">
        <v>0.60416666666666663</v>
      </c>
      <c r="V599" s="260">
        <v>0.92499999999999993</v>
      </c>
    </row>
    <row r="600" spans="1:22" s="33" customFormat="1" hidden="1" x14ac:dyDescent="0.25">
      <c r="A600" s="281">
        <v>24102023</v>
      </c>
      <c r="B600" s="33" t="s">
        <v>576</v>
      </c>
      <c r="C600" s="33" t="s">
        <v>410</v>
      </c>
      <c r="D600" s="278">
        <v>45223</v>
      </c>
      <c r="F600" s="306" t="s">
        <v>285</v>
      </c>
      <c r="H600" s="306" t="s">
        <v>279</v>
      </c>
      <c r="K600" s="312">
        <v>47200</v>
      </c>
      <c r="L600" s="279"/>
      <c r="T600" s="33" t="s">
        <v>2380</v>
      </c>
      <c r="U600" s="280">
        <v>0.64861111111111114</v>
      </c>
      <c r="V600" s="280">
        <v>0.875</v>
      </c>
    </row>
    <row r="601" spans="1:22" s="196" customFormat="1" hidden="1" x14ac:dyDescent="0.25">
      <c r="A601" s="262">
        <v>24102023</v>
      </c>
      <c r="B601" s="196" t="s">
        <v>1720</v>
      </c>
      <c r="C601" s="196" t="s">
        <v>809</v>
      </c>
      <c r="D601" s="194">
        <v>45223</v>
      </c>
      <c r="F601" s="307" t="s">
        <v>545</v>
      </c>
      <c r="H601" s="307" t="s">
        <v>277</v>
      </c>
      <c r="K601" s="315">
        <v>25016</v>
      </c>
      <c r="L601" s="195"/>
      <c r="T601" s="196" t="s">
        <v>1178</v>
      </c>
      <c r="U601" s="260">
        <v>0.77916666666666667</v>
      </c>
      <c r="V601" s="260">
        <v>0.84166666666666667</v>
      </c>
    </row>
    <row r="602" spans="1:22" s="120" customFormat="1" hidden="1" x14ac:dyDescent="0.25">
      <c r="A602" s="337">
        <v>25102023</v>
      </c>
      <c r="B602" s="120" t="s">
        <v>2174</v>
      </c>
      <c r="C602" s="120" t="s">
        <v>13</v>
      </c>
      <c r="D602" s="333">
        <v>45224</v>
      </c>
      <c r="F602" s="334" t="s">
        <v>294</v>
      </c>
      <c r="H602" s="334" t="s">
        <v>279</v>
      </c>
      <c r="K602" s="335">
        <v>35568</v>
      </c>
      <c r="L602" s="150"/>
      <c r="T602" s="120" t="s">
        <v>2050</v>
      </c>
      <c r="U602" s="336">
        <v>0.29375000000000001</v>
      </c>
      <c r="V602" s="336">
        <v>0.49027777777777781</v>
      </c>
    </row>
    <row r="603" spans="1:22" s="196" customFormat="1" hidden="1" x14ac:dyDescent="0.25">
      <c r="A603" s="262">
        <v>25102023</v>
      </c>
      <c r="B603" s="196" t="s">
        <v>2938</v>
      </c>
      <c r="C603" s="196" t="s">
        <v>410</v>
      </c>
      <c r="D603" s="194">
        <v>45224</v>
      </c>
      <c r="F603" s="307" t="s">
        <v>113</v>
      </c>
      <c r="H603" s="307" t="s">
        <v>279</v>
      </c>
      <c r="K603" s="315">
        <v>38055</v>
      </c>
      <c r="L603" s="195"/>
      <c r="T603" s="260" t="s">
        <v>916</v>
      </c>
      <c r="U603" s="260">
        <v>0.47569444444444442</v>
      </c>
      <c r="V603" s="260">
        <v>0.63124999999999998</v>
      </c>
    </row>
    <row r="604" spans="1:22" s="324" customFormat="1" hidden="1" x14ac:dyDescent="0.25">
      <c r="A604" s="330">
        <v>25102023</v>
      </c>
      <c r="B604" s="324" t="s">
        <v>3083</v>
      </c>
      <c r="C604" s="324" t="s">
        <v>13</v>
      </c>
      <c r="D604" s="325">
        <v>45224</v>
      </c>
      <c r="F604" s="326" t="s">
        <v>2253</v>
      </c>
      <c r="H604" s="326" t="s">
        <v>279</v>
      </c>
      <c r="K604" s="327">
        <v>54580</v>
      </c>
      <c r="L604" s="328"/>
      <c r="T604" s="329" t="s">
        <v>1029</v>
      </c>
      <c r="U604" s="329">
        <v>0.55625000000000002</v>
      </c>
      <c r="V604" s="329">
        <v>0.8534722222222223</v>
      </c>
    </row>
    <row r="605" spans="1:22" s="33" customFormat="1" hidden="1" x14ac:dyDescent="0.25">
      <c r="A605" s="281">
        <v>25102023</v>
      </c>
      <c r="B605" s="33" t="s">
        <v>118</v>
      </c>
      <c r="C605" s="33" t="s">
        <v>410</v>
      </c>
      <c r="D605" s="278">
        <v>45224</v>
      </c>
      <c r="F605" s="306" t="s">
        <v>143</v>
      </c>
      <c r="H605" s="306" t="s">
        <v>279</v>
      </c>
      <c r="K605" s="312">
        <v>36300</v>
      </c>
      <c r="L605" s="279"/>
      <c r="T605" s="280" t="s">
        <v>916</v>
      </c>
      <c r="U605" s="280">
        <v>0.72013888888888899</v>
      </c>
      <c r="V605" s="280">
        <v>0.9277777777777777</v>
      </c>
    </row>
    <row r="606" spans="1:22" s="196" customFormat="1" hidden="1" x14ac:dyDescent="0.25">
      <c r="A606" s="262">
        <v>26102023</v>
      </c>
      <c r="B606" s="196" t="s">
        <v>3089</v>
      </c>
      <c r="C606" s="196" t="s">
        <v>13</v>
      </c>
      <c r="D606" s="194">
        <v>45225</v>
      </c>
      <c r="F606" s="307" t="s">
        <v>1931</v>
      </c>
      <c r="H606" s="307" t="s">
        <v>279</v>
      </c>
      <c r="K606" s="315">
        <v>58466</v>
      </c>
      <c r="L606" s="195"/>
      <c r="T606" s="260" t="s">
        <v>2050</v>
      </c>
      <c r="U606" s="260">
        <v>0.32708333333333334</v>
      </c>
      <c r="V606" s="260">
        <v>0.71388888888888891</v>
      </c>
    </row>
    <row r="607" spans="1:22" s="379" customFormat="1" hidden="1" x14ac:dyDescent="0.25">
      <c r="A607" s="378">
        <v>26102023</v>
      </c>
      <c r="B607" s="379" t="s">
        <v>930</v>
      </c>
      <c r="C607" s="379" t="s">
        <v>410</v>
      </c>
      <c r="D607" s="380">
        <v>45225</v>
      </c>
      <c r="F607" s="381" t="s">
        <v>294</v>
      </c>
      <c r="H607" s="381" t="s">
        <v>279</v>
      </c>
      <c r="K607" s="382">
        <v>33182</v>
      </c>
      <c r="L607" s="383"/>
      <c r="T607" s="384" t="s">
        <v>922</v>
      </c>
      <c r="U607" s="384">
        <v>0.61249999999999993</v>
      </c>
      <c r="V607" s="384">
        <v>0.81666666666666676</v>
      </c>
    </row>
    <row r="608" spans="1:22" s="196" customFormat="1" hidden="1" x14ac:dyDescent="0.25">
      <c r="A608" s="262">
        <v>26102023</v>
      </c>
      <c r="B608" s="196" t="s">
        <v>608</v>
      </c>
      <c r="C608" s="196" t="s">
        <v>13</v>
      </c>
      <c r="D608" s="194">
        <v>45225</v>
      </c>
      <c r="F608" s="307" t="s">
        <v>236</v>
      </c>
      <c r="H608" s="307" t="s">
        <v>279</v>
      </c>
      <c r="K608" s="315">
        <v>59472</v>
      </c>
      <c r="L608" s="195"/>
      <c r="T608" s="260" t="s">
        <v>916</v>
      </c>
      <c r="U608" s="260">
        <v>0.8305555555555556</v>
      </c>
      <c r="V608" s="260">
        <v>0.10833333333333334</v>
      </c>
    </row>
    <row r="609" spans="1:22" s="196" customFormat="1" hidden="1" x14ac:dyDescent="0.25">
      <c r="A609" s="262">
        <v>27102023</v>
      </c>
      <c r="B609" s="196" t="s">
        <v>1720</v>
      </c>
      <c r="C609" s="196" t="s">
        <v>809</v>
      </c>
      <c r="D609" s="194">
        <v>45226</v>
      </c>
      <c r="F609" s="307" t="s">
        <v>545</v>
      </c>
      <c r="H609" s="307" t="s">
        <v>277</v>
      </c>
      <c r="K609" s="315">
        <v>25016</v>
      </c>
      <c r="L609" s="195"/>
      <c r="T609" s="260" t="s">
        <v>894</v>
      </c>
      <c r="U609" s="260">
        <v>0.69930555555555562</v>
      </c>
      <c r="V609" s="260">
        <v>0.75763888888888886</v>
      </c>
    </row>
    <row r="610" spans="1:22" s="33" customFormat="1" hidden="1" x14ac:dyDescent="0.25">
      <c r="A610" s="281">
        <v>28102023</v>
      </c>
      <c r="B610" s="33" t="s">
        <v>615</v>
      </c>
      <c r="C610" s="33" t="s">
        <v>410</v>
      </c>
      <c r="D610" s="278">
        <v>45227</v>
      </c>
      <c r="F610" s="306" t="s">
        <v>207</v>
      </c>
      <c r="H610" s="306" t="s">
        <v>277</v>
      </c>
      <c r="K610" s="312"/>
      <c r="L610" s="279">
        <f>1750*3*1.18</f>
        <v>6195</v>
      </c>
      <c r="T610" s="280" t="s">
        <v>1029</v>
      </c>
      <c r="U610" s="280">
        <v>0.4694444444444445</v>
      </c>
      <c r="V610" s="280">
        <v>0.62916666666666665</v>
      </c>
    </row>
    <row r="611" spans="1:22" s="196" customFormat="1" hidden="1" x14ac:dyDescent="0.25">
      <c r="A611" s="262">
        <v>29102023</v>
      </c>
      <c r="B611" s="196" t="s">
        <v>608</v>
      </c>
      <c r="C611" s="196" t="s">
        <v>13</v>
      </c>
      <c r="D611" s="194">
        <v>45228</v>
      </c>
      <c r="F611" s="307" t="s">
        <v>236</v>
      </c>
      <c r="H611" s="307" t="s">
        <v>279</v>
      </c>
      <c r="K611" s="315">
        <v>59472</v>
      </c>
      <c r="L611" s="195"/>
      <c r="T611" s="260" t="s">
        <v>1644</v>
      </c>
      <c r="U611" s="260">
        <v>0.25555555555555559</v>
      </c>
      <c r="V611" s="260">
        <v>0.54513888888888895</v>
      </c>
    </row>
    <row r="612" spans="1:22" s="196" customFormat="1" hidden="1" x14ac:dyDescent="0.25">
      <c r="A612" s="262">
        <v>30102023</v>
      </c>
      <c r="B612" s="196" t="s">
        <v>3089</v>
      </c>
      <c r="C612" s="196" t="s">
        <v>13</v>
      </c>
      <c r="D612" s="194">
        <v>45229</v>
      </c>
      <c r="F612" s="307" t="s">
        <v>285</v>
      </c>
      <c r="H612" s="307" t="s">
        <v>279</v>
      </c>
      <c r="K612" s="315">
        <v>58466</v>
      </c>
      <c r="L612" s="195"/>
      <c r="T612" s="260" t="s">
        <v>916</v>
      </c>
      <c r="U612" s="260">
        <v>0.7006944444444444</v>
      </c>
      <c r="V612" s="260">
        <v>2.9861111111111113E-2</v>
      </c>
    </row>
    <row r="613" spans="1:22" s="379" customFormat="1" hidden="1" x14ac:dyDescent="0.25">
      <c r="A613" s="378">
        <v>31102023</v>
      </c>
      <c r="B613" s="379" t="s">
        <v>930</v>
      </c>
      <c r="C613" s="379" t="s">
        <v>410</v>
      </c>
      <c r="D613" s="380">
        <v>45230</v>
      </c>
      <c r="F613" s="381" t="s">
        <v>294</v>
      </c>
      <c r="H613" s="381" t="s">
        <v>277</v>
      </c>
      <c r="K613" s="382">
        <v>24886</v>
      </c>
      <c r="L613" s="383"/>
      <c r="T613" s="384" t="s">
        <v>2380</v>
      </c>
      <c r="U613" s="384">
        <v>0.43472222222222223</v>
      </c>
      <c r="V613" s="384">
        <v>0.59236111111111112</v>
      </c>
    </row>
    <row r="614" spans="1:22" s="120" customFormat="1" hidden="1" x14ac:dyDescent="0.25">
      <c r="A614" s="337">
        <v>31102023</v>
      </c>
      <c r="B614" s="120" t="s">
        <v>2174</v>
      </c>
      <c r="C614" s="120" t="s">
        <v>13</v>
      </c>
      <c r="D614" s="333">
        <v>45230</v>
      </c>
      <c r="F614" s="334" t="s">
        <v>294</v>
      </c>
      <c r="H614" s="334" t="s">
        <v>279</v>
      </c>
      <c r="K614" s="335">
        <v>35568</v>
      </c>
      <c r="L614" s="150"/>
      <c r="T614" s="336" t="s">
        <v>2380</v>
      </c>
      <c r="U614" s="336">
        <v>0.66805555555555562</v>
      </c>
      <c r="V614" s="336">
        <v>0.87847222222222221</v>
      </c>
    </row>
    <row r="615" spans="1:22" hidden="1" x14ac:dyDescent="0.25">
      <c r="A615" s="256"/>
      <c r="D615" s="122"/>
      <c r="K615" s="313"/>
      <c r="L615" s="88"/>
      <c r="T615" s="14"/>
      <c r="U615" s="14"/>
      <c r="V615" s="14"/>
    </row>
    <row r="616" spans="1:22" hidden="1" x14ac:dyDescent="0.25">
      <c r="A616" s="256"/>
      <c r="D616" s="122"/>
      <c r="K616" s="313"/>
      <c r="L616" s="88"/>
      <c r="T616" s="14"/>
      <c r="U616" s="14"/>
      <c r="V616" s="14"/>
    </row>
    <row r="617" spans="1:22" hidden="1" x14ac:dyDescent="0.25">
      <c r="A617" s="256"/>
      <c r="D617" s="122"/>
      <c r="K617" s="313"/>
      <c r="L617" s="313"/>
      <c r="T617" s="14"/>
      <c r="U617" s="14"/>
      <c r="V617" s="14"/>
    </row>
    <row r="618" spans="1:22" hidden="1" x14ac:dyDescent="0.25">
      <c r="A618" s="256"/>
      <c r="D618" s="122"/>
      <c r="K618" s="313"/>
      <c r="L618" s="313"/>
      <c r="T618" s="14"/>
      <c r="U618" s="14"/>
      <c r="V618" s="14"/>
    </row>
    <row r="619" spans="1:22" hidden="1" x14ac:dyDescent="0.25">
      <c r="A619" s="256"/>
      <c r="D619" s="122"/>
      <c r="K619" s="313"/>
      <c r="L619" s="313"/>
      <c r="T619" s="14"/>
      <c r="U619" s="14"/>
      <c r="V619" s="14"/>
    </row>
    <row r="620" spans="1:22" s="196" customFormat="1" hidden="1" x14ac:dyDescent="0.25">
      <c r="A620" s="262" t="s">
        <v>3146</v>
      </c>
      <c r="B620" s="196" t="s">
        <v>608</v>
      </c>
      <c r="C620" s="196" t="s">
        <v>410</v>
      </c>
      <c r="D620" s="194">
        <v>45232</v>
      </c>
      <c r="F620" s="307" t="s">
        <v>236</v>
      </c>
      <c r="H620" s="307" t="s">
        <v>279</v>
      </c>
      <c r="K620" s="315">
        <v>59472</v>
      </c>
      <c r="L620" s="195"/>
      <c r="T620" s="260" t="s">
        <v>1506</v>
      </c>
      <c r="U620" s="260">
        <v>0.47638888888888892</v>
      </c>
      <c r="V620" s="260">
        <v>0.77986111111111101</v>
      </c>
    </row>
    <row r="621" spans="1:22" s="196" customFormat="1" hidden="1" x14ac:dyDescent="0.25">
      <c r="A621" s="262" t="s">
        <v>3146</v>
      </c>
      <c r="B621" s="196" t="s">
        <v>1720</v>
      </c>
      <c r="C621" s="196" t="s">
        <v>809</v>
      </c>
      <c r="D621" s="194">
        <v>45232</v>
      </c>
      <c r="F621" s="307" t="s">
        <v>545</v>
      </c>
      <c r="H621" s="307" t="s">
        <v>277</v>
      </c>
      <c r="K621" s="315">
        <v>25016</v>
      </c>
      <c r="L621" s="195"/>
      <c r="T621" s="260" t="s">
        <v>894</v>
      </c>
      <c r="U621" s="260">
        <v>0.6694444444444444</v>
      </c>
      <c r="V621" s="260">
        <v>0.72986111111111107</v>
      </c>
    </row>
    <row r="622" spans="1:22" s="196" customFormat="1" hidden="1" x14ac:dyDescent="0.25">
      <c r="A622" s="262" t="s">
        <v>3146</v>
      </c>
      <c r="B622" s="196" t="s">
        <v>608</v>
      </c>
      <c r="C622" s="196" t="s">
        <v>13</v>
      </c>
      <c r="D622" s="194">
        <v>45232</v>
      </c>
      <c r="F622" s="307" t="s">
        <v>236</v>
      </c>
      <c r="H622" s="307" t="s">
        <v>279</v>
      </c>
      <c r="K622" s="315">
        <v>59472</v>
      </c>
      <c r="L622" s="195"/>
      <c r="T622" s="260" t="s">
        <v>1042</v>
      </c>
      <c r="U622" s="260">
        <v>0.64444444444444449</v>
      </c>
      <c r="V622" s="260">
        <v>0.94305555555555554</v>
      </c>
    </row>
    <row r="623" spans="1:22" s="196" customFormat="1" hidden="1" x14ac:dyDescent="0.25">
      <c r="A623" s="262" t="s">
        <v>3146</v>
      </c>
      <c r="B623" s="196" t="s">
        <v>1720</v>
      </c>
      <c r="C623" s="196" t="s">
        <v>410</v>
      </c>
      <c r="D623" s="194">
        <v>45232</v>
      </c>
      <c r="F623" s="307" t="s">
        <v>545</v>
      </c>
      <c r="H623" s="307" t="s">
        <v>277</v>
      </c>
      <c r="K623" s="315">
        <v>25016</v>
      </c>
      <c r="L623" s="195"/>
      <c r="T623" s="260" t="s">
        <v>3151</v>
      </c>
      <c r="U623" s="260">
        <v>0.8520833333333333</v>
      </c>
      <c r="V623" s="260">
        <v>0.9868055555555556</v>
      </c>
    </row>
    <row r="624" spans="1:22" s="196" customFormat="1" hidden="1" x14ac:dyDescent="0.25">
      <c r="A624" s="262" t="s">
        <v>3152</v>
      </c>
      <c r="B624" s="196" t="s">
        <v>762</v>
      </c>
      <c r="C624" s="196" t="s">
        <v>410</v>
      </c>
      <c r="D624" s="194">
        <v>45233</v>
      </c>
      <c r="F624" s="307" t="s">
        <v>872</v>
      </c>
      <c r="H624" s="307" t="s">
        <v>279</v>
      </c>
      <c r="K624" s="315">
        <v>39600</v>
      </c>
      <c r="L624" s="195"/>
      <c r="T624" s="260" t="s">
        <v>2380</v>
      </c>
      <c r="U624" s="260">
        <v>0.50972222222222219</v>
      </c>
      <c r="V624" s="260">
        <v>0.72361111111111109</v>
      </c>
    </row>
    <row r="625" spans="1:22" s="196" customFormat="1" hidden="1" x14ac:dyDescent="0.25">
      <c r="A625" s="262" t="s">
        <v>3152</v>
      </c>
      <c r="B625" s="196" t="s">
        <v>611</v>
      </c>
      <c r="C625" s="196" t="s">
        <v>13</v>
      </c>
      <c r="D625" s="194">
        <v>45233</v>
      </c>
      <c r="F625" s="307" t="s">
        <v>3153</v>
      </c>
      <c r="H625" s="307" t="s">
        <v>279</v>
      </c>
      <c r="K625" s="315">
        <v>49929</v>
      </c>
      <c r="L625" s="195"/>
      <c r="T625" s="260" t="s">
        <v>1506</v>
      </c>
      <c r="U625" s="260">
        <v>0.7597222222222223</v>
      </c>
      <c r="V625" s="260">
        <v>0.96805555555555556</v>
      </c>
    </row>
    <row r="626" spans="1:22" s="33" customFormat="1" hidden="1" x14ac:dyDescent="0.25">
      <c r="A626" s="281" t="s">
        <v>3152</v>
      </c>
      <c r="B626" s="33" t="s">
        <v>3163</v>
      </c>
      <c r="C626" s="33" t="s">
        <v>410</v>
      </c>
      <c r="D626" s="278">
        <v>45233</v>
      </c>
      <c r="F626" s="306" t="s">
        <v>143</v>
      </c>
      <c r="H626" s="306" t="s">
        <v>279</v>
      </c>
      <c r="K626" s="312">
        <v>38200</v>
      </c>
      <c r="L626" s="279"/>
      <c r="T626" s="280" t="s">
        <v>3151</v>
      </c>
      <c r="U626" s="280">
        <v>0.86944444444444446</v>
      </c>
      <c r="V626" s="280">
        <v>0.58680555555555558</v>
      </c>
    </row>
    <row r="627" spans="1:22" s="196" customFormat="1" hidden="1" x14ac:dyDescent="0.25">
      <c r="A627" s="262" t="s">
        <v>3164</v>
      </c>
      <c r="B627" s="196" t="s">
        <v>1720</v>
      </c>
      <c r="C627" s="196" t="s">
        <v>809</v>
      </c>
      <c r="D627" s="194">
        <v>45234</v>
      </c>
      <c r="F627" s="307" t="s">
        <v>545</v>
      </c>
      <c r="H627" s="307" t="s">
        <v>277</v>
      </c>
      <c r="K627" s="315">
        <v>25016</v>
      </c>
      <c r="L627" s="195"/>
      <c r="T627" s="260" t="s">
        <v>1894</v>
      </c>
      <c r="U627" s="260">
        <v>0.72569444444444453</v>
      </c>
      <c r="V627" s="260">
        <v>0.78680555555555554</v>
      </c>
    </row>
    <row r="628" spans="1:22" s="196" customFormat="1" hidden="1" x14ac:dyDescent="0.25">
      <c r="A628" s="262" t="s">
        <v>3165</v>
      </c>
      <c r="B628" s="196" t="s">
        <v>3166</v>
      </c>
      <c r="C628" s="196" t="s">
        <v>410</v>
      </c>
      <c r="D628" s="194">
        <v>45235</v>
      </c>
      <c r="F628" s="307" t="s">
        <v>207</v>
      </c>
      <c r="H628" s="307" t="s">
        <v>279</v>
      </c>
      <c r="K628" s="315"/>
      <c r="L628" s="195">
        <v>10385</v>
      </c>
      <c r="T628" s="260" t="s">
        <v>3151</v>
      </c>
      <c r="U628" s="260">
        <v>0.74583333333333324</v>
      </c>
      <c r="V628" s="260">
        <v>0.89027777777777783</v>
      </c>
    </row>
    <row r="629" spans="1:22" s="33" customFormat="1" hidden="1" x14ac:dyDescent="0.25">
      <c r="A629" s="281" t="s">
        <v>3165</v>
      </c>
      <c r="B629" s="33" t="s">
        <v>2469</v>
      </c>
      <c r="C629" s="33" t="s">
        <v>410</v>
      </c>
      <c r="D629" s="278">
        <v>45235</v>
      </c>
      <c r="F629" s="306" t="s">
        <v>294</v>
      </c>
      <c r="H629" s="306" t="s">
        <v>279</v>
      </c>
      <c r="K629" s="312">
        <v>35568</v>
      </c>
      <c r="L629" s="279"/>
      <c r="T629" s="280" t="s">
        <v>2380</v>
      </c>
      <c r="U629" s="280">
        <v>0.66666666666666663</v>
      </c>
      <c r="V629" s="280">
        <v>0.88750000000000007</v>
      </c>
    </row>
    <row r="630" spans="1:22" s="283" customFormat="1" hidden="1" x14ac:dyDescent="0.25">
      <c r="A630" s="289" t="s">
        <v>3169</v>
      </c>
      <c r="B630" s="283" t="s">
        <v>1076</v>
      </c>
      <c r="C630" s="283" t="s">
        <v>809</v>
      </c>
      <c r="D630" s="284">
        <v>45237</v>
      </c>
      <c r="F630" s="306" t="s">
        <v>294</v>
      </c>
      <c r="H630" s="308" t="s">
        <v>277</v>
      </c>
      <c r="K630" s="317">
        <v>24886</v>
      </c>
      <c r="L630" s="285"/>
      <c r="T630" s="286" t="s">
        <v>1894</v>
      </c>
      <c r="U630" s="286">
        <v>0.4826388888888889</v>
      </c>
      <c r="V630" s="286">
        <v>0.77777777777777779</v>
      </c>
    </row>
    <row r="631" spans="1:22" s="179" customFormat="1" hidden="1" x14ac:dyDescent="0.25">
      <c r="A631" s="467" t="s">
        <v>3168</v>
      </c>
      <c r="B631" s="179" t="s">
        <v>1080</v>
      </c>
      <c r="C631" s="179" t="s">
        <v>410</v>
      </c>
      <c r="D631" s="198">
        <v>45238</v>
      </c>
      <c r="F631" s="468" t="s">
        <v>872</v>
      </c>
      <c r="H631" s="468" t="s">
        <v>279</v>
      </c>
      <c r="K631" s="469">
        <v>39600</v>
      </c>
      <c r="L631" s="470"/>
      <c r="T631" s="197" t="s">
        <v>1506</v>
      </c>
      <c r="U631" s="197">
        <v>0.53819444444444442</v>
      </c>
      <c r="V631" s="197">
        <v>0.75069444444444444</v>
      </c>
    </row>
    <row r="632" spans="1:22" s="629" customFormat="1" hidden="1" x14ac:dyDescent="0.25">
      <c r="A632" s="628">
        <v>10112023</v>
      </c>
      <c r="B632" s="629" t="s">
        <v>2469</v>
      </c>
      <c r="C632" s="629" t="s">
        <v>13</v>
      </c>
      <c r="D632" s="630">
        <v>45240</v>
      </c>
      <c r="F632" s="420" t="s">
        <v>294</v>
      </c>
      <c r="H632" s="631" t="s">
        <v>279</v>
      </c>
      <c r="K632" s="632">
        <v>35568</v>
      </c>
      <c r="L632" s="633"/>
      <c r="T632" s="634" t="s">
        <v>2380</v>
      </c>
      <c r="U632" s="635">
        <v>0.44027777777777777</v>
      </c>
      <c r="V632" s="635">
        <v>0.66319444444444442</v>
      </c>
    </row>
    <row r="633" spans="1:22" s="179" customFormat="1" hidden="1" x14ac:dyDescent="0.25">
      <c r="A633" s="467">
        <v>11112023</v>
      </c>
      <c r="B633" s="179" t="s">
        <v>3185</v>
      </c>
      <c r="C633" s="179" t="s">
        <v>410</v>
      </c>
      <c r="D633" s="198">
        <v>45210</v>
      </c>
      <c r="F633" s="307" t="s">
        <v>3186</v>
      </c>
      <c r="H633" s="468" t="s">
        <v>277</v>
      </c>
      <c r="L633" s="469">
        <v>4956</v>
      </c>
      <c r="T633" s="197" t="s">
        <v>3151</v>
      </c>
      <c r="U633" s="197">
        <v>0.38611111111111113</v>
      </c>
      <c r="V633" s="197">
        <v>0.57291666666666663</v>
      </c>
    </row>
    <row r="634" spans="1:22" s="179" customFormat="1" hidden="1" x14ac:dyDescent="0.25">
      <c r="A634" s="467">
        <v>11112023</v>
      </c>
      <c r="B634" s="179" t="s">
        <v>762</v>
      </c>
      <c r="C634" s="179" t="s">
        <v>13</v>
      </c>
      <c r="D634" s="198">
        <v>45241</v>
      </c>
      <c r="F634" s="468" t="s">
        <v>872</v>
      </c>
      <c r="H634" s="468" t="s">
        <v>279</v>
      </c>
      <c r="K634" s="469">
        <v>39600</v>
      </c>
      <c r="L634" s="470"/>
      <c r="T634" s="197" t="s">
        <v>1042</v>
      </c>
      <c r="U634" s="197">
        <v>0.51041666666666663</v>
      </c>
      <c r="V634" s="197">
        <v>0.66041666666666665</v>
      </c>
    </row>
    <row r="635" spans="1:22" s="179" customFormat="1" hidden="1" x14ac:dyDescent="0.25">
      <c r="A635" s="467">
        <v>11112023</v>
      </c>
      <c r="B635" s="179" t="s">
        <v>607</v>
      </c>
      <c r="C635" s="179" t="s">
        <v>410</v>
      </c>
      <c r="D635" s="198">
        <v>45241</v>
      </c>
      <c r="F635" s="468" t="s">
        <v>207</v>
      </c>
      <c r="H635" s="468" t="s">
        <v>279</v>
      </c>
      <c r="K635" s="469">
        <v>36253.14</v>
      </c>
      <c r="L635" s="470"/>
      <c r="T635" s="197" t="s">
        <v>3151</v>
      </c>
      <c r="U635" s="197">
        <v>0.61944444444444446</v>
      </c>
      <c r="V635" s="197">
        <v>0.78194444444444444</v>
      </c>
    </row>
    <row r="636" spans="1:22" s="179" customFormat="1" hidden="1" x14ac:dyDescent="0.25">
      <c r="A636" s="467">
        <v>12112023</v>
      </c>
      <c r="B636" s="179" t="s">
        <v>762</v>
      </c>
      <c r="C636" s="179" t="s">
        <v>13</v>
      </c>
      <c r="D636" s="198">
        <v>45242</v>
      </c>
      <c r="F636" s="468" t="s">
        <v>872</v>
      </c>
      <c r="H636" s="468" t="s">
        <v>279</v>
      </c>
      <c r="K636" s="469">
        <v>39600</v>
      </c>
      <c r="L636" s="470"/>
      <c r="T636" s="197" t="s">
        <v>1029</v>
      </c>
      <c r="U636" s="197">
        <v>0.3430555555555555</v>
      </c>
      <c r="V636" s="197">
        <v>0.58194444444444449</v>
      </c>
    </row>
    <row r="637" spans="1:22" s="196" customFormat="1" hidden="1" x14ac:dyDescent="0.25">
      <c r="A637" s="262">
        <v>14112023</v>
      </c>
      <c r="B637" s="196" t="s">
        <v>762</v>
      </c>
      <c r="C637" s="196" t="s">
        <v>13</v>
      </c>
      <c r="D637" s="194">
        <v>45244</v>
      </c>
      <c r="F637" s="307" t="s">
        <v>872</v>
      </c>
      <c r="H637" s="307" t="s">
        <v>279</v>
      </c>
      <c r="K637" s="315">
        <v>39600</v>
      </c>
      <c r="L637" s="195"/>
      <c r="T637" s="260" t="s">
        <v>1644</v>
      </c>
      <c r="U637" s="260">
        <v>0.33055555555555555</v>
      </c>
      <c r="V637" s="260">
        <v>0.55972222222222223</v>
      </c>
    </row>
    <row r="638" spans="1:22" s="33" customFormat="1" hidden="1" x14ac:dyDescent="0.25">
      <c r="A638" s="281">
        <v>15112023</v>
      </c>
      <c r="B638" s="33" t="s">
        <v>3345</v>
      </c>
      <c r="C638" s="33" t="s">
        <v>13</v>
      </c>
      <c r="D638" s="278">
        <v>45245</v>
      </c>
      <c r="E638" s="264">
        <v>7110</v>
      </c>
      <c r="F638" s="306" t="s">
        <v>1258</v>
      </c>
      <c r="H638" s="306" t="s">
        <v>279</v>
      </c>
      <c r="K638" s="312">
        <v>49350</v>
      </c>
      <c r="L638" s="279"/>
      <c r="T638" s="280" t="s">
        <v>2037</v>
      </c>
      <c r="U638" s="280">
        <v>0.28819444444444448</v>
      </c>
      <c r="V638" s="280">
        <v>0.54861111111111105</v>
      </c>
    </row>
    <row r="639" spans="1:22" s="196" customFormat="1" hidden="1" x14ac:dyDescent="0.25">
      <c r="A639" s="262">
        <v>15112023</v>
      </c>
      <c r="B639" s="196" t="s">
        <v>3194</v>
      </c>
      <c r="C639" s="196" t="s">
        <v>13</v>
      </c>
      <c r="D639" s="194">
        <v>45245</v>
      </c>
      <c r="F639" s="307" t="s">
        <v>285</v>
      </c>
      <c r="H639" s="307" t="s">
        <v>279</v>
      </c>
      <c r="K639" s="315">
        <v>39500</v>
      </c>
      <c r="L639" s="195"/>
      <c r="T639" s="260" t="s">
        <v>3151</v>
      </c>
      <c r="U639" s="260">
        <v>0.59166666666666667</v>
      </c>
      <c r="V639" s="260">
        <v>0.87777777777777777</v>
      </c>
    </row>
    <row r="640" spans="1:22" s="196" customFormat="1" ht="18" hidden="1" customHeight="1" x14ac:dyDescent="0.25">
      <c r="A640" s="262">
        <v>16112023</v>
      </c>
      <c r="B640" s="196" t="s">
        <v>1740</v>
      </c>
      <c r="C640" s="196" t="s">
        <v>410</v>
      </c>
      <c r="D640" s="194">
        <v>45246</v>
      </c>
      <c r="F640" s="307" t="s">
        <v>317</v>
      </c>
      <c r="H640" s="307" t="s">
        <v>279</v>
      </c>
      <c r="K640" s="315">
        <v>47860.800000000003</v>
      </c>
      <c r="L640" s="195"/>
      <c r="T640" s="260" t="s">
        <v>1029</v>
      </c>
      <c r="U640" s="260">
        <v>0.30833333333333335</v>
      </c>
      <c r="V640" s="260">
        <v>0.59930555555555554</v>
      </c>
    </row>
    <row r="641" spans="1:22" s="33" customFormat="1" hidden="1" x14ac:dyDescent="0.25">
      <c r="A641" s="281">
        <v>16112023</v>
      </c>
      <c r="B641" s="33" t="s">
        <v>1076</v>
      </c>
      <c r="C641" s="33" t="s">
        <v>13</v>
      </c>
      <c r="D641" s="278">
        <v>45246</v>
      </c>
      <c r="F641" s="306" t="s">
        <v>294</v>
      </c>
      <c r="H641" s="306" t="s">
        <v>279</v>
      </c>
      <c r="K641" s="312">
        <v>33182</v>
      </c>
      <c r="L641" s="279"/>
      <c r="T641" s="280" t="s">
        <v>2037</v>
      </c>
      <c r="U641" s="280">
        <v>0.53333333333333333</v>
      </c>
      <c r="V641" s="280">
        <v>0.73888888888888893</v>
      </c>
    </row>
    <row r="642" spans="1:22" s="33" customFormat="1" hidden="1" x14ac:dyDescent="0.25">
      <c r="A642" s="281">
        <v>17112023</v>
      </c>
      <c r="B642" s="33" t="s">
        <v>3163</v>
      </c>
      <c r="C642" s="33" t="s">
        <v>13</v>
      </c>
      <c r="D642" s="278">
        <v>45247</v>
      </c>
      <c r="F642" s="306" t="s">
        <v>143</v>
      </c>
      <c r="H642" s="306" t="s">
        <v>279</v>
      </c>
      <c r="K642" s="312">
        <v>38200</v>
      </c>
      <c r="L642" s="279"/>
      <c r="T642" s="280" t="s">
        <v>916</v>
      </c>
      <c r="U642" s="280">
        <v>0.27499999999999997</v>
      </c>
      <c r="V642" s="280">
        <v>0.50347222222222221</v>
      </c>
    </row>
    <row r="643" spans="1:22" s="196" customFormat="1" hidden="1" x14ac:dyDescent="0.25">
      <c r="A643" s="262">
        <v>17112023</v>
      </c>
      <c r="B643" s="196" t="s">
        <v>1720</v>
      </c>
      <c r="C643" s="196" t="s">
        <v>410</v>
      </c>
      <c r="D643" s="194">
        <v>45247</v>
      </c>
      <c r="F643" s="307" t="s">
        <v>545</v>
      </c>
      <c r="H643" s="307" t="s">
        <v>277</v>
      </c>
      <c r="K643" s="315">
        <v>25016</v>
      </c>
      <c r="L643" s="195"/>
      <c r="T643" s="260" t="s">
        <v>1506</v>
      </c>
      <c r="U643" s="260">
        <v>0.31875000000000003</v>
      </c>
      <c r="V643" s="260">
        <v>0.44305555555555554</v>
      </c>
    </row>
    <row r="644" spans="1:22" s="33" customFormat="1" hidden="1" x14ac:dyDescent="0.25">
      <c r="A644" s="281">
        <v>18112023</v>
      </c>
      <c r="B644" s="33" t="s">
        <v>1303</v>
      </c>
      <c r="C644" s="33" t="s">
        <v>410</v>
      </c>
      <c r="D644" s="278">
        <v>45248</v>
      </c>
      <c r="F644" s="306" t="s">
        <v>3202</v>
      </c>
      <c r="H644" s="306" t="s">
        <v>279</v>
      </c>
      <c r="K644" s="312">
        <v>56145</v>
      </c>
      <c r="L644" s="279"/>
      <c r="T644" s="280" t="s">
        <v>2037</v>
      </c>
      <c r="U644" s="280">
        <v>0.27430555555555552</v>
      </c>
      <c r="V644" s="280">
        <v>0.74097222222222225</v>
      </c>
    </row>
    <row r="645" spans="1:22" s="196" customFormat="1" hidden="1" x14ac:dyDescent="0.25">
      <c r="A645" s="262">
        <v>18112023</v>
      </c>
      <c r="B645" s="196" t="s">
        <v>1720</v>
      </c>
      <c r="C645" s="196" t="s">
        <v>13</v>
      </c>
      <c r="D645" s="194">
        <v>45248</v>
      </c>
      <c r="F645" s="307" t="s">
        <v>545</v>
      </c>
      <c r="H645" s="307" t="s">
        <v>279</v>
      </c>
      <c r="K645" s="315">
        <v>34456</v>
      </c>
      <c r="L645" s="195"/>
      <c r="T645" s="260" t="s">
        <v>1506</v>
      </c>
      <c r="U645" s="260">
        <v>0.58472222222222225</v>
      </c>
      <c r="V645" s="260">
        <v>0.78333333333333333</v>
      </c>
    </row>
    <row r="646" spans="1:22" s="196" customFormat="1" hidden="1" x14ac:dyDescent="0.25">
      <c r="A646" s="262">
        <v>18112023</v>
      </c>
      <c r="B646" s="196" t="s">
        <v>1720</v>
      </c>
      <c r="C646" s="196" t="s">
        <v>809</v>
      </c>
      <c r="D646" s="194">
        <v>45248</v>
      </c>
      <c r="F646" s="307" t="s">
        <v>545</v>
      </c>
      <c r="H646" s="307" t="s">
        <v>277</v>
      </c>
      <c r="K646" s="315">
        <v>25016</v>
      </c>
      <c r="L646" s="195"/>
      <c r="T646" s="260" t="s">
        <v>3205</v>
      </c>
      <c r="U646" s="260">
        <v>0.73541666666666661</v>
      </c>
      <c r="V646" s="260">
        <v>0.42152777777777778</v>
      </c>
    </row>
    <row r="647" spans="1:22" s="33" customFormat="1" hidden="1" x14ac:dyDescent="0.25">
      <c r="A647" s="281">
        <v>20112023</v>
      </c>
      <c r="B647" s="33" t="s">
        <v>3204</v>
      </c>
      <c r="C647" s="33" t="s">
        <v>13</v>
      </c>
      <c r="D647" s="278">
        <v>45250</v>
      </c>
      <c r="F647" s="306" t="s">
        <v>3203</v>
      </c>
      <c r="H647" s="306" t="s">
        <v>279</v>
      </c>
      <c r="K647" s="312">
        <v>55300</v>
      </c>
      <c r="L647" s="279"/>
      <c r="T647" s="280" t="s">
        <v>2050</v>
      </c>
      <c r="U647" s="280">
        <v>0.28750000000000003</v>
      </c>
      <c r="V647" s="280">
        <v>0.59375</v>
      </c>
    </row>
    <row r="648" spans="1:22" s="196" customFormat="1" hidden="1" x14ac:dyDescent="0.25">
      <c r="A648" s="262">
        <v>21112023</v>
      </c>
      <c r="B648" s="196" t="s">
        <v>608</v>
      </c>
      <c r="C648" s="196" t="s">
        <v>13</v>
      </c>
      <c r="D648" s="194">
        <v>45251</v>
      </c>
      <c r="F648" s="307" t="s">
        <v>236</v>
      </c>
      <c r="H648" s="307" t="s">
        <v>279</v>
      </c>
      <c r="K648" s="315">
        <v>59472</v>
      </c>
      <c r="L648" s="195"/>
      <c r="T648" s="260" t="s">
        <v>989</v>
      </c>
      <c r="U648" s="260">
        <v>0.37986111111111115</v>
      </c>
      <c r="V648" s="260">
        <v>0.68819444444444444</v>
      </c>
    </row>
    <row r="649" spans="1:22" s="33" customFormat="1" hidden="1" x14ac:dyDescent="0.25">
      <c r="A649" s="281">
        <v>21112023</v>
      </c>
      <c r="B649" s="33" t="s">
        <v>1076</v>
      </c>
      <c r="C649" s="33" t="s">
        <v>410</v>
      </c>
      <c r="D649" s="278">
        <v>45251</v>
      </c>
      <c r="F649" s="306" t="s">
        <v>293</v>
      </c>
      <c r="H649" s="306" t="s">
        <v>277</v>
      </c>
      <c r="K649" s="312">
        <v>25000</v>
      </c>
      <c r="L649" s="279"/>
      <c r="T649" s="280" t="s">
        <v>2050</v>
      </c>
      <c r="U649" s="280">
        <v>0.44027777777777777</v>
      </c>
      <c r="V649" s="280">
        <v>0.73888888888888893</v>
      </c>
    </row>
    <row r="650" spans="1:22" s="33" customFormat="1" hidden="1" x14ac:dyDescent="0.25">
      <c r="A650" s="281">
        <v>21112023</v>
      </c>
      <c r="B650" s="33" t="s">
        <v>1076</v>
      </c>
      <c r="C650" s="33" t="s">
        <v>410</v>
      </c>
      <c r="D650" s="278">
        <v>45251</v>
      </c>
      <c r="F650" s="306" t="s">
        <v>294</v>
      </c>
      <c r="H650" s="306" t="s">
        <v>277</v>
      </c>
      <c r="K650" s="312">
        <v>24886</v>
      </c>
      <c r="L650" s="279"/>
      <c r="T650" s="280" t="s">
        <v>2050</v>
      </c>
      <c r="U650" s="280">
        <v>0.73263888888888884</v>
      </c>
      <c r="V650" s="280">
        <v>0.78333333333333333</v>
      </c>
    </row>
    <row r="651" spans="1:22" s="196" customFormat="1" hidden="1" x14ac:dyDescent="0.25">
      <c r="A651" s="262">
        <v>21112023</v>
      </c>
      <c r="B651" s="196" t="s">
        <v>608</v>
      </c>
      <c r="C651" s="196" t="s">
        <v>13</v>
      </c>
      <c r="D651" s="194">
        <v>45251</v>
      </c>
      <c r="F651" s="307" t="s">
        <v>236</v>
      </c>
      <c r="H651" s="307" t="s">
        <v>279</v>
      </c>
      <c r="K651" s="315">
        <v>59472</v>
      </c>
      <c r="L651" s="195"/>
      <c r="T651" s="260" t="s">
        <v>3151</v>
      </c>
      <c r="U651" s="260">
        <v>0.73125000000000007</v>
      </c>
      <c r="V651" s="260">
        <v>9.0277777777777787E-3</v>
      </c>
    </row>
    <row r="652" spans="1:22" s="196" customFormat="1" hidden="1" x14ac:dyDescent="0.25">
      <c r="A652" s="262">
        <v>21112023</v>
      </c>
      <c r="B652" s="196" t="s">
        <v>1720</v>
      </c>
      <c r="C652" s="196" t="s">
        <v>809</v>
      </c>
      <c r="D652" s="194">
        <v>45248</v>
      </c>
      <c r="F652" s="307" t="s">
        <v>545</v>
      </c>
      <c r="H652" s="307" t="s">
        <v>277</v>
      </c>
      <c r="K652" s="315">
        <v>25016</v>
      </c>
      <c r="L652" s="195"/>
      <c r="T652" s="260" t="s">
        <v>3206</v>
      </c>
      <c r="U652" s="260">
        <v>0.74652777777777779</v>
      </c>
      <c r="V652" s="260">
        <v>0.80902777777777779</v>
      </c>
    </row>
    <row r="653" spans="1:22" s="196" customFormat="1" hidden="1" x14ac:dyDescent="0.25">
      <c r="A653" s="262">
        <v>22112023</v>
      </c>
      <c r="B653" s="196" t="s">
        <v>565</v>
      </c>
      <c r="C653" s="196" t="s">
        <v>13</v>
      </c>
      <c r="D653" s="194">
        <v>45252</v>
      </c>
      <c r="F653" s="307" t="s">
        <v>545</v>
      </c>
      <c r="H653" s="307" t="s">
        <v>279</v>
      </c>
      <c r="K653" s="315">
        <v>33135</v>
      </c>
      <c r="L653" s="195"/>
      <c r="T653" s="260" t="s">
        <v>922</v>
      </c>
      <c r="U653" s="260">
        <v>0.47916666666666669</v>
      </c>
      <c r="V653" s="260">
        <v>0.65486111111111112</v>
      </c>
    </row>
    <row r="654" spans="1:22" s="196" customFormat="1" hidden="1" x14ac:dyDescent="0.25">
      <c r="A654" s="262">
        <v>22112023</v>
      </c>
      <c r="B654" s="196" t="s">
        <v>608</v>
      </c>
      <c r="C654" s="196" t="s">
        <v>410</v>
      </c>
      <c r="D654" s="194">
        <v>45252</v>
      </c>
      <c r="F654" s="307" t="s">
        <v>236</v>
      </c>
      <c r="H654" s="307" t="s">
        <v>279</v>
      </c>
      <c r="K654" s="315">
        <v>59472</v>
      </c>
      <c r="L654" s="195"/>
      <c r="T654" s="260" t="s">
        <v>989</v>
      </c>
      <c r="U654" s="260">
        <v>0.68402777777777779</v>
      </c>
      <c r="V654" s="260">
        <v>0.97083333333333333</v>
      </c>
    </row>
    <row r="655" spans="1:22" s="196" customFormat="1" hidden="1" x14ac:dyDescent="0.25">
      <c r="A655" s="262">
        <v>23112023</v>
      </c>
      <c r="B655" s="196" t="s">
        <v>607</v>
      </c>
      <c r="C655" s="196" t="s">
        <v>410</v>
      </c>
      <c r="D655" s="194">
        <v>45253</v>
      </c>
      <c r="F655" s="307" t="s">
        <v>207</v>
      </c>
      <c r="H655" s="307" t="s">
        <v>279</v>
      </c>
      <c r="K655" s="315">
        <v>36253.14</v>
      </c>
      <c r="L655" s="195"/>
      <c r="T655" s="260" t="s">
        <v>922</v>
      </c>
      <c r="U655" s="260">
        <v>0.37361111111111112</v>
      </c>
      <c r="V655" s="260">
        <v>0.57638888888888895</v>
      </c>
    </row>
    <row r="656" spans="1:22" s="264" customFormat="1" hidden="1" x14ac:dyDescent="0.25">
      <c r="A656" s="263">
        <v>23112023</v>
      </c>
      <c r="B656" s="264" t="s">
        <v>3220</v>
      </c>
      <c r="C656" s="264" t="s">
        <v>809</v>
      </c>
      <c r="D656" s="265">
        <v>45253</v>
      </c>
      <c r="F656" s="309" t="s">
        <v>3221</v>
      </c>
      <c r="H656" s="309" t="s">
        <v>277</v>
      </c>
      <c r="K656" s="318">
        <v>21680</v>
      </c>
      <c r="L656" s="266"/>
      <c r="T656" s="267" t="s">
        <v>3206</v>
      </c>
      <c r="U656" s="267">
        <v>0.7090277777777777</v>
      </c>
      <c r="V656" s="267">
        <v>0.7895833333333333</v>
      </c>
    </row>
    <row r="657" spans="1:22" s="196" customFormat="1" hidden="1" x14ac:dyDescent="0.25">
      <c r="A657" s="262">
        <v>23112023</v>
      </c>
      <c r="B657" s="196" t="s">
        <v>1720</v>
      </c>
      <c r="C657" s="196" t="s">
        <v>13</v>
      </c>
      <c r="D657" s="194">
        <v>45253</v>
      </c>
      <c r="F657" s="307" t="s">
        <v>545</v>
      </c>
      <c r="H657" s="307" t="s">
        <v>277</v>
      </c>
      <c r="K657" s="315">
        <v>25016</v>
      </c>
      <c r="L657" s="195"/>
      <c r="T657" s="260" t="s">
        <v>989</v>
      </c>
      <c r="U657" s="260">
        <v>0.8208333333333333</v>
      </c>
      <c r="V657" s="260">
        <v>0.93888888888888899</v>
      </c>
    </row>
    <row r="658" spans="1:22" s="264" customFormat="1" hidden="1" x14ac:dyDescent="0.25">
      <c r="A658" s="263">
        <v>24112023</v>
      </c>
      <c r="B658" s="264" t="s">
        <v>3220</v>
      </c>
      <c r="C658" s="264" t="s">
        <v>13</v>
      </c>
      <c r="D658" s="265">
        <v>45254</v>
      </c>
      <c r="F658" s="309" t="s">
        <v>236</v>
      </c>
      <c r="H658" s="309" t="s">
        <v>279</v>
      </c>
      <c r="K658" s="318">
        <v>52000</v>
      </c>
      <c r="L658" s="266"/>
      <c r="T658" s="267" t="s">
        <v>922</v>
      </c>
      <c r="U658" s="267">
        <v>0.29097222222222224</v>
      </c>
      <c r="V658" s="267">
        <v>0.59027777777777779</v>
      </c>
    </row>
    <row r="659" spans="1:22" s="431" customFormat="1" hidden="1" x14ac:dyDescent="0.25">
      <c r="A659" s="523">
        <v>24112023</v>
      </c>
      <c r="B659" s="431" t="s">
        <v>3235</v>
      </c>
      <c r="C659" s="431" t="s">
        <v>13</v>
      </c>
      <c r="D659" s="524">
        <v>45254</v>
      </c>
      <c r="F659" s="492" t="s">
        <v>285</v>
      </c>
      <c r="H659" s="492" t="s">
        <v>279</v>
      </c>
      <c r="K659" s="525">
        <v>45450</v>
      </c>
      <c r="L659" s="526"/>
      <c r="T659" s="527" t="s">
        <v>3151</v>
      </c>
      <c r="U659" s="527">
        <v>0.68055555555555547</v>
      </c>
      <c r="V659" s="527">
        <v>0.93402777777777779</v>
      </c>
    </row>
    <row r="660" spans="1:22" s="196" customFormat="1" hidden="1" x14ac:dyDescent="0.25">
      <c r="A660" s="262">
        <v>25112023</v>
      </c>
      <c r="B660" s="196" t="s">
        <v>2422</v>
      </c>
      <c r="C660" s="196" t="s">
        <v>13</v>
      </c>
      <c r="D660" s="194">
        <v>45255</v>
      </c>
      <c r="F660" s="307" t="s">
        <v>68</v>
      </c>
      <c r="H660" s="307" t="s">
        <v>279</v>
      </c>
      <c r="K660" s="315">
        <v>42399</v>
      </c>
      <c r="L660" s="195"/>
      <c r="T660" s="260" t="s">
        <v>989</v>
      </c>
      <c r="U660" s="260">
        <v>0.4069444444444445</v>
      </c>
      <c r="V660" s="260">
        <v>0.72013888888888899</v>
      </c>
    </row>
    <row r="661" spans="1:22" s="196" customFormat="1" hidden="1" x14ac:dyDescent="0.25">
      <c r="A661" s="262">
        <v>26112023</v>
      </c>
      <c r="B661" s="196" t="s">
        <v>610</v>
      </c>
      <c r="C661" s="196" t="s">
        <v>13</v>
      </c>
      <c r="D661" s="194">
        <v>45256</v>
      </c>
      <c r="F661" s="307" t="s">
        <v>106</v>
      </c>
      <c r="H661" s="307" t="s">
        <v>279</v>
      </c>
      <c r="K661" s="315">
        <v>29770</v>
      </c>
      <c r="L661" s="195"/>
      <c r="T661" s="260" t="s">
        <v>922</v>
      </c>
      <c r="U661" s="260">
        <v>0.2673611111111111</v>
      </c>
      <c r="V661" s="260">
        <v>0.47986111111111113</v>
      </c>
    </row>
    <row r="662" spans="1:22" s="196" customFormat="1" hidden="1" x14ac:dyDescent="0.25">
      <c r="A662" s="262">
        <v>26112023</v>
      </c>
      <c r="B662" s="196" t="s">
        <v>3307</v>
      </c>
      <c r="C662" s="196" t="s">
        <v>410</v>
      </c>
      <c r="D662" s="194">
        <v>45256</v>
      </c>
      <c r="F662" s="307" t="s">
        <v>545</v>
      </c>
      <c r="H662" s="307" t="s">
        <v>279</v>
      </c>
      <c r="K662" s="315"/>
      <c r="L662" s="195">
        <v>8496</v>
      </c>
      <c r="T662" s="260" t="s">
        <v>3151</v>
      </c>
      <c r="U662" s="260">
        <v>0.53541666666666665</v>
      </c>
      <c r="V662" s="260">
        <v>0.72499999999999998</v>
      </c>
    </row>
    <row r="663" spans="1:22" s="33" customFormat="1" hidden="1" x14ac:dyDescent="0.25">
      <c r="A663" s="281">
        <v>27112023</v>
      </c>
      <c r="B663" s="33" t="s">
        <v>3236</v>
      </c>
      <c r="C663" s="33" t="s">
        <v>13</v>
      </c>
      <c r="D663" s="278">
        <v>45257</v>
      </c>
      <c r="F663" s="306" t="s">
        <v>68</v>
      </c>
      <c r="H663" s="306" t="s">
        <v>279</v>
      </c>
      <c r="K663" s="312">
        <v>44840</v>
      </c>
      <c r="L663" s="279"/>
      <c r="T663" s="280" t="s">
        <v>989</v>
      </c>
      <c r="U663" s="280">
        <v>0.49236111111111108</v>
      </c>
      <c r="V663" s="280">
        <v>0.76250000000000007</v>
      </c>
    </row>
    <row r="664" spans="1:22" s="196" customFormat="1" hidden="1" x14ac:dyDescent="0.25">
      <c r="A664" s="262">
        <v>27112023</v>
      </c>
      <c r="B664" s="196" t="s">
        <v>608</v>
      </c>
      <c r="C664" s="196" t="s">
        <v>410</v>
      </c>
      <c r="D664" s="194">
        <v>45257</v>
      </c>
      <c r="F664" s="307" t="s">
        <v>236</v>
      </c>
      <c r="H664" s="307" t="s">
        <v>279</v>
      </c>
      <c r="K664" s="315">
        <v>59472</v>
      </c>
      <c r="L664" s="195"/>
      <c r="T664" s="260" t="s">
        <v>922</v>
      </c>
      <c r="U664" s="260">
        <v>0.65069444444444446</v>
      </c>
      <c r="V664" s="260">
        <v>0.93958333333333333</v>
      </c>
    </row>
    <row r="665" spans="1:22" s="196" customFormat="1" hidden="1" x14ac:dyDescent="0.25">
      <c r="A665" s="262">
        <v>27112023</v>
      </c>
      <c r="B665" s="196" t="s">
        <v>608</v>
      </c>
      <c r="C665" s="196" t="s">
        <v>13</v>
      </c>
      <c r="D665" s="194">
        <v>45257</v>
      </c>
      <c r="F665" s="307" t="s">
        <v>236</v>
      </c>
      <c r="H665" s="307" t="s">
        <v>279</v>
      </c>
      <c r="K665" s="315">
        <v>59472</v>
      </c>
      <c r="L665" s="195"/>
      <c r="T665" s="260" t="s">
        <v>3151</v>
      </c>
      <c r="U665" s="260">
        <v>0.84027777777777779</v>
      </c>
      <c r="V665" s="260">
        <v>0.10625</v>
      </c>
    </row>
    <row r="666" spans="1:22" s="418" customFormat="1" ht="14.1" hidden="1" customHeight="1" x14ac:dyDescent="0.25">
      <c r="A666" s="417">
        <v>29112023</v>
      </c>
      <c r="B666" s="418" t="s">
        <v>3238</v>
      </c>
      <c r="C666" s="418" t="s">
        <v>13</v>
      </c>
      <c r="D666" s="419">
        <v>45259</v>
      </c>
      <c r="F666" s="420" t="s">
        <v>877</v>
      </c>
      <c r="H666" s="420" t="s">
        <v>279</v>
      </c>
      <c r="K666" s="421"/>
      <c r="L666" s="421">
        <v>7080</v>
      </c>
      <c r="T666" s="423" t="s">
        <v>989</v>
      </c>
      <c r="U666" s="423">
        <v>0.33888888888888885</v>
      </c>
      <c r="V666" s="423">
        <v>0.50694444444444442</v>
      </c>
    </row>
    <row r="667" spans="1:22" s="33" customFormat="1" ht="14.1" hidden="1" customHeight="1" x14ac:dyDescent="0.25">
      <c r="A667" s="281">
        <v>29112023</v>
      </c>
      <c r="B667" s="33" t="s">
        <v>930</v>
      </c>
      <c r="C667" s="33" t="s">
        <v>410</v>
      </c>
      <c r="D667" s="278">
        <v>45259</v>
      </c>
      <c r="F667" s="306" t="s">
        <v>294</v>
      </c>
      <c r="H667" s="306" t="s">
        <v>277</v>
      </c>
      <c r="K667" s="312">
        <v>24886</v>
      </c>
      <c r="L667" s="279"/>
      <c r="T667" s="280" t="s">
        <v>989</v>
      </c>
      <c r="U667" s="280">
        <v>0.52361111111111114</v>
      </c>
      <c r="V667" s="280">
        <v>0.67986111111111114</v>
      </c>
    </row>
    <row r="668" spans="1:22" s="120" customFormat="1" hidden="1" x14ac:dyDescent="0.25">
      <c r="A668" s="337">
        <v>30112023</v>
      </c>
      <c r="B668" s="120" t="s">
        <v>930</v>
      </c>
      <c r="C668" s="120" t="s">
        <v>13</v>
      </c>
      <c r="D668" s="333">
        <v>45260</v>
      </c>
      <c r="F668" s="334" t="s">
        <v>294</v>
      </c>
      <c r="H668" s="334" t="s">
        <v>279</v>
      </c>
      <c r="K668" s="335">
        <v>33182</v>
      </c>
      <c r="L668" s="150"/>
      <c r="T668" s="336" t="s">
        <v>922</v>
      </c>
      <c r="U668" s="336">
        <v>0.30833333333333335</v>
      </c>
      <c r="V668" s="336">
        <v>0.5180555555555556</v>
      </c>
    </row>
    <row r="669" spans="1:22" s="33" customFormat="1" hidden="1" x14ac:dyDescent="0.25">
      <c r="A669" s="281">
        <v>30112023</v>
      </c>
      <c r="B669" s="33" t="s">
        <v>3244</v>
      </c>
      <c r="C669" s="33" t="s">
        <v>410</v>
      </c>
      <c r="D669" s="278">
        <v>45260</v>
      </c>
      <c r="F669" s="306" t="s">
        <v>106</v>
      </c>
      <c r="H669" s="306" t="s">
        <v>279</v>
      </c>
      <c r="K669" s="312">
        <v>25000</v>
      </c>
      <c r="L669" s="279"/>
      <c r="T669" s="280" t="s">
        <v>3151</v>
      </c>
      <c r="U669" s="280">
        <v>0.52083333333333337</v>
      </c>
      <c r="V669" s="280">
        <v>0.70416666666666661</v>
      </c>
    </row>
    <row r="670" spans="1:22" hidden="1" x14ac:dyDescent="0.25">
      <c r="A670" s="256"/>
      <c r="D670" s="122"/>
      <c r="K670" s="313"/>
      <c r="L670" s="88"/>
      <c r="T670" s="14"/>
      <c r="U670" s="14"/>
      <c r="V670" s="14"/>
    </row>
    <row r="671" spans="1:22" hidden="1" x14ac:dyDescent="0.25">
      <c r="A671" s="256"/>
      <c r="D671" s="122"/>
      <c r="K671" s="313"/>
      <c r="L671" s="88"/>
      <c r="T671" s="14"/>
      <c r="U671" s="14"/>
      <c r="V671" s="14"/>
    </row>
    <row r="672" spans="1:22" hidden="1" x14ac:dyDescent="0.25">
      <c r="A672" s="256"/>
      <c r="D672" s="122"/>
      <c r="K672" s="313"/>
      <c r="L672" s="88"/>
      <c r="T672" s="14"/>
      <c r="U672" s="14"/>
      <c r="V672" s="14"/>
    </row>
    <row r="673" spans="1:22" hidden="1" x14ac:dyDescent="0.25">
      <c r="A673" s="256"/>
      <c r="D673" s="122"/>
      <c r="K673" s="313">
        <f>SUM(K620:K672)</f>
        <v>1802295.0799999998</v>
      </c>
      <c r="L673" s="313">
        <f>SUM(L620:L672)</f>
        <v>30917</v>
      </c>
      <c r="T673" s="14"/>
      <c r="U673" s="14"/>
      <c r="V673" s="14"/>
    </row>
    <row r="674" spans="1:22" hidden="1" x14ac:dyDescent="0.25">
      <c r="A674" s="256"/>
      <c r="D674" s="122"/>
      <c r="J674" s="149"/>
      <c r="K674" s="313"/>
      <c r="L674" s="313"/>
      <c r="T674" s="14"/>
      <c r="U674" s="14"/>
      <c r="V674" s="14"/>
    </row>
    <row r="675" spans="1:22" hidden="1" x14ac:dyDescent="0.25">
      <c r="A675" s="256"/>
      <c r="D675" s="122"/>
      <c r="K675" s="313"/>
      <c r="L675" s="313"/>
      <c r="T675" s="14"/>
      <c r="U675" s="14"/>
      <c r="V675" s="14"/>
    </row>
    <row r="676" spans="1:22" hidden="1" x14ac:dyDescent="0.25">
      <c r="A676" s="256"/>
      <c r="D676" s="122"/>
      <c r="K676" s="313"/>
      <c r="L676" s="88"/>
      <c r="T676" s="14"/>
      <c r="U676" s="14"/>
      <c r="V676" s="14"/>
    </row>
    <row r="677" spans="1:22" s="196" customFormat="1" hidden="1" x14ac:dyDescent="0.25">
      <c r="A677" s="433" t="s">
        <v>3259</v>
      </c>
      <c r="B677" s="196" t="s">
        <v>3260</v>
      </c>
      <c r="C677" s="196" t="s">
        <v>13</v>
      </c>
      <c r="D677" s="194">
        <v>45261</v>
      </c>
      <c r="F677" s="307" t="s">
        <v>1931</v>
      </c>
      <c r="H677" s="307" t="s">
        <v>279</v>
      </c>
      <c r="K677" s="315">
        <v>58466</v>
      </c>
      <c r="L677" s="195"/>
      <c r="T677" s="260" t="s">
        <v>989</v>
      </c>
      <c r="U677" s="260">
        <v>0.43333333333333335</v>
      </c>
      <c r="V677" s="260">
        <v>0.7416666666666667</v>
      </c>
    </row>
    <row r="678" spans="1:22" s="196" customFormat="1" hidden="1" x14ac:dyDescent="0.25">
      <c r="A678" s="433" t="s">
        <v>3259</v>
      </c>
      <c r="B678" s="196" t="s">
        <v>3261</v>
      </c>
      <c r="C678" s="196" t="s">
        <v>410</v>
      </c>
      <c r="D678" s="194">
        <v>45261</v>
      </c>
      <c r="F678" s="307" t="s">
        <v>425</v>
      </c>
      <c r="H678" s="307" t="s">
        <v>279</v>
      </c>
      <c r="K678" s="315"/>
      <c r="L678" s="195">
        <v>8024</v>
      </c>
      <c r="T678" s="260" t="s">
        <v>922</v>
      </c>
      <c r="U678" s="260">
        <v>0.4680555555555555</v>
      </c>
      <c r="V678" s="260">
        <v>0.63402777777777775</v>
      </c>
    </row>
    <row r="679" spans="1:22" s="196" customFormat="1" hidden="1" x14ac:dyDescent="0.25">
      <c r="A679" s="433" t="s">
        <v>3259</v>
      </c>
      <c r="B679" s="196" t="s">
        <v>118</v>
      </c>
      <c r="C679" s="196" t="s">
        <v>410</v>
      </c>
      <c r="D679" s="194">
        <v>45261</v>
      </c>
      <c r="F679" s="307" t="s">
        <v>143</v>
      </c>
      <c r="H679" s="307" t="s">
        <v>279</v>
      </c>
      <c r="K679" s="315">
        <v>36300</v>
      </c>
      <c r="L679" s="195"/>
      <c r="T679" s="260" t="s">
        <v>922</v>
      </c>
      <c r="U679" s="260">
        <v>0.69166666666666676</v>
      </c>
      <c r="V679" s="260">
        <v>0.87430555555555556</v>
      </c>
    </row>
    <row r="680" spans="1:22" s="196" customFormat="1" hidden="1" x14ac:dyDescent="0.25">
      <c r="A680" s="433" t="s">
        <v>3259</v>
      </c>
      <c r="B680" s="196" t="s">
        <v>1720</v>
      </c>
      <c r="C680" s="196" t="s">
        <v>13</v>
      </c>
      <c r="D680" s="194">
        <v>45261</v>
      </c>
      <c r="F680" s="307" t="s">
        <v>545</v>
      </c>
      <c r="H680" s="307" t="s">
        <v>277</v>
      </c>
      <c r="K680" s="315">
        <v>25016</v>
      </c>
      <c r="L680" s="195"/>
      <c r="T680" s="260" t="s">
        <v>989</v>
      </c>
      <c r="U680" s="260">
        <v>0.77916666666666667</v>
      </c>
      <c r="V680" s="260">
        <v>0.90625</v>
      </c>
    </row>
    <row r="681" spans="1:22" s="196" customFormat="1" hidden="1" x14ac:dyDescent="0.25">
      <c r="A681" s="433" t="s">
        <v>3263</v>
      </c>
      <c r="B681" s="196" t="s">
        <v>3261</v>
      </c>
      <c r="C681" s="196" t="s">
        <v>13</v>
      </c>
      <c r="D681" s="194">
        <v>45262</v>
      </c>
      <c r="F681" s="307" t="s">
        <v>425</v>
      </c>
      <c r="H681" s="307" t="s">
        <v>279</v>
      </c>
      <c r="K681" s="315"/>
      <c r="L681" s="195">
        <v>8024</v>
      </c>
      <c r="T681" s="260" t="s">
        <v>3151</v>
      </c>
      <c r="U681" s="260">
        <v>0.27430555555555552</v>
      </c>
      <c r="V681" s="260">
        <v>0.49583333333333335</v>
      </c>
    </row>
    <row r="682" spans="1:22" s="196" customFormat="1" hidden="1" x14ac:dyDescent="0.25">
      <c r="A682" s="433" t="s">
        <v>3263</v>
      </c>
      <c r="B682" s="196" t="s">
        <v>930</v>
      </c>
      <c r="C682" s="196" t="s">
        <v>410</v>
      </c>
      <c r="D682" s="194">
        <v>45262</v>
      </c>
      <c r="F682" s="307" t="s">
        <v>294</v>
      </c>
      <c r="H682" s="307" t="s">
        <v>277</v>
      </c>
      <c r="K682" s="315">
        <v>24886</v>
      </c>
      <c r="L682" s="195"/>
      <c r="T682" s="260" t="s">
        <v>922</v>
      </c>
      <c r="U682" s="260">
        <v>0.32708333333333334</v>
      </c>
      <c r="V682" s="260">
        <v>0.49861111111111112</v>
      </c>
    </row>
    <row r="683" spans="1:22" s="393" customFormat="1" hidden="1" x14ac:dyDescent="0.25">
      <c r="A683" s="559" t="s">
        <v>3263</v>
      </c>
      <c r="B683" s="393" t="s">
        <v>3343</v>
      </c>
      <c r="C683" s="393" t="s">
        <v>410</v>
      </c>
      <c r="D683" s="394">
        <v>45262</v>
      </c>
      <c r="F683" s="174" t="s">
        <v>2561</v>
      </c>
      <c r="H683" s="174" t="s">
        <v>279</v>
      </c>
      <c r="K683" s="395">
        <v>27000</v>
      </c>
      <c r="L683" s="396"/>
      <c r="T683" s="397" t="s">
        <v>922</v>
      </c>
      <c r="U683" s="397">
        <v>0.59097222222222223</v>
      </c>
      <c r="V683" s="397">
        <v>0.7583333333333333</v>
      </c>
    </row>
    <row r="684" spans="1:22" s="393" customFormat="1" hidden="1" x14ac:dyDescent="0.25">
      <c r="A684" s="559" t="s">
        <v>3263</v>
      </c>
      <c r="B684" s="393" t="s">
        <v>3343</v>
      </c>
      <c r="C684" s="393" t="s">
        <v>13</v>
      </c>
      <c r="D684" s="394">
        <v>45262</v>
      </c>
      <c r="F684" s="174" t="s">
        <v>2561</v>
      </c>
      <c r="H684" s="174" t="s">
        <v>279</v>
      </c>
      <c r="K684" s="395">
        <v>27000</v>
      </c>
      <c r="L684" s="396"/>
      <c r="T684" s="397" t="s">
        <v>3151</v>
      </c>
      <c r="U684" s="397">
        <v>0.5854166666666667</v>
      </c>
      <c r="V684" s="397">
        <v>0.74652777777777779</v>
      </c>
    </row>
    <row r="685" spans="1:22" s="16" customFormat="1" hidden="1" x14ac:dyDescent="0.25">
      <c r="A685" s="477" t="s">
        <v>3273</v>
      </c>
      <c r="B685" s="16" t="s">
        <v>596</v>
      </c>
      <c r="C685" s="16" t="s">
        <v>13</v>
      </c>
      <c r="D685" s="370">
        <v>45265</v>
      </c>
      <c r="F685" s="355" t="s">
        <v>236</v>
      </c>
      <c r="H685" s="355" t="s">
        <v>279</v>
      </c>
      <c r="K685" s="356"/>
      <c r="L685" s="254"/>
      <c r="T685" s="367" t="s">
        <v>989</v>
      </c>
      <c r="U685" s="367">
        <v>0.84166666666666667</v>
      </c>
      <c r="V685" s="367"/>
    </row>
    <row r="686" spans="1:22" s="196" customFormat="1" hidden="1" x14ac:dyDescent="0.25">
      <c r="A686" s="433" t="s">
        <v>3275</v>
      </c>
      <c r="B686" s="196" t="s">
        <v>3274</v>
      </c>
      <c r="C686" s="196" t="s">
        <v>13</v>
      </c>
      <c r="D686" s="194">
        <v>45266</v>
      </c>
      <c r="F686" s="307" t="s">
        <v>2008</v>
      </c>
      <c r="H686" s="307" t="s">
        <v>279</v>
      </c>
      <c r="K686" s="315">
        <v>49350</v>
      </c>
      <c r="L686" s="195"/>
      <c r="T686" s="260" t="s">
        <v>3151</v>
      </c>
      <c r="U686" s="260">
        <v>0.27569444444444446</v>
      </c>
      <c r="V686" s="260">
        <v>0.55138888888888882</v>
      </c>
    </row>
    <row r="687" spans="1:22" s="399" customFormat="1" hidden="1" x14ac:dyDescent="0.25">
      <c r="A687" s="625" t="s">
        <v>3275</v>
      </c>
      <c r="B687" s="399" t="s">
        <v>3276</v>
      </c>
      <c r="C687" s="399" t="s">
        <v>410</v>
      </c>
      <c r="D687" s="532">
        <v>45266</v>
      </c>
      <c r="F687" s="552" t="s">
        <v>872</v>
      </c>
      <c r="H687" s="552" t="s">
        <v>279</v>
      </c>
      <c r="K687" s="553">
        <v>39600</v>
      </c>
      <c r="L687" s="608">
        <f>+L575-L544</f>
        <v>0</v>
      </c>
      <c r="T687" s="554" t="s">
        <v>1042</v>
      </c>
      <c r="U687" s="554">
        <v>0.3125</v>
      </c>
      <c r="V687" s="554">
        <v>0.48541666666666666</v>
      </c>
    </row>
    <row r="688" spans="1:22" s="196" customFormat="1" hidden="1" x14ac:dyDescent="0.25">
      <c r="A688" s="433" t="s">
        <v>3275</v>
      </c>
      <c r="B688" s="196" t="s">
        <v>608</v>
      </c>
      <c r="C688" s="196" t="s">
        <v>410</v>
      </c>
      <c r="D688" s="194">
        <v>45266</v>
      </c>
      <c r="F688" s="307" t="s">
        <v>236</v>
      </c>
      <c r="H688" s="307" t="s">
        <v>279</v>
      </c>
      <c r="K688" s="315">
        <v>59472</v>
      </c>
      <c r="L688" s="195"/>
      <c r="T688" s="260" t="s">
        <v>1029</v>
      </c>
      <c r="U688" s="260">
        <v>0.54791666666666672</v>
      </c>
      <c r="V688" s="260">
        <v>0.84444444444444444</v>
      </c>
    </row>
    <row r="689" spans="1:23" s="196" customFormat="1" hidden="1" x14ac:dyDescent="0.25">
      <c r="A689" s="433" t="s">
        <v>3275</v>
      </c>
      <c r="B689" s="196" t="s">
        <v>1720</v>
      </c>
      <c r="C689" s="196" t="s">
        <v>3294</v>
      </c>
      <c r="D689" s="194">
        <v>45266</v>
      </c>
      <c r="F689" s="307" t="s">
        <v>545</v>
      </c>
      <c r="H689" s="307" t="s">
        <v>277</v>
      </c>
      <c r="K689" s="315">
        <v>25016</v>
      </c>
      <c r="L689" s="195"/>
      <c r="T689" s="260" t="s">
        <v>2148</v>
      </c>
      <c r="U689" s="260">
        <v>0.77847222222222223</v>
      </c>
      <c r="V689" s="260">
        <v>0.84236111111111101</v>
      </c>
    </row>
    <row r="690" spans="1:23" s="196" customFormat="1" hidden="1" x14ac:dyDescent="0.25">
      <c r="A690" s="433" t="s">
        <v>3295</v>
      </c>
      <c r="B690" s="196" t="s">
        <v>1720</v>
      </c>
      <c r="C690" s="196" t="s">
        <v>278</v>
      </c>
      <c r="D690" s="194">
        <v>45267</v>
      </c>
      <c r="F690" s="307" t="s">
        <v>545</v>
      </c>
      <c r="H690" s="307" t="s">
        <v>277</v>
      </c>
      <c r="K690" s="315">
        <v>25016</v>
      </c>
      <c r="L690" s="195"/>
      <c r="T690" s="260" t="s">
        <v>3151</v>
      </c>
      <c r="U690" s="260">
        <v>0.78541666666666676</v>
      </c>
      <c r="V690" s="260">
        <v>0.91388888888888886</v>
      </c>
    </row>
    <row r="691" spans="1:23" s="196" customFormat="1" hidden="1" x14ac:dyDescent="0.25">
      <c r="A691" s="433" t="s">
        <v>3303</v>
      </c>
      <c r="B691" s="196" t="s">
        <v>608</v>
      </c>
      <c r="C691" s="196" t="s">
        <v>278</v>
      </c>
      <c r="D691" s="194">
        <v>45269</v>
      </c>
      <c r="F691" s="307" t="s">
        <v>236</v>
      </c>
      <c r="H691" s="307" t="s">
        <v>279</v>
      </c>
      <c r="K691" s="315">
        <v>59472</v>
      </c>
      <c r="L691" s="195"/>
      <c r="T691" s="260" t="s">
        <v>1644</v>
      </c>
      <c r="U691" s="260">
        <v>0.54305555555555551</v>
      </c>
      <c r="V691" s="260">
        <v>0.82847222222222217</v>
      </c>
    </row>
    <row r="692" spans="1:23" s="418" customFormat="1" hidden="1" x14ac:dyDescent="0.25">
      <c r="A692" s="417">
        <v>10122023</v>
      </c>
      <c r="B692" s="418" t="s">
        <v>1155</v>
      </c>
      <c r="C692" s="418" t="s">
        <v>278</v>
      </c>
      <c r="D692" s="419">
        <v>45270</v>
      </c>
      <c r="F692" s="420" t="s">
        <v>317</v>
      </c>
      <c r="H692" s="420" t="s">
        <v>279</v>
      </c>
      <c r="K692" s="421">
        <v>47860</v>
      </c>
      <c r="L692" s="422"/>
      <c r="T692" s="423" t="s">
        <v>989</v>
      </c>
      <c r="U692" s="423">
        <v>0.31666666666666665</v>
      </c>
      <c r="V692" s="423">
        <v>0.58402777777777781</v>
      </c>
    </row>
    <row r="693" spans="1:23" s="196" customFormat="1" hidden="1" x14ac:dyDescent="0.25">
      <c r="A693" s="262">
        <v>10122023</v>
      </c>
      <c r="B693" s="196" t="s">
        <v>3298</v>
      </c>
      <c r="C693" s="196" t="s">
        <v>410</v>
      </c>
      <c r="D693" s="194">
        <v>45270</v>
      </c>
      <c r="F693" s="307" t="s">
        <v>68</v>
      </c>
      <c r="H693" s="307" t="s">
        <v>277</v>
      </c>
      <c r="K693" s="315">
        <v>42399</v>
      </c>
      <c r="L693" s="195"/>
      <c r="T693" s="260" t="s">
        <v>3151</v>
      </c>
      <c r="U693" s="260">
        <v>0.4291666666666667</v>
      </c>
      <c r="V693" s="260">
        <v>0.69305555555555554</v>
      </c>
    </row>
    <row r="694" spans="1:23" s="196" customFormat="1" hidden="1" x14ac:dyDescent="0.25">
      <c r="A694" s="262">
        <v>11122023</v>
      </c>
      <c r="B694" s="196" t="s">
        <v>607</v>
      </c>
      <c r="C694" s="196" t="s">
        <v>278</v>
      </c>
      <c r="D694" s="194">
        <v>45271</v>
      </c>
      <c r="F694" s="307" t="s">
        <v>207</v>
      </c>
      <c r="H694" s="307" t="s">
        <v>279</v>
      </c>
      <c r="K694" s="315">
        <v>36253.14</v>
      </c>
      <c r="L694" s="195"/>
      <c r="T694" s="260" t="s">
        <v>1506</v>
      </c>
      <c r="U694" s="260">
        <v>0.54583333333333328</v>
      </c>
      <c r="V694" s="260">
        <v>0.80625000000000002</v>
      </c>
    </row>
    <row r="695" spans="1:23" s="196" customFormat="1" hidden="1" x14ac:dyDescent="0.25">
      <c r="A695" s="262">
        <v>12122023</v>
      </c>
      <c r="B695" s="196" t="s">
        <v>1720</v>
      </c>
      <c r="C695" s="196" t="s">
        <v>410</v>
      </c>
      <c r="D695" s="194">
        <v>45272</v>
      </c>
      <c r="F695" s="307" t="s">
        <v>545</v>
      </c>
      <c r="H695" s="307" t="s">
        <v>277</v>
      </c>
      <c r="K695" s="315">
        <v>25016</v>
      </c>
      <c r="L695" s="195"/>
      <c r="T695" s="260" t="s">
        <v>3151</v>
      </c>
      <c r="U695" s="260">
        <v>0.71805555555555556</v>
      </c>
      <c r="V695" s="260">
        <v>0.84375</v>
      </c>
    </row>
    <row r="696" spans="1:23" s="196" customFormat="1" hidden="1" x14ac:dyDescent="0.25">
      <c r="A696" s="433" t="s">
        <v>3310</v>
      </c>
      <c r="B696" s="196" t="s">
        <v>2227</v>
      </c>
      <c r="C696" s="196" t="s">
        <v>410</v>
      </c>
      <c r="D696" s="194">
        <v>45273</v>
      </c>
      <c r="F696" s="307" t="s">
        <v>106</v>
      </c>
      <c r="H696" s="307" t="s">
        <v>279</v>
      </c>
      <c r="K696" s="315">
        <v>26567</v>
      </c>
      <c r="L696" s="195"/>
      <c r="T696" s="260" t="s">
        <v>1506</v>
      </c>
      <c r="U696" s="260">
        <v>0.62152777777777779</v>
      </c>
      <c r="V696" s="260">
        <v>0.6958333333333333</v>
      </c>
    </row>
    <row r="697" spans="1:23" s="196" customFormat="1" hidden="1" x14ac:dyDescent="0.25">
      <c r="A697" s="433" t="s">
        <v>3310</v>
      </c>
      <c r="B697" s="196" t="s">
        <v>2227</v>
      </c>
      <c r="C697" s="196" t="s">
        <v>278</v>
      </c>
      <c r="D697" s="194">
        <v>45273</v>
      </c>
      <c r="F697" s="307" t="s">
        <v>106</v>
      </c>
      <c r="H697" s="307" t="s">
        <v>279</v>
      </c>
      <c r="K697" s="315">
        <v>26567</v>
      </c>
      <c r="L697" s="195"/>
      <c r="T697" s="260" t="s">
        <v>1042</v>
      </c>
      <c r="U697" s="260">
        <v>0.63958333333333328</v>
      </c>
      <c r="V697" s="260">
        <v>0.69166666666666676</v>
      </c>
    </row>
    <row r="698" spans="1:23" s="196" customFormat="1" hidden="1" x14ac:dyDescent="0.25">
      <c r="A698" s="433" t="s">
        <v>3310</v>
      </c>
      <c r="B698" s="196" t="s">
        <v>1856</v>
      </c>
      <c r="C698" s="196" t="s">
        <v>278</v>
      </c>
      <c r="D698" s="194">
        <v>45273</v>
      </c>
      <c r="F698" s="307" t="s">
        <v>545</v>
      </c>
      <c r="H698" s="307" t="s">
        <v>279</v>
      </c>
      <c r="K698" s="315">
        <v>34456</v>
      </c>
      <c r="L698" s="195"/>
      <c r="T698" s="260" t="s">
        <v>1042</v>
      </c>
      <c r="U698" s="260">
        <v>0.89861111111111114</v>
      </c>
      <c r="V698" s="260">
        <v>0.10277777777777779</v>
      </c>
    </row>
    <row r="699" spans="1:23" s="196" customFormat="1" hidden="1" x14ac:dyDescent="0.25">
      <c r="A699" s="433" t="s">
        <v>3328</v>
      </c>
      <c r="B699" s="196" t="s">
        <v>3324</v>
      </c>
      <c r="C699" s="196" t="s">
        <v>278</v>
      </c>
      <c r="D699" s="194">
        <v>45275</v>
      </c>
      <c r="F699" s="307" t="s">
        <v>317</v>
      </c>
      <c r="H699" s="307" t="s">
        <v>279</v>
      </c>
      <c r="K699" s="315">
        <v>47860.800000000003</v>
      </c>
      <c r="L699" s="195"/>
      <c r="T699" s="260" t="s">
        <v>922</v>
      </c>
      <c r="U699" s="260">
        <v>0.39027777777777778</v>
      </c>
      <c r="V699" s="260">
        <v>0.76874999999999993</v>
      </c>
    </row>
    <row r="700" spans="1:23" s="196" customFormat="1" hidden="1" x14ac:dyDescent="0.25">
      <c r="A700" s="433" t="s">
        <v>3329</v>
      </c>
      <c r="B700" s="196" t="s">
        <v>614</v>
      </c>
      <c r="C700" s="196" t="s">
        <v>278</v>
      </c>
      <c r="D700" s="194">
        <v>45277</v>
      </c>
      <c r="F700" s="307" t="s">
        <v>236</v>
      </c>
      <c r="H700" s="307" t="s">
        <v>279</v>
      </c>
      <c r="K700" s="315">
        <v>62304</v>
      </c>
      <c r="L700" s="195"/>
      <c r="T700" s="260" t="s">
        <v>2050</v>
      </c>
      <c r="U700" s="260">
        <v>0.26527777777777778</v>
      </c>
      <c r="V700" s="260">
        <v>0.56180555555555556</v>
      </c>
    </row>
    <row r="701" spans="1:23" s="196" customFormat="1" hidden="1" x14ac:dyDescent="0.25">
      <c r="A701" s="433" t="s">
        <v>3329</v>
      </c>
      <c r="B701" s="196" t="s">
        <v>118</v>
      </c>
      <c r="C701" s="196" t="s">
        <v>410</v>
      </c>
      <c r="D701" s="194">
        <v>45277</v>
      </c>
      <c r="F701" s="307" t="s">
        <v>143</v>
      </c>
      <c r="H701" s="307" t="s">
        <v>279</v>
      </c>
      <c r="K701" s="315">
        <v>36300</v>
      </c>
      <c r="L701" s="195"/>
      <c r="T701" s="260" t="s">
        <v>989</v>
      </c>
      <c r="U701" s="260">
        <v>0.27708333333333335</v>
      </c>
      <c r="V701" s="260">
        <v>0.46319444444444446</v>
      </c>
    </row>
    <row r="702" spans="1:23" s="196" customFormat="1" hidden="1" x14ac:dyDescent="0.25">
      <c r="A702" s="433" t="s">
        <v>3330</v>
      </c>
      <c r="B702" s="196" t="s">
        <v>3331</v>
      </c>
      <c r="C702" s="196" t="s">
        <v>278</v>
      </c>
      <c r="D702" s="194">
        <v>45278</v>
      </c>
      <c r="F702" s="307" t="s">
        <v>2008</v>
      </c>
      <c r="H702" s="307" t="s">
        <v>279</v>
      </c>
      <c r="K702" s="315">
        <v>49350</v>
      </c>
      <c r="L702" s="195"/>
      <c r="T702" s="260" t="s">
        <v>2050</v>
      </c>
      <c r="U702" s="260">
        <v>0.27430555555555552</v>
      </c>
      <c r="V702" s="260">
        <v>0.55486111111111114</v>
      </c>
    </row>
    <row r="703" spans="1:23" s="196" customFormat="1" hidden="1" x14ac:dyDescent="0.25">
      <c r="A703" s="433" t="s">
        <v>3330</v>
      </c>
      <c r="B703" s="196" t="s">
        <v>3276</v>
      </c>
      <c r="C703" s="196" t="s">
        <v>410</v>
      </c>
      <c r="D703" s="194">
        <v>45278</v>
      </c>
      <c r="F703" s="307" t="s">
        <v>872</v>
      </c>
      <c r="H703" s="307" t="s">
        <v>279</v>
      </c>
      <c r="K703" s="315">
        <f>56020+1800</f>
        <v>57820</v>
      </c>
      <c r="L703" s="195"/>
      <c r="T703" s="260" t="s">
        <v>795</v>
      </c>
      <c r="U703" s="260">
        <v>0.27638888888888885</v>
      </c>
      <c r="V703" s="260">
        <v>0.74375000000000002</v>
      </c>
    </row>
    <row r="704" spans="1:23" s="33" customFormat="1" hidden="1" x14ac:dyDescent="0.25">
      <c r="A704" s="491" t="s">
        <v>3330</v>
      </c>
      <c r="B704" s="33" t="s">
        <v>930</v>
      </c>
      <c r="C704" s="33" t="s">
        <v>410</v>
      </c>
      <c r="D704" s="278">
        <v>45278</v>
      </c>
      <c r="F704" s="306" t="s">
        <v>3342</v>
      </c>
      <c r="H704" s="306" t="s">
        <v>279</v>
      </c>
      <c r="K704" s="312">
        <v>33182</v>
      </c>
      <c r="L704" s="279"/>
      <c r="T704" s="280" t="s">
        <v>795</v>
      </c>
      <c r="U704" s="280">
        <v>0.80625000000000002</v>
      </c>
      <c r="V704" s="280">
        <v>0.875</v>
      </c>
      <c r="W704" s="308" t="s">
        <v>3614</v>
      </c>
    </row>
    <row r="705" spans="1:23" s="196" customFormat="1" hidden="1" x14ac:dyDescent="0.25">
      <c r="A705" s="433" t="s">
        <v>3330</v>
      </c>
      <c r="B705" s="196" t="s">
        <v>1720</v>
      </c>
      <c r="C705" s="196" t="s">
        <v>278</v>
      </c>
      <c r="D705" s="194">
        <v>45278</v>
      </c>
      <c r="F705" s="307" t="s">
        <v>545</v>
      </c>
      <c r="H705" s="307" t="s">
        <v>277</v>
      </c>
      <c r="K705" s="315">
        <v>25016</v>
      </c>
      <c r="L705" s="195"/>
      <c r="T705" s="260" t="s">
        <v>1506</v>
      </c>
      <c r="U705" s="260">
        <v>0.72638888888888886</v>
      </c>
      <c r="V705" s="260">
        <v>0.86111111111111116</v>
      </c>
    </row>
    <row r="706" spans="1:23" s="196" customFormat="1" hidden="1" x14ac:dyDescent="0.25">
      <c r="A706" s="433" t="s">
        <v>3351</v>
      </c>
      <c r="B706" s="196" t="s">
        <v>3260</v>
      </c>
      <c r="C706" s="196" t="s">
        <v>278</v>
      </c>
      <c r="D706" s="194">
        <v>45280</v>
      </c>
      <c r="F706" s="307" t="s">
        <v>1931</v>
      </c>
      <c r="H706" s="307" t="s">
        <v>279</v>
      </c>
      <c r="K706" s="315">
        <v>58466</v>
      </c>
      <c r="L706" s="195"/>
      <c r="T706" s="260" t="s">
        <v>2050</v>
      </c>
      <c r="U706" s="260">
        <v>0.31388888888888888</v>
      </c>
      <c r="V706" s="260">
        <v>0.62291666666666667</v>
      </c>
    </row>
    <row r="707" spans="1:23" s="196" customFormat="1" hidden="1" x14ac:dyDescent="0.25">
      <c r="A707" s="433" t="s">
        <v>3351</v>
      </c>
      <c r="B707" s="196" t="s">
        <v>1720</v>
      </c>
      <c r="C707" s="196" t="s">
        <v>410</v>
      </c>
      <c r="D707" s="194">
        <v>45280</v>
      </c>
      <c r="F707" s="307" t="s">
        <v>545</v>
      </c>
      <c r="H707" s="307" t="s">
        <v>277</v>
      </c>
      <c r="K707" s="315">
        <v>25016</v>
      </c>
      <c r="L707" s="195"/>
      <c r="T707" s="260" t="s">
        <v>3352</v>
      </c>
      <c r="U707" s="260">
        <v>0.75624999999999998</v>
      </c>
      <c r="V707" s="260">
        <v>0.87777777777777777</v>
      </c>
    </row>
    <row r="708" spans="1:23" s="196" customFormat="1" hidden="1" x14ac:dyDescent="0.25">
      <c r="A708" s="433" t="s">
        <v>3351</v>
      </c>
      <c r="B708" s="196" t="s">
        <v>1720</v>
      </c>
      <c r="C708" s="196" t="s">
        <v>278</v>
      </c>
      <c r="D708" s="194">
        <v>45280</v>
      </c>
      <c r="F708" s="307" t="s">
        <v>545</v>
      </c>
      <c r="H708" s="307" t="s">
        <v>279</v>
      </c>
      <c r="K708" s="315">
        <v>34456</v>
      </c>
      <c r="L708" s="195"/>
      <c r="T708" s="260" t="s">
        <v>916</v>
      </c>
      <c r="U708" s="260">
        <v>0.8354166666666667</v>
      </c>
      <c r="V708" s="260">
        <v>1.1111111111111112E-2</v>
      </c>
    </row>
    <row r="709" spans="1:23" s="196" customFormat="1" hidden="1" x14ac:dyDescent="0.25">
      <c r="A709" s="433" t="s">
        <v>3366</v>
      </c>
      <c r="B709" s="196" t="s">
        <v>3554</v>
      </c>
      <c r="C709" s="196" t="s">
        <v>410</v>
      </c>
      <c r="D709" s="194">
        <v>45251</v>
      </c>
      <c r="F709" s="307" t="s">
        <v>545</v>
      </c>
      <c r="H709" s="307" t="s">
        <v>279</v>
      </c>
      <c r="K709" s="315">
        <v>32284.799999999999</v>
      </c>
      <c r="L709" s="195"/>
      <c r="T709" s="260" t="s">
        <v>2050</v>
      </c>
      <c r="U709" s="260">
        <v>0.69444444444444453</v>
      </c>
      <c r="V709" s="260">
        <v>0.87222222222222223</v>
      </c>
    </row>
    <row r="710" spans="1:23" s="33" customFormat="1" x14ac:dyDescent="0.25">
      <c r="A710" s="491" t="s">
        <v>3368</v>
      </c>
      <c r="B710" s="33" t="s">
        <v>930</v>
      </c>
      <c r="C710" s="33" t="s">
        <v>3367</v>
      </c>
      <c r="D710" s="278">
        <v>45282</v>
      </c>
      <c r="F710" s="306" t="s">
        <v>294</v>
      </c>
      <c r="H710" s="306" t="s">
        <v>277</v>
      </c>
      <c r="K710" s="312">
        <v>24886</v>
      </c>
      <c r="L710" s="279"/>
      <c r="T710" s="280" t="s">
        <v>3369</v>
      </c>
      <c r="U710" s="280">
        <v>0.80347222222222225</v>
      </c>
      <c r="V710" s="280">
        <v>0.48958333333333331</v>
      </c>
      <c r="W710" s="308" t="s">
        <v>3614</v>
      </c>
    </row>
    <row r="711" spans="1:23" s="196" customFormat="1" hidden="1" x14ac:dyDescent="0.25">
      <c r="A711" s="433" t="s">
        <v>3368</v>
      </c>
      <c r="B711" s="196" t="s">
        <v>1856</v>
      </c>
      <c r="C711" s="196" t="s">
        <v>410</v>
      </c>
      <c r="D711" s="194">
        <v>45282</v>
      </c>
      <c r="F711" s="307" t="s">
        <v>545</v>
      </c>
      <c r="H711" s="307" t="s">
        <v>277</v>
      </c>
      <c r="K711" s="315">
        <v>25016</v>
      </c>
      <c r="L711" s="195"/>
      <c r="T711" s="260" t="s">
        <v>3376</v>
      </c>
      <c r="U711" s="260">
        <v>0.76388888888888884</v>
      </c>
      <c r="V711" s="260">
        <v>0.87916666666666676</v>
      </c>
    </row>
    <row r="712" spans="1:23" s="196" customFormat="1" hidden="1" x14ac:dyDescent="0.25">
      <c r="A712" s="433" t="s">
        <v>3377</v>
      </c>
      <c r="B712" s="196" t="s">
        <v>3378</v>
      </c>
      <c r="C712" s="196" t="s">
        <v>13</v>
      </c>
      <c r="D712" s="194">
        <v>45283</v>
      </c>
      <c r="F712" s="307" t="s">
        <v>3379</v>
      </c>
      <c r="H712" s="307" t="s">
        <v>279</v>
      </c>
      <c r="K712" s="315">
        <v>25110</v>
      </c>
      <c r="L712" s="195"/>
      <c r="M712" s="195" t="s">
        <v>3380</v>
      </c>
      <c r="T712" s="260" t="s">
        <v>1656</v>
      </c>
      <c r="U712" s="260">
        <v>0.29791666666666666</v>
      </c>
      <c r="V712" s="260">
        <v>0.53333333333333333</v>
      </c>
    </row>
    <row r="713" spans="1:23" s="33" customFormat="1" hidden="1" x14ac:dyDescent="0.25">
      <c r="A713" s="491" t="s">
        <v>3377</v>
      </c>
      <c r="B713" s="33" t="s">
        <v>3381</v>
      </c>
      <c r="C713" s="33" t="s">
        <v>410</v>
      </c>
      <c r="D713" s="278">
        <v>45283</v>
      </c>
      <c r="F713" s="306" t="s">
        <v>2561</v>
      </c>
      <c r="H713" s="306" t="s">
        <v>279</v>
      </c>
      <c r="K713" s="312">
        <v>31152</v>
      </c>
      <c r="L713" s="279"/>
      <c r="M713" s="521">
        <v>45292</v>
      </c>
      <c r="T713" s="280" t="s">
        <v>2037</v>
      </c>
      <c r="U713" s="280">
        <v>0.37083333333333335</v>
      </c>
      <c r="V713" s="280">
        <v>0.5131944444444444</v>
      </c>
    </row>
    <row r="714" spans="1:23" s="33" customFormat="1" hidden="1" x14ac:dyDescent="0.25">
      <c r="A714" s="491" t="s">
        <v>3377</v>
      </c>
      <c r="B714" s="33" t="s">
        <v>930</v>
      </c>
      <c r="C714" s="33" t="s">
        <v>13</v>
      </c>
      <c r="D714" s="278">
        <v>45283</v>
      </c>
      <c r="F714" s="306" t="s">
        <v>294</v>
      </c>
      <c r="H714" s="306" t="s">
        <v>277</v>
      </c>
      <c r="K714" s="312">
        <v>24886</v>
      </c>
      <c r="L714" s="279"/>
      <c r="T714" s="280" t="s">
        <v>2037</v>
      </c>
      <c r="U714" s="280">
        <v>0.60416666666666663</v>
      </c>
      <c r="V714" s="280">
        <v>0.76388888888888884</v>
      </c>
    </row>
    <row r="715" spans="1:23" s="196" customFormat="1" hidden="1" x14ac:dyDescent="0.25">
      <c r="A715" s="433" t="s">
        <v>3382</v>
      </c>
      <c r="B715" s="196" t="s">
        <v>1907</v>
      </c>
      <c r="C715" s="196" t="s">
        <v>410</v>
      </c>
      <c r="D715" s="194">
        <v>45284</v>
      </c>
      <c r="F715" s="307" t="s">
        <v>207</v>
      </c>
      <c r="H715" s="307" t="s">
        <v>1141</v>
      </c>
      <c r="K715" s="315"/>
      <c r="L715" s="315">
        <v>14160</v>
      </c>
      <c r="M715" s="196" t="s">
        <v>588</v>
      </c>
      <c r="T715" s="260" t="s">
        <v>1029</v>
      </c>
      <c r="U715" s="260">
        <v>0.4381944444444445</v>
      </c>
      <c r="V715" s="260">
        <v>0.62708333333333333</v>
      </c>
    </row>
    <row r="716" spans="1:23" s="196" customFormat="1" hidden="1" x14ac:dyDescent="0.25">
      <c r="A716" s="433" t="s">
        <v>3382</v>
      </c>
      <c r="B716" s="196" t="s">
        <v>3383</v>
      </c>
      <c r="C716" s="196" t="s">
        <v>13</v>
      </c>
      <c r="D716" s="194">
        <v>45284</v>
      </c>
      <c r="F716" s="307" t="s">
        <v>3384</v>
      </c>
      <c r="H716" s="307" t="s">
        <v>279</v>
      </c>
      <c r="K716" s="315">
        <v>35880</v>
      </c>
      <c r="L716" s="195"/>
      <c r="M716" s="195" t="s">
        <v>3380</v>
      </c>
      <c r="T716" s="260" t="s">
        <v>2050</v>
      </c>
      <c r="U716" s="260">
        <v>0.40625</v>
      </c>
      <c r="V716" s="260">
        <v>0.6166666666666667</v>
      </c>
    </row>
    <row r="717" spans="1:23" s="196" customFormat="1" hidden="1" x14ac:dyDescent="0.25">
      <c r="A717" s="433" t="s">
        <v>3385</v>
      </c>
      <c r="B717" s="196" t="s">
        <v>24</v>
      </c>
      <c r="C717" s="196" t="s">
        <v>410</v>
      </c>
      <c r="D717" s="194">
        <v>45285</v>
      </c>
      <c r="F717" s="307" t="s">
        <v>207</v>
      </c>
      <c r="H717" s="307" t="s">
        <v>279</v>
      </c>
      <c r="K717" s="315"/>
      <c r="L717" s="195">
        <v>6195</v>
      </c>
      <c r="T717" s="260" t="s">
        <v>2037</v>
      </c>
      <c r="U717" s="260">
        <v>0.30138888888888887</v>
      </c>
      <c r="V717" s="260">
        <v>0.50277777777777777</v>
      </c>
    </row>
    <row r="718" spans="1:23" s="33" customFormat="1" hidden="1" x14ac:dyDescent="0.25">
      <c r="A718" s="491" t="s">
        <v>3386</v>
      </c>
      <c r="B718" s="33" t="s">
        <v>607</v>
      </c>
      <c r="C718" s="33" t="s">
        <v>13</v>
      </c>
      <c r="D718" s="278">
        <v>45286</v>
      </c>
      <c r="F718" s="306" t="s">
        <v>207</v>
      </c>
      <c r="H718" s="306" t="s">
        <v>279</v>
      </c>
      <c r="K718" s="312">
        <v>36253.14</v>
      </c>
      <c r="L718" s="279"/>
      <c r="M718" s="521">
        <v>45292</v>
      </c>
      <c r="T718" s="280" t="s">
        <v>1029</v>
      </c>
      <c r="U718" s="280">
        <v>0.26111111111111113</v>
      </c>
      <c r="V718" s="280">
        <v>0.4861111111111111</v>
      </c>
    </row>
    <row r="719" spans="1:23" s="196" customFormat="1" hidden="1" x14ac:dyDescent="0.25">
      <c r="A719" s="433" t="s">
        <v>3386</v>
      </c>
      <c r="B719" s="196" t="s">
        <v>3387</v>
      </c>
      <c r="C719" s="196" t="s">
        <v>410</v>
      </c>
      <c r="D719" s="194">
        <v>45286</v>
      </c>
      <c r="F719" s="307" t="s">
        <v>425</v>
      </c>
      <c r="H719" s="307" t="s">
        <v>279</v>
      </c>
      <c r="K719" s="315">
        <v>30895</v>
      </c>
      <c r="L719" s="195"/>
      <c r="T719" s="260" t="s">
        <v>1656</v>
      </c>
      <c r="U719" s="260">
        <v>0.3923611111111111</v>
      </c>
      <c r="V719" s="260">
        <v>0.62152777777777779</v>
      </c>
    </row>
    <row r="720" spans="1:23" s="196" customFormat="1" hidden="1" x14ac:dyDescent="0.25">
      <c r="A720" s="433" t="s">
        <v>3386</v>
      </c>
      <c r="B720" s="196" t="s">
        <v>3388</v>
      </c>
      <c r="C720" s="196" t="s">
        <v>410</v>
      </c>
      <c r="D720" s="194">
        <v>45286</v>
      </c>
      <c r="F720" s="307" t="s">
        <v>1931</v>
      </c>
      <c r="H720" s="307" t="s">
        <v>279</v>
      </c>
      <c r="K720" s="315">
        <v>58466</v>
      </c>
      <c r="L720" s="195"/>
      <c r="T720" s="260" t="s">
        <v>1656</v>
      </c>
      <c r="U720" s="260">
        <v>0.73402777777777783</v>
      </c>
      <c r="V720" s="260">
        <v>6.6666666666666666E-2</v>
      </c>
      <c r="W720" s="196" t="s">
        <v>3389</v>
      </c>
    </row>
    <row r="721" spans="1:23" s="196" customFormat="1" hidden="1" x14ac:dyDescent="0.25">
      <c r="A721" s="433" t="s">
        <v>3386</v>
      </c>
      <c r="B721" s="196" t="s">
        <v>610</v>
      </c>
      <c r="C721" s="196" t="s">
        <v>13</v>
      </c>
      <c r="D721" s="194">
        <v>45286</v>
      </c>
      <c r="F721" s="307" t="s">
        <v>106</v>
      </c>
      <c r="H721" s="307" t="s">
        <v>279</v>
      </c>
      <c r="K721" s="315">
        <v>29770</v>
      </c>
      <c r="L721" s="195"/>
      <c r="T721" s="260" t="s">
        <v>1029</v>
      </c>
      <c r="U721" s="260">
        <v>0.54791666666666672</v>
      </c>
      <c r="V721" s="260">
        <v>0.73749999999999993</v>
      </c>
    </row>
    <row r="722" spans="1:23" s="33" customFormat="1" hidden="1" x14ac:dyDescent="0.25">
      <c r="A722" s="491" t="s">
        <v>3390</v>
      </c>
      <c r="B722" s="33" t="s">
        <v>607</v>
      </c>
      <c r="C722" s="33" t="s">
        <v>410</v>
      </c>
      <c r="D722" s="278">
        <v>45287</v>
      </c>
      <c r="F722" s="306" t="s">
        <v>207</v>
      </c>
      <c r="H722" s="306" t="s">
        <v>279</v>
      </c>
      <c r="K722" s="312">
        <v>36253.14</v>
      </c>
      <c r="L722" s="279"/>
      <c r="M722" s="521">
        <v>45292</v>
      </c>
      <c r="T722" s="280" t="s">
        <v>1656</v>
      </c>
      <c r="U722" s="280">
        <v>0.26666666666666666</v>
      </c>
      <c r="V722" s="280">
        <v>0.46666666666666662</v>
      </c>
    </row>
    <row r="723" spans="1:23" s="33" customFormat="1" hidden="1" x14ac:dyDescent="0.25">
      <c r="A723" s="491" t="s">
        <v>3390</v>
      </c>
      <c r="B723" s="33" t="s">
        <v>3391</v>
      </c>
      <c r="C723" s="33" t="s">
        <v>13</v>
      </c>
      <c r="D723" s="278">
        <v>45287</v>
      </c>
      <c r="F723" s="306" t="s">
        <v>563</v>
      </c>
      <c r="H723" s="306" t="s">
        <v>279</v>
      </c>
      <c r="K723" s="312">
        <v>33228.800000000003</v>
      </c>
      <c r="L723" s="279"/>
      <c r="M723" s="521">
        <v>45292</v>
      </c>
      <c r="T723" s="280" t="s">
        <v>1029</v>
      </c>
      <c r="U723" s="280">
        <v>0.30972222222222223</v>
      </c>
      <c r="V723" s="280">
        <v>0.5083333333333333</v>
      </c>
    </row>
    <row r="724" spans="1:23" s="196" customFormat="1" hidden="1" x14ac:dyDescent="0.25">
      <c r="A724" s="433" t="s">
        <v>3390</v>
      </c>
      <c r="B724" s="196" t="s">
        <v>1907</v>
      </c>
      <c r="C724" s="196" t="s">
        <v>410</v>
      </c>
      <c r="D724" s="194">
        <v>45287</v>
      </c>
      <c r="F724" s="307" t="s">
        <v>207</v>
      </c>
      <c r="H724" s="307" t="s">
        <v>1141</v>
      </c>
      <c r="K724" s="315"/>
      <c r="L724" s="315">
        <v>14160</v>
      </c>
      <c r="T724" s="260" t="s">
        <v>1656</v>
      </c>
      <c r="U724" s="260">
        <v>0.54166666666666663</v>
      </c>
      <c r="V724" s="260">
        <v>0.73611111111111116</v>
      </c>
    </row>
    <row r="725" spans="1:23" s="196" customFormat="1" hidden="1" x14ac:dyDescent="0.25">
      <c r="A725" s="433" t="s">
        <v>3390</v>
      </c>
      <c r="B725" s="196" t="s">
        <v>3392</v>
      </c>
      <c r="C725" s="196" t="s">
        <v>13</v>
      </c>
      <c r="D725" s="194">
        <v>45287</v>
      </c>
      <c r="F725" s="307" t="s">
        <v>106</v>
      </c>
      <c r="H725" s="307" t="s">
        <v>279</v>
      </c>
      <c r="K725" s="315">
        <v>26567</v>
      </c>
      <c r="L725" s="195"/>
      <c r="T725" s="260" t="s">
        <v>1029</v>
      </c>
      <c r="U725" s="260">
        <v>0.58194444444444449</v>
      </c>
      <c r="V725" s="260">
        <v>0.74444444444444446</v>
      </c>
    </row>
    <row r="726" spans="1:23" s="33" customFormat="1" hidden="1" x14ac:dyDescent="0.25">
      <c r="A726" s="491" t="s">
        <v>3390</v>
      </c>
      <c r="B726" s="33" t="s">
        <v>220</v>
      </c>
      <c r="C726" s="33" t="s">
        <v>13</v>
      </c>
      <c r="D726" s="278">
        <v>45287</v>
      </c>
      <c r="F726" s="306" t="s">
        <v>236</v>
      </c>
      <c r="H726" s="306" t="s">
        <v>279</v>
      </c>
      <c r="K726" s="312">
        <v>59472</v>
      </c>
      <c r="L726" s="279"/>
      <c r="M726" s="521">
        <v>45292</v>
      </c>
      <c r="T726" s="280" t="s">
        <v>3393</v>
      </c>
      <c r="U726" s="280">
        <v>0.7284722222222223</v>
      </c>
      <c r="V726" s="280">
        <v>0.11944444444444445</v>
      </c>
      <c r="W726" s="33" t="s">
        <v>3394</v>
      </c>
    </row>
    <row r="727" spans="1:23" s="33" customFormat="1" x14ac:dyDescent="0.25">
      <c r="A727" s="491" t="s">
        <v>3390</v>
      </c>
      <c r="B727" s="33" t="s">
        <v>930</v>
      </c>
      <c r="C727" s="33" t="s">
        <v>3439</v>
      </c>
      <c r="D727" s="419">
        <v>45287</v>
      </c>
      <c r="F727" s="306" t="s">
        <v>294</v>
      </c>
      <c r="H727" s="306" t="s">
        <v>277</v>
      </c>
      <c r="K727" s="312">
        <v>24886</v>
      </c>
      <c r="L727" s="279"/>
      <c r="T727" s="280" t="s">
        <v>3395</v>
      </c>
      <c r="U727" s="280">
        <v>0.4826388888888889</v>
      </c>
      <c r="V727" s="280">
        <v>0.65138888888888891</v>
      </c>
    </row>
    <row r="728" spans="1:23" s="33" customFormat="1" hidden="1" x14ac:dyDescent="0.25">
      <c r="A728" s="491" t="s">
        <v>3390</v>
      </c>
      <c r="B728" s="33" t="s">
        <v>930</v>
      </c>
      <c r="C728" s="277" t="s">
        <v>3396</v>
      </c>
      <c r="D728" s="278">
        <v>45287</v>
      </c>
      <c r="F728" s="306" t="s">
        <v>294</v>
      </c>
      <c r="H728" s="306" t="s">
        <v>277</v>
      </c>
      <c r="I728" s="33" t="s">
        <v>3397</v>
      </c>
      <c r="K728" s="312">
        <v>24886</v>
      </c>
      <c r="L728" s="279"/>
      <c r="T728" s="585" t="s">
        <v>3398</v>
      </c>
      <c r="U728" s="585" t="s">
        <v>3399</v>
      </c>
      <c r="V728" s="280">
        <v>0.78749999999999998</v>
      </c>
    </row>
    <row r="729" spans="1:23" s="33" customFormat="1" hidden="1" x14ac:dyDescent="0.25">
      <c r="A729" s="491" t="s">
        <v>3400</v>
      </c>
      <c r="B729" s="33" t="s">
        <v>3388</v>
      </c>
      <c r="C729" s="33" t="s">
        <v>809</v>
      </c>
      <c r="D729" s="278">
        <v>45288</v>
      </c>
      <c r="F729" s="306" t="s">
        <v>1931</v>
      </c>
      <c r="H729" s="306" t="s">
        <v>279</v>
      </c>
      <c r="K729" s="312">
        <v>58466</v>
      </c>
      <c r="L729" s="279"/>
      <c r="M729" s="521">
        <v>45292</v>
      </c>
      <c r="T729" s="280" t="s">
        <v>3401</v>
      </c>
      <c r="U729" s="280">
        <v>0.5444444444444444</v>
      </c>
      <c r="V729" s="280">
        <v>0.9</v>
      </c>
    </row>
    <row r="730" spans="1:23" s="431" customFormat="1" hidden="1" x14ac:dyDescent="0.25">
      <c r="A730" s="555" t="s">
        <v>3400</v>
      </c>
      <c r="B730" s="431" t="s">
        <v>3402</v>
      </c>
      <c r="C730" s="431" t="s">
        <v>410</v>
      </c>
      <c r="D730" s="524">
        <v>45288</v>
      </c>
      <c r="F730" s="492" t="s">
        <v>294</v>
      </c>
      <c r="H730" s="492" t="s">
        <v>279</v>
      </c>
      <c r="K730" s="525">
        <v>36000</v>
      </c>
      <c r="L730" s="526"/>
      <c r="T730" s="527" t="s">
        <v>1656</v>
      </c>
      <c r="U730" s="527">
        <v>0.36458333333333331</v>
      </c>
      <c r="V730" s="527">
        <v>0.54791666666666672</v>
      </c>
    </row>
    <row r="731" spans="1:23" s="179" customFormat="1" hidden="1" x14ac:dyDescent="0.25">
      <c r="A731" s="493" t="s">
        <v>3400</v>
      </c>
      <c r="B731" s="179" t="s">
        <v>3298</v>
      </c>
      <c r="C731" s="179" t="s">
        <v>410</v>
      </c>
      <c r="D731" s="198">
        <v>45288</v>
      </c>
      <c r="F731" s="468" t="s">
        <v>68</v>
      </c>
      <c r="H731" s="468" t="s">
        <v>279</v>
      </c>
      <c r="K731" s="469">
        <v>49843.199999999997</v>
      </c>
      <c r="L731" s="470"/>
      <c r="T731" s="197" t="s">
        <v>1029</v>
      </c>
      <c r="U731" s="197">
        <v>0.62708333333333333</v>
      </c>
      <c r="V731" s="197">
        <v>0.97986111111111107</v>
      </c>
    </row>
    <row r="732" spans="1:23" s="196" customFormat="1" hidden="1" x14ac:dyDescent="0.25">
      <c r="A732" s="433" t="s">
        <v>3438</v>
      </c>
      <c r="B732" s="196" t="s">
        <v>3404</v>
      </c>
      <c r="C732" s="196" t="s">
        <v>13</v>
      </c>
      <c r="D732" s="194">
        <v>45289</v>
      </c>
      <c r="F732" s="307" t="s">
        <v>236</v>
      </c>
      <c r="H732" s="307" t="s">
        <v>279</v>
      </c>
      <c r="K732" s="315">
        <v>62540</v>
      </c>
      <c r="L732" s="195"/>
      <c r="T732" s="260" t="s">
        <v>2037</v>
      </c>
      <c r="U732" s="260">
        <v>0.29722222222222222</v>
      </c>
      <c r="V732" s="260">
        <v>0.58124999999999993</v>
      </c>
    </row>
    <row r="733" spans="1:23" s="33" customFormat="1" hidden="1" x14ac:dyDescent="0.25">
      <c r="A733" s="491" t="s">
        <v>3438</v>
      </c>
      <c r="B733" s="33" t="s">
        <v>614</v>
      </c>
      <c r="C733" s="33" t="s">
        <v>410</v>
      </c>
      <c r="D733" s="278">
        <v>45289</v>
      </c>
      <c r="F733" s="306" t="s">
        <v>68</v>
      </c>
      <c r="H733" s="306" t="s">
        <v>279</v>
      </c>
      <c r="K733" s="312">
        <v>49843.199999999997</v>
      </c>
      <c r="L733" s="279"/>
      <c r="M733" s="521">
        <v>45292</v>
      </c>
      <c r="T733" s="280" t="s">
        <v>989</v>
      </c>
      <c r="U733" s="280">
        <v>0.59097222222222223</v>
      </c>
      <c r="V733" s="280">
        <v>0.87777777777777777</v>
      </c>
    </row>
    <row r="734" spans="1:23" s="291" customFormat="1" hidden="1" x14ac:dyDescent="0.25">
      <c r="A734" s="522" t="s">
        <v>3406</v>
      </c>
      <c r="B734" s="291" t="s">
        <v>610</v>
      </c>
      <c r="C734" s="291" t="s">
        <v>13</v>
      </c>
      <c r="D734" s="292">
        <v>45290</v>
      </c>
      <c r="F734" s="310" t="s">
        <v>106</v>
      </c>
      <c r="H734" s="310" t="s">
        <v>279</v>
      </c>
      <c r="K734" s="319">
        <v>29770</v>
      </c>
      <c r="L734" s="293"/>
      <c r="M734" s="521">
        <v>45292</v>
      </c>
      <c r="T734" s="294" t="s">
        <v>2380</v>
      </c>
      <c r="U734" s="294">
        <v>0.41041666666666665</v>
      </c>
      <c r="V734" s="294">
        <v>0.62152777777777779</v>
      </c>
    </row>
    <row r="735" spans="1:23" s="33" customFormat="1" hidden="1" x14ac:dyDescent="0.25">
      <c r="A735" s="491" t="s">
        <v>3406</v>
      </c>
      <c r="B735" s="33" t="s">
        <v>614</v>
      </c>
      <c r="C735" s="33" t="s">
        <v>809</v>
      </c>
      <c r="D735" s="278">
        <v>45290</v>
      </c>
      <c r="F735" s="306" t="s">
        <v>872</v>
      </c>
      <c r="H735" s="306" t="s">
        <v>279</v>
      </c>
      <c r="K735" s="312">
        <v>44651.199999999997</v>
      </c>
      <c r="L735" s="279"/>
      <c r="M735" s="521">
        <v>45292</v>
      </c>
      <c r="T735" s="280" t="s">
        <v>3405</v>
      </c>
      <c r="U735" s="280">
        <v>0.41666666666666669</v>
      </c>
      <c r="V735" s="280">
        <v>0.64236111111111105</v>
      </c>
    </row>
    <row r="736" spans="1:23" s="196" customFormat="1" ht="15" hidden="1" customHeight="1" x14ac:dyDescent="0.25">
      <c r="A736" s="433" t="s">
        <v>3406</v>
      </c>
      <c r="B736" s="196" t="s">
        <v>1907</v>
      </c>
      <c r="C736" s="196" t="s">
        <v>410</v>
      </c>
      <c r="D736" s="194">
        <v>45290</v>
      </c>
      <c r="F736" s="307" t="s">
        <v>207</v>
      </c>
      <c r="H736" s="307" t="s">
        <v>279</v>
      </c>
      <c r="K736" s="315"/>
      <c r="L736" s="315">
        <v>14160</v>
      </c>
      <c r="T736" s="260" t="s">
        <v>3151</v>
      </c>
      <c r="U736" s="260">
        <v>0.44722222222222219</v>
      </c>
      <c r="V736" s="260">
        <v>0.62847222222222221</v>
      </c>
    </row>
    <row r="737" spans="1:22" s="33" customFormat="1" ht="15" hidden="1" customHeight="1" x14ac:dyDescent="0.25">
      <c r="A737" s="491" t="s">
        <v>3406</v>
      </c>
      <c r="B737" s="33" t="s">
        <v>607</v>
      </c>
      <c r="C737" s="432">
        <v>2208</v>
      </c>
      <c r="D737" s="278">
        <v>45290</v>
      </c>
      <c r="F737" s="306" t="s">
        <v>207</v>
      </c>
      <c r="H737" s="306" t="s">
        <v>279</v>
      </c>
      <c r="K737" s="312">
        <v>36253.14</v>
      </c>
      <c r="L737" s="312"/>
      <c r="M737" s="521">
        <v>45292</v>
      </c>
      <c r="T737" s="280"/>
      <c r="U737" s="280"/>
      <c r="V737" s="280"/>
    </row>
    <row r="738" spans="1:22" s="196" customFormat="1" hidden="1" x14ac:dyDescent="0.25">
      <c r="A738" s="433" t="s">
        <v>3406</v>
      </c>
      <c r="B738" s="196" t="s">
        <v>1856</v>
      </c>
      <c r="C738" s="196" t="s">
        <v>13</v>
      </c>
      <c r="D738" s="194">
        <v>45290</v>
      </c>
      <c r="F738" s="307" t="s">
        <v>545</v>
      </c>
      <c r="H738" s="307" t="s">
        <v>277</v>
      </c>
      <c r="K738" s="315">
        <v>25016</v>
      </c>
      <c r="L738" s="195"/>
      <c r="T738" s="260" t="s">
        <v>3151</v>
      </c>
      <c r="U738" s="260">
        <v>0.7104166666666667</v>
      </c>
      <c r="V738" s="260">
        <v>0.8256944444444444</v>
      </c>
    </row>
    <row r="739" spans="1:22" s="33" customFormat="1" hidden="1" x14ac:dyDescent="0.25">
      <c r="A739" s="491" t="s">
        <v>3407</v>
      </c>
      <c r="B739" s="33" t="s">
        <v>596</v>
      </c>
      <c r="C739" s="33" t="s">
        <v>13</v>
      </c>
      <c r="D739" s="278">
        <v>45291</v>
      </c>
      <c r="F739" s="306" t="s">
        <v>236</v>
      </c>
      <c r="H739" s="306" t="s">
        <v>279</v>
      </c>
      <c r="K739" s="312">
        <v>59472</v>
      </c>
      <c r="L739" s="279"/>
      <c r="M739" s="521">
        <v>45292</v>
      </c>
      <c r="T739" s="280" t="s">
        <v>3408</v>
      </c>
      <c r="U739" s="280">
        <v>0.25555555555555559</v>
      </c>
      <c r="V739" s="280">
        <v>0.53819444444444442</v>
      </c>
    </row>
    <row r="740" spans="1:22" s="33" customFormat="1" hidden="1" x14ac:dyDescent="0.25">
      <c r="A740" s="491" t="s">
        <v>3407</v>
      </c>
      <c r="B740" s="33" t="s">
        <v>614</v>
      </c>
      <c r="C740" s="33" t="s">
        <v>410</v>
      </c>
      <c r="D740" s="278">
        <v>45291</v>
      </c>
      <c r="F740" s="306" t="s">
        <v>285</v>
      </c>
      <c r="H740" s="306" t="s">
        <v>279</v>
      </c>
      <c r="K740" s="312">
        <v>51920</v>
      </c>
      <c r="L740" s="279"/>
      <c r="M740" s="521">
        <v>45292</v>
      </c>
      <c r="T740" s="280" t="s">
        <v>989</v>
      </c>
      <c r="U740" s="280">
        <v>0.42222222222222222</v>
      </c>
      <c r="V740" s="280">
        <v>0.69236111111111109</v>
      </c>
    </row>
    <row r="741" spans="1:22" s="33" customFormat="1" hidden="1" x14ac:dyDescent="0.25">
      <c r="A741" s="491" t="s">
        <v>3407</v>
      </c>
      <c r="B741" s="33" t="s">
        <v>586</v>
      </c>
      <c r="C741" s="33" t="s">
        <v>13</v>
      </c>
      <c r="D741" s="278">
        <v>45291</v>
      </c>
      <c r="F741" s="306" t="s">
        <v>545</v>
      </c>
      <c r="H741" s="306" t="s">
        <v>279</v>
      </c>
      <c r="K741" s="312">
        <v>33560</v>
      </c>
      <c r="L741" s="279"/>
      <c r="M741" s="521">
        <v>45292</v>
      </c>
      <c r="T741" s="280" t="s">
        <v>2050</v>
      </c>
      <c r="U741" s="280">
        <v>0.60763888888888895</v>
      </c>
      <c r="V741" s="280">
        <v>0.8041666666666667</v>
      </c>
    </row>
    <row r="742" spans="1:22" hidden="1" x14ac:dyDescent="0.25">
      <c r="A742" s="430"/>
      <c r="D742" s="122"/>
      <c r="T742" s="14"/>
      <c r="U742" s="14"/>
      <c r="V742" s="14"/>
    </row>
    <row r="743" spans="1:22" hidden="1" x14ac:dyDescent="0.25">
      <c r="A743" s="430"/>
      <c r="D743" s="122"/>
      <c r="K743" s="313"/>
      <c r="L743" s="88"/>
      <c r="T743" s="14"/>
      <c r="U743" s="14"/>
      <c r="V743" s="14"/>
    </row>
    <row r="744" spans="1:22" hidden="1" x14ac:dyDescent="0.25">
      <c r="A744" s="430"/>
      <c r="D744" s="122"/>
      <c r="K744" s="313"/>
      <c r="L744" s="88"/>
      <c r="T744" s="14"/>
      <c r="U744" s="14"/>
      <c r="V744" s="14"/>
    </row>
    <row r="745" spans="1:22" hidden="1" x14ac:dyDescent="0.25">
      <c r="A745" s="430"/>
      <c r="D745" s="122"/>
      <c r="K745" s="313"/>
      <c r="L745" s="88"/>
      <c r="T745" s="14"/>
      <c r="U745" s="14"/>
      <c r="V745" s="14"/>
    </row>
    <row r="746" spans="1:22" hidden="1" x14ac:dyDescent="0.25">
      <c r="A746" s="430"/>
    </row>
    <row r="747" spans="1:22" hidden="1" x14ac:dyDescent="0.25">
      <c r="A747" s="430"/>
      <c r="K747" s="61">
        <f>SUM(K677:K744)</f>
        <v>2222709.5599999996</v>
      </c>
      <c r="L747" s="61">
        <f>SUM(L677:L744)</f>
        <v>64723</v>
      </c>
    </row>
    <row r="748" spans="1:22" hidden="1" x14ac:dyDescent="0.25">
      <c r="U748" s="88"/>
    </row>
    <row r="749" spans="1:22" hidden="1" x14ac:dyDescent="0.25"/>
    <row r="750" spans="1:22" hidden="1" x14ac:dyDescent="0.25"/>
    <row r="751" spans="1:22" hidden="1" x14ac:dyDescent="0.25"/>
    <row r="752" spans="1:22" hidden="1" x14ac:dyDescent="0.25"/>
    <row r="753" spans="2:11" hidden="1" x14ac:dyDescent="0.25">
      <c r="K753" s="511"/>
    </row>
    <row r="754" spans="2:11" hidden="1" x14ac:dyDescent="0.25"/>
    <row r="755" spans="2:11" hidden="1" x14ac:dyDescent="0.25"/>
    <row r="756" spans="2:11" hidden="1" x14ac:dyDescent="0.25">
      <c r="B756" s="1617" t="s">
        <v>2740</v>
      </c>
      <c r="C756" s="196"/>
      <c r="D756" s="247" t="s">
        <v>2746</v>
      </c>
    </row>
    <row r="757" spans="2:11" hidden="1" x14ac:dyDescent="0.25">
      <c r="B757" s="1617"/>
      <c r="C757" s="5"/>
      <c r="D757" s="247" t="s">
        <v>2741</v>
      </c>
    </row>
    <row r="758" spans="2:11" hidden="1" x14ac:dyDescent="0.25">
      <c r="B758" s="1617"/>
      <c r="C758" s="33"/>
      <c r="D758" s="247" t="s">
        <v>2742</v>
      </c>
    </row>
    <row r="759" spans="2:11" hidden="1" x14ac:dyDescent="0.25">
      <c r="B759" s="1617"/>
      <c r="C759" s="393"/>
      <c r="D759" s="247" t="s">
        <v>2743</v>
      </c>
    </row>
    <row r="760" spans="2:11" hidden="1" x14ac:dyDescent="0.25">
      <c r="B760" s="1617"/>
      <c r="C760" s="386"/>
      <c r="D760" s="247" t="s">
        <v>2809</v>
      </c>
    </row>
    <row r="761" spans="2:11" hidden="1" x14ac:dyDescent="0.25">
      <c r="B761" s="1617"/>
      <c r="C761" s="399"/>
      <c r="D761" s="247" t="s">
        <v>2747</v>
      </c>
    </row>
    <row r="762" spans="2:11" hidden="1" x14ac:dyDescent="0.25">
      <c r="B762" s="1617"/>
      <c r="C762" s="408"/>
      <c r="D762" s="247" t="s">
        <v>2748</v>
      </c>
    </row>
    <row r="763" spans="2:11" hidden="1" x14ac:dyDescent="0.25">
      <c r="B763" s="1617"/>
      <c r="C763" s="264"/>
      <c r="D763" s="247" t="s">
        <v>2749</v>
      </c>
    </row>
    <row r="764" spans="2:11" hidden="1" x14ac:dyDescent="0.25">
      <c r="B764" s="1617"/>
      <c r="C764" s="13" t="s">
        <v>2744</v>
      </c>
      <c r="D764" s="247" t="s">
        <v>2745</v>
      </c>
    </row>
  </sheetData>
  <autoFilter ref="A1:AA764" xr:uid="{00000000-0009-0000-0000-00005A000000}">
    <filterColumn colId="2">
      <filters>
        <filter val="2091"/>
        <filter val="2091 VIVE"/>
        <filter val="OB2091"/>
        <filter val="OB2091 VIVE"/>
      </filters>
    </filterColumn>
    <filterColumn colId="22" showButton="0"/>
    <filterColumn colId="23" showButton="0"/>
    <filterColumn colId="24" showButton="0"/>
  </autoFilter>
  <mergeCells count="2">
    <mergeCell ref="W1:Z1"/>
    <mergeCell ref="B756:B764"/>
  </mergeCells>
  <pageMargins left="0.7" right="0.7" top="0.75" bottom="0.75" header="0.3" footer="0.3"/>
  <pageSetup paperSize="9" orientation="portrait" r:id="rId1"/>
  <ignoredErrors>
    <ignoredError sqref="AB316:XFD316 A699"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453727" r:id="rId4" name="Button 1">
              <controlPr defaultSize="0" print="0" autoFill="0" autoPict="0" macro="[0]!RETORNAR">
                <anchor moveWithCells="1" sizeWithCells="1">
                  <from>
                    <xdr:col>1</xdr:col>
                    <xdr:colOff>47625</xdr:colOff>
                    <xdr:row>747</xdr:row>
                    <xdr:rowOff>180975</xdr:rowOff>
                  </from>
                  <to>
                    <xdr:col>1</xdr:col>
                    <xdr:colOff>1857375</xdr:colOff>
                    <xdr:row>750</xdr:row>
                    <xdr:rowOff>104775</xdr:rowOff>
                  </to>
                </anchor>
              </controlPr>
            </control>
          </mc:Choice>
        </mc:AlternateContent>
      </controls>
    </mc:Choice>
  </mc:AlternateConten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Hoja23"/>
  <dimension ref="A1:Z3"/>
  <sheetViews>
    <sheetView workbookViewId="0">
      <selection activeCell="F11" sqref="F10:F11"/>
    </sheetView>
  </sheetViews>
  <sheetFormatPr baseColWidth="10" defaultRowHeight="15" x14ac:dyDescent="0.25"/>
  <sheetData>
    <row r="1" spans="1:26" s="484" customFormat="1" ht="15.75" x14ac:dyDescent="0.25">
      <c r="A1" s="484" t="s">
        <v>706</v>
      </c>
      <c r="B1" s="564" t="s">
        <v>0</v>
      </c>
      <c r="C1" s="484" t="s">
        <v>1</v>
      </c>
      <c r="D1" s="485" t="s">
        <v>2</v>
      </c>
      <c r="E1" s="486" t="s">
        <v>2044</v>
      </c>
      <c r="F1" s="484" t="s">
        <v>3</v>
      </c>
      <c r="H1" s="1" t="s">
        <v>3516</v>
      </c>
      <c r="J1" s="484" t="s">
        <v>5</v>
      </c>
      <c r="K1" s="486" t="s">
        <v>6</v>
      </c>
      <c r="L1" s="486" t="s">
        <v>7</v>
      </c>
      <c r="M1" s="484" t="s">
        <v>8</v>
      </c>
      <c r="N1" s="484" t="s">
        <v>9</v>
      </c>
      <c r="O1" s="484" t="s">
        <v>10</v>
      </c>
      <c r="T1" s="484" t="s">
        <v>649</v>
      </c>
      <c r="U1" s="487" t="s">
        <v>1728</v>
      </c>
      <c r="V1" s="487" t="s">
        <v>650</v>
      </c>
      <c r="W1" s="1613" t="s">
        <v>11</v>
      </c>
      <c r="X1" s="1614"/>
      <c r="Y1" s="1614"/>
      <c r="Z1" s="1614"/>
    </row>
    <row r="2" spans="1:26" ht="14.1" customHeight="1" x14ac:dyDescent="0.25">
      <c r="A2" s="483">
        <v>23012026</v>
      </c>
      <c r="C2" s="28" t="s">
        <v>809</v>
      </c>
      <c r="D2" s="233"/>
      <c r="E2" s="28"/>
      <c r="F2" s="28" t="s">
        <v>2147</v>
      </c>
      <c r="H2" s="1067"/>
      <c r="K2" s="313"/>
      <c r="L2" s="447"/>
      <c r="M2" s="88"/>
      <c r="T2" t="s">
        <v>7320</v>
      </c>
      <c r="U2" s="360">
        <v>0.28819444444444448</v>
      </c>
      <c r="V2" s="360"/>
    </row>
    <row r="3" spans="1:26" x14ac:dyDescent="0.25">
      <c r="A3" s="483">
        <v>26012026</v>
      </c>
      <c r="C3" s="28" t="s">
        <v>809</v>
      </c>
      <c r="D3" s="233"/>
      <c r="E3" s="28"/>
      <c r="F3" s="28" t="s">
        <v>7594</v>
      </c>
      <c r="H3" s="1067"/>
      <c r="K3" s="313"/>
      <c r="L3" s="447"/>
      <c r="M3" s="88"/>
      <c r="T3" t="s">
        <v>7320</v>
      </c>
      <c r="U3" s="360">
        <v>0.28819444444444448</v>
      </c>
      <c r="V3" s="360"/>
    </row>
  </sheetData>
  <mergeCells count="1">
    <mergeCell ref="W1:Z1"/>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92</vt:i4>
      </vt:variant>
      <vt:variant>
        <vt:lpstr>Rangos con nombre</vt:lpstr>
      </vt:variant>
      <vt:variant>
        <vt:i4>2</vt:i4>
      </vt:variant>
    </vt:vector>
  </HeadingPairs>
  <TitlesOfParts>
    <vt:vector size="94" baseType="lpstr">
      <vt:lpstr>X COBRAR B200</vt:lpstr>
      <vt:lpstr>SALDOS CONTRATOS</vt:lpstr>
      <vt:lpstr>CONTACTOS</vt:lpstr>
      <vt:lpstr>1. ALFA VIAJES</vt:lpstr>
      <vt:lpstr>2. ESSALUD ANDAHUAYLAS</vt:lpstr>
      <vt:lpstr>3. ESSALUD AREQUIPA</vt:lpstr>
      <vt:lpstr>4. ESSALUD AYP</vt:lpstr>
      <vt:lpstr>5. ESSALUD CAJAMARCA</vt:lpstr>
      <vt:lpstr>6. ESSALUD CHACHAPOYAS</vt:lpstr>
      <vt:lpstr>9. ESSALUD CUSCO</vt:lpstr>
      <vt:lpstr>7. ESSALUD CIX</vt:lpstr>
      <vt:lpstr>8. ESSALUD CHIMBOTE</vt:lpstr>
      <vt:lpstr>10. ESSALUD HCO</vt:lpstr>
      <vt:lpstr>11. ESSALUD JULIACA</vt:lpstr>
      <vt:lpstr>12. ESSALUD LORETO</vt:lpstr>
      <vt:lpstr>12. ESSALUD TINGO MARIA</vt:lpstr>
      <vt:lpstr>13. ESSALUD LORETO NVO CONTRATO</vt:lpstr>
      <vt:lpstr>14. ESSALUD MOYOBAMBA</vt:lpstr>
      <vt:lpstr>15. ESSALUD ORGANOS</vt:lpstr>
      <vt:lpstr>16. ESSALUD PIURA</vt:lpstr>
      <vt:lpstr>17. ESSALUD PUCALLPA</vt:lpstr>
      <vt:lpstr>18. ESSALUD TARAPOTO</vt:lpstr>
      <vt:lpstr>19. ESSALUD TRU</vt:lpstr>
      <vt:lpstr>20. ESSALUD YURIMAGUAS</vt:lpstr>
      <vt:lpstr>21. FENIX-</vt:lpstr>
      <vt:lpstr>22.HOSP.EMERGENCIAS PEDIATRICAS</vt:lpstr>
      <vt:lpstr>23. HOSP. REG AREQUIPA</vt:lpstr>
      <vt:lpstr>24. HOSP.HUNANUE TACNA</vt:lpstr>
      <vt:lpstr>25. HOSP. REG AYACUCHO</vt:lpstr>
      <vt:lpstr>26. HOSP. REG. EL CARMEN-HYO</vt:lpstr>
      <vt:lpstr>27. HOSP. REG HCVCA</vt:lpstr>
      <vt:lpstr>28. HOSP. REG LAMBAYEQUE</vt:lpstr>
      <vt:lpstr>29. HOSP LORETO</vt:lpstr>
      <vt:lpstr>30. HOSP.  PUNO MANUEL NB</vt:lpstr>
      <vt:lpstr>31. HOSP.REG. MOQUEGUA</vt:lpstr>
      <vt:lpstr>32. HOSP. REG TUMBES</vt:lpstr>
      <vt:lpstr>33. HOSP. REG PUCALLPA</vt:lpstr>
      <vt:lpstr>34. HOSP. REG TARAPOTO</vt:lpstr>
      <vt:lpstr>35. HOSP. SANTA ROSA PTO MALD</vt:lpstr>
      <vt:lpstr>36. HOSP. S REG ANDAHUAYLAS</vt:lpstr>
      <vt:lpstr>37. HOSP CHACHAPOYAS</vt:lpstr>
      <vt:lpstr>38. INCA AIR</vt:lpstr>
      <vt:lpstr>39. INSN</vt:lpstr>
      <vt:lpstr>40. MAPFRE PERU</vt:lpstr>
      <vt:lpstr>41. OGESS ALTOMAYO</vt:lpstr>
      <vt:lpstr>42. PROSEGUR</vt:lpstr>
      <vt:lpstr>43. REDESS EL COLLAO</vt:lpstr>
      <vt:lpstr>44. SALUDPOL</vt:lpstr>
      <vt:lpstr>45. ZARO</vt:lpstr>
      <vt:lpstr>46. SERV. GENERALES</vt:lpstr>
      <vt:lpstr>47. VIAJES PUCALLPA</vt:lpstr>
      <vt:lpstr>48. ESSALUD PCL</vt:lpstr>
      <vt:lpstr>49.RIMAC</vt:lpstr>
      <vt:lpstr>50.ESSALUD HUARAZ</vt:lpstr>
      <vt:lpstr>51.HOSP. ABANCAY</vt:lpstr>
      <vt:lpstr>52. ESSALUD PUNO</vt:lpstr>
      <vt:lpstr>53. HOSP REG HONORIOD </vt:lpstr>
      <vt:lpstr>54. SALUD TARMA </vt:lpstr>
      <vt:lpstr>55.HOSP. STA. ROSA PIURA</vt:lpstr>
      <vt:lpstr>56.HOSP. LAS MERCEDES</vt:lpstr>
      <vt:lpstr>57.OGESS HUALLAGA</vt:lpstr>
      <vt:lpstr>58.REPRESENTACIONES LACHO</vt:lpstr>
      <vt:lpstr>59.HOSP. GEN. JAEN</vt:lpstr>
      <vt:lpstr>60.HOSP. REG. HUANUCO</vt:lpstr>
      <vt:lpstr>61.HOSP. BELEN LAMBAYEQUE</vt:lpstr>
      <vt:lpstr>62.HOSP. DE APOYO II SULLANA</vt:lpstr>
      <vt:lpstr>63.ESSALUD TACNA</vt:lpstr>
      <vt:lpstr>64.LA POSITIVA SEGUROS</vt:lpstr>
      <vt:lpstr>65. SANITAS</vt:lpstr>
      <vt:lpstr>66.HOSP. REG. CAJAMARCA</vt:lpstr>
      <vt:lpstr>67.HOSP. BELEN TRUJILLO</vt:lpstr>
      <vt:lpstr>68.UE SALUD UTCUBAMBA</vt:lpstr>
      <vt:lpstr>69.HOSP. CHULUCANAS</vt:lpstr>
      <vt:lpstr>70.HOSP. BAGUA</vt:lpstr>
      <vt:lpstr>71.ESSALUD HUANCAVELICA</vt:lpstr>
      <vt:lpstr>72.HOSP SANTA GEMA</vt:lpstr>
      <vt:lpstr>73.IAFAS MGP</vt:lpstr>
      <vt:lpstr>74.HOSP. TINGO MARIA</vt:lpstr>
      <vt:lpstr>75.ESSALUD TUMBES</vt:lpstr>
      <vt:lpstr>76.HOSP. DOMINGO OLAVEGOYA JJA</vt:lpstr>
      <vt:lpstr>77.HOSP. ELEAZAR GUZMAN BARRON</vt:lpstr>
      <vt:lpstr>78.HOSP. REGIONAL CUSCO</vt:lpstr>
      <vt:lpstr>79.ESSALUD PTO. MALDONADO </vt:lpstr>
      <vt:lpstr>80.DIRESA LORETO</vt:lpstr>
      <vt:lpstr>81.ESSALUD MOQUEGUA</vt:lpstr>
      <vt:lpstr>82.HOSP. APOYO IQUITOS</vt:lpstr>
      <vt:lpstr>83.HOSP. MED TROPICAL-CHANCHAMA</vt:lpstr>
      <vt:lpstr>VUELOS B200 2026</vt:lpstr>
      <vt:lpstr>VUELOS B200 2025</vt:lpstr>
      <vt:lpstr>VUELOS B200 2024</vt:lpstr>
      <vt:lpstr>VUELOS B200 2023</vt:lpstr>
      <vt:lpstr>OTROS</vt:lpstr>
      <vt:lpstr>'17. ESSALUD PUCALLPA'!Área_de_impresión</vt:lpstr>
      <vt:lpstr>'SALDOS CONTRATOS'!Área_de_impresión</vt:lpstr>
    </vt:vector>
  </TitlesOfParts>
  <Company>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Sonia Diaz</dc:creator>
  <cp:lastModifiedBy>Carlos</cp:lastModifiedBy>
  <cp:lastPrinted>2026-07-16T19:38:46Z</cp:lastPrinted>
  <dcterms:created xsi:type="dcterms:W3CDTF">2021-11-18T22:06:29Z</dcterms:created>
  <dcterms:modified xsi:type="dcterms:W3CDTF">2026-09-28T15:59:21Z</dcterms:modified>
</cp:coreProperties>
</file>